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0" yWindow="-120" windowWidth="29040" windowHeight="13176" tabRatio="849" activeTab="2"/>
  </bookViews>
  <sheets>
    <sheet name="Lista_CUIT" sheetId="8" r:id="rId1"/>
    <sheet name="Ene-22" sheetId="2" r:id="rId2"/>
    <sheet name="Feb-22" sheetId="10" r:id="rId3"/>
    <sheet name="Marz-22" sheetId="22" r:id="rId4"/>
    <sheet name="Abr-22" sheetId="12" r:id="rId5"/>
    <sheet name="May-22" sheetId="16" r:id="rId6"/>
    <sheet name="Jun-22" sheetId="13" r:id="rId7"/>
    <sheet name="Jul-22" sheetId="15" r:id="rId8"/>
    <sheet name="Agost-22" sheetId="18" r:id="rId9"/>
    <sheet name="Sep-22" sheetId="14" r:id="rId10"/>
    <sheet name="Oct-22" sheetId="21" r:id="rId11"/>
    <sheet name="Nov-22" sheetId="20" r:id="rId12"/>
    <sheet name="Dic-22" sheetId="19" r:id="rId13"/>
    <sheet name="Asto-Cpras" sheetId="3" r:id="rId14"/>
    <sheet name="Asto-Vtas" sheetId="4" r:id="rId15"/>
    <sheet name="Hoja1" sheetId="23" r:id="rId16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3" l="1"/>
  <c r="C4" i="23"/>
  <c r="D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D31" i="23"/>
  <c r="C32" i="23"/>
  <c r="C33" i="23"/>
  <c r="C34" i="23"/>
  <c r="C35" i="23"/>
  <c r="C36" i="23"/>
  <c r="C37" i="23"/>
  <c r="C38" i="23"/>
  <c r="D39" i="23"/>
  <c r="C40" i="23"/>
  <c r="C41" i="23"/>
  <c r="C42" i="23"/>
  <c r="C43" i="23"/>
  <c r="C44" i="23"/>
  <c r="C45" i="23"/>
  <c r="D46" i="23"/>
  <c r="C47" i="23"/>
  <c r="C48" i="23"/>
  <c r="C49" i="23"/>
  <c r="C50" i="23"/>
  <c r="D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D68" i="23"/>
  <c r="C69" i="23"/>
  <c r="C70" i="23"/>
  <c r="D71" i="23"/>
  <c r="C72" i="23"/>
  <c r="C73" i="23"/>
  <c r="D74" i="23"/>
  <c r="C75" i="23"/>
  <c r="C76" i="23"/>
  <c r="D77" i="23"/>
  <c r="C78" i="23"/>
  <c r="C79" i="23"/>
  <c r="D80" i="23"/>
  <c r="C81" i="23"/>
  <c r="C82" i="23"/>
  <c r="D83" i="23"/>
  <c r="C84" i="23"/>
  <c r="C85" i="23"/>
  <c r="D86" i="23"/>
  <c r="C87" i="23"/>
  <c r="C88" i="23"/>
  <c r="D89" i="23"/>
  <c r="C90" i="23"/>
  <c r="C91" i="23"/>
  <c r="C92" i="23"/>
  <c r="C93" i="23"/>
  <c r="D94" i="23"/>
  <c r="C95" i="23"/>
  <c r="C96" i="23"/>
  <c r="D97" i="23"/>
  <c r="C98" i="23"/>
  <c r="C99" i="23"/>
  <c r="D100" i="23"/>
  <c r="C101" i="23"/>
  <c r="C102" i="23"/>
  <c r="C103" i="23"/>
  <c r="D104" i="23"/>
  <c r="C105" i="23"/>
  <c r="C106" i="23"/>
  <c r="D107" i="23"/>
  <c r="C108" i="23"/>
  <c r="C109" i="23"/>
  <c r="C110" i="23"/>
  <c r="C111" i="23"/>
  <c r="D112" i="23"/>
  <c r="C113" i="23"/>
  <c r="C114" i="23"/>
  <c r="D115" i="23"/>
  <c r="C116" i="23"/>
  <c r="C117" i="23"/>
  <c r="C118" i="23"/>
  <c r="C119" i="23"/>
  <c r="C120" i="23"/>
  <c r="C121" i="23"/>
  <c r="K172" i="20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D136" i="23"/>
  <c r="C137" i="23"/>
  <c r="D137" i="23"/>
  <c r="C138" i="23"/>
  <c r="D138" i="23"/>
  <c r="C139" i="23"/>
  <c r="D139" i="23"/>
  <c r="C140" i="23"/>
  <c r="D140" i="23"/>
  <c r="C141" i="23"/>
  <c r="D141" i="23"/>
  <c r="C142" i="23"/>
  <c r="D142" i="23"/>
  <c r="C143" i="23"/>
  <c r="D143" i="23"/>
  <c r="C144" i="23"/>
  <c r="D144" i="23"/>
  <c r="C145" i="23"/>
  <c r="D145" i="23"/>
  <c r="C146" i="23"/>
  <c r="D146" i="23"/>
  <c r="C147" i="23"/>
  <c r="D147" i="23"/>
  <c r="C148" i="23"/>
  <c r="D148" i="23"/>
  <c r="C149" i="23"/>
  <c r="D149" i="23"/>
  <c r="C150" i="23"/>
  <c r="D150" i="23"/>
  <c r="C151" i="23"/>
  <c r="D151" i="23"/>
  <c r="C152" i="23"/>
  <c r="D152" i="23"/>
  <c r="C153" i="23"/>
  <c r="D153" i="23"/>
  <c r="C154" i="23"/>
  <c r="D154" i="23"/>
  <c r="C155" i="23"/>
  <c r="D155" i="23"/>
  <c r="C156" i="23"/>
  <c r="D156" i="23"/>
  <c r="C157" i="23"/>
  <c r="D157" i="23"/>
  <c r="C158" i="23"/>
  <c r="D158" i="23"/>
  <c r="C159" i="23"/>
  <c r="D159" i="23"/>
  <c r="C160" i="23"/>
  <c r="D160" i="23"/>
  <c r="C161" i="23"/>
  <c r="D161" i="23"/>
  <c r="C162" i="23"/>
  <c r="D162" i="23"/>
  <c r="C163" i="23"/>
  <c r="D163" i="23"/>
  <c r="H165" i="23" l="1"/>
  <c r="N172" i="21" l="1"/>
  <c r="M172" i="21"/>
  <c r="L172" i="21"/>
  <c r="K172" i="21"/>
  <c r="J172" i="21"/>
  <c r="I172" i="21"/>
  <c r="H172" i="21"/>
  <c r="G172" i="21"/>
  <c r="C164" i="23"/>
  <c r="D164" i="23"/>
  <c r="E165" i="23"/>
  <c r="F165" i="23"/>
  <c r="G165" i="23"/>
  <c r="B165" i="23"/>
  <c r="N110" i="18"/>
  <c r="M110" i="18"/>
  <c r="L110" i="18"/>
  <c r="K110" i="18"/>
  <c r="J110" i="18"/>
  <c r="I110" i="18"/>
  <c r="H110" i="18"/>
  <c r="G110" i="18"/>
  <c r="N103" i="13"/>
  <c r="M103" i="13"/>
  <c r="L103" i="13"/>
  <c r="K103" i="13"/>
  <c r="J103" i="13"/>
  <c r="I103" i="13"/>
  <c r="H103" i="13"/>
  <c r="G4" i="13" s="1"/>
  <c r="G103" i="13"/>
  <c r="B4" i="13" s="1"/>
  <c r="N123" i="15"/>
  <c r="M123" i="15"/>
  <c r="L123" i="15"/>
  <c r="K123" i="15"/>
  <c r="J123" i="15"/>
  <c r="I123" i="15"/>
  <c r="H123" i="15"/>
  <c r="G4" i="15" s="1"/>
  <c r="G123" i="15"/>
  <c r="B4" i="15" s="1"/>
  <c r="G4" i="12"/>
  <c r="B4" i="12"/>
  <c r="B4" i="2"/>
  <c r="N100" i="16"/>
  <c r="M100" i="16"/>
  <c r="L100" i="16"/>
  <c r="K100" i="16"/>
  <c r="J100" i="16"/>
  <c r="I100" i="16"/>
  <c r="H100" i="16"/>
  <c r="G4" i="16" s="1"/>
  <c r="G100" i="16"/>
  <c r="B4" i="16" s="1"/>
  <c r="N116" i="12"/>
  <c r="M116" i="12"/>
  <c r="L116" i="12"/>
  <c r="K116" i="12"/>
  <c r="J116" i="12"/>
  <c r="I116" i="12"/>
  <c r="H116" i="12"/>
  <c r="G116" i="12"/>
  <c r="D165" i="23" l="1"/>
  <c r="C165" i="23"/>
  <c r="N88" i="3"/>
  <c r="M88" i="3"/>
  <c r="I204" i="21" l="1"/>
  <c r="J179" i="21"/>
  <c r="J178" i="21"/>
  <c r="J180" i="21"/>
  <c r="J181" i="21"/>
  <c r="J182" i="21"/>
  <c r="J183" i="21"/>
  <c r="J184" i="21"/>
  <c r="J185" i="21"/>
  <c r="J186" i="21"/>
  <c r="J187" i="21"/>
  <c r="J188" i="21"/>
  <c r="J189" i="21"/>
  <c r="J190" i="21"/>
  <c r="J191" i="21"/>
  <c r="J192" i="21"/>
  <c r="J193" i="21"/>
  <c r="J194" i="21"/>
  <c r="J195" i="21"/>
  <c r="J196" i="21"/>
  <c r="J197" i="21"/>
  <c r="J198" i="21"/>
  <c r="J199" i="21"/>
  <c r="J200" i="21"/>
  <c r="J201" i="21"/>
  <c r="J202" i="21"/>
  <c r="J203" i="21"/>
  <c r="J208" i="14"/>
  <c r="J206" i="14"/>
  <c r="J207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H120" i="18"/>
  <c r="J120" i="18"/>
  <c r="K120" i="18"/>
  <c r="H121" i="18"/>
  <c r="J121" i="18"/>
  <c r="K121" i="18"/>
  <c r="H122" i="18"/>
  <c r="J122" i="18"/>
  <c r="K122" i="18"/>
  <c r="H123" i="18"/>
  <c r="J123" i="18"/>
  <c r="K123" i="18"/>
  <c r="H109" i="16"/>
  <c r="J109" i="16"/>
  <c r="K109" i="16"/>
  <c r="H110" i="16"/>
  <c r="J110" i="16"/>
  <c r="K110" i="16"/>
  <c r="D88" i="3"/>
  <c r="C88" i="3"/>
  <c r="N191" i="3"/>
  <c r="N190" i="3"/>
  <c r="N189" i="3"/>
  <c r="N188" i="3"/>
  <c r="N187" i="3"/>
  <c r="N186" i="3"/>
  <c r="N1" i="19"/>
  <c r="N1" i="20"/>
  <c r="M191" i="3"/>
  <c r="M190" i="3"/>
  <c r="M189" i="3"/>
  <c r="M188" i="3"/>
  <c r="M187" i="3"/>
  <c r="M186" i="3"/>
  <c r="M185" i="3"/>
  <c r="I191" i="3"/>
  <c r="I190" i="3"/>
  <c r="I189" i="3"/>
  <c r="I188" i="3"/>
  <c r="D191" i="3"/>
  <c r="D190" i="3"/>
  <c r="D189" i="3"/>
  <c r="D188" i="3"/>
  <c r="D187" i="3"/>
  <c r="D186" i="3"/>
  <c r="H191" i="3"/>
  <c r="H190" i="3"/>
  <c r="H189" i="3"/>
  <c r="H188" i="3"/>
  <c r="H187" i="3"/>
  <c r="H186" i="3"/>
  <c r="H185" i="3"/>
  <c r="H209" i="14"/>
  <c r="C185" i="3"/>
  <c r="B185" i="3"/>
  <c r="G185" i="3"/>
  <c r="L185" i="3"/>
  <c r="C191" i="3"/>
  <c r="C190" i="3"/>
  <c r="C189" i="3"/>
  <c r="C188" i="3"/>
  <c r="C187" i="3"/>
  <c r="C186" i="3"/>
  <c r="N141" i="3"/>
  <c r="N140" i="3"/>
  <c r="N139" i="3"/>
  <c r="N138" i="3"/>
  <c r="N137" i="3"/>
  <c r="N136" i="3"/>
  <c r="N1" i="14"/>
  <c r="Q138" i="14"/>
  <c r="Q137" i="14"/>
  <c r="M135" i="3"/>
  <c r="M136" i="3"/>
  <c r="M137" i="3"/>
  <c r="M138" i="3"/>
  <c r="M139" i="3"/>
  <c r="M140" i="3"/>
  <c r="M141" i="3"/>
  <c r="I141" i="3"/>
  <c r="I140" i="3"/>
  <c r="I139" i="3"/>
  <c r="I138" i="3"/>
  <c r="I137" i="3"/>
  <c r="I136" i="3"/>
  <c r="I135" i="3"/>
  <c r="H141" i="3"/>
  <c r="H140" i="3"/>
  <c r="H139" i="3"/>
  <c r="H138" i="3"/>
  <c r="H137" i="3"/>
  <c r="H136" i="3"/>
  <c r="H135" i="3"/>
  <c r="D141" i="3"/>
  <c r="D140" i="3"/>
  <c r="D139" i="3"/>
  <c r="D138" i="3"/>
  <c r="D137" i="3"/>
  <c r="D136" i="3"/>
  <c r="D135" i="3"/>
  <c r="C137" i="3"/>
  <c r="C136" i="3"/>
  <c r="C135" i="3"/>
  <c r="N94" i="3"/>
  <c r="N93" i="3"/>
  <c r="N92" i="3"/>
  <c r="N91" i="3"/>
  <c r="N90" i="3"/>
  <c r="N89" i="3"/>
  <c r="I94" i="3"/>
  <c r="I93" i="3"/>
  <c r="I92" i="3"/>
  <c r="I91" i="3"/>
  <c r="I90" i="3"/>
  <c r="I89" i="3"/>
  <c r="I88" i="3"/>
  <c r="Q26" i="12"/>
  <c r="D94" i="3"/>
  <c r="D93" i="3"/>
  <c r="D92" i="3"/>
  <c r="D91" i="3"/>
  <c r="D90" i="3"/>
  <c r="D89" i="3"/>
  <c r="N47" i="3"/>
  <c r="N46" i="3"/>
  <c r="N45" i="3"/>
  <c r="N44" i="3"/>
  <c r="N43" i="3"/>
  <c r="N42" i="3"/>
  <c r="B75" i="3"/>
  <c r="B77" i="3"/>
  <c r="B87" i="3"/>
  <c r="B89" i="3"/>
  <c r="C89" i="3"/>
  <c r="B90" i="3"/>
  <c r="C90" i="3"/>
  <c r="B91" i="3"/>
  <c r="C91" i="3"/>
  <c r="B92" i="3"/>
  <c r="C92" i="3"/>
  <c r="B93" i="3"/>
  <c r="C93" i="3"/>
  <c r="C94" i="3"/>
  <c r="B95" i="3"/>
  <c r="C95" i="3"/>
  <c r="B99" i="3"/>
  <c r="B4" i="3"/>
  <c r="N1" i="22"/>
  <c r="N1" i="12"/>
  <c r="I46" i="3" l="1"/>
  <c r="I45" i="3"/>
  <c r="I44" i="3"/>
  <c r="I43" i="3"/>
  <c r="I42" i="3"/>
  <c r="I47" i="3"/>
  <c r="G5" i="3"/>
  <c r="G6" i="3"/>
  <c r="G7" i="3"/>
  <c r="G8" i="3"/>
  <c r="G9" i="3"/>
  <c r="G10" i="3"/>
  <c r="G11" i="3"/>
  <c r="G12" i="3"/>
  <c r="G14" i="3"/>
  <c r="G16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D44" i="3"/>
  <c r="D45" i="3"/>
  <c r="D46" i="3"/>
  <c r="D47" i="3"/>
  <c r="D43" i="3"/>
  <c r="D42" i="3"/>
  <c r="G10" i="18" l="1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Q53" i="18"/>
  <c r="Q54" i="18"/>
  <c r="Q55" i="18"/>
  <c r="Q56" i="18"/>
  <c r="Q57" i="18"/>
  <c r="Q58" i="18"/>
  <c r="Q59" i="18"/>
  <c r="Q60" i="18"/>
  <c r="Q61" i="18"/>
  <c r="Q62" i="18"/>
  <c r="Q63" i="18"/>
  <c r="Q64" i="18"/>
  <c r="Q65" i="18"/>
  <c r="Q66" i="18"/>
  <c r="Q67" i="18"/>
  <c r="Q68" i="18"/>
  <c r="Q69" i="18"/>
  <c r="Q70" i="18"/>
  <c r="Q71" i="18"/>
  <c r="Q72" i="18"/>
  <c r="Q73" i="18"/>
  <c r="Q74" i="18"/>
  <c r="Q75" i="18"/>
  <c r="Q76" i="18"/>
  <c r="Q77" i="18"/>
  <c r="Q78" i="18"/>
  <c r="Q79" i="18"/>
  <c r="Q80" i="18"/>
  <c r="Q81" i="18"/>
  <c r="Q82" i="18"/>
  <c r="Q83" i="18"/>
  <c r="Q84" i="18"/>
  <c r="Q85" i="18"/>
  <c r="Q86" i="18"/>
  <c r="Q87" i="18"/>
  <c r="Q88" i="18"/>
  <c r="Q89" i="18"/>
  <c r="Q90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36" i="18"/>
  <c r="R37" i="18"/>
  <c r="R38" i="18"/>
  <c r="R39" i="18"/>
  <c r="R40" i="18"/>
  <c r="R41" i="18"/>
  <c r="R42" i="18"/>
  <c r="R43" i="18"/>
  <c r="R44" i="18"/>
  <c r="R45" i="18"/>
  <c r="R46" i="18"/>
  <c r="R47" i="18"/>
  <c r="R48" i="18"/>
  <c r="R49" i="18"/>
  <c r="R50" i="18"/>
  <c r="R51" i="18"/>
  <c r="R52" i="18"/>
  <c r="R53" i="18"/>
  <c r="R54" i="18"/>
  <c r="R55" i="18"/>
  <c r="R56" i="18"/>
  <c r="R57" i="18"/>
  <c r="R58" i="18"/>
  <c r="R59" i="18"/>
  <c r="R60" i="18"/>
  <c r="R61" i="18"/>
  <c r="R62" i="18"/>
  <c r="R63" i="18"/>
  <c r="R64" i="18"/>
  <c r="R65" i="18"/>
  <c r="R66" i="18"/>
  <c r="R67" i="18"/>
  <c r="R68" i="18"/>
  <c r="R69" i="18"/>
  <c r="R70" i="18"/>
  <c r="R71" i="18"/>
  <c r="R72" i="18"/>
  <c r="R73" i="18"/>
  <c r="R74" i="18"/>
  <c r="R75" i="18"/>
  <c r="R76" i="18"/>
  <c r="R77" i="18"/>
  <c r="R78" i="18"/>
  <c r="R79" i="18"/>
  <c r="R80" i="18"/>
  <c r="R81" i="18"/>
  <c r="R82" i="18"/>
  <c r="R83" i="18"/>
  <c r="R84" i="18"/>
  <c r="R85" i="18"/>
  <c r="R86" i="18"/>
  <c r="R87" i="18"/>
  <c r="R88" i="18"/>
  <c r="R89" i="18"/>
  <c r="R90" i="18"/>
  <c r="G103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9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2" i="15"/>
  <c r="R43" i="15"/>
  <c r="R44" i="15"/>
  <c r="R45" i="15"/>
  <c r="R46" i="15"/>
  <c r="R47" i="15"/>
  <c r="R48" i="15"/>
  <c r="R49" i="15"/>
  <c r="R50" i="15"/>
  <c r="R51" i="15"/>
  <c r="R52" i="15"/>
  <c r="R53" i="15"/>
  <c r="R54" i="15"/>
  <c r="R55" i="15"/>
  <c r="R56" i="15"/>
  <c r="R57" i="15"/>
  <c r="R58" i="15"/>
  <c r="R59" i="15"/>
  <c r="R60" i="15"/>
  <c r="R61" i="15"/>
  <c r="R62" i="15"/>
  <c r="R63" i="15"/>
  <c r="R64" i="15"/>
  <c r="R65" i="15"/>
  <c r="R66" i="15"/>
  <c r="R67" i="15"/>
  <c r="R68" i="15"/>
  <c r="R69" i="15"/>
  <c r="R70" i="15"/>
  <c r="R71" i="15"/>
  <c r="R72" i="15"/>
  <c r="R73" i="15"/>
  <c r="R74" i="15"/>
  <c r="R75" i="15"/>
  <c r="R76" i="15"/>
  <c r="R77" i="15"/>
  <c r="R78" i="15"/>
  <c r="R79" i="15"/>
  <c r="R80" i="15"/>
  <c r="R81" i="15"/>
  <c r="R82" i="15"/>
  <c r="R83" i="15"/>
  <c r="R84" i="15"/>
  <c r="R85" i="15"/>
  <c r="R86" i="15"/>
  <c r="R87" i="15"/>
  <c r="R88" i="15"/>
  <c r="R89" i="15"/>
  <c r="R90" i="15"/>
  <c r="R91" i="15"/>
  <c r="R92" i="15"/>
  <c r="R93" i="15"/>
  <c r="R94" i="15"/>
  <c r="R95" i="15"/>
  <c r="R96" i="15"/>
  <c r="R97" i="15"/>
  <c r="R98" i="15"/>
  <c r="R99" i="15"/>
  <c r="R100" i="15"/>
  <c r="R101" i="15"/>
  <c r="R102" i="15"/>
  <c r="R103" i="15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4" i="13"/>
  <c r="G25" i="13"/>
  <c r="G26" i="13"/>
  <c r="G29" i="13"/>
  <c r="G30" i="13"/>
  <c r="G31" i="13"/>
  <c r="G32" i="13"/>
  <c r="G33" i="13"/>
  <c r="G55" i="13"/>
  <c r="G34" i="13"/>
  <c r="G23" i="13"/>
  <c r="G35" i="13"/>
  <c r="G36" i="13"/>
  <c r="G37" i="13"/>
  <c r="G38" i="13"/>
  <c r="G39" i="13"/>
  <c r="G40" i="13"/>
  <c r="G41" i="13"/>
  <c r="G42" i="13"/>
  <c r="G43" i="13"/>
  <c r="G27" i="13"/>
  <c r="G44" i="13"/>
  <c r="G45" i="13"/>
  <c r="G46" i="13"/>
  <c r="G47" i="13"/>
  <c r="G48" i="13"/>
  <c r="G28" i="13"/>
  <c r="G49" i="13"/>
  <c r="G50" i="13"/>
  <c r="G51" i="13"/>
  <c r="G52" i="13"/>
  <c r="G53" i="13"/>
  <c r="G54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9" i="13"/>
  <c r="Q17" i="13"/>
  <c r="Q18" i="13"/>
  <c r="Q19" i="13"/>
  <c r="Q20" i="13"/>
  <c r="Q21" i="13"/>
  <c r="Q22" i="13"/>
  <c r="Q24" i="13"/>
  <c r="Q25" i="13"/>
  <c r="Q26" i="13"/>
  <c r="Q29" i="13"/>
  <c r="Q30" i="13"/>
  <c r="Q31" i="13"/>
  <c r="Q32" i="13"/>
  <c r="Q33" i="13"/>
  <c r="Q55" i="13"/>
  <c r="Q34" i="13"/>
  <c r="Q23" i="13"/>
  <c r="Q35" i="13"/>
  <c r="Q36" i="13"/>
  <c r="Q37" i="13"/>
  <c r="Q38" i="13"/>
  <c r="Q39" i="13"/>
  <c r="Q40" i="13"/>
  <c r="Q41" i="13"/>
  <c r="Q42" i="13"/>
  <c r="Q43" i="13"/>
  <c r="Q27" i="13"/>
  <c r="Q44" i="13"/>
  <c r="Q45" i="13"/>
  <c r="Q46" i="13"/>
  <c r="Q47" i="13"/>
  <c r="Q48" i="13"/>
  <c r="Q28" i="13"/>
  <c r="Q49" i="13"/>
  <c r="Q50" i="13"/>
  <c r="Q51" i="13"/>
  <c r="Q52" i="13"/>
  <c r="Q53" i="13"/>
  <c r="Q54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R17" i="13"/>
  <c r="R18" i="13"/>
  <c r="R19" i="13"/>
  <c r="R20" i="13"/>
  <c r="R21" i="13"/>
  <c r="R22" i="13"/>
  <c r="R24" i="13"/>
  <c r="R25" i="13"/>
  <c r="R26" i="13"/>
  <c r="R29" i="13"/>
  <c r="R30" i="13"/>
  <c r="R31" i="13"/>
  <c r="R32" i="13"/>
  <c r="R33" i="13"/>
  <c r="R55" i="13"/>
  <c r="R34" i="13"/>
  <c r="R23" i="13"/>
  <c r="R35" i="13"/>
  <c r="R36" i="13"/>
  <c r="R37" i="13"/>
  <c r="R38" i="13"/>
  <c r="R39" i="13"/>
  <c r="R40" i="13"/>
  <c r="R41" i="13"/>
  <c r="R42" i="13"/>
  <c r="R43" i="13"/>
  <c r="R27" i="13"/>
  <c r="R44" i="13"/>
  <c r="R45" i="13"/>
  <c r="R46" i="13"/>
  <c r="R47" i="13"/>
  <c r="R48" i="13"/>
  <c r="R28" i="13"/>
  <c r="R49" i="13"/>
  <c r="R50" i="13"/>
  <c r="R51" i="13"/>
  <c r="R52" i="13"/>
  <c r="R53" i="13"/>
  <c r="R54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G9" i="16"/>
  <c r="Q17" i="16"/>
  <c r="Q18" i="16"/>
  <c r="Q19" i="16"/>
  <c r="Q20" i="16"/>
  <c r="Q21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22" i="16"/>
  <c r="Q23" i="16"/>
  <c r="Q24" i="16"/>
  <c r="Q45" i="16"/>
  <c r="Q42" i="16"/>
  <c r="Q46" i="16"/>
  <c r="Q43" i="16"/>
  <c r="Q44" i="16"/>
  <c r="Q47" i="16"/>
  <c r="Q48" i="16"/>
  <c r="Q49" i="16"/>
  <c r="Q50" i="16"/>
  <c r="Q51" i="16"/>
  <c r="Q53" i="16"/>
  <c r="Q54" i="16"/>
  <c r="Q52" i="16"/>
  <c r="Q58" i="16"/>
  <c r="Q55" i="16"/>
  <c r="Q56" i="16"/>
  <c r="Q57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R17" i="16"/>
  <c r="R18" i="16"/>
  <c r="R19" i="16"/>
  <c r="R20" i="16"/>
  <c r="R21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22" i="16"/>
  <c r="R23" i="16"/>
  <c r="R24" i="16"/>
  <c r="R45" i="16"/>
  <c r="R42" i="16"/>
  <c r="R46" i="16"/>
  <c r="R43" i="16"/>
  <c r="R44" i="16"/>
  <c r="R47" i="16"/>
  <c r="R48" i="16"/>
  <c r="R49" i="16"/>
  <c r="R50" i="16"/>
  <c r="R51" i="16"/>
  <c r="R53" i="16"/>
  <c r="R54" i="16"/>
  <c r="R52" i="16"/>
  <c r="R58" i="16"/>
  <c r="R55" i="16"/>
  <c r="R56" i="16"/>
  <c r="R57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6" i="12"/>
  <c r="G27" i="12"/>
  <c r="G28" i="12"/>
  <c r="G29" i="12"/>
  <c r="G47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56" i="12"/>
  <c r="G24" i="12"/>
  <c r="G42" i="12"/>
  <c r="G43" i="12"/>
  <c r="G44" i="12"/>
  <c r="G45" i="12"/>
  <c r="G25" i="12"/>
  <c r="G46" i="12"/>
  <c r="G48" i="12"/>
  <c r="G49" i="12"/>
  <c r="G50" i="12"/>
  <c r="G51" i="12"/>
  <c r="G52" i="12"/>
  <c r="G53" i="12"/>
  <c r="G61" i="12"/>
  <c r="G54" i="12"/>
  <c r="G55" i="12"/>
  <c r="G57" i="12"/>
  <c r="G58" i="12"/>
  <c r="G59" i="12"/>
  <c r="G60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" i="12"/>
  <c r="Q9" i="12"/>
  <c r="Q17" i="12"/>
  <c r="Q18" i="12"/>
  <c r="Q19" i="12"/>
  <c r="Q20" i="12"/>
  <c r="Q21" i="12"/>
  <c r="Q22" i="12"/>
  <c r="Q23" i="12"/>
  <c r="Q27" i="12"/>
  <c r="Q28" i="12"/>
  <c r="Q29" i="12"/>
  <c r="Q47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56" i="12"/>
  <c r="Q24" i="12"/>
  <c r="Q42" i="12"/>
  <c r="Q43" i="12"/>
  <c r="Q44" i="12"/>
  <c r="Q45" i="12"/>
  <c r="Q25" i="12"/>
  <c r="Q46" i="12"/>
  <c r="Q48" i="12"/>
  <c r="Q49" i="12"/>
  <c r="Q50" i="12"/>
  <c r="Q51" i="12"/>
  <c r="Q52" i="12"/>
  <c r="Q53" i="12"/>
  <c r="Q61" i="12"/>
  <c r="Q54" i="12"/>
  <c r="Q55" i="12"/>
  <c r="Q57" i="12"/>
  <c r="Q58" i="12"/>
  <c r="Q59" i="12"/>
  <c r="Q60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R17" i="12"/>
  <c r="R18" i="12"/>
  <c r="R19" i="12"/>
  <c r="R20" i="12"/>
  <c r="R21" i="12"/>
  <c r="R22" i="12"/>
  <c r="R23" i="12"/>
  <c r="R26" i="12"/>
  <c r="R27" i="12"/>
  <c r="R28" i="12"/>
  <c r="R29" i="12"/>
  <c r="R47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56" i="12"/>
  <c r="R24" i="12"/>
  <c r="R42" i="12"/>
  <c r="R43" i="12"/>
  <c r="R44" i="12"/>
  <c r="R45" i="12"/>
  <c r="R25" i="12"/>
  <c r="R46" i="12"/>
  <c r="R48" i="12"/>
  <c r="R49" i="12"/>
  <c r="R50" i="12"/>
  <c r="R51" i="12"/>
  <c r="R52" i="12"/>
  <c r="R53" i="12"/>
  <c r="R61" i="12"/>
  <c r="R54" i="12"/>
  <c r="R55" i="12"/>
  <c r="R57" i="12"/>
  <c r="R58" i="12"/>
  <c r="R59" i="12"/>
  <c r="R60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G29" i="22" l="1"/>
  <c r="G30" i="22"/>
  <c r="G31" i="22"/>
  <c r="G32" i="22"/>
  <c r="G33" i="22"/>
  <c r="G42" i="22"/>
  <c r="G34" i="22"/>
  <c r="I29" i="22"/>
  <c r="P29" i="22" s="1"/>
  <c r="I30" i="22"/>
  <c r="I31" i="22"/>
  <c r="P31" i="22" s="1"/>
  <c r="I32" i="22"/>
  <c r="P32" i="22" s="1"/>
  <c r="I33" i="22"/>
  <c r="P33" i="22" s="1"/>
  <c r="I42" i="22"/>
  <c r="P42" i="22" s="1"/>
  <c r="I34" i="22"/>
  <c r="P34" i="22" s="1"/>
  <c r="P30" i="22"/>
  <c r="Q29" i="22"/>
  <c r="Q30" i="22"/>
  <c r="Q31" i="22"/>
  <c r="Q32" i="22"/>
  <c r="Q33" i="22"/>
  <c r="Q42" i="22"/>
  <c r="Q34" i="22"/>
  <c r="R29" i="22"/>
  <c r="R30" i="22"/>
  <c r="R31" i="22"/>
  <c r="R32" i="22"/>
  <c r="R33" i="22"/>
  <c r="R42" i="22"/>
  <c r="R34" i="22"/>
  <c r="I27" i="22"/>
  <c r="P27" i="22" s="1"/>
  <c r="I47" i="22"/>
  <c r="P47" i="22" s="1"/>
  <c r="I24" i="22"/>
  <c r="P24" i="22" s="1"/>
  <c r="I25" i="22"/>
  <c r="P25" i="22" s="1"/>
  <c r="I26" i="22"/>
  <c r="P26" i="22" s="1"/>
  <c r="I52" i="22"/>
  <c r="P52" i="22" s="1"/>
  <c r="I94" i="22"/>
  <c r="P94" i="22" s="1"/>
  <c r="I28" i="22"/>
  <c r="P28" i="22" s="1"/>
  <c r="I40" i="22"/>
  <c r="P40" i="22" s="1"/>
  <c r="I88" i="22"/>
  <c r="P88" i="22" s="1"/>
  <c r="I89" i="22"/>
  <c r="P89" i="22" s="1"/>
  <c r="I90" i="22"/>
  <c r="I91" i="22"/>
  <c r="I92" i="22"/>
  <c r="P92" i="22" s="1"/>
  <c r="I93" i="22"/>
  <c r="P93" i="22" s="1"/>
  <c r="I51" i="22"/>
  <c r="P51" i="22" s="1"/>
  <c r="I9" i="22"/>
  <c r="P9" i="22" s="1"/>
  <c r="I10" i="22"/>
  <c r="P10" i="22" s="1"/>
  <c r="I11" i="22"/>
  <c r="P11" i="22" s="1"/>
  <c r="I12" i="22"/>
  <c r="I13" i="22"/>
  <c r="P13" i="22" s="1"/>
  <c r="I14" i="22"/>
  <c r="P14" i="22" s="1"/>
  <c r="I15" i="22"/>
  <c r="P15" i="22" s="1"/>
  <c r="I16" i="22"/>
  <c r="P16" i="22" s="1"/>
  <c r="I17" i="22"/>
  <c r="P17" i="22" s="1"/>
  <c r="I18" i="22"/>
  <c r="P18" i="22" s="1"/>
  <c r="I19" i="22"/>
  <c r="P19" i="22" s="1"/>
  <c r="I20" i="22"/>
  <c r="I21" i="22"/>
  <c r="P21" i="22" s="1"/>
  <c r="I44" i="22"/>
  <c r="P44" i="22" s="1"/>
  <c r="I39" i="22"/>
  <c r="P39" i="22" s="1"/>
  <c r="I22" i="22"/>
  <c r="P22" i="22" s="1"/>
  <c r="I48" i="22"/>
  <c r="P48" i="22" s="1"/>
  <c r="I23" i="22"/>
  <c r="P23" i="22" s="1"/>
  <c r="I45" i="22"/>
  <c r="P45" i="22" s="1"/>
  <c r="I49" i="22"/>
  <c r="I59" i="22"/>
  <c r="I60" i="22"/>
  <c r="I61" i="22"/>
  <c r="P61" i="22" s="1"/>
  <c r="I62" i="22"/>
  <c r="P62" i="22" s="1"/>
  <c r="I35" i="22"/>
  <c r="P35" i="22" s="1"/>
  <c r="I63" i="22"/>
  <c r="P63" i="22" s="1"/>
  <c r="I64" i="22"/>
  <c r="P64" i="22" s="1"/>
  <c r="I65" i="22"/>
  <c r="I66" i="22"/>
  <c r="I67" i="22"/>
  <c r="I70" i="22"/>
  <c r="P70" i="22" s="1"/>
  <c r="I71" i="22"/>
  <c r="P71" i="22" s="1"/>
  <c r="I72" i="22"/>
  <c r="P72" i="22" s="1"/>
  <c r="I73" i="22"/>
  <c r="P73" i="22" s="1"/>
  <c r="I74" i="22"/>
  <c r="P74" i="22" s="1"/>
  <c r="I75" i="22"/>
  <c r="I76" i="22"/>
  <c r="I77" i="22"/>
  <c r="P77" i="22" s="1"/>
  <c r="I78" i="22"/>
  <c r="P78" i="22" s="1"/>
  <c r="I79" i="22"/>
  <c r="P79" i="22" s="1"/>
  <c r="I80" i="22"/>
  <c r="I81" i="22"/>
  <c r="P81" i="22" s="1"/>
  <c r="I50" i="22"/>
  <c r="P50" i="22" s="1"/>
  <c r="I82" i="22"/>
  <c r="I83" i="22"/>
  <c r="I84" i="22"/>
  <c r="P84" i="22" s="1"/>
  <c r="I85" i="22"/>
  <c r="P85" i="22" s="1"/>
  <c r="I86" i="22"/>
  <c r="P86" i="22" s="1"/>
  <c r="I87" i="22"/>
  <c r="P87" i="22" s="1"/>
  <c r="I53" i="22"/>
  <c r="G167" i="22"/>
  <c r="G166" i="22"/>
  <c r="G165" i="22"/>
  <c r="G164" i="22"/>
  <c r="G163" i="22"/>
  <c r="M153" i="22"/>
  <c r="K153" i="22"/>
  <c r="J153" i="22"/>
  <c r="I153" i="22"/>
  <c r="H153" i="22"/>
  <c r="L152" i="22"/>
  <c r="L151" i="22"/>
  <c r="L150" i="22"/>
  <c r="L149" i="22"/>
  <c r="L148" i="22"/>
  <c r="L147" i="22"/>
  <c r="G147" i="22"/>
  <c r="M142" i="22"/>
  <c r="K142" i="22"/>
  <c r="J142" i="22"/>
  <c r="H142" i="22"/>
  <c r="I141" i="22"/>
  <c r="L141" i="22" s="1"/>
  <c r="G141" i="22"/>
  <c r="I140" i="22"/>
  <c r="L140" i="22" s="1"/>
  <c r="G140" i="22"/>
  <c r="I139" i="22"/>
  <c r="L139" i="22" s="1"/>
  <c r="G139" i="22"/>
  <c r="I138" i="22"/>
  <c r="L138" i="22" s="1"/>
  <c r="G138" i="22"/>
  <c r="I137" i="22"/>
  <c r="L137" i="22" s="1"/>
  <c r="G137" i="22"/>
  <c r="I136" i="22"/>
  <c r="L136" i="22" s="1"/>
  <c r="G136" i="22"/>
  <c r="I135" i="22"/>
  <c r="L135" i="22" s="1"/>
  <c r="G135" i="22"/>
  <c r="I134" i="22"/>
  <c r="L134" i="22" s="1"/>
  <c r="G134" i="22"/>
  <c r="I133" i="22"/>
  <c r="G133" i="22"/>
  <c r="K129" i="22"/>
  <c r="I123" i="22"/>
  <c r="K122" i="22"/>
  <c r="J122" i="22"/>
  <c r="H122" i="22"/>
  <c r="K121" i="22"/>
  <c r="J121" i="22"/>
  <c r="H121" i="22"/>
  <c r="K120" i="22"/>
  <c r="J120" i="22"/>
  <c r="H120" i="22"/>
  <c r="K119" i="22"/>
  <c r="J119" i="22"/>
  <c r="H119" i="22"/>
  <c r="N114" i="22"/>
  <c r="M114" i="22"/>
  <c r="L114" i="22"/>
  <c r="K114" i="22"/>
  <c r="J114" i="22"/>
  <c r="I114" i="22"/>
  <c r="H114" i="22"/>
  <c r="G114" i="22"/>
  <c r="O95" i="22"/>
  <c r="N95" i="22"/>
  <c r="M95" i="22"/>
  <c r="L95" i="22"/>
  <c r="K95" i="22"/>
  <c r="J95" i="22"/>
  <c r="H95" i="22"/>
  <c r="R46" i="22"/>
  <c r="Q46" i="22"/>
  <c r="I46" i="22"/>
  <c r="P46" i="22" s="1"/>
  <c r="G46" i="22"/>
  <c r="R28" i="22"/>
  <c r="Q28" i="22"/>
  <c r="G28" i="22"/>
  <c r="R27" i="22"/>
  <c r="Q27" i="22"/>
  <c r="G27" i="22"/>
  <c r="P20" i="22"/>
  <c r="P12" i="22"/>
  <c r="P38" i="22"/>
  <c r="P91" i="22"/>
  <c r="P90" i="22"/>
  <c r="P53" i="22"/>
  <c r="P83" i="22"/>
  <c r="P82" i="22"/>
  <c r="P80" i="22"/>
  <c r="P76" i="22"/>
  <c r="P75" i="22"/>
  <c r="P37" i="22"/>
  <c r="P69" i="22"/>
  <c r="P68" i="22"/>
  <c r="P36" i="22"/>
  <c r="P67" i="22"/>
  <c r="P66" i="22"/>
  <c r="P65" i="22"/>
  <c r="P60" i="22"/>
  <c r="P59" i="22"/>
  <c r="P49" i="22"/>
  <c r="I58" i="22"/>
  <c r="P58" i="22" s="1"/>
  <c r="I57" i="22"/>
  <c r="P57" i="22" s="1"/>
  <c r="I43" i="22"/>
  <c r="P43" i="22" s="1"/>
  <c r="I56" i="22"/>
  <c r="P56" i="22" s="1"/>
  <c r="I41" i="22"/>
  <c r="P41" i="22" s="1"/>
  <c r="I55" i="22"/>
  <c r="P55" i="22" s="1"/>
  <c r="I54" i="22"/>
  <c r="I142" i="22" l="1"/>
  <c r="P54" i="22"/>
  <c r="P95" i="22" s="1"/>
  <c r="N41" i="3"/>
  <c r="J4" i="22"/>
  <c r="B4" i="22"/>
  <c r="M4" i="22"/>
  <c r="L153" i="22"/>
  <c r="I95" i="22"/>
  <c r="G4" i="22" s="1"/>
  <c r="L133" i="22"/>
  <c r="L142" i="22" s="1"/>
  <c r="H81" i="10"/>
  <c r="H82" i="10"/>
  <c r="H83" i="10"/>
  <c r="H84" i="10"/>
  <c r="H86" i="10"/>
  <c r="H87" i="10"/>
  <c r="H88" i="10"/>
  <c r="H89" i="10"/>
  <c r="H90" i="10"/>
  <c r="H91" i="10"/>
  <c r="I42" i="10"/>
  <c r="P42" i="10" s="1"/>
  <c r="P19" i="10"/>
  <c r="I30" i="10"/>
  <c r="P30" i="10" s="1"/>
  <c r="I53" i="10"/>
  <c r="P53" i="10" s="1"/>
  <c r="I13" i="10"/>
  <c r="P13" i="10" s="1"/>
  <c r="I65" i="10"/>
  <c r="P65" i="10" s="1"/>
  <c r="I54" i="10"/>
  <c r="P54" i="10" s="1"/>
  <c r="I14" i="10"/>
  <c r="P14" i="10" s="1"/>
  <c r="I55" i="10"/>
  <c r="P55" i="10" s="1"/>
  <c r="I56" i="10"/>
  <c r="P56" i="10" s="1"/>
  <c r="I37" i="10"/>
  <c r="P37" i="10" s="1"/>
  <c r="I57" i="10"/>
  <c r="P57" i="10" s="1"/>
  <c r="P31" i="10"/>
  <c r="P32" i="10"/>
  <c r="I58" i="10"/>
  <c r="P58" i="10" s="1"/>
  <c r="I38" i="10"/>
  <c r="P38" i="10" s="1"/>
  <c r="I15" i="10"/>
  <c r="P15" i="10" s="1"/>
  <c r="I16" i="10"/>
  <c r="P16" i="10" s="1"/>
  <c r="I39" i="10"/>
  <c r="P39" i="10" s="1"/>
  <c r="I40" i="10"/>
  <c r="P40" i="10" s="1"/>
  <c r="I17" i="10"/>
  <c r="P17" i="10" s="1"/>
  <c r="I18" i="10"/>
  <c r="P18" i="10" s="1"/>
  <c r="I62" i="10"/>
  <c r="P62" i="10" s="1"/>
  <c r="I61" i="10"/>
  <c r="P61" i="10" s="1"/>
  <c r="P20" i="10"/>
  <c r="I60" i="10"/>
  <c r="P60" i="10" s="1"/>
  <c r="I59" i="10"/>
  <c r="P59" i="10" s="1"/>
  <c r="P29" i="10"/>
  <c r="I64" i="10"/>
  <c r="P64" i="10" s="1"/>
  <c r="I12" i="10"/>
  <c r="P12" i="10" s="1"/>
  <c r="I52" i="10"/>
  <c r="P52" i="10" s="1"/>
  <c r="P4" i="22" l="1"/>
  <c r="I11" i="10"/>
  <c r="P11" i="10" s="1"/>
  <c r="I63" i="10"/>
  <c r="P63" i="10" s="1"/>
  <c r="I10" i="10"/>
  <c r="P10" i="10" s="1"/>
  <c r="P23" i="10"/>
  <c r="I46" i="10"/>
  <c r="P46" i="10" s="1"/>
  <c r="I47" i="10"/>
  <c r="P47" i="10" s="1"/>
  <c r="I48" i="10"/>
  <c r="P48" i="10" s="1"/>
  <c r="P66" i="10"/>
  <c r="P41" i="10"/>
  <c r="I49" i="10"/>
  <c r="P49" i="10" s="1"/>
  <c r="P24" i="10"/>
  <c r="I68" i="10"/>
  <c r="P68" i="10" s="1"/>
  <c r="I69" i="10"/>
  <c r="P69" i="10" s="1"/>
  <c r="I25" i="10"/>
  <c r="P25" i="10" s="1"/>
  <c r="I26" i="10"/>
  <c r="P26" i="10" s="1"/>
  <c r="I21" i="10"/>
  <c r="P21" i="10" s="1"/>
  <c r="I72" i="10"/>
  <c r="P72" i="10" s="1"/>
  <c r="I50" i="10"/>
  <c r="P50" i="10" s="1"/>
  <c r="I27" i="10"/>
  <c r="P27" i="10" s="1"/>
  <c r="P70" i="10"/>
  <c r="P28" i="10"/>
  <c r="I51" i="10"/>
  <c r="P51" i="10" s="1"/>
  <c r="I9" i="10"/>
  <c r="P9" i="10" s="1"/>
  <c r="I22" i="10"/>
  <c r="P22" i="10" s="1"/>
  <c r="I43" i="10"/>
  <c r="P43" i="10" s="1"/>
  <c r="I44" i="10"/>
  <c r="P44" i="10" s="1"/>
  <c r="N112" i="2"/>
  <c r="M112" i="2"/>
  <c r="J93" i="2"/>
  <c r="M93" i="2"/>
  <c r="P58" i="2"/>
  <c r="I49" i="2"/>
  <c r="P49" i="2" s="1"/>
  <c r="I50" i="2"/>
  <c r="I53" i="2"/>
  <c r="P53" i="2" s="1"/>
  <c r="I57" i="2"/>
  <c r="P57" i="2" s="1"/>
  <c r="I56" i="2"/>
  <c r="P56" i="2" s="1"/>
  <c r="I81" i="2"/>
  <c r="P81" i="2" s="1"/>
  <c r="I82" i="2"/>
  <c r="P82" i="2" s="1"/>
  <c r="I63" i="2"/>
  <c r="P63" i="2" s="1"/>
  <c r="I86" i="2"/>
  <c r="P86" i="2" s="1"/>
  <c r="P50" i="2"/>
  <c r="I87" i="2"/>
  <c r="P87" i="2" s="1"/>
  <c r="I64" i="2"/>
  <c r="P64" i="2" s="1"/>
  <c r="I74" i="2"/>
  <c r="P74" i="2" s="1"/>
  <c r="I71" i="2"/>
  <c r="P71" i="2" s="1"/>
  <c r="I68" i="2"/>
  <c r="P68" i="2" s="1"/>
  <c r="I76" i="2"/>
  <c r="P76" i="2" s="1"/>
  <c r="I65" i="2"/>
  <c r="P65" i="2" s="1"/>
  <c r="I89" i="2"/>
  <c r="P89" i="2" s="1"/>
  <c r="P88" i="2"/>
  <c r="P72" i="2"/>
  <c r="I73" i="2" l="1"/>
  <c r="P73" i="2" s="1"/>
  <c r="I69" i="2"/>
  <c r="P69" i="2" s="1"/>
  <c r="I61" i="2"/>
  <c r="P61" i="2" s="1"/>
  <c r="I90" i="2"/>
  <c r="P90" i="2" s="1"/>
  <c r="I91" i="2"/>
  <c r="P91" i="2" s="1"/>
  <c r="I83" i="2"/>
  <c r="P83" i="2" s="1"/>
  <c r="I84" i="2"/>
  <c r="P84" i="2" s="1"/>
  <c r="I85" i="2"/>
  <c r="P85" i="2" s="1"/>
  <c r="I77" i="2"/>
  <c r="P77" i="2" s="1"/>
  <c r="I70" i="2"/>
  <c r="P70" i="2" s="1"/>
  <c r="I66" i="2"/>
  <c r="P66" i="2" s="1"/>
  <c r="I92" i="2"/>
  <c r="P92" i="2" s="1"/>
  <c r="I78" i="2"/>
  <c r="P78" i="2" s="1"/>
  <c r="I75" i="2"/>
  <c r="P75" i="2" s="1"/>
  <c r="I28" i="2"/>
  <c r="P28" i="2" s="1"/>
  <c r="P67" i="2"/>
  <c r="I34" i="2"/>
  <c r="I35" i="2"/>
  <c r="P35" i="2" s="1"/>
  <c r="I32" i="2"/>
  <c r="P32" i="2" s="1"/>
  <c r="I23" i="2"/>
  <c r="P23" i="2" s="1"/>
  <c r="I19" i="2"/>
  <c r="P19" i="2" s="1"/>
  <c r="I40" i="2"/>
  <c r="P40" i="2" s="1"/>
  <c r="I41" i="2"/>
  <c r="P41" i="2" s="1"/>
  <c r="I54" i="2"/>
  <c r="P54" i="2" s="1"/>
  <c r="I9" i="2"/>
  <c r="P9" i="2" s="1"/>
  <c r="I10" i="2"/>
  <c r="P10" i="2" s="1"/>
  <c r="I11" i="2"/>
  <c r="P11" i="2" s="1"/>
  <c r="I12" i="2"/>
  <c r="P12" i="2" s="1"/>
  <c r="P34" i="2"/>
  <c r="P18" i="2"/>
  <c r="P47" i="2"/>
  <c r="I13" i="2"/>
  <c r="P13" i="2" s="1"/>
  <c r="I14" i="2"/>
  <c r="P14" i="2" s="1"/>
  <c r="I15" i="2"/>
  <c r="P15" i="2" s="1"/>
  <c r="I44" i="2"/>
  <c r="P44" i="2" s="1"/>
  <c r="I24" i="2"/>
  <c r="P24" i="2" s="1"/>
  <c r="I21" i="2"/>
  <c r="P21" i="2" s="1"/>
  <c r="I22" i="2"/>
  <c r="P22" i="2" s="1"/>
  <c r="I16" i="2"/>
  <c r="P16" i="2" s="1"/>
  <c r="I36" i="2"/>
  <c r="P36" i="2" s="1"/>
  <c r="I45" i="2"/>
  <c r="P45" i="2" s="1"/>
  <c r="I29" i="2"/>
  <c r="P29" i="2" s="1"/>
  <c r="I60" i="2"/>
  <c r="P60" i="2" s="1"/>
  <c r="I27" i="2"/>
  <c r="P27" i="2" s="1"/>
  <c r="I25" i="2"/>
  <c r="P25" i="2" s="1"/>
  <c r="I42" i="2"/>
  <c r="P42" i="2" s="1"/>
  <c r="P20" i="2"/>
  <c r="I37" i="2"/>
  <c r="P37" i="2" s="1"/>
  <c r="I38" i="2"/>
  <c r="P38" i="2" s="1"/>
  <c r="I26" i="2"/>
  <c r="P26" i="2" s="1"/>
  <c r="I30" i="2"/>
  <c r="P30" i="2" s="1"/>
  <c r="I31" i="2"/>
  <c r="P31" i="2" s="1"/>
  <c r="I39" i="2"/>
  <c r="P39" i="2" s="1"/>
  <c r="I51" i="2"/>
  <c r="P51" i="2" s="1"/>
  <c r="I62" i="2"/>
  <c r="P62" i="2" s="1"/>
  <c r="P17" i="2"/>
  <c r="P59" i="2"/>
  <c r="P55" i="2"/>
  <c r="P52" i="2"/>
  <c r="I79" i="2"/>
  <c r="P79" i="2" s="1"/>
  <c r="I80" i="2"/>
  <c r="P80" i="2" s="1"/>
  <c r="I33" i="2"/>
  <c r="P33" i="2" s="1"/>
  <c r="I46" i="2"/>
  <c r="P46" i="2" s="1"/>
  <c r="G1788" i="19" l="1"/>
  <c r="G1789" i="19"/>
  <c r="G1790" i="19"/>
  <c r="G1791" i="19"/>
  <c r="G1792" i="19"/>
  <c r="G1793" i="19"/>
  <c r="G1794" i="19"/>
  <c r="G1795" i="19"/>
  <c r="G1797" i="19"/>
  <c r="G1798" i="19"/>
  <c r="G1799" i="19"/>
  <c r="G1800" i="19"/>
  <c r="G1801" i="19"/>
  <c r="G1802" i="19"/>
  <c r="G1803" i="19"/>
  <c r="G1804" i="19"/>
  <c r="G1805" i="19"/>
  <c r="G1806" i="19"/>
  <c r="G1807" i="19"/>
  <c r="G1808" i="19"/>
  <c r="G1809" i="19"/>
  <c r="G1810" i="19"/>
  <c r="G1811" i="19"/>
  <c r="G1812" i="19"/>
  <c r="G1813" i="19"/>
  <c r="G1814" i="19"/>
  <c r="G1815" i="19"/>
  <c r="G1816" i="19"/>
  <c r="G1817" i="19"/>
  <c r="G1818" i="19"/>
  <c r="G1819" i="19"/>
  <c r="G1820" i="19"/>
  <c r="G1821" i="19"/>
  <c r="G1822" i="19"/>
  <c r="G1823" i="19"/>
  <c r="G1824" i="19"/>
  <c r="G1825" i="19"/>
  <c r="G1826" i="19"/>
  <c r="G1827" i="19"/>
  <c r="G1828" i="19"/>
  <c r="G1829" i="19"/>
  <c r="G1830" i="19"/>
  <c r="G1831" i="19"/>
  <c r="G1832" i="19"/>
  <c r="G1833" i="19"/>
  <c r="G1834" i="19"/>
  <c r="G1835" i="19"/>
  <c r="G1836" i="19"/>
  <c r="G1837" i="19"/>
  <c r="G1838" i="19"/>
  <c r="G1839" i="19"/>
  <c r="G1840" i="19"/>
  <c r="G1841" i="19"/>
  <c r="G1842" i="19"/>
  <c r="G1843" i="19"/>
  <c r="G1844" i="19"/>
  <c r="G1845" i="19"/>
  <c r="G1846" i="19"/>
  <c r="G1847" i="19"/>
  <c r="G1848" i="19"/>
  <c r="G1849" i="19"/>
  <c r="G1850" i="19"/>
  <c r="G1851" i="19"/>
  <c r="G1852" i="19"/>
  <c r="G1853" i="19"/>
  <c r="G1854" i="19"/>
  <c r="G1855" i="19"/>
  <c r="G1856" i="19"/>
  <c r="G1857" i="19"/>
  <c r="G1858" i="19"/>
  <c r="G1859" i="19"/>
  <c r="G1860" i="19"/>
  <c r="G1861" i="19"/>
  <c r="G1862" i="19"/>
  <c r="G1513" i="19"/>
  <c r="G1514" i="19"/>
  <c r="G1515" i="19"/>
  <c r="G1516" i="19"/>
  <c r="G1517" i="19"/>
  <c r="G1518" i="19"/>
  <c r="G1519" i="19"/>
  <c r="G1520" i="19"/>
  <c r="G1521" i="19"/>
  <c r="G1522" i="19"/>
  <c r="G1523" i="19"/>
  <c r="G1524" i="19"/>
  <c r="G1525" i="19"/>
  <c r="G1526" i="19"/>
  <c r="G1527" i="19"/>
  <c r="G1528" i="19"/>
  <c r="G1529" i="19"/>
  <c r="G1530" i="19"/>
  <c r="G1531" i="19"/>
  <c r="G1532" i="19"/>
  <c r="G1533" i="19"/>
  <c r="G1534" i="19"/>
  <c r="G1535" i="19"/>
  <c r="G1536" i="19"/>
  <c r="G1537" i="19"/>
  <c r="G1538" i="19"/>
  <c r="G1539" i="19"/>
  <c r="G1540" i="19"/>
  <c r="G1541" i="19"/>
  <c r="G1542" i="19"/>
  <c r="G1543" i="19"/>
  <c r="G1544" i="19"/>
  <c r="G1545" i="19"/>
  <c r="G1546" i="19"/>
  <c r="G1547" i="19"/>
  <c r="G1548" i="19"/>
  <c r="G1549" i="19"/>
  <c r="G1550" i="19"/>
  <c r="G1551" i="19"/>
  <c r="G1552" i="19"/>
  <c r="G1553" i="19"/>
  <c r="G1554" i="19"/>
  <c r="G1555" i="19"/>
  <c r="G1557" i="19"/>
  <c r="G1560" i="19"/>
  <c r="G1564" i="19"/>
  <c r="G1565" i="19"/>
  <c r="G1566" i="19"/>
  <c r="G1567" i="19"/>
  <c r="G1568" i="19"/>
  <c r="G1569" i="19"/>
  <c r="G1570" i="19"/>
  <c r="G1571" i="19"/>
  <c r="G1572" i="19"/>
  <c r="G1573" i="19"/>
  <c r="G1574" i="19"/>
  <c r="G1575" i="19"/>
  <c r="G1576" i="19"/>
  <c r="G1577" i="19"/>
  <c r="G1578" i="19"/>
  <c r="G1579" i="19"/>
  <c r="G1580" i="19"/>
  <c r="G1581" i="19"/>
  <c r="G1582" i="19"/>
  <c r="G1583" i="19"/>
  <c r="G1584" i="19"/>
  <c r="G1585" i="19"/>
  <c r="G1586" i="19"/>
  <c r="G1587" i="19"/>
  <c r="G1588" i="19"/>
  <c r="G1589" i="19"/>
  <c r="G1590" i="19"/>
  <c r="G1591" i="19"/>
  <c r="G1592" i="19"/>
  <c r="G1593" i="19"/>
  <c r="G1594" i="19"/>
  <c r="G1595" i="19"/>
  <c r="G1596" i="19"/>
  <c r="G1597" i="19"/>
  <c r="G1598" i="19"/>
  <c r="G1599" i="19"/>
  <c r="G1600" i="19"/>
  <c r="G1601" i="19"/>
  <c r="G1602" i="19"/>
  <c r="G1603" i="19"/>
  <c r="G1604" i="19"/>
  <c r="G1605" i="19"/>
  <c r="G1606" i="19"/>
  <c r="G1607" i="19"/>
  <c r="G1608" i="19"/>
  <c r="G1609" i="19"/>
  <c r="G1610" i="19"/>
  <c r="G1611" i="19"/>
  <c r="G1612" i="19"/>
  <c r="G1613" i="19"/>
  <c r="G1614" i="19"/>
  <c r="G1615" i="19"/>
  <c r="G1616" i="19"/>
  <c r="G1617" i="19"/>
  <c r="G1618" i="19"/>
  <c r="G1619" i="19"/>
  <c r="G1620" i="19"/>
  <c r="G1621" i="19"/>
  <c r="G1622" i="19"/>
  <c r="G1623" i="19"/>
  <c r="G1624" i="19"/>
  <c r="G1625" i="19"/>
  <c r="G1626" i="19"/>
  <c r="G1627" i="19"/>
  <c r="G1628" i="19"/>
  <c r="G1629" i="19"/>
  <c r="G1630" i="19"/>
  <c r="G1631" i="19"/>
  <c r="G1632" i="19"/>
  <c r="G1633" i="19"/>
  <c r="G1638" i="19"/>
  <c r="G1639" i="19"/>
  <c r="G1640" i="19"/>
  <c r="G1641" i="19"/>
  <c r="G1642" i="19"/>
  <c r="G1643" i="19"/>
  <c r="G1644" i="19"/>
  <c r="G1645" i="19"/>
  <c r="G1646" i="19"/>
  <c r="G1647" i="19"/>
  <c r="G1648" i="19"/>
  <c r="G1649" i="19"/>
  <c r="G1650" i="19"/>
  <c r="G1651" i="19"/>
  <c r="G1652" i="19"/>
  <c r="G1653" i="19"/>
  <c r="G1654" i="19"/>
  <c r="G1655" i="19"/>
  <c r="G1656" i="19"/>
  <c r="G1657" i="19"/>
  <c r="G1658" i="19"/>
  <c r="G1659" i="19"/>
  <c r="G1660" i="19"/>
  <c r="G1661" i="19"/>
  <c r="G1662" i="19"/>
  <c r="G1663" i="19"/>
  <c r="G1664" i="19"/>
  <c r="G1665" i="19"/>
  <c r="G1666" i="19"/>
  <c r="G1667" i="19"/>
  <c r="G1668" i="19"/>
  <c r="G1669" i="19"/>
  <c r="G1670" i="19"/>
  <c r="G1671" i="19"/>
  <c r="G1672" i="19"/>
  <c r="G1673" i="19"/>
  <c r="G1674" i="19"/>
  <c r="G1675" i="19"/>
  <c r="G1676" i="19"/>
  <c r="G1677" i="19"/>
  <c r="G1678" i="19"/>
  <c r="G1679" i="19"/>
  <c r="G1680" i="19"/>
  <c r="G1681" i="19"/>
  <c r="G1682" i="19"/>
  <c r="G1683" i="19"/>
  <c r="G1684" i="19"/>
  <c r="G1685" i="19"/>
  <c r="G1686" i="19"/>
  <c r="G1687" i="19"/>
  <c r="G1688" i="19"/>
  <c r="G1689" i="19"/>
  <c r="G1690" i="19"/>
  <c r="G1691" i="19"/>
  <c r="G1692" i="19"/>
  <c r="G1693" i="19"/>
  <c r="G1694" i="19"/>
  <c r="G1695" i="19"/>
  <c r="G1696" i="19"/>
  <c r="G1697" i="19"/>
  <c r="G1698" i="19"/>
  <c r="G1699" i="19"/>
  <c r="G1700" i="19"/>
  <c r="G1701" i="19"/>
  <c r="G1702" i="19"/>
  <c r="G1703" i="19"/>
  <c r="G1704" i="19"/>
  <c r="G1705" i="19"/>
  <c r="G1706" i="19"/>
  <c r="G1711" i="19"/>
  <c r="G1713" i="19"/>
  <c r="G1716" i="19"/>
  <c r="G1717" i="19"/>
  <c r="G1718" i="19"/>
  <c r="G1719" i="19"/>
  <c r="G1720" i="19"/>
  <c r="G1721" i="19"/>
  <c r="G1722" i="19"/>
  <c r="G1723" i="19"/>
  <c r="G1724" i="19"/>
  <c r="G1725" i="19"/>
  <c r="G1726" i="19"/>
  <c r="G1727" i="19"/>
  <c r="G1728" i="19"/>
  <c r="G1729" i="19"/>
  <c r="G1730" i="19"/>
  <c r="G1731" i="19"/>
  <c r="G1732" i="19"/>
  <c r="G1733" i="19"/>
  <c r="G1734" i="19"/>
  <c r="G1735" i="19"/>
  <c r="G1736" i="19"/>
  <c r="G1737" i="19"/>
  <c r="G1738" i="19"/>
  <c r="G1739" i="19"/>
  <c r="G1740" i="19"/>
  <c r="G1741" i="19"/>
  <c r="G1742" i="19"/>
  <c r="G1743" i="19"/>
  <c r="G1744" i="19"/>
  <c r="G1745" i="19"/>
  <c r="G17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468" i="19"/>
  <c r="G469" i="19"/>
  <c r="G470" i="19"/>
  <c r="G471" i="19"/>
  <c r="G472" i="19"/>
  <c r="G473" i="19"/>
  <c r="G474" i="19"/>
  <c r="G475" i="19"/>
  <c r="G476" i="19"/>
  <c r="G477" i="19"/>
  <c r="G478" i="19"/>
  <c r="G479" i="19"/>
  <c r="G480" i="19"/>
  <c r="G481" i="19"/>
  <c r="G482" i="19"/>
  <c r="G483" i="19"/>
  <c r="G484" i="19"/>
  <c r="G485" i="19"/>
  <c r="G486" i="19"/>
  <c r="G487" i="19"/>
  <c r="G488" i="19"/>
  <c r="G489" i="19"/>
  <c r="G490" i="19"/>
  <c r="G491" i="19"/>
  <c r="G492" i="19"/>
  <c r="G493" i="19"/>
  <c r="G494" i="19"/>
  <c r="G495" i="19"/>
  <c r="G496" i="19"/>
  <c r="G497" i="19"/>
  <c r="G498" i="19"/>
  <c r="G499" i="19"/>
  <c r="G500" i="19"/>
  <c r="G501" i="19"/>
  <c r="G502" i="19"/>
  <c r="G503" i="19"/>
  <c r="G504" i="19"/>
  <c r="G505" i="19"/>
  <c r="G506" i="19"/>
  <c r="G507" i="19"/>
  <c r="G508" i="19"/>
  <c r="G509" i="19"/>
  <c r="G510" i="19"/>
  <c r="G511" i="19"/>
  <c r="G512" i="19"/>
  <c r="G513" i="19"/>
  <c r="G514" i="19"/>
  <c r="G515" i="19"/>
  <c r="G516" i="19"/>
  <c r="G517" i="19"/>
  <c r="G518" i="19"/>
  <c r="G519" i="19"/>
  <c r="G520" i="19"/>
  <c r="G521" i="19"/>
  <c r="G522" i="19"/>
  <c r="G523" i="19"/>
  <c r="G524" i="19"/>
  <c r="G525" i="19"/>
  <c r="G526" i="19"/>
  <c r="G527" i="19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G541" i="19"/>
  <c r="G542" i="19"/>
  <c r="G543" i="19"/>
  <c r="G544" i="19"/>
  <c r="G545" i="19"/>
  <c r="G546" i="19"/>
  <c r="G547" i="19"/>
  <c r="G548" i="19"/>
  <c r="G549" i="19"/>
  <c r="G550" i="19"/>
  <c r="G551" i="19"/>
  <c r="G552" i="19"/>
  <c r="G553" i="19"/>
  <c r="G554" i="19"/>
  <c r="G555" i="19"/>
  <c r="G556" i="19"/>
  <c r="G557" i="19"/>
  <c r="G558" i="19"/>
  <c r="G559" i="19"/>
  <c r="G560" i="19"/>
  <c r="G561" i="19"/>
  <c r="G562" i="19"/>
  <c r="G563" i="19"/>
  <c r="G564" i="19"/>
  <c r="G565" i="19"/>
  <c r="G566" i="19"/>
  <c r="G567" i="19"/>
  <c r="G568" i="19"/>
  <c r="G569" i="19"/>
  <c r="G570" i="19"/>
  <c r="G571" i="19"/>
  <c r="G572" i="19"/>
  <c r="G573" i="19"/>
  <c r="G574" i="19"/>
  <c r="G575" i="19"/>
  <c r="G576" i="19"/>
  <c r="G577" i="19"/>
  <c r="G578" i="19"/>
  <c r="G579" i="19"/>
  <c r="G580" i="19"/>
  <c r="G581" i="19"/>
  <c r="G582" i="19"/>
  <c r="G583" i="19"/>
  <c r="G584" i="19"/>
  <c r="G585" i="19"/>
  <c r="G586" i="19"/>
  <c r="G587" i="19"/>
  <c r="G588" i="19"/>
  <c r="G589" i="19"/>
  <c r="G590" i="19"/>
  <c r="G591" i="19"/>
  <c r="G592" i="19"/>
  <c r="G593" i="19"/>
  <c r="G594" i="19"/>
  <c r="G595" i="19"/>
  <c r="G596" i="19"/>
  <c r="G597" i="19"/>
  <c r="G598" i="19"/>
  <c r="G599" i="19"/>
  <c r="G600" i="19"/>
  <c r="G601" i="19"/>
  <c r="G602" i="19"/>
  <c r="G603" i="19"/>
  <c r="G605" i="19"/>
  <c r="G606" i="19"/>
  <c r="G607" i="19"/>
  <c r="G608" i="19"/>
  <c r="G609" i="19"/>
  <c r="G610" i="19"/>
  <c r="G611" i="19"/>
  <c r="G612" i="19"/>
  <c r="G613" i="19"/>
  <c r="G614" i="19"/>
  <c r="G615" i="19"/>
  <c r="G616" i="19"/>
  <c r="G617" i="19"/>
  <c r="G623" i="19"/>
  <c r="G624" i="19"/>
  <c r="G627" i="19"/>
  <c r="G628" i="19"/>
  <c r="G629" i="19"/>
  <c r="G630" i="19"/>
  <c r="G631" i="19"/>
  <c r="G632" i="19"/>
  <c r="G633" i="19"/>
  <c r="G634" i="19"/>
  <c r="G635" i="19"/>
  <c r="G636" i="19"/>
  <c r="G637" i="19"/>
  <c r="G638" i="19"/>
  <c r="G639" i="19"/>
  <c r="G640" i="19"/>
  <c r="G641" i="19"/>
  <c r="G642" i="19"/>
  <c r="G643" i="19"/>
  <c r="G644" i="19"/>
  <c r="G645" i="19"/>
  <c r="G646" i="19"/>
  <c r="G647" i="19"/>
  <c r="G648" i="19"/>
  <c r="G649" i="19"/>
  <c r="G650" i="19"/>
  <c r="G651" i="19"/>
  <c r="G652" i="19"/>
  <c r="G653" i="19"/>
  <c r="G654" i="19"/>
  <c r="G655" i="19"/>
  <c r="G656" i="19"/>
  <c r="G657" i="19"/>
  <c r="G658" i="19"/>
  <c r="G659" i="19"/>
  <c r="G660" i="19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G673" i="19"/>
  <c r="G674" i="19"/>
  <c r="G675" i="19"/>
  <c r="G676" i="19"/>
  <c r="G677" i="19"/>
  <c r="G678" i="19"/>
  <c r="G679" i="19"/>
  <c r="G680" i="19"/>
  <c r="G681" i="19"/>
  <c r="G682" i="19"/>
  <c r="G683" i="19"/>
  <c r="G684" i="19"/>
  <c r="G685" i="19"/>
  <c r="G686" i="19"/>
  <c r="G687" i="19"/>
  <c r="G688" i="19"/>
  <c r="G689" i="19"/>
  <c r="G690" i="19"/>
  <c r="G691" i="19"/>
  <c r="G692" i="19"/>
  <c r="G693" i="19"/>
  <c r="G694" i="19"/>
  <c r="G695" i="19"/>
  <c r="G696" i="19"/>
  <c r="G697" i="19"/>
  <c r="G698" i="19"/>
  <c r="G699" i="19"/>
  <c r="G700" i="19"/>
  <c r="G701" i="19"/>
  <c r="G702" i="19"/>
  <c r="G703" i="19"/>
  <c r="G705" i="19"/>
  <c r="G706" i="19"/>
  <c r="G713" i="19"/>
  <c r="G715" i="19"/>
  <c r="G716" i="19"/>
  <c r="G722" i="19"/>
  <c r="G723" i="19"/>
  <c r="G724" i="19"/>
  <c r="G725" i="19"/>
  <c r="G726" i="19"/>
  <c r="G727" i="19"/>
  <c r="G728" i="19"/>
  <c r="G729" i="19"/>
  <c r="G730" i="19"/>
  <c r="G731" i="19"/>
  <c r="G732" i="19"/>
  <c r="G733" i="19"/>
  <c r="G734" i="19"/>
  <c r="G735" i="19"/>
  <c r="G736" i="19"/>
  <c r="G737" i="19"/>
  <c r="G738" i="19"/>
  <c r="G739" i="19"/>
  <c r="G740" i="19"/>
  <c r="G741" i="19"/>
  <c r="G742" i="19"/>
  <c r="G743" i="19"/>
  <c r="G744" i="19"/>
  <c r="G745" i="19"/>
  <c r="G746" i="19"/>
  <c r="G747" i="19"/>
  <c r="G748" i="19"/>
  <c r="G749" i="19"/>
  <c r="G750" i="19"/>
  <c r="G751" i="19"/>
  <c r="G752" i="19"/>
  <c r="G753" i="19"/>
  <c r="G754" i="19"/>
  <c r="G755" i="19"/>
  <c r="G756" i="19"/>
  <c r="G757" i="19"/>
  <c r="G758" i="19"/>
  <c r="G759" i="19"/>
  <c r="G760" i="19"/>
  <c r="G761" i="19"/>
  <c r="G762" i="19"/>
  <c r="G763" i="19"/>
  <c r="G764" i="19"/>
  <c r="G765" i="19"/>
  <c r="G766" i="19"/>
  <c r="G767" i="19"/>
  <c r="G769" i="19"/>
  <c r="G770" i="19"/>
  <c r="G774" i="19"/>
  <c r="G775" i="19"/>
  <c r="G776" i="19"/>
  <c r="G777" i="19"/>
  <c r="G778" i="19"/>
  <c r="G779" i="19"/>
  <c r="G780" i="19"/>
  <c r="G781" i="19"/>
  <c r="G782" i="19"/>
  <c r="G783" i="19"/>
  <c r="G784" i="19"/>
  <c r="G785" i="19"/>
  <c r="G786" i="19"/>
  <c r="G787" i="19"/>
  <c r="G788" i="19"/>
  <c r="G789" i="19"/>
  <c r="G790" i="19"/>
  <c r="G791" i="19"/>
  <c r="G792" i="19"/>
  <c r="G793" i="19"/>
  <c r="G794" i="19"/>
  <c r="G795" i="19"/>
  <c r="G796" i="19"/>
  <c r="G797" i="19"/>
  <c r="G798" i="19"/>
  <c r="G799" i="19"/>
  <c r="G800" i="19"/>
  <c r="G801" i="19"/>
  <c r="G802" i="19"/>
  <c r="G803" i="19"/>
  <c r="G804" i="19"/>
  <c r="G805" i="19"/>
  <c r="G806" i="19"/>
  <c r="G807" i="19"/>
  <c r="G808" i="19"/>
  <c r="G809" i="19"/>
  <c r="G810" i="19"/>
  <c r="G811" i="19"/>
  <c r="G813" i="19"/>
  <c r="G814" i="19"/>
  <c r="G815" i="19"/>
  <c r="G816" i="19"/>
  <c r="G817" i="19"/>
  <c r="G818" i="19"/>
  <c r="G821" i="19"/>
  <c r="G822" i="19"/>
  <c r="G827" i="19"/>
  <c r="G828" i="19"/>
  <c r="G829" i="19"/>
  <c r="G830" i="19"/>
  <c r="G831" i="19"/>
  <c r="G832" i="19"/>
  <c r="G833" i="19"/>
  <c r="G834" i="19"/>
  <c r="G835" i="19"/>
  <c r="G836" i="19"/>
  <c r="G837" i="19"/>
  <c r="G838" i="19"/>
  <c r="G839" i="19"/>
  <c r="G840" i="19"/>
  <c r="G841" i="19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G854" i="19"/>
  <c r="G855" i="19"/>
  <c r="G856" i="19"/>
  <c r="G857" i="19"/>
  <c r="G858" i="19"/>
  <c r="G859" i="19"/>
  <c r="G860" i="19"/>
  <c r="G861" i="19"/>
  <c r="G862" i="19"/>
  <c r="G863" i="19"/>
  <c r="G864" i="19"/>
  <c r="G865" i="19"/>
  <c r="G866" i="19"/>
  <c r="G867" i="19"/>
  <c r="G868" i="19"/>
  <c r="G869" i="19"/>
  <c r="G870" i="19"/>
  <c r="G871" i="19"/>
  <c r="G872" i="19"/>
  <c r="G873" i="19"/>
  <c r="G874" i="19"/>
  <c r="G875" i="19"/>
  <c r="G877" i="19"/>
  <c r="G879" i="19"/>
  <c r="G880" i="19"/>
  <c r="G881" i="19"/>
  <c r="G882" i="19"/>
  <c r="G883" i="19"/>
  <c r="G884" i="19"/>
  <c r="G885" i="19"/>
  <c r="G886" i="19"/>
  <c r="G887" i="19"/>
  <c r="G888" i="19"/>
  <c r="G889" i="19"/>
  <c r="G890" i="19"/>
  <c r="G891" i="19"/>
  <c r="G892" i="19"/>
  <c r="G893" i="19"/>
  <c r="G894" i="19"/>
  <c r="G895" i="19"/>
  <c r="G896" i="19"/>
  <c r="G897" i="19"/>
  <c r="G898" i="19"/>
  <c r="G899" i="19"/>
  <c r="G900" i="19"/>
  <c r="G901" i="19"/>
  <c r="G902" i="19"/>
  <c r="G903" i="19"/>
  <c r="G904" i="19"/>
  <c r="G905" i="19"/>
  <c r="G906" i="19"/>
  <c r="G907" i="19"/>
  <c r="G908" i="19"/>
  <c r="G909" i="19"/>
  <c r="G910" i="19"/>
  <c r="G911" i="19"/>
  <c r="G912" i="19"/>
  <c r="G913" i="19"/>
  <c r="G914" i="19"/>
  <c r="G915" i="19"/>
  <c r="G916" i="19"/>
  <c r="G917" i="19"/>
  <c r="G918" i="19"/>
  <c r="G919" i="19"/>
  <c r="G920" i="19"/>
  <c r="G921" i="19"/>
  <c r="G922" i="19"/>
  <c r="G923" i="19"/>
  <c r="G924" i="19"/>
  <c r="G925" i="19"/>
  <c r="G926" i="19"/>
  <c r="G927" i="19"/>
  <c r="G928" i="19"/>
  <c r="G929" i="19"/>
  <c r="G930" i="19"/>
  <c r="G931" i="19"/>
  <c r="G932" i="19"/>
  <c r="G933" i="19"/>
  <c r="G934" i="19"/>
  <c r="G935" i="19"/>
  <c r="G936" i="19"/>
  <c r="G937" i="19"/>
  <c r="G938" i="19"/>
  <c r="G939" i="19"/>
  <c r="G940" i="19"/>
  <c r="G954" i="19"/>
  <c r="G955" i="19"/>
  <c r="G956" i="19"/>
  <c r="G957" i="19"/>
  <c r="G958" i="19"/>
  <c r="G959" i="19"/>
  <c r="G960" i="19"/>
  <c r="G961" i="19"/>
  <c r="G962" i="19"/>
  <c r="G963" i="19"/>
  <c r="G964" i="19"/>
  <c r="G965" i="19"/>
  <c r="G966" i="19"/>
  <c r="G967" i="19"/>
  <c r="G968" i="19"/>
  <c r="G969" i="19"/>
  <c r="G970" i="19"/>
  <c r="G971" i="19"/>
  <c r="G972" i="19"/>
  <c r="G973" i="19"/>
  <c r="G974" i="19"/>
  <c r="G975" i="19"/>
  <c r="G976" i="19"/>
  <c r="G977" i="19"/>
  <c r="G978" i="19"/>
  <c r="G979" i="19"/>
  <c r="G980" i="19"/>
  <c r="G981" i="19"/>
  <c r="G982" i="19"/>
  <c r="G983" i="19"/>
  <c r="G984" i="19"/>
  <c r="G985" i="19"/>
  <c r="G986" i="19"/>
  <c r="G987" i="19"/>
  <c r="G988" i="19"/>
  <c r="G989" i="19"/>
  <c r="G990" i="19"/>
  <c r="G991" i="19"/>
  <c r="G992" i="19"/>
  <c r="G993" i="19"/>
  <c r="G994" i="19"/>
  <c r="G995" i="19"/>
  <c r="G996" i="19"/>
  <c r="G997" i="19"/>
  <c r="G998" i="19"/>
  <c r="G999" i="19"/>
  <c r="G1000" i="19"/>
  <c r="G1001" i="19"/>
  <c r="G1002" i="19"/>
  <c r="G1003" i="19"/>
  <c r="G1004" i="19"/>
  <c r="G1005" i="19"/>
  <c r="G1006" i="19"/>
  <c r="G1007" i="19"/>
  <c r="G1008" i="19"/>
  <c r="G1009" i="19"/>
  <c r="G1010" i="19"/>
  <c r="G1011" i="19"/>
  <c r="G1012" i="19"/>
  <c r="G1013" i="19"/>
  <c r="G1014" i="19"/>
  <c r="G1015" i="19"/>
  <c r="G1016" i="19"/>
  <c r="G1017" i="19"/>
  <c r="G1018" i="19"/>
  <c r="G1323" i="19"/>
  <c r="G1324" i="19"/>
  <c r="G1325" i="19"/>
  <c r="G1326" i="19"/>
  <c r="G1327" i="19"/>
  <c r="G1328" i="19"/>
  <c r="G1329" i="19"/>
  <c r="G1330" i="19"/>
  <c r="G1331" i="19"/>
  <c r="G1332" i="19"/>
  <c r="G1333" i="19"/>
  <c r="G1334" i="19"/>
  <c r="G1335" i="19"/>
  <c r="G1336" i="19"/>
  <c r="G1337" i="19"/>
  <c r="G1338" i="19"/>
  <c r="G1339" i="19"/>
  <c r="G1340" i="19"/>
  <c r="G1341" i="19"/>
  <c r="G1342" i="19"/>
  <c r="G1343" i="19"/>
  <c r="G1344" i="19"/>
  <c r="G1345" i="19"/>
  <c r="G1346" i="19"/>
  <c r="G1347" i="19"/>
  <c r="G1348" i="19"/>
  <c r="G1349" i="19"/>
  <c r="G1350" i="19"/>
  <c r="G1351" i="19"/>
  <c r="G1352" i="19"/>
  <c r="G1353" i="19"/>
  <c r="G1354" i="19"/>
  <c r="G1355" i="19"/>
  <c r="G1356" i="19"/>
  <c r="G1357" i="19"/>
  <c r="G1358" i="19"/>
  <c r="G1359" i="19"/>
  <c r="G1360" i="19"/>
  <c r="G1361" i="19"/>
  <c r="G1362" i="19"/>
  <c r="G1363" i="19"/>
  <c r="G1364" i="19"/>
  <c r="G1365" i="19"/>
  <c r="G1366" i="19"/>
  <c r="G1367" i="19"/>
  <c r="G1368" i="19"/>
  <c r="G1369" i="19"/>
  <c r="G1370" i="19"/>
  <c r="G1371" i="19"/>
  <c r="G1372" i="19"/>
  <c r="G1373" i="19"/>
  <c r="G1374" i="19"/>
  <c r="G1375" i="19"/>
  <c r="G1376" i="19"/>
  <c r="G1377" i="19"/>
  <c r="G1378" i="19"/>
  <c r="G1379" i="19"/>
  <c r="G1380" i="19"/>
  <c r="G1381" i="19"/>
  <c r="G1382" i="19"/>
  <c r="G1383" i="19"/>
  <c r="G1384" i="19"/>
  <c r="G1385" i="19"/>
  <c r="G1386" i="19"/>
  <c r="G1387" i="19"/>
  <c r="G1388" i="19"/>
  <c r="G1389" i="19"/>
  <c r="G1390" i="19"/>
  <c r="G1391" i="19"/>
  <c r="G1392" i="19"/>
  <c r="G1393" i="19"/>
  <c r="G1394" i="19"/>
  <c r="G1395" i="19"/>
  <c r="G1396" i="19"/>
  <c r="G1397" i="19"/>
  <c r="G1398" i="19"/>
  <c r="G1399" i="19"/>
  <c r="G1400" i="19"/>
  <c r="G1401" i="19"/>
  <c r="G1402" i="19"/>
  <c r="G1403" i="19"/>
  <c r="G1404" i="19"/>
  <c r="G1405" i="19"/>
  <c r="G1406" i="19"/>
  <c r="G1407" i="19"/>
  <c r="G1408" i="19"/>
  <c r="G1409" i="19"/>
  <c r="G1410" i="19"/>
  <c r="G1411" i="19"/>
  <c r="G1412" i="19"/>
  <c r="G1413" i="19"/>
  <c r="G1414" i="19"/>
  <c r="G1415" i="19"/>
  <c r="G1416" i="19"/>
  <c r="G1417" i="19"/>
  <c r="G1418" i="19"/>
  <c r="G1419" i="19"/>
  <c r="G1420" i="19"/>
  <c r="G1421" i="19"/>
  <c r="G1422" i="19"/>
  <c r="G1423" i="19"/>
  <c r="G1424" i="19"/>
  <c r="G1425" i="19"/>
  <c r="G1426" i="19"/>
  <c r="G1427" i="19"/>
  <c r="G1428" i="19"/>
  <c r="G1429" i="19"/>
  <c r="G1430" i="19"/>
  <c r="G1431" i="19"/>
  <c r="G1432" i="19"/>
  <c r="G1433" i="19"/>
  <c r="G1434" i="19"/>
  <c r="G1443" i="19"/>
  <c r="G1444" i="19"/>
  <c r="G1445" i="19"/>
  <c r="G1446" i="19"/>
  <c r="G1447" i="19"/>
  <c r="G1448" i="19"/>
  <c r="G1449" i="19"/>
  <c r="G1450" i="19"/>
  <c r="G1451" i="19"/>
  <c r="G1452" i="19"/>
  <c r="G1453" i="19"/>
  <c r="G1454" i="19"/>
  <c r="G1455" i="19"/>
  <c r="G1456" i="19"/>
  <c r="G1457" i="19"/>
  <c r="G1458" i="19"/>
  <c r="G1459" i="19"/>
  <c r="G1460" i="19"/>
  <c r="G1461" i="19"/>
  <c r="G1462" i="19"/>
  <c r="G1463" i="19"/>
  <c r="G1464" i="19"/>
  <c r="G1465" i="19"/>
  <c r="G1466" i="19"/>
  <c r="G1467" i="19"/>
  <c r="G1468" i="19"/>
  <c r="G1469" i="19"/>
  <c r="G1470" i="19"/>
  <c r="G1471" i="19"/>
  <c r="G1472" i="19"/>
  <c r="G1473" i="19"/>
  <c r="G1474" i="19"/>
  <c r="G1475" i="19"/>
  <c r="G1476" i="19"/>
  <c r="G1477" i="19"/>
  <c r="G1478" i="19"/>
  <c r="G1479" i="19"/>
  <c r="G1480" i="19"/>
  <c r="G1481" i="19"/>
  <c r="G1482" i="19"/>
  <c r="G1483" i="19"/>
  <c r="G1484" i="19"/>
  <c r="G1485" i="19"/>
  <c r="G1486" i="19"/>
  <c r="G1487" i="19"/>
  <c r="G1488" i="19"/>
  <c r="G1489" i="19"/>
  <c r="G1490" i="19"/>
  <c r="G1491" i="19"/>
  <c r="G1492" i="19"/>
  <c r="G1493" i="19"/>
  <c r="G1495" i="19"/>
  <c r="G1496" i="19"/>
  <c r="G1498" i="19"/>
  <c r="G1499" i="19"/>
  <c r="G1502" i="19"/>
  <c r="G1503" i="19"/>
  <c r="G1504" i="19"/>
  <c r="G1505" i="19"/>
  <c r="G1506" i="19"/>
  <c r="G1507" i="19"/>
  <c r="G1508" i="19"/>
  <c r="G1509" i="19"/>
  <c r="G1510" i="19"/>
  <c r="G1511" i="19"/>
  <c r="G1512" i="19"/>
  <c r="G1747" i="19"/>
  <c r="G1748" i="19"/>
  <c r="G1749" i="19"/>
  <c r="G1750" i="19"/>
  <c r="G1751" i="19"/>
  <c r="G1752" i="19"/>
  <c r="G1753" i="19"/>
  <c r="G1754" i="19"/>
  <c r="G1755" i="19"/>
  <c r="G1756" i="19"/>
  <c r="G1757" i="19"/>
  <c r="G1758" i="19"/>
  <c r="G1759" i="19"/>
  <c r="G1760" i="19"/>
  <c r="G1761" i="19"/>
  <c r="G1762" i="19"/>
  <c r="G1763" i="19"/>
  <c r="G1764" i="19"/>
  <c r="G1765" i="19"/>
  <c r="G1766" i="19"/>
  <c r="G1767" i="19"/>
  <c r="G1768" i="19"/>
  <c r="G1769" i="19"/>
  <c r="G1770" i="19"/>
  <c r="G1771" i="19"/>
  <c r="G1772" i="19"/>
  <c r="G1773" i="19"/>
  <c r="G1774" i="19"/>
  <c r="G1775" i="19"/>
  <c r="G1776" i="19"/>
  <c r="G1777" i="19"/>
  <c r="G1778" i="19"/>
  <c r="G1779" i="19"/>
  <c r="G1780" i="19"/>
  <c r="G1020" i="19"/>
  <c r="G1021" i="19"/>
  <c r="G1022" i="19"/>
  <c r="G1023" i="19"/>
  <c r="G1024" i="19"/>
  <c r="G1025" i="19"/>
  <c r="G1026" i="19"/>
  <c r="G1027" i="19"/>
  <c r="G1028" i="19"/>
  <c r="G1029" i="19"/>
  <c r="G1030" i="19"/>
  <c r="G1031" i="19"/>
  <c r="G1032" i="19"/>
  <c r="G1033" i="19"/>
  <c r="G1034" i="19"/>
  <c r="G1035" i="19"/>
  <c r="G1036" i="19"/>
  <c r="G1037" i="19"/>
  <c r="G1038" i="19"/>
  <c r="G1039" i="19"/>
  <c r="G1040" i="19"/>
  <c r="G1041" i="19"/>
  <c r="G1042" i="19"/>
  <c r="G1043" i="19"/>
  <c r="G1044" i="19"/>
  <c r="G1045" i="19"/>
  <c r="G1046" i="19"/>
  <c r="G1047" i="19"/>
  <c r="G1048" i="19"/>
  <c r="G1049" i="19"/>
  <c r="G1050" i="19"/>
  <c r="G1051" i="19"/>
  <c r="G1052" i="19"/>
  <c r="G1053" i="19"/>
  <c r="G1054" i="19"/>
  <c r="G1055" i="19"/>
  <c r="G1056" i="19"/>
  <c r="G1057" i="19"/>
  <c r="G1058" i="19"/>
  <c r="G1059" i="19"/>
  <c r="G1060" i="19"/>
  <c r="G1061" i="19"/>
  <c r="G1062" i="19"/>
  <c r="G1063" i="19"/>
  <c r="G1064" i="19"/>
  <c r="G1065" i="19"/>
  <c r="G1066" i="19"/>
  <c r="G1067" i="19"/>
  <c r="G1068" i="19"/>
  <c r="G1069" i="19"/>
  <c r="G1070" i="19"/>
  <c r="G1071" i="19"/>
  <c r="G1072" i="19"/>
  <c r="G1073" i="19"/>
  <c r="G1074" i="19"/>
  <c r="G1075" i="19"/>
  <c r="G1076" i="19"/>
  <c r="G1077" i="19"/>
  <c r="G1078" i="19"/>
  <c r="G1079" i="19"/>
  <c r="G1080" i="19"/>
  <c r="G1081" i="19"/>
  <c r="G1082" i="19"/>
  <c r="G1083" i="19"/>
  <c r="G1084" i="19"/>
  <c r="G1085" i="19"/>
  <c r="G1086" i="19"/>
  <c r="G1087" i="19"/>
  <c r="G1088" i="19"/>
  <c r="G1089" i="19"/>
  <c r="G1090" i="19"/>
  <c r="G1091" i="19"/>
  <c r="G1092" i="19"/>
  <c r="G1093" i="19"/>
  <c r="G1094" i="19"/>
  <c r="G1095" i="19"/>
  <c r="G1096" i="19"/>
  <c r="G1097" i="19"/>
  <c r="G1098" i="19"/>
  <c r="G1099" i="19"/>
  <c r="G1100" i="19"/>
  <c r="G1101" i="19"/>
  <c r="G1102" i="19"/>
  <c r="G1103" i="19"/>
  <c r="G1104" i="19"/>
  <c r="G1105" i="19"/>
  <c r="G1106" i="19"/>
  <c r="G1107" i="19"/>
  <c r="G1108" i="19"/>
  <c r="G1109" i="19"/>
  <c r="G1110" i="19"/>
  <c r="G1111" i="19"/>
  <c r="G1112" i="19"/>
  <c r="G1113" i="19"/>
  <c r="G1114" i="19"/>
  <c r="G1115" i="19"/>
  <c r="G1116" i="19"/>
  <c r="G1117" i="19"/>
  <c r="G1118" i="19"/>
  <c r="G1119" i="19"/>
  <c r="G1120" i="19"/>
  <c r="G1121" i="19"/>
  <c r="G1122" i="19"/>
  <c r="G1123" i="19"/>
  <c r="G1124" i="19"/>
  <c r="G1125" i="19"/>
  <c r="G1126" i="19"/>
  <c r="G1127" i="19"/>
  <c r="G1128" i="19"/>
  <c r="G1131" i="19"/>
  <c r="G1132" i="19"/>
  <c r="G1133" i="19"/>
  <c r="G1134" i="19"/>
  <c r="G1135" i="19"/>
  <c r="G1136" i="19"/>
  <c r="G1137" i="19"/>
  <c r="G1138" i="19"/>
  <c r="G1139" i="19"/>
  <c r="G1140" i="19"/>
  <c r="G1141" i="19"/>
  <c r="G1142" i="19"/>
  <c r="G1143" i="19"/>
  <c r="G1144" i="19"/>
  <c r="G1145" i="19"/>
  <c r="G1146" i="19"/>
  <c r="G1147" i="19"/>
  <c r="G1148" i="19"/>
  <c r="G1149" i="19"/>
  <c r="G1150" i="19"/>
  <c r="G1151" i="19"/>
  <c r="G1152" i="19"/>
  <c r="G1153" i="19"/>
  <c r="G1154" i="19"/>
  <c r="G1155" i="19"/>
  <c r="G1156" i="19"/>
  <c r="G1157" i="19"/>
  <c r="G1158" i="19"/>
  <c r="G1159" i="19"/>
  <c r="G1160" i="19"/>
  <c r="G1161" i="19"/>
  <c r="G1162" i="19"/>
  <c r="G1163" i="19"/>
  <c r="G1164" i="19"/>
  <c r="G1165" i="19"/>
  <c r="G1166" i="19"/>
  <c r="G1167" i="19"/>
  <c r="G1168" i="19"/>
  <c r="G1169" i="19"/>
  <c r="G1170" i="19"/>
  <c r="G1171" i="19"/>
  <c r="G1172" i="19"/>
  <c r="G1173" i="19"/>
  <c r="G1174" i="19"/>
  <c r="G1175" i="19"/>
  <c r="G1176" i="19"/>
  <c r="G1177" i="19"/>
  <c r="G1178" i="19"/>
  <c r="G1179" i="19"/>
  <c r="G1180" i="19"/>
  <c r="G1181" i="19"/>
  <c r="G1182" i="19"/>
  <c r="G1183" i="19"/>
  <c r="G1184" i="19"/>
  <c r="G1185" i="19"/>
  <c r="G1186" i="19"/>
  <c r="G1187" i="19"/>
  <c r="G1188" i="19"/>
  <c r="G1189" i="19"/>
  <c r="G1190" i="19"/>
  <c r="G1191" i="19"/>
  <c r="G1192" i="19"/>
  <c r="G1193" i="19"/>
  <c r="G1194" i="19"/>
  <c r="G1195" i="19"/>
  <c r="G1196" i="19"/>
  <c r="G1197" i="19"/>
  <c r="G1198" i="19"/>
  <c r="G1199" i="19"/>
  <c r="G1200" i="19"/>
  <c r="G1201" i="19"/>
  <c r="G1202" i="19"/>
  <c r="G1203" i="19"/>
  <c r="G1204" i="19"/>
  <c r="G1205" i="19"/>
  <c r="G1206" i="19"/>
  <c r="G1207" i="19"/>
  <c r="G1208" i="19"/>
  <c r="G1209" i="19"/>
  <c r="G1210" i="19"/>
  <c r="G1211" i="19"/>
  <c r="G1212" i="19"/>
  <c r="G1213" i="19"/>
  <c r="G1214" i="19"/>
  <c r="G1215" i="19"/>
  <c r="G1216" i="19"/>
  <c r="G1217" i="19"/>
  <c r="G1218" i="19"/>
  <c r="G1219" i="19"/>
  <c r="G1220" i="19"/>
  <c r="G1221" i="19"/>
  <c r="G1222" i="19"/>
  <c r="G1223" i="19"/>
  <c r="G1224" i="19"/>
  <c r="G1225" i="19"/>
  <c r="G1226" i="19"/>
  <c r="G1227" i="19"/>
  <c r="G1228" i="19"/>
  <c r="G1229" i="19"/>
  <c r="G1230" i="19"/>
  <c r="G1231" i="19"/>
  <c r="G1232" i="19"/>
  <c r="G1233" i="19"/>
  <c r="G1234" i="19"/>
  <c r="G1235" i="19"/>
  <c r="G1236" i="19"/>
  <c r="G1237" i="19"/>
  <c r="G1238" i="19"/>
  <c r="G1239" i="19"/>
  <c r="G1240" i="19"/>
  <c r="G1241" i="19"/>
  <c r="G1242" i="19"/>
  <c r="G1243" i="19"/>
  <c r="G1244" i="19"/>
  <c r="G1245" i="19"/>
  <c r="G1246" i="19"/>
  <c r="G1247" i="19"/>
  <c r="G1248" i="19"/>
  <c r="G1249" i="19"/>
  <c r="G1250" i="19"/>
  <c r="G1251" i="19"/>
  <c r="G1252" i="19"/>
  <c r="G1253" i="19"/>
  <c r="G1254" i="19"/>
  <c r="G1255" i="19"/>
  <c r="G1256" i="19"/>
  <c r="G1257" i="19"/>
  <c r="G1258" i="19"/>
  <c r="G1259" i="19"/>
  <c r="G1260" i="19"/>
  <c r="G1261" i="19"/>
  <c r="G1262" i="19"/>
  <c r="G1263" i="19"/>
  <c r="G1264" i="19"/>
  <c r="G1265" i="19"/>
  <c r="G1266" i="19"/>
  <c r="G1267" i="19"/>
  <c r="G1268" i="19"/>
  <c r="G1269" i="19"/>
  <c r="G1270" i="19"/>
  <c r="G1271" i="19"/>
  <c r="G1272" i="19"/>
  <c r="G1273" i="19"/>
  <c r="G1274" i="19"/>
  <c r="G1275" i="19"/>
  <c r="G1276" i="19"/>
  <c r="G1277" i="19"/>
  <c r="G1278" i="19"/>
  <c r="G1279" i="19"/>
  <c r="G1280" i="19"/>
  <c r="G1281" i="19"/>
  <c r="G1282" i="19"/>
  <c r="G1283" i="19"/>
  <c r="G1284" i="19"/>
  <c r="G1285" i="19"/>
  <c r="G1286" i="19"/>
  <c r="G1287" i="19"/>
  <c r="G1288" i="19"/>
  <c r="G1289" i="19"/>
  <c r="G1290" i="19"/>
  <c r="G1291" i="19"/>
  <c r="G1292" i="19"/>
  <c r="G1293" i="19"/>
  <c r="G1294" i="19"/>
  <c r="G1295" i="19"/>
  <c r="G1296" i="19"/>
  <c r="G1297" i="19"/>
  <c r="G1298" i="19"/>
  <c r="G1299" i="19"/>
  <c r="G1300" i="19"/>
  <c r="G1301" i="19"/>
  <c r="G1302" i="19"/>
  <c r="G1303" i="19"/>
  <c r="G1304" i="19"/>
  <c r="G1305" i="19"/>
  <c r="G1306" i="19"/>
  <c r="G1307" i="19"/>
  <c r="G1308" i="19"/>
  <c r="G1309" i="19"/>
  <c r="G1310" i="19"/>
  <c r="G1311" i="19"/>
  <c r="G1312" i="19"/>
  <c r="G1313" i="19"/>
  <c r="G1314" i="19"/>
  <c r="G1315" i="19"/>
  <c r="G1316" i="19"/>
  <c r="G1317" i="19"/>
  <c r="G1318" i="19"/>
  <c r="G1319" i="19"/>
  <c r="G1320" i="19"/>
  <c r="G1321" i="19"/>
  <c r="G1322" i="19"/>
  <c r="G1781" i="19"/>
  <c r="G1782" i="19"/>
  <c r="G1783" i="19"/>
  <c r="G1784" i="19"/>
  <c r="G1785" i="19"/>
  <c r="G1786" i="19"/>
  <c r="G1787" i="19"/>
  <c r="G346" i="19"/>
  <c r="G1019" i="19"/>
  <c r="G1129" i="19"/>
  <c r="G1130" i="19"/>
  <c r="I265" i="19"/>
  <c r="L265" i="19" s="1"/>
  <c r="I266" i="19"/>
  <c r="L266" i="19" s="1"/>
  <c r="I267" i="19"/>
  <c r="L267" i="19" s="1"/>
  <c r="I268" i="19"/>
  <c r="L268" i="19" s="1"/>
  <c r="I269" i="19"/>
  <c r="L269" i="19" s="1"/>
  <c r="I270" i="19"/>
  <c r="L270" i="19" s="1"/>
  <c r="I271" i="19"/>
  <c r="L271" i="19" s="1"/>
  <c r="I272" i="19"/>
  <c r="L272" i="19" s="1"/>
  <c r="I273" i="19"/>
  <c r="L273" i="19" s="1"/>
  <c r="I274" i="19"/>
  <c r="L274" i="19" s="1"/>
  <c r="I275" i="19"/>
  <c r="L275" i="19" s="1"/>
  <c r="I276" i="19"/>
  <c r="L276" i="19" s="1"/>
  <c r="I277" i="19"/>
  <c r="I278" i="19"/>
  <c r="L278" i="19" s="1"/>
  <c r="I279" i="19"/>
  <c r="L279" i="19" s="1"/>
  <c r="I280" i="19"/>
  <c r="L280" i="19" s="1"/>
  <c r="I281" i="19"/>
  <c r="L281" i="19" s="1"/>
  <c r="I282" i="19"/>
  <c r="L282" i="19" s="1"/>
  <c r="I283" i="19"/>
  <c r="L283" i="19" s="1"/>
  <c r="I284" i="19"/>
  <c r="L284" i="19" s="1"/>
  <c r="I285" i="19"/>
  <c r="L285" i="19" s="1"/>
  <c r="I286" i="19"/>
  <c r="L286" i="19" s="1"/>
  <c r="I287" i="19"/>
  <c r="L287" i="19" s="1"/>
  <c r="I288" i="19"/>
  <c r="L288" i="19" s="1"/>
  <c r="L277" i="19"/>
  <c r="I289" i="19"/>
  <c r="I290" i="19"/>
  <c r="L290" i="19" s="1"/>
  <c r="I291" i="19"/>
  <c r="L291" i="19" s="1"/>
  <c r="I292" i="19"/>
  <c r="L292" i="19" s="1"/>
  <c r="I293" i="19"/>
  <c r="L293" i="19" s="1"/>
  <c r="I294" i="19"/>
  <c r="I295" i="19"/>
  <c r="L295" i="19" s="1"/>
  <c r="I296" i="19"/>
  <c r="L296" i="19" s="1"/>
  <c r="I297" i="19"/>
  <c r="L297" i="19" s="1"/>
  <c r="I298" i="19"/>
  <c r="L298" i="19" s="1"/>
  <c r="I299" i="19"/>
  <c r="L299" i="19" s="1"/>
  <c r="I300" i="19"/>
  <c r="L289" i="19"/>
  <c r="L294" i="19"/>
  <c r="L300" i="19"/>
  <c r="I301" i="19"/>
  <c r="L301" i="19" s="1"/>
  <c r="I302" i="19"/>
  <c r="L302" i="19" s="1"/>
  <c r="I303" i="19"/>
  <c r="L303" i="19" s="1"/>
  <c r="I304" i="19"/>
  <c r="L304" i="19" s="1"/>
  <c r="I305" i="19"/>
  <c r="L305" i="19" s="1"/>
  <c r="I306" i="19"/>
  <c r="L306" i="19" s="1"/>
  <c r="I307" i="19"/>
  <c r="L307" i="19" s="1"/>
  <c r="I308" i="19"/>
  <c r="L308" i="19" s="1"/>
  <c r="I309" i="19"/>
  <c r="L309" i="19" s="1"/>
  <c r="I310" i="19"/>
  <c r="L310" i="19" s="1"/>
  <c r="I311" i="19"/>
  <c r="L311" i="19" s="1"/>
  <c r="I312" i="19"/>
  <c r="L312" i="19" s="1"/>
  <c r="I250" i="19"/>
  <c r="L250" i="19" s="1"/>
  <c r="I251" i="19"/>
  <c r="L251" i="19" s="1"/>
  <c r="I252" i="19"/>
  <c r="L252" i="19" s="1"/>
  <c r="I253" i="19"/>
  <c r="L253" i="19" s="1"/>
  <c r="I254" i="19"/>
  <c r="L254" i="19" s="1"/>
  <c r="I255" i="19"/>
  <c r="L255" i="19" s="1"/>
  <c r="I256" i="19"/>
  <c r="L256" i="19" s="1"/>
  <c r="I257" i="19"/>
  <c r="L257" i="19" s="1"/>
  <c r="I258" i="19"/>
  <c r="L258" i="19" s="1"/>
  <c r="I259" i="19"/>
  <c r="L259" i="19" s="1"/>
  <c r="I260" i="19"/>
  <c r="I261" i="19"/>
  <c r="L261" i="19" s="1"/>
  <c r="I262" i="19"/>
  <c r="L262" i="19" s="1"/>
  <c r="I263" i="19"/>
  <c r="L263" i="19" s="1"/>
  <c r="I264" i="19"/>
  <c r="L264" i="19" s="1"/>
  <c r="I313" i="19"/>
  <c r="L313" i="19" s="1"/>
  <c r="I314" i="19"/>
  <c r="L314" i="19" s="1"/>
  <c r="I315" i="19"/>
  <c r="L315" i="19" s="1"/>
  <c r="L260" i="19"/>
  <c r="I316" i="19"/>
  <c r="L316" i="19" s="1"/>
  <c r="I317" i="19"/>
  <c r="L317" i="19" s="1"/>
  <c r="I318" i="19"/>
  <c r="L318" i="19" s="1"/>
  <c r="I319" i="19"/>
  <c r="L319" i="19" s="1"/>
  <c r="I320" i="19"/>
  <c r="L320" i="19" s="1"/>
  <c r="I321" i="19"/>
  <c r="L321" i="19" s="1"/>
  <c r="I322" i="19"/>
  <c r="L322" i="19" s="1"/>
  <c r="I323" i="19"/>
  <c r="L323" i="19" s="1"/>
  <c r="I324" i="19"/>
  <c r="L324" i="19" s="1"/>
  <c r="I325" i="19"/>
  <c r="L325" i="19" s="1"/>
  <c r="I326" i="19"/>
  <c r="L326" i="19" s="1"/>
  <c r="I327" i="19"/>
  <c r="L327" i="19" s="1"/>
  <c r="I328" i="19"/>
  <c r="L328" i="19" s="1"/>
  <c r="I329" i="19"/>
  <c r="L329" i="19" s="1"/>
  <c r="I330" i="19"/>
  <c r="L330" i="19" s="1"/>
  <c r="I331" i="19"/>
  <c r="L331" i="19" s="1"/>
  <c r="I332" i="19"/>
  <c r="L332" i="19" s="1"/>
  <c r="I333" i="19"/>
  <c r="L333" i="19" s="1"/>
  <c r="I334" i="19"/>
  <c r="L334" i="19" s="1"/>
  <c r="I335" i="19"/>
  <c r="L335" i="19" s="1"/>
  <c r="I336" i="19"/>
  <c r="L336" i="19" s="1"/>
  <c r="I337" i="19"/>
  <c r="L337" i="19" s="1"/>
  <c r="I338" i="19"/>
  <c r="L338" i="19" s="1"/>
  <c r="I339" i="19"/>
  <c r="L339" i="19" s="1"/>
  <c r="I340" i="19"/>
  <c r="L340" i="19" s="1"/>
  <c r="I249" i="19"/>
  <c r="L249" i="19" s="1"/>
  <c r="I248" i="19"/>
  <c r="L248" i="19" s="1"/>
  <c r="I247" i="19"/>
  <c r="L247" i="19" s="1"/>
  <c r="I246" i="19"/>
  <c r="L246" i="19" s="1"/>
  <c r="I245" i="19"/>
  <c r="L245" i="19" s="1"/>
  <c r="I244" i="19"/>
  <c r="L244" i="19" s="1"/>
  <c r="I243" i="19"/>
  <c r="L243" i="19" s="1"/>
  <c r="I242" i="19"/>
  <c r="L242" i="19" s="1"/>
  <c r="I241" i="19"/>
  <c r="L241" i="19" s="1"/>
  <c r="I240" i="19"/>
  <c r="L240" i="19" s="1"/>
  <c r="I239" i="19"/>
  <c r="L239" i="19" s="1"/>
  <c r="I238" i="19"/>
  <c r="L238" i="19" s="1"/>
  <c r="I237" i="19"/>
  <c r="L237" i="19" s="1"/>
  <c r="I236" i="19"/>
  <c r="L236" i="19" s="1"/>
  <c r="I235" i="19"/>
  <c r="L235" i="19" s="1"/>
  <c r="I234" i="19"/>
  <c r="L234" i="19" s="1"/>
  <c r="I233" i="19"/>
  <c r="L233" i="19" s="1"/>
  <c r="I232" i="19"/>
  <c r="L232" i="19" s="1"/>
  <c r="I231" i="19"/>
  <c r="L231" i="19" s="1"/>
  <c r="I230" i="19"/>
  <c r="L230" i="19" s="1"/>
  <c r="I229" i="19"/>
  <c r="L229" i="19" s="1"/>
  <c r="I135" i="19"/>
  <c r="P135" i="19" s="1"/>
  <c r="I18" i="19"/>
  <c r="P18" i="19" s="1"/>
  <c r="I19" i="19"/>
  <c r="P19" i="19" s="1"/>
  <c r="I116" i="19"/>
  <c r="P116" i="19" s="1"/>
  <c r="I20" i="19"/>
  <c r="P20" i="19" s="1"/>
  <c r="I136" i="19"/>
  <c r="P136" i="19" s="1"/>
  <c r="I85" i="19"/>
  <c r="P85" i="19" s="1"/>
  <c r="I47" i="19"/>
  <c r="P47" i="19" s="1"/>
  <c r="P35" i="19"/>
  <c r="I87" i="19"/>
  <c r="P87" i="19" s="1"/>
  <c r="I40" i="19"/>
  <c r="P40" i="19" s="1"/>
  <c r="I106" i="19"/>
  <c r="P106" i="19" s="1"/>
  <c r="P86" i="19"/>
  <c r="I88" i="19"/>
  <c r="I29" i="19"/>
  <c r="P29" i="19" s="1"/>
  <c r="I52" i="19"/>
  <c r="P52" i="19" s="1"/>
  <c r="I137" i="19"/>
  <c r="P137" i="19" s="1"/>
  <c r="I107" i="19"/>
  <c r="P107" i="19" s="1"/>
  <c r="I58" i="19"/>
  <c r="P58" i="19" s="1"/>
  <c r="I49" i="19"/>
  <c r="P49" i="19" s="1"/>
  <c r="I117" i="19"/>
  <c r="P117" i="19" s="1"/>
  <c r="I155" i="19"/>
  <c r="P155" i="19" s="1"/>
  <c r="I108" i="19"/>
  <c r="P108" i="19" s="1"/>
  <c r="I60" i="19"/>
  <c r="P60" i="19" s="1"/>
  <c r="I61" i="19"/>
  <c r="P61" i="19" s="1"/>
  <c r="P88" i="19"/>
  <c r="P36" i="19"/>
  <c r="I62" i="19"/>
  <c r="P62" i="19" s="1"/>
  <c r="I138" i="19"/>
  <c r="P138" i="19" s="1"/>
  <c r="I21" i="19"/>
  <c r="P21" i="19" s="1"/>
  <c r="I22" i="19"/>
  <c r="P22" i="19" s="1"/>
  <c r="I53" i="19"/>
  <c r="P53" i="19" s="1"/>
  <c r="I139" i="19"/>
  <c r="P139" i="19" s="1"/>
  <c r="I156" i="19"/>
  <c r="P156" i="19" s="1"/>
  <c r="I59" i="19"/>
  <c r="P59" i="19" s="1"/>
  <c r="P89" i="19"/>
  <c r="I140" i="19"/>
  <c r="P140" i="19" s="1"/>
  <c r="I41" i="19"/>
  <c r="P41" i="19" s="1"/>
  <c r="I42" i="19"/>
  <c r="P42" i="19" s="1"/>
  <c r="I43" i="19"/>
  <c r="P43" i="19" s="1"/>
  <c r="P32" i="19"/>
  <c r="I71" i="19"/>
  <c r="P71" i="19" s="1"/>
  <c r="I72" i="19"/>
  <c r="P72" i="19" s="1"/>
  <c r="I45" i="19"/>
  <c r="P45" i="19" s="1"/>
  <c r="I73" i="19"/>
  <c r="P73" i="19" s="1"/>
  <c r="I100" i="19"/>
  <c r="P100" i="19" s="1"/>
  <c r="I51" i="19"/>
  <c r="P51" i="19" s="1"/>
  <c r="I74" i="19"/>
  <c r="P74" i="19" s="1"/>
  <c r="P160" i="19"/>
  <c r="I167" i="19"/>
  <c r="P167" i="19" s="1"/>
  <c r="I92" i="19"/>
  <c r="P92" i="19" s="1"/>
  <c r="I93" i="19"/>
  <c r="P93" i="19" s="1"/>
  <c r="I94" i="19"/>
  <c r="P94" i="19" s="1"/>
  <c r="I95" i="19"/>
  <c r="P95" i="19" s="1"/>
  <c r="P161" i="19"/>
  <c r="I25" i="19"/>
  <c r="P25" i="19" s="1"/>
  <c r="I75" i="19"/>
  <c r="P75" i="19" s="1"/>
  <c r="P76" i="19"/>
  <c r="I26" i="19"/>
  <c r="P26" i="19" s="1"/>
  <c r="I125" i="19"/>
  <c r="P125" i="19" s="1"/>
  <c r="P33" i="19"/>
  <c r="I27" i="19"/>
  <c r="P27" i="19" s="1"/>
  <c r="I101" i="19"/>
  <c r="P101" i="19" s="1"/>
  <c r="I102" i="19"/>
  <c r="P102" i="19" s="1"/>
  <c r="I103" i="19"/>
  <c r="P103" i="19" s="1"/>
  <c r="I104" i="19"/>
  <c r="P104" i="19" s="1"/>
  <c r="I54" i="19"/>
  <c r="P54" i="19" s="1"/>
  <c r="I55" i="19"/>
  <c r="P55" i="19" s="1"/>
  <c r="I126" i="19"/>
  <c r="P126" i="19" s="1"/>
  <c r="I127" i="19"/>
  <c r="P127" i="19" s="1"/>
  <c r="I128" i="19"/>
  <c r="P128" i="19" s="1"/>
  <c r="P34" i="19"/>
  <c r="I77" i="19"/>
  <c r="P77" i="19" s="1"/>
  <c r="P78" i="19"/>
  <c r="I129" i="19"/>
  <c r="P129" i="19" s="1"/>
  <c r="I130" i="19"/>
  <c r="P130" i="19" s="1"/>
  <c r="I39" i="19"/>
  <c r="P39" i="19" s="1"/>
  <c r="I79" i="19"/>
  <c r="P79" i="19" s="1"/>
  <c r="I131" i="19"/>
  <c r="P131" i="19" s="1"/>
  <c r="I46" i="19"/>
  <c r="P46" i="19" s="1"/>
  <c r="I152" i="19"/>
  <c r="P152" i="19" s="1"/>
  <c r="I28" i="19"/>
  <c r="P28" i="19" s="1"/>
  <c r="I80" i="19"/>
  <c r="P80" i="19" s="1"/>
  <c r="I162" i="19"/>
  <c r="P162" i="19" s="1"/>
  <c r="I163" i="19"/>
  <c r="P163" i="19" s="1"/>
  <c r="I164" i="19"/>
  <c r="P164" i="19" s="1"/>
  <c r="I153" i="19"/>
  <c r="P153" i="19" s="1"/>
  <c r="I154" i="19"/>
  <c r="P154" i="19" s="1"/>
  <c r="I81" i="19"/>
  <c r="P81" i="19" s="1"/>
  <c r="I112" i="19"/>
  <c r="P112" i="19" s="1"/>
  <c r="I105" i="19"/>
  <c r="P105" i="19" s="1"/>
  <c r="I132" i="19"/>
  <c r="P132" i="19" s="1"/>
  <c r="I113" i="19"/>
  <c r="P113" i="19" s="1"/>
  <c r="I133" i="19"/>
  <c r="P133" i="19" s="1"/>
  <c r="I114" i="19"/>
  <c r="P114" i="19" s="1"/>
  <c r="I165" i="19"/>
  <c r="P165" i="19" s="1"/>
  <c r="I96" i="19"/>
  <c r="P96" i="19" s="1"/>
  <c r="I115" i="19"/>
  <c r="P115" i="19" s="1"/>
  <c r="I56" i="19"/>
  <c r="P56" i="19" s="1"/>
  <c r="I82" i="19"/>
  <c r="P82" i="19" s="1"/>
  <c r="I83" i="19"/>
  <c r="P83" i="19" s="1"/>
  <c r="I57" i="19"/>
  <c r="P57" i="19" s="1"/>
  <c r="I134" i="19"/>
  <c r="P134" i="19" s="1"/>
  <c r="I15" i="19"/>
  <c r="P15" i="19" s="1"/>
  <c r="I109" i="19"/>
  <c r="P109" i="19" s="1"/>
  <c r="I119" i="19"/>
  <c r="P119" i="19" s="1"/>
  <c r="I120" i="19"/>
  <c r="P120" i="19" s="1"/>
  <c r="I63" i="19"/>
  <c r="P63" i="19" s="1"/>
  <c r="I121" i="19"/>
  <c r="P121" i="19" s="1"/>
  <c r="I122" i="19"/>
  <c r="P122" i="19" s="1"/>
  <c r="I110" i="19"/>
  <c r="P110" i="19" s="1"/>
  <c r="I64" i="19"/>
  <c r="P64" i="19" s="1"/>
  <c r="I16" i="19"/>
  <c r="P16" i="19" s="1"/>
  <c r="I99" i="19"/>
  <c r="P99" i="19" s="1"/>
  <c r="P30" i="19"/>
  <c r="I65" i="19"/>
  <c r="P65" i="19" s="1"/>
  <c r="I148" i="19"/>
  <c r="P148" i="19" s="1"/>
  <c r="P66" i="19"/>
  <c r="I50" i="19"/>
  <c r="P50" i="19" s="1"/>
  <c r="I123" i="19"/>
  <c r="P123" i="19" s="1"/>
  <c r="I111" i="19"/>
  <c r="P111" i="19" s="1"/>
  <c r="I24" i="19"/>
  <c r="P24" i="19" s="1"/>
  <c r="I149" i="19"/>
  <c r="P149" i="19" s="1"/>
  <c r="P157" i="19"/>
  <c r="P67" i="19"/>
  <c r="I150" i="19"/>
  <c r="P150" i="19" s="1"/>
  <c r="I17" i="19"/>
  <c r="P17" i="19" s="1"/>
  <c r="I68" i="19"/>
  <c r="P68" i="19" s="1"/>
  <c r="I151" i="19"/>
  <c r="P151" i="19" s="1"/>
  <c r="P31" i="19"/>
  <c r="P69" i="19"/>
  <c r="I158" i="19"/>
  <c r="P158" i="19" s="1"/>
  <c r="I159" i="19"/>
  <c r="P159" i="19" s="1"/>
  <c r="I124" i="19"/>
  <c r="P124" i="19" s="1"/>
  <c r="I70" i="19"/>
  <c r="P70" i="19" s="1"/>
  <c r="I166" i="19"/>
  <c r="P166" i="19" s="1"/>
  <c r="I84" i="19"/>
  <c r="P84" i="19" s="1"/>
  <c r="I44" i="19"/>
  <c r="P44" i="19" s="1"/>
  <c r="I97" i="19"/>
  <c r="P97" i="19" s="1"/>
  <c r="I90" i="19"/>
  <c r="P90" i="19" s="1"/>
  <c r="P37" i="19"/>
  <c r="I48" i="19"/>
  <c r="P48" i="19" s="1"/>
  <c r="I141" i="19"/>
  <c r="P141" i="19" s="1"/>
  <c r="I142" i="19"/>
  <c r="P142" i="19" s="1"/>
  <c r="I143" i="19"/>
  <c r="P143" i="19" s="1"/>
  <c r="I144" i="19"/>
  <c r="P144" i="19" s="1"/>
  <c r="I145" i="19"/>
  <c r="P145" i="19" s="1"/>
  <c r="I146" i="19"/>
  <c r="P146" i="19" s="1"/>
  <c r="I147" i="19"/>
  <c r="P147" i="19" s="1"/>
  <c r="P38" i="19"/>
  <c r="I91" i="19"/>
  <c r="P91" i="19" s="1"/>
  <c r="I98" i="19"/>
  <c r="P98" i="19" s="1"/>
  <c r="I47" i="20" l="1"/>
  <c r="I89" i="20" l="1"/>
  <c r="I9" i="20"/>
  <c r="G168" i="20" l="1"/>
  <c r="G170" i="20"/>
  <c r="G171" i="20"/>
  <c r="G172" i="20"/>
  <c r="G173" i="20"/>
  <c r="G174" i="20"/>
  <c r="G175" i="20"/>
  <c r="G176" i="20"/>
  <c r="H161" i="20" l="1"/>
  <c r="I124" i="20"/>
  <c r="I25" i="20" l="1"/>
  <c r="I44" i="20"/>
  <c r="P44" i="20" s="1"/>
  <c r="I98" i="20"/>
  <c r="I31" i="20"/>
  <c r="P31" i="20" s="1"/>
  <c r="I17" i="20"/>
  <c r="P17" i="20" s="1"/>
  <c r="J1596" i="20"/>
  <c r="J2523" i="20" s="1"/>
  <c r="H2522" i="20"/>
  <c r="I2522" i="20" s="1"/>
  <c r="H861" i="20"/>
  <c r="I861" i="20" s="1"/>
  <c r="H862" i="20"/>
  <c r="H863" i="20"/>
  <c r="I863" i="20" s="1"/>
  <c r="H864" i="20"/>
  <c r="I864" i="20" s="1"/>
  <c r="H865" i="20"/>
  <c r="I865" i="20" s="1"/>
  <c r="H866" i="20"/>
  <c r="I866" i="20" s="1"/>
  <c r="H867" i="20"/>
  <c r="I867" i="20" s="1"/>
  <c r="H868" i="20"/>
  <c r="I868" i="20" s="1"/>
  <c r="H869" i="20"/>
  <c r="I869" i="20" s="1"/>
  <c r="I862" i="20"/>
  <c r="G2522" i="20"/>
  <c r="H431" i="20"/>
  <c r="I431" i="20" s="1"/>
  <c r="H432" i="20"/>
  <c r="I432" i="20" s="1"/>
  <c r="H433" i="20"/>
  <c r="I433" i="20" s="1"/>
  <c r="H434" i="20"/>
  <c r="I434" i="20" s="1"/>
  <c r="H435" i="20"/>
  <c r="I435" i="20" s="1"/>
  <c r="H436" i="20"/>
  <c r="I436" i="20" s="1"/>
  <c r="H437" i="20"/>
  <c r="I437" i="20" s="1"/>
  <c r="H438" i="20"/>
  <c r="I438" i="20" s="1"/>
  <c r="H439" i="20"/>
  <c r="I439" i="20" s="1"/>
  <c r="H440" i="20"/>
  <c r="I440" i="20" s="1"/>
  <c r="H441" i="20"/>
  <c r="I441" i="20" s="1"/>
  <c r="H442" i="20"/>
  <c r="I442" i="20" s="1"/>
  <c r="H443" i="20"/>
  <c r="I443" i="20" s="1"/>
  <c r="H444" i="20"/>
  <c r="I444" i="20" s="1"/>
  <c r="H445" i="20"/>
  <c r="I445" i="20" s="1"/>
  <c r="H446" i="20"/>
  <c r="I446" i="20" s="1"/>
  <c r="H447" i="20"/>
  <c r="I447" i="20" s="1"/>
  <c r="H448" i="20"/>
  <c r="I448" i="20" s="1"/>
  <c r="H449" i="20"/>
  <c r="I449" i="20" s="1"/>
  <c r="H450" i="20"/>
  <c r="I450" i="20" s="1"/>
  <c r="H451" i="20"/>
  <c r="I451" i="20" s="1"/>
  <c r="H452" i="20"/>
  <c r="I452" i="20" s="1"/>
  <c r="H453" i="20"/>
  <c r="I453" i="20" s="1"/>
  <c r="H454" i="20"/>
  <c r="I454" i="20" s="1"/>
  <c r="H455" i="20"/>
  <c r="I455" i="20" s="1"/>
  <c r="H456" i="20"/>
  <c r="I456" i="20" s="1"/>
  <c r="G431" i="20"/>
  <c r="G432" i="20"/>
  <c r="G433" i="20"/>
  <c r="G434" i="20"/>
  <c r="G435" i="20"/>
  <c r="G436" i="20"/>
  <c r="G437" i="20"/>
  <c r="G438" i="20"/>
  <c r="G439" i="20"/>
  <c r="G440" i="20"/>
  <c r="G441" i="20"/>
  <c r="G442" i="20"/>
  <c r="G443" i="20"/>
  <c r="G444" i="20"/>
  <c r="G445" i="20"/>
  <c r="G446" i="20"/>
  <c r="G447" i="20"/>
  <c r="G448" i="20"/>
  <c r="G449" i="20"/>
  <c r="G450" i="20"/>
  <c r="G451" i="20"/>
  <c r="G452" i="20"/>
  <c r="G453" i="20"/>
  <c r="G454" i="20"/>
  <c r="G455" i="20"/>
  <c r="G456" i="20"/>
  <c r="H427" i="20"/>
  <c r="I427" i="20" s="1"/>
  <c r="H428" i="20"/>
  <c r="I428" i="20" s="1"/>
  <c r="H429" i="20"/>
  <c r="I429" i="20" s="1"/>
  <c r="H430" i="20"/>
  <c r="I430" i="20" s="1"/>
  <c r="H457" i="20"/>
  <c r="I457" i="20" s="1"/>
  <c r="H458" i="20"/>
  <c r="I458" i="20" s="1"/>
  <c r="H459" i="20"/>
  <c r="I459" i="20" s="1"/>
  <c r="H460" i="20"/>
  <c r="I460" i="20" s="1"/>
  <c r="H461" i="20"/>
  <c r="I461" i="20" s="1"/>
  <c r="H462" i="20"/>
  <c r="I462" i="20" s="1"/>
  <c r="H463" i="20"/>
  <c r="I463" i="20" s="1"/>
  <c r="H464" i="20"/>
  <c r="I464" i="20" s="1"/>
  <c r="H465" i="20"/>
  <c r="I465" i="20" s="1"/>
  <c r="H466" i="20"/>
  <c r="I466" i="20" s="1"/>
  <c r="H467" i="20"/>
  <c r="I467" i="20" s="1"/>
  <c r="H468" i="20"/>
  <c r="I468" i="20" s="1"/>
  <c r="H469" i="20"/>
  <c r="I469" i="20" s="1"/>
  <c r="H470" i="20"/>
  <c r="I470" i="20" s="1"/>
  <c r="H471" i="20"/>
  <c r="I471" i="20" s="1"/>
  <c r="H472" i="20"/>
  <c r="I472" i="20" s="1"/>
  <c r="H473" i="20"/>
  <c r="I473" i="20" s="1"/>
  <c r="H474" i="20"/>
  <c r="I474" i="20" s="1"/>
  <c r="H475" i="20"/>
  <c r="I475" i="20" s="1"/>
  <c r="H476" i="20"/>
  <c r="I476" i="20" s="1"/>
  <c r="H477" i="20"/>
  <c r="I477" i="20" s="1"/>
  <c r="H478" i="20"/>
  <c r="I478" i="20" s="1"/>
  <c r="H479" i="20"/>
  <c r="I479" i="20" s="1"/>
  <c r="H480" i="20"/>
  <c r="I480" i="20" s="1"/>
  <c r="H481" i="20"/>
  <c r="I481" i="20" s="1"/>
  <c r="H482" i="20"/>
  <c r="I482" i="20" s="1"/>
  <c r="H483" i="20"/>
  <c r="I483" i="20" s="1"/>
  <c r="H484" i="20"/>
  <c r="I484" i="20" s="1"/>
  <c r="H485" i="20"/>
  <c r="I485" i="20" s="1"/>
  <c r="G427" i="20"/>
  <c r="G428" i="20"/>
  <c r="G429" i="20"/>
  <c r="G430" i="20"/>
  <c r="G457" i="20"/>
  <c r="G458" i="20"/>
  <c r="G459" i="20"/>
  <c r="G460" i="20"/>
  <c r="G461" i="20"/>
  <c r="G462" i="20"/>
  <c r="G463" i="20"/>
  <c r="G464" i="20"/>
  <c r="G465" i="20"/>
  <c r="G466" i="20"/>
  <c r="G467" i="20"/>
  <c r="G468" i="20"/>
  <c r="G469" i="20"/>
  <c r="G470" i="20"/>
  <c r="G471" i="20"/>
  <c r="G472" i="20"/>
  <c r="G473" i="20"/>
  <c r="G474" i="20"/>
  <c r="G475" i="20"/>
  <c r="G476" i="20"/>
  <c r="G477" i="20"/>
  <c r="G478" i="20"/>
  <c r="G479" i="20"/>
  <c r="G480" i="20"/>
  <c r="G481" i="20"/>
  <c r="G482" i="20"/>
  <c r="G483" i="20"/>
  <c r="G484" i="20"/>
  <c r="G485" i="20"/>
  <c r="H402" i="20"/>
  <c r="I402" i="20" s="1"/>
  <c r="H403" i="20"/>
  <c r="I403" i="20" s="1"/>
  <c r="H404" i="20"/>
  <c r="I404" i="20" s="1"/>
  <c r="H405" i="20"/>
  <c r="I405" i="20" s="1"/>
  <c r="H406" i="20"/>
  <c r="I406" i="20" s="1"/>
  <c r="H407" i="20"/>
  <c r="I407" i="20" s="1"/>
  <c r="H408" i="20"/>
  <c r="I408" i="20" s="1"/>
  <c r="H409" i="20"/>
  <c r="I409" i="20" s="1"/>
  <c r="H410" i="20"/>
  <c r="I410" i="20" s="1"/>
  <c r="H411" i="20"/>
  <c r="I411" i="20" s="1"/>
  <c r="H412" i="20"/>
  <c r="I412" i="20" s="1"/>
  <c r="H413" i="20"/>
  <c r="I413" i="20" s="1"/>
  <c r="H414" i="20"/>
  <c r="I414" i="20" s="1"/>
  <c r="H415" i="20"/>
  <c r="I415" i="20" s="1"/>
  <c r="H416" i="20"/>
  <c r="I416" i="20" s="1"/>
  <c r="H417" i="20"/>
  <c r="I417" i="20" s="1"/>
  <c r="H418" i="20"/>
  <c r="I418" i="20" s="1"/>
  <c r="H419" i="20"/>
  <c r="I419" i="20" s="1"/>
  <c r="H420" i="20"/>
  <c r="I420" i="20" s="1"/>
  <c r="H421" i="20"/>
  <c r="I421" i="20" s="1"/>
  <c r="H422" i="20"/>
  <c r="I422" i="20" s="1"/>
  <c r="H423" i="20"/>
  <c r="I423" i="20" s="1"/>
  <c r="H424" i="20"/>
  <c r="I424" i="20" s="1"/>
  <c r="H425" i="20"/>
  <c r="I425" i="20" s="1"/>
  <c r="H426" i="20"/>
  <c r="I426" i="20" s="1"/>
  <c r="H486" i="20"/>
  <c r="I486" i="20" s="1"/>
  <c r="H487" i="20"/>
  <c r="I487" i="20" s="1"/>
  <c r="H488" i="20"/>
  <c r="I488" i="20" s="1"/>
  <c r="H489" i="20"/>
  <c r="I489" i="20" s="1"/>
  <c r="H490" i="20"/>
  <c r="I490" i="20" s="1"/>
  <c r="H491" i="20"/>
  <c r="I491" i="20" s="1"/>
  <c r="H492" i="20"/>
  <c r="I492" i="20" s="1"/>
  <c r="H493" i="20"/>
  <c r="I493" i="20" s="1"/>
  <c r="H494" i="20"/>
  <c r="I494" i="20" s="1"/>
  <c r="H495" i="20"/>
  <c r="I495" i="20" s="1"/>
  <c r="H496" i="20"/>
  <c r="I496" i="20" s="1"/>
  <c r="H497" i="20"/>
  <c r="I497" i="20" s="1"/>
  <c r="H498" i="20"/>
  <c r="I498" i="20" s="1"/>
  <c r="H499" i="20"/>
  <c r="I499" i="20" s="1"/>
  <c r="H500" i="20"/>
  <c r="I500" i="20" s="1"/>
  <c r="H501" i="20"/>
  <c r="I501" i="20" s="1"/>
  <c r="H502" i="20"/>
  <c r="I502" i="20" s="1"/>
  <c r="H503" i="20"/>
  <c r="I503" i="20" s="1"/>
  <c r="H504" i="20"/>
  <c r="I504" i="20" s="1"/>
  <c r="H505" i="20"/>
  <c r="I505" i="20" s="1"/>
  <c r="H506" i="20"/>
  <c r="I506" i="20" s="1"/>
  <c r="H507" i="20"/>
  <c r="I507" i="20" s="1"/>
  <c r="H508" i="20"/>
  <c r="I508" i="20" s="1"/>
  <c r="H509" i="20"/>
  <c r="I509" i="20" s="1"/>
  <c r="H510" i="20"/>
  <c r="I510" i="20" s="1"/>
  <c r="H511" i="20"/>
  <c r="I511" i="20" s="1"/>
  <c r="H512" i="20"/>
  <c r="I512" i="20" s="1"/>
  <c r="G402" i="20"/>
  <c r="G403" i="20"/>
  <c r="G404" i="20"/>
  <c r="G405" i="20"/>
  <c r="G406" i="20"/>
  <c r="G407" i="20"/>
  <c r="G408" i="20"/>
  <c r="G409" i="20"/>
  <c r="G410" i="20"/>
  <c r="G411" i="20"/>
  <c r="G412" i="20"/>
  <c r="G413" i="20"/>
  <c r="G414" i="20"/>
  <c r="G415" i="20"/>
  <c r="G416" i="20"/>
  <c r="G417" i="20"/>
  <c r="G418" i="20"/>
  <c r="G419" i="20"/>
  <c r="G420" i="20"/>
  <c r="G421" i="20"/>
  <c r="G422" i="20"/>
  <c r="G423" i="20"/>
  <c r="G424" i="20"/>
  <c r="G425" i="20"/>
  <c r="G426" i="20"/>
  <c r="G486" i="20"/>
  <c r="G487" i="20"/>
  <c r="G488" i="20"/>
  <c r="G489" i="20"/>
  <c r="G490" i="20"/>
  <c r="G491" i="20"/>
  <c r="G492" i="20"/>
  <c r="G493" i="20"/>
  <c r="G494" i="20"/>
  <c r="G495" i="20"/>
  <c r="G496" i="20"/>
  <c r="G497" i="20"/>
  <c r="G498" i="20"/>
  <c r="G499" i="20"/>
  <c r="G500" i="20"/>
  <c r="G501" i="20"/>
  <c r="G502" i="20"/>
  <c r="G503" i="20"/>
  <c r="G504" i="20"/>
  <c r="G505" i="20"/>
  <c r="G506" i="20"/>
  <c r="G507" i="20"/>
  <c r="G508" i="20"/>
  <c r="G509" i="20"/>
  <c r="G510" i="20"/>
  <c r="G511" i="20"/>
  <c r="G512" i="20"/>
  <c r="H2462" i="20"/>
  <c r="I2462" i="20" s="1"/>
  <c r="H2463" i="20"/>
  <c r="I2463" i="20" s="1"/>
  <c r="H2464" i="20"/>
  <c r="I2464" i="20" s="1"/>
  <c r="H2465" i="20"/>
  <c r="I2465" i="20" s="1"/>
  <c r="H2466" i="20"/>
  <c r="I2466" i="20" s="1"/>
  <c r="H2467" i="20"/>
  <c r="I2467" i="20" s="1"/>
  <c r="H2468" i="20"/>
  <c r="I2468" i="20" s="1"/>
  <c r="H2469" i="20"/>
  <c r="I2469" i="20" s="1"/>
  <c r="H2470" i="20"/>
  <c r="I2470" i="20" s="1"/>
  <c r="H2471" i="20"/>
  <c r="I2471" i="20" s="1"/>
  <c r="H2472" i="20"/>
  <c r="I2472" i="20" s="1"/>
  <c r="H2473" i="20"/>
  <c r="I2473" i="20" s="1"/>
  <c r="H2474" i="20"/>
  <c r="I2474" i="20" s="1"/>
  <c r="H2475" i="20"/>
  <c r="I2475" i="20" s="1"/>
  <c r="H2476" i="20"/>
  <c r="I2476" i="20" s="1"/>
  <c r="H2477" i="20"/>
  <c r="I2477" i="20" s="1"/>
  <c r="H2478" i="20"/>
  <c r="I2478" i="20" s="1"/>
  <c r="H2479" i="20"/>
  <c r="I2479" i="20" s="1"/>
  <c r="H2480" i="20"/>
  <c r="I2480" i="20" s="1"/>
  <c r="H2481" i="20"/>
  <c r="I2481" i="20" s="1"/>
  <c r="H2482" i="20"/>
  <c r="I2482" i="20" s="1"/>
  <c r="H2483" i="20"/>
  <c r="I2483" i="20" s="1"/>
  <c r="H2484" i="20"/>
  <c r="I2484" i="20" s="1"/>
  <c r="H2485" i="20"/>
  <c r="I2485" i="20" s="1"/>
  <c r="H2486" i="20"/>
  <c r="I2486" i="20" s="1"/>
  <c r="H2487" i="20"/>
  <c r="I2487" i="20" s="1"/>
  <c r="H2488" i="20"/>
  <c r="I2488" i="20" s="1"/>
  <c r="H2489" i="20"/>
  <c r="I2489" i="20" s="1"/>
  <c r="H2490" i="20"/>
  <c r="I2490" i="20" s="1"/>
  <c r="H2491" i="20"/>
  <c r="I2491" i="20" s="1"/>
  <c r="H2492" i="20"/>
  <c r="I2492" i="20" s="1"/>
  <c r="H2493" i="20"/>
  <c r="I2493" i="20" s="1"/>
  <c r="H2494" i="20"/>
  <c r="I2494" i="20" s="1"/>
  <c r="H2495" i="20"/>
  <c r="I2495" i="20" s="1"/>
  <c r="H2496" i="20"/>
  <c r="I2496" i="20" s="1"/>
  <c r="H2497" i="20"/>
  <c r="I2497" i="20" s="1"/>
  <c r="H2498" i="20"/>
  <c r="I2498" i="20" s="1"/>
  <c r="H2499" i="20"/>
  <c r="I2499" i="20" s="1"/>
  <c r="H2500" i="20"/>
  <c r="I2500" i="20" s="1"/>
  <c r="H2501" i="20"/>
  <c r="I2501" i="20" s="1"/>
  <c r="G2462" i="20"/>
  <c r="G2463" i="20"/>
  <c r="G2464" i="20"/>
  <c r="G2465" i="20"/>
  <c r="G2466" i="20"/>
  <c r="G2467" i="20"/>
  <c r="G2468" i="20"/>
  <c r="G2469" i="20"/>
  <c r="G2470" i="20"/>
  <c r="G2471" i="20"/>
  <c r="G2472" i="20"/>
  <c r="G2473" i="20"/>
  <c r="G2474" i="20"/>
  <c r="G2475" i="20"/>
  <c r="G2476" i="20"/>
  <c r="G2477" i="20"/>
  <c r="G2478" i="20"/>
  <c r="G2479" i="20"/>
  <c r="G2480" i="20"/>
  <c r="G2481" i="20"/>
  <c r="G2482" i="20"/>
  <c r="G2483" i="20"/>
  <c r="G2484" i="20"/>
  <c r="G2485" i="20"/>
  <c r="G2486" i="20"/>
  <c r="G2487" i="20"/>
  <c r="G2488" i="20"/>
  <c r="G2489" i="20"/>
  <c r="G2490" i="20"/>
  <c r="G2491" i="20"/>
  <c r="G2492" i="20"/>
  <c r="G2493" i="20"/>
  <c r="G2494" i="20"/>
  <c r="G2495" i="20"/>
  <c r="G2496" i="20"/>
  <c r="G2497" i="20"/>
  <c r="G2498" i="20"/>
  <c r="G2499" i="20"/>
  <c r="G2500" i="20"/>
  <c r="G2501" i="20"/>
  <c r="H526" i="20"/>
  <c r="I526" i="20" s="1"/>
  <c r="H527" i="20"/>
  <c r="I527" i="20" s="1"/>
  <c r="H528" i="20"/>
  <c r="I528" i="20" s="1"/>
  <c r="H529" i="20"/>
  <c r="I529" i="20" s="1"/>
  <c r="H530" i="20"/>
  <c r="I530" i="20" s="1"/>
  <c r="H531" i="20"/>
  <c r="I531" i="20" s="1"/>
  <c r="H532" i="20"/>
  <c r="I532" i="20" s="1"/>
  <c r="H533" i="20"/>
  <c r="I533" i="20" s="1"/>
  <c r="H534" i="20"/>
  <c r="I534" i="20" s="1"/>
  <c r="H535" i="20"/>
  <c r="I535" i="20" s="1"/>
  <c r="H536" i="20"/>
  <c r="I536" i="20" s="1"/>
  <c r="H537" i="20"/>
  <c r="I537" i="20" s="1"/>
  <c r="H538" i="20"/>
  <c r="I538" i="20" s="1"/>
  <c r="H539" i="20"/>
  <c r="I539" i="20" s="1"/>
  <c r="H540" i="20"/>
  <c r="I540" i="20" s="1"/>
  <c r="H541" i="20"/>
  <c r="I541" i="20" s="1"/>
  <c r="H542" i="20"/>
  <c r="I542" i="20" s="1"/>
  <c r="H543" i="20"/>
  <c r="I543" i="20" s="1"/>
  <c r="H544" i="20"/>
  <c r="I544" i="20" s="1"/>
  <c r="H545" i="20"/>
  <c r="I545" i="20" s="1"/>
  <c r="H546" i="20"/>
  <c r="I546" i="20" s="1"/>
  <c r="H547" i="20"/>
  <c r="I547" i="20" s="1"/>
  <c r="H548" i="20"/>
  <c r="I548" i="20" s="1"/>
  <c r="H549" i="20"/>
  <c r="I549" i="20" s="1"/>
  <c r="H550" i="20"/>
  <c r="I550" i="20" s="1"/>
  <c r="H551" i="20"/>
  <c r="I551" i="20" s="1"/>
  <c r="H552" i="20"/>
  <c r="I552" i="20" s="1"/>
  <c r="H553" i="20"/>
  <c r="I553" i="20" s="1"/>
  <c r="H554" i="20"/>
  <c r="I554" i="20" s="1"/>
  <c r="H555" i="20"/>
  <c r="I555" i="20" s="1"/>
  <c r="H556" i="20"/>
  <c r="I556" i="20" s="1"/>
  <c r="H557" i="20"/>
  <c r="I557" i="20" s="1"/>
  <c r="H558" i="20"/>
  <c r="I558" i="20" s="1"/>
  <c r="H559" i="20"/>
  <c r="I559" i="20" s="1"/>
  <c r="H560" i="20"/>
  <c r="I560" i="20" s="1"/>
  <c r="H561" i="20"/>
  <c r="I561" i="20" s="1"/>
  <c r="G526" i="20"/>
  <c r="G527" i="20"/>
  <c r="G528" i="20"/>
  <c r="G529" i="20"/>
  <c r="G530" i="20"/>
  <c r="G531" i="20"/>
  <c r="G532" i="20"/>
  <c r="G533" i="20"/>
  <c r="G534" i="20"/>
  <c r="G535" i="20"/>
  <c r="G536" i="20"/>
  <c r="G537" i="20"/>
  <c r="G538" i="20"/>
  <c r="G539" i="20"/>
  <c r="G540" i="20"/>
  <c r="G541" i="20"/>
  <c r="G542" i="20"/>
  <c r="G543" i="20"/>
  <c r="G544" i="20"/>
  <c r="G545" i="20"/>
  <c r="G546" i="20"/>
  <c r="G547" i="20"/>
  <c r="G548" i="20"/>
  <c r="G549" i="20"/>
  <c r="G550" i="20"/>
  <c r="G551" i="20"/>
  <c r="G552" i="20"/>
  <c r="G553" i="20"/>
  <c r="G554" i="20"/>
  <c r="G555" i="20"/>
  <c r="G556" i="20"/>
  <c r="G557" i="20"/>
  <c r="G558" i="20"/>
  <c r="G559" i="20"/>
  <c r="G560" i="20"/>
  <c r="G561" i="20"/>
  <c r="H2428" i="20"/>
  <c r="I2428" i="20" s="1"/>
  <c r="H2429" i="20"/>
  <c r="I2429" i="20" s="1"/>
  <c r="H2430" i="20"/>
  <c r="I2430" i="20" s="1"/>
  <c r="H2431" i="20"/>
  <c r="I2431" i="20" s="1"/>
  <c r="H2432" i="20"/>
  <c r="I2432" i="20" s="1"/>
  <c r="H2433" i="20"/>
  <c r="I2433" i="20" s="1"/>
  <c r="H2434" i="20"/>
  <c r="I2434" i="20" s="1"/>
  <c r="H2435" i="20"/>
  <c r="I2435" i="20" s="1"/>
  <c r="H2436" i="20"/>
  <c r="I2436" i="20" s="1"/>
  <c r="H2437" i="20"/>
  <c r="I2437" i="20" s="1"/>
  <c r="H2438" i="20"/>
  <c r="I2438" i="20" s="1"/>
  <c r="H2439" i="20"/>
  <c r="I2439" i="20" s="1"/>
  <c r="H2440" i="20"/>
  <c r="I2440" i="20" s="1"/>
  <c r="H2441" i="20"/>
  <c r="I2441" i="20" s="1"/>
  <c r="H2442" i="20"/>
  <c r="I2442" i="20" s="1"/>
  <c r="H2443" i="20"/>
  <c r="I2443" i="20" s="1"/>
  <c r="H2444" i="20"/>
  <c r="I2444" i="20" s="1"/>
  <c r="H2445" i="20"/>
  <c r="I2445" i="20" s="1"/>
  <c r="H2446" i="20"/>
  <c r="I2446" i="20" s="1"/>
  <c r="H2447" i="20"/>
  <c r="I2447" i="20" s="1"/>
  <c r="H2448" i="20"/>
  <c r="I2448" i="20" s="1"/>
  <c r="H2449" i="20"/>
  <c r="I2449" i="20" s="1"/>
  <c r="H2450" i="20"/>
  <c r="I2450" i="20" s="1"/>
  <c r="H2451" i="20"/>
  <c r="I2451" i="20" s="1"/>
  <c r="H2452" i="20"/>
  <c r="I2452" i="20" s="1"/>
  <c r="H2453" i="20"/>
  <c r="I2453" i="20" s="1"/>
  <c r="H2454" i="20"/>
  <c r="I2454" i="20" s="1"/>
  <c r="H2455" i="20"/>
  <c r="I2455" i="20" s="1"/>
  <c r="H2456" i="20"/>
  <c r="I2456" i="20" s="1"/>
  <c r="H2457" i="20"/>
  <c r="I2457" i="20" s="1"/>
  <c r="G2428" i="20"/>
  <c r="G2429" i="20"/>
  <c r="G2430" i="20"/>
  <c r="G2431" i="20"/>
  <c r="G2432" i="20"/>
  <c r="G2433" i="20"/>
  <c r="G2434" i="20"/>
  <c r="G2435" i="20"/>
  <c r="G2436" i="20"/>
  <c r="G2437" i="20"/>
  <c r="G2438" i="20"/>
  <c r="G2439" i="20"/>
  <c r="G2440" i="20"/>
  <c r="G2441" i="20"/>
  <c r="G2442" i="20"/>
  <c r="G2443" i="20"/>
  <c r="G2444" i="20"/>
  <c r="G2445" i="20"/>
  <c r="G2446" i="20"/>
  <c r="G2447" i="20"/>
  <c r="G2448" i="20"/>
  <c r="G2449" i="20"/>
  <c r="G2450" i="20"/>
  <c r="G2451" i="20"/>
  <c r="G2452" i="20"/>
  <c r="G2453" i="20"/>
  <c r="G2454" i="20"/>
  <c r="G2455" i="20"/>
  <c r="G2456" i="20"/>
  <c r="G2457" i="20"/>
  <c r="H2382" i="20"/>
  <c r="I2382" i="20" s="1"/>
  <c r="H2383" i="20"/>
  <c r="I2383" i="20" s="1"/>
  <c r="H2384" i="20"/>
  <c r="I2384" i="20" s="1"/>
  <c r="H2385" i="20"/>
  <c r="I2385" i="20" s="1"/>
  <c r="H2386" i="20"/>
  <c r="I2386" i="20" s="1"/>
  <c r="H2387" i="20"/>
  <c r="I2387" i="20" s="1"/>
  <c r="H2388" i="20"/>
  <c r="I2388" i="20" s="1"/>
  <c r="H2389" i="20"/>
  <c r="I2389" i="20" s="1"/>
  <c r="H2390" i="20"/>
  <c r="I2390" i="20" s="1"/>
  <c r="H2391" i="20"/>
  <c r="I2391" i="20" s="1"/>
  <c r="H2392" i="20"/>
  <c r="I2392" i="20" s="1"/>
  <c r="H2393" i="20"/>
  <c r="I2393" i="20" s="1"/>
  <c r="H2394" i="20"/>
  <c r="I2394" i="20" s="1"/>
  <c r="H2395" i="20"/>
  <c r="I2395" i="20" s="1"/>
  <c r="H2396" i="20"/>
  <c r="I2396" i="20" s="1"/>
  <c r="H2397" i="20"/>
  <c r="I2397" i="20" s="1"/>
  <c r="H2398" i="20"/>
  <c r="I2398" i="20" s="1"/>
  <c r="H2399" i="20"/>
  <c r="I2399" i="20" s="1"/>
  <c r="H2400" i="20"/>
  <c r="I2400" i="20" s="1"/>
  <c r="H2401" i="20"/>
  <c r="I2401" i="20" s="1"/>
  <c r="H2402" i="20"/>
  <c r="I2402" i="20" s="1"/>
  <c r="H2403" i="20"/>
  <c r="I2403" i="20" s="1"/>
  <c r="H2404" i="20"/>
  <c r="I2404" i="20" s="1"/>
  <c r="H2405" i="20"/>
  <c r="I2405" i="20" s="1"/>
  <c r="H2406" i="20"/>
  <c r="I2406" i="20" s="1"/>
  <c r="H2407" i="20"/>
  <c r="I2407" i="20" s="1"/>
  <c r="H2408" i="20"/>
  <c r="I2408" i="20" s="1"/>
  <c r="H2409" i="20"/>
  <c r="I2409" i="20" s="1"/>
  <c r="H2410" i="20"/>
  <c r="I2410" i="20" s="1"/>
  <c r="H2411" i="20"/>
  <c r="I2411" i="20" s="1"/>
  <c r="H2412" i="20"/>
  <c r="I2412" i="20" s="1"/>
  <c r="H2413" i="20"/>
  <c r="I2413" i="20" s="1"/>
  <c r="H2414" i="20"/>
  <c r="I2414" i="20" s="1"/>
  <c r="H2415" i="20"/>
  <c r="I2415" i="20" s="1"/>
  <c r="H2416" i="20"/>
  <c r="I2416" i="20" s="1"/>
  <c r="H2417" i="20"/>
  <c r="I2417" i="20" s="1"/>
  <c r="H2418" i="20"/>
  <c r="I2418" i="20" s="1"/>
  <c r="H2419" i="20"/>
  <c r="I2419" i="20" s="1"/>
  <c r="H2420" i="20"/>
  <c r="I2420" i="20" s="1"/>
  <c r="H2421" i="20"/>
  <c r="I2421" i="20" s="1"/>
  <c r="H2422" i="20"/>
  <c r="I2422" i="20" s="1"/>
  <c r="H2423" i="20"/>
  <c r="I2423" i="20" s="1"/>
  <c r="H2424" i="20"/>
  <c r="I2424" i="20" s="1"/>
  <c r="H2425" i="20"/>
  <c r="I2425" i="20" s="1"/>
  <c r="H2426" i="20"/>
  <c r="I2426" i="20" s="1"/>
  <c r="G2382" i="20"/>
  <c r="G2383" i="20"/>
  <c r="G2384" i="20"/>
  <c r="G2385" i="20"/>
  <c r="G2386" i="20"/>
  <c r="G2387" i="20"/>
  <c r="G2388" i="20"/>
  <c r="G2389" i="20"/>
  <c r="G2390" i="20"/>
  <c r="G2391" i="20"/>
  <c r="G2392" i="20"/>
  <c r="G2393" i="20"/>
  <c r="G2394" i="20"/>
  <c r="G2395" i="20"/>
  <c r="G2396" i="20"/>
  <c r="G2397" i="20"/>
  <c r="G2398" i="20"/>
  <c r="G2399" i="20"/>
  <c r="G2400" i="20"/>
  <c r="G2401" i="20"/>
  <c r="G2402" i="20"/>
  <c r="G2403" i="20"/>
  <c r="G2404" i="20"/>
  <c r="G2405" i="20"/>
  <c r="G2406" i="20"/>
  <c r="G2407" i="20"/>
  <c r="G2408" i="20"/>
  <c r="G2409" i="20"/>
  <c r="G2410" i="20"/>
  <c r="G2411" i="20"/>
  <c r="G2412" i="20"/>
  <c r="G2413" i="20"/>
  <c r="G2414" i="20"/>
  <c r="G2415" i="20"/>
  <c r="G2416" i="20"/>
  <c r="G2417" i="20"/>
  <c r="G2418" i="20"/>
  <c r="G2419" i="20"/>
  <c r="G2420" i="20"/>
  <c r="G2421" i="20"/>
  <c r="G2422" i="20"/>
  <c r="G2423" i="20"/>
  <c r="G2424" i="20"/>
  <c r="G2425" i="20"/>
  <c r="G2426" i="20"/>
  <c r="H2364" i="20"/>
  <c r="I2364" i="20" s="1"/>
  <c r="H2365" i="20"/>
  <c r="I2365" i="20" s="1"/>
  <c r="H2366" i="20"/>
  <c r="I2366" i="20" s="1"/>
  <c r="H2367" i="20"/>
  <c r="I2367" i="20" s="1"/>
  <c r="H2368" i="20"/>
  <c r="I2368" i="20" s="1"/>
  <c r="H2369" i="20"/>
  <c r="I2369" i="20" s="1"/>
  <c r="H2370" i="20"/>
  <c r="I2370" i="20" s="1"/>
  <c r="H2371" i="20"/>
  <c r="I2371" i="20" s="1"/>
  <c r="H2372" i="20"/>
  <c r="I2372" i="20" s="1"/>
  <c r="H2373" i="20"/>
  <c r="I2373" i="20" s="1"/>
  <c r="H2374" i="20"/>
  <c r="I2374" i="20" s="1"/>
  <c r="H2375" i="20"/>
  <c r="I2375" i="20" s="1"/>
  <c r="H2376" i="20"/>
  <c r="I2376" i="20" s="1"/>
  <c r="H2377" i="20"/>
  <c r="I2377" i="20" s="1"/>
  <c r="H2378" i="20"/>
  <c r="I2378" i="20" s="1"/>
  <c r="H2379" i="20"/>
  <c r="I2379" i="20" s="1"/>
  <c r="H2380" i="20"/>
  <c r="I2380" i="20" s="1"/>
  <c r="H2381" i="20"/>
  <c r="I2381" i="20" s="1"/>
  <c r="G2364" i="20"/>
  <c r="G2365" i="20"/>
  <c r="G2366" i="20"/>
  <c r="G2367" i="20"/>
  <c r="G2368" i="20"/>
  <c r="G2369" i="20"/>
  <c r="G2370" i="20"/>
  <c r="G2371" i="20"/>
  <c r="G2372" i="20"/>
  <c r="G2373" i="20"/>
  <c r="G2374" i="20"/>
  <c r="G2375" i="20"/>
  <c r="G2376" i="20"/>
  <c r="G2377" i="20"/>
  <c r="G2378" i="20"/>
  <c r="G2379" i="20"/>
  <c r="G2380" i="20"/>
  <c r="G2381" i="20"/>
  <c r="H1333" i="20"/>
  <c r="I1333" i="20" s="1"/>
  <c r="H1334" i="20"/>
  <c r="I1334" i="20" s="1"/>
  <c r="H1335" i="20"/>
  <c r="I1335" i="20" s="1"/>
  <c r="H1336" i="20"/>
  <c r="I1336" i="20" s="1"/>
  <c r="H1337" i="20"/>
  <c r="I1337" i="20" s="1"/>
  <c r="H1338" i="20"/>
  <c r="I1338" i="20" s="1"/>
  <c r="H1339" i="20"/>
  <c r="I1339" i="20" s="1"/>
  <c r="H1340" i="20"/>
  <c r="I1340" i="20" s="1"/>
  <c r="H1341" i="20"/>
  <c r="I1341" i="20" s="1"/>
  <c r="H1342" i="20"/>
  <c r="I1342" i="20" s="1"/>
  <c r="H1343" i="20"/>
  <c r="I1343" i="20" s="1"/>
  <c r="H1344" i="20"/>
  <c r="I1344" i="20" s="1"/>
  <c r="H1345" i="20"/>
  <c r="I1345" i="20" s="1"/>
  <c r="H1346" i="20"/>
  <c r="I1346" i="20" s="1"/>
  <c r="H1347" i="20"/>
  <c r="I1347" i="20" s="1"/>
  <c r="H1348" i="20"/>
  <c r="I1348" i="20" s="1"/>
  <c r="H1349" i="20"/>
  <c r="I1349" i="20" s="1"/>
  <c r="H1350" i="20"/>
  <c r="I1350" i="20" s="1"/>
  <c r="H1351" i="20"/>
  <c r="I1351" i="20" s="1"/>
  <c r="H1352" i="20"/>
  <c r="I1352" i="20" s="1"/>
  <c r="H1353" i="20"/>
  <c r="I1353" i="20" s="1"/>
  <c r="H1354" i="20"/>
  <c r="I1354" i="20" s="1"/>
  <c r="H1355" i="20"/>
  <c r="I1355" i="20" s="1"/>
  <c r="H1356" i="20"/>
  <c r="I1356" i="20" s="1"/>
  <c r="H1357" i="20"/>
  <c r="I1357" i="20" s="1"/>
  <c r="H1358" i="20"/>
  <c r="I1358" i="20" s="1"/>
  <c r="H1359" i="20"/>
  <c r="I1359" i="20" s="1"/>
  <c r="H1360" i="20"/>
  <c r="I1360" i="20" s="1"/>
  <c r="H1361" i="20"/>
  <c r="I1361" i="20" s="1"/>
  <c r="H1362" i="20"/>
  <c r="I1362" i="20" s="1"/>
  <c r="H1363" i="20"/>
  <c r="I1363" i="20" s="1"/>
  <c r="H1364" i="20"/>
  <c r="I1364" i="20" s="1"/>
  <c r="H1365" i="20"/>
  <c r="I1365" i="20" s="1"/>
  <c r="H1366" i="20"/>
  <c r="I1366" i="20" s="1"/>
  <c r="H1367" i="20"/>
  <c r="I1367" i="20" s="1"/>
  <c r="H1368" i="20"/>
  <c r="I1368" i="20" s="1"/>
  <c r="G1333" i="20"/>
  <c r="G1334" i="20"/>
  <c r="G1335" i="20"/>
  <c r="G1336" i="20"/>
  <c r="G1337" i="20"/>
  <c r="G1338" i="20"/>
  <c r="G1339" i="20"/>
  <c r="G1340" i="20"/>
  <c r="G1341" i="20"/>
  <c r="G1342" i="20"/>
  <c r="G1343" i="20"/>
  <c r="G1344" i="20"/>
  <c r="G1345" i="20"/>
  <c r="G1346" i="20"/>
  <c r="G1347" i="20"/>
  <c r="G1348" i="20"/>
  <c r="G1349" i="20"/>
  <c r="G1350" i="20"/>
  <c r="G1351" i="20"/>
  <c r="G1352" i="20"/>
  <c r="G1353" i="20"/>
  <c r="G1354" i="20"/>
  <c r="G1355" i="20"/>
  <c r="G1356" i="20"/>
  <c r="G1357" i="20"/>
  <c r="G1358" i="20"/>
  <c r="G1359" i="20"/>
  <c r="G1360" i="20"/>
  <c r="G1361" i="20"/>
  <c r="G1362" i="20"/>
  <c r="G1363" i="20"/>
  <c r="G1364" i="20"/>
  <c r="G1365" i="20"/>
  <c r="G1366" i="20"/>
  <c r="G1367" i="20"/>
  <c r="G1368" i="20"/>
  <c r="H519" i="20"/>
  <c r="I519" i="20" s="1"/>
  <c r="H520" i="20"/>
  <c r="I520" i="20" s="1"/>
  <c r="H521" i="20"/>
  <c r="I521" i="20" s="1"/>
  <c r="H522" i="20"/>
  <c r="I522" i="20" s="1"/>
  <c r="H523" i="20"/>
  <c r="I523" i="20" s="1"/>
  <c r="H524" i="20"/>
  <c r="I524" i="20" s="1"/>
  <c r="H525" i="20"/>
  <c r="I525" i="20" s="1"/>
  <c r="H562" i="20"/>
  <c r="I562" i="20" s="1"/>
  <c r="H563" i="20"/>
  <c r="I563" i="20" s="1"/>
  <c r="H564" i="20"/>
  <c r="I564" i="20" s="1"/>
  <c r="H565" i="20"/>
  <c r="I565" i="20" s="1"/>
  <c r="H566" i="20"/>
  <c r="I566" i="20" s="1"/>
  <c r="H567" i="20"/>
  <c r="I567" i="20" s="1"/>
  <c r="H568" i="20"/>
  <c r="I568" i="20" s="1"/>
  <c r="H569" i="20"/>
  <c r="I569" i="20" s="1"/>
  <c r="H570" i="20"/>
  <c r="I570" i="20" s="1"/>
  <c r="H571" i="20"/>
  <c r="I571" i="20" s="1"/>
  <c r="H572" i="20"/>
  <c r="I572" i="20" s="1"/>
  <c r="H573" i="20"/>
  <c r="I573" i="20" s="1"/>
  <c r="H574" i="20"/>
  <c r="I574" i="20" s="1"/>
  <c r="H575" i="20"/>
  <c r="I575" i="20" s="1"/>
  <c r="H576" i="20"/>
  <c r="I576" i="20" s="1"/>
  <c r="H577" i="20"/>
  <c r="I577" i="20" s="1"/>
  <c r="H578" i="20"/>
  <c r="I578" i="20" s="1"/>
  <c r="H579" i="20"/>
  <c r="I579" i="20" s="1"/>
  <c r="H580" i="20"/>
  <c r="I580" i="20" s="1"/>
  <c r="H581" i="20"/>
  <c r="I581" i="20" s="1"/>
  <c r="H582" i="20"/>
  <c r="I582" i="20" s="1"/>
  <c r="H583" i="20"/>
  <c r="I583" i="20" s="1"/>
  <c r="H584" i="20"/>
  <c r="I584" i="20" s="1"/>
  <c r="H585" i="20"/>
  <c r="I585" i="20" s="1"/>
  <c r="H586" i="20"/>
  <c r="I586" i="20" s="1"/>
  <c r="H587" i="20"/>
  <c r="I587" i="20" s="1"/>
  <c r="H588" i="20"/>
  <c r="I588" i="20" s="1"/>
  <c r="H589" i="20"/>
  <c r="I589" i="20" s="1"/>
  <c r="H590" i="20"/>
  <c r="I590" i="20" s="1"/>
  <c r="H591" i="20"/>
  <c r="I591" i="20" s="1"/>
  <c r="H592" i="20"/>
  <c r="I592" i="20" s="1"/>
  <c r="H593" i="20"/>
  <c r="I593" i="20" s="1"/>
  <c r="H594" i="20"/>
  <c r="I594" i="20" s="1"/>
  <c r="H595" i="20"/>
  <c r="I595" i="20" s="1"/>
  <c r="H596" i="20"/>
  <c r="I596" i="20" s="1"/>
  <c r="H597" i="20"/>
  <c r="I597" i="20" s="1"/>
  <c r="H598" i="20"/>
  <c r="I598" i="20" s="1"/>
  <c r="H599" i="20"/>
  <c r="I599" i="20" s="1"/>
  <c r="H600" i="20"/>
  <c r="I600" i="20" s="1"/>
  <c r="H601" i="20"/>
  <c r="I601" i="20" s="1"/>
  <c r="H602" i="20"/>
  <c r="I602" i="20" s="1"/>
  <c r="H603" i="20"/>
  <c r="I603" i="20" s="1"/>
  <c r="H604" i="20"/>
  <c r="I604" i="20" s="1"/>
  <c r="H605" i="20"/>
  <c r="I605" i="20" s="1"/>
  <c r="H606" i="20"/>
  <c r="I606" i="20" s="1"/>
  <c r="H607" i="20"/>
  <c r="I607" i="20" s="1"/>
  <c r="H608" i="20"/>
  <c r="I608" i="20" s="1"/>
  <c r="H609" i="20"/>
  <c r="I609" i="20" s="1"/>
  <c r="H610" i="20"/>
  <c r="I610" i="20" s="1"/>
  <c r="H611" i="20"/>
  <c r="I611" i="20" s="1"/>
  <c r="H612" i="20"/>
  <c r="I612" i="20" s="1"/>
  <c r="H613" i="20"/>
  <c r="I613" i="20" s="1"/>
  <c r="H614" i="20"/>
  <c r="I614" i="20" s="1"/>
  <c r="H615" i="20"/>
  <c r="I615" i="20" s="1"/>
  <c r="H616" i="20"/>
  <c r="I616" i="20" s="1"/>
  <c r="H617" i="20"/>
  <c r="I617" i="20" s="1"/>
  <c r="H618" i="20"/>
  <c r="I618" i="20" s="1"/>
  <c r="H619" i="20"/>
  <c r="I619" i="20" s="1"/>
  <c r="H620" i="20"/>
  <c r="I620" i="20" s="1"/>
  <c r="H621" i="20"/>
  <c r="I621" i="20" s="1"/>
  <c r="H622" i="20"/>
  <c r="I622" i="20" s="1"/>
  <c r="H623" i="20"/>
  <c r="I623" i="20" s="1"/>
  <c r="H624" i="20"/>
  <c r="I624" i="20" s="1"/>
  <c r="H625" i="20"/>
  <c r="I625" i="20" s="1"/>
  <c r="H626" i="20"/>
  <c r="I626" i="20" s="1"/>
  <c r="H627" i="20"/>
  <c r="I627" i="20" s="1"/>
  <c r="H628" i="20"/>
  <c r="I628" i="20" s="1"/>
  <c r="H629" i="20"/>
  <c r="I629" i="20" s="1"/>
  <c r="H630" i="20"/>
  <c r="I630" i="20" s="1"/>
  <c r="H631" i="20"/>
  <c r="I631" i="20" s="1"/>
  <c r="H632" i="20"/>
  <c r="I632" i="20" s="1"/>
  <c r="H633" i="20"/>
  <c r="I633" i="20" s="1"/>
  <c r="H634" i="20"/>
  <c r="I634" i="20" s="1"/>
  <c r="H635" i="20"/>
  <c r="I635" i="20" s="1"/>
  <c r="H636" i="20"/>
  <c r="I636" i="20" s="1"/>
  <c r="H637" i="20"/>
  <c r="I637" i="20" s="1"/>
  <c r="H638" i="20"/>
  <c r="I638" i="20" s="1"/>
  <c r="H639" i="20"/>
  <c r="I639" i="20" s="1"/>
  <c r="H640" i="20"/>
  <c r="I640" i="20" s="1"/>
  <c r="H641" i="20"/>
  <c r="I641" i="20" s="1"/>
  <c r="H642" i="20"/>
  <c r="I642" i="20" s="1"/>
  <c r="H643" i="20"/>
  <c r="I643" i="20" s="1"/>
  <c r="H644" i="20"/>
  <c r="I644" i="20" s="1"/>
  <c r="H645" i="20"/>
  <c r="I645" i="20" s="1"/>
  <c r="H646" i="20"/>
  <c r="I646" i="20" s="1"/>
  <c r="H647" i="20"/>
  <c r="I647" i="20" s="1"/>
  <c r="H648" i="20"/>
  <c r="I648" i="20" s="1"/>
  <c r="H649" i="20"/>
  <c r="I649" i="20" s="1"/>
  <c r="H650" i="20"/>
  <c r="I650" i="20" s="1"/>
  <c r="H651" i="20"/>
  <c r="I651" i="20" s="1"/>
  <c r="H652" i="20"/>
  <c r="I652" i="20" s="1"/>
  <c r="H653" i="20"/>
  <c r="I653" i="20" s="1"/>
  <c r="H654" i="20"/>
  <c r="I654" i="20" s="1"/>
  <c r="H655" i="20"/>
  <c r="I655" i="20" s="1"/>
  <c r="H656" i="20"/>
  <c r="I656" i="20" s="1"/>
  <c r="H657" i="20"/>
  <c r="I657" i="20" s="1"/>
  <c r="H658" i="20"/>
  <c r="I658" i="20" s="1"/>
  <c r="H659" i="20"/>
  <c r="I659" i="20" s="1"/>
  <c r="H660" i="20"/>
  <c r="I660" i="20" s="1"/>
  <c r="H661" i="20"/>
  <c r="I661" i="20" s="1"/>
  <c r="H662" i="20"/>
  <c r="I662" i="20" s="1"/>
  <c r="H663" i="20"/>
  <c r="I663" i="20" s="1"/>
  <c r="H664" i="20"/>
  <c r="I664" i="20" s="1"/>
  <c r="H665" i="20"/>
  <c r="I665" i="20" s="1"/>
  <c r="H666" i="20"/>
  <c r="I666" i="20" s="1"/>
  <c r="H667" i="20"/>
  <c r="I667" i="20" s="1"/>
  <c r="H668" i="20"/>
  <c r="I668" i="20" s="1"/>
  <c r="H669" i="20"/>
  <c r="I669" i="20" s="1"/>
  <c r="H670" i="20"/>
  <c r="I670" i="20" s="1"/>
  <c r="H671" i="20"/>
  <c r="I671" i="20" s="1"/>
  <c r="H672" i="20"/>
  <c r="I672" i="20" s="1"/>
  <c r="H673" i="20"/>
  <c r="I673" i="20" s="1"/>
  <c r="H674" i="20"/>
  <c r="I674" i="20" s="1"/>
  <c r="H675" i="20"/>
  <c r="I675" i="20" s="1"/>
  <c r="H676" i="20"/>
  <c r="I676" i="20" s="1"/>
  <c r="H677" i="20"/>
  <c r="I677" i="20" s="1"/>
  <c r="H678" i="20"/>
  <c r="I678" i="20" s="1"/>
  <c r="H679" i="20"/>
  <c r="I679" i="20" s="1"/>
  <c r="H680" i="20"/>
  <c r="I680" i="20" s="1"/>
  <c r="H681" i="20"/>
  <c r="I681" i="20" s="1"/>
  <c r="H682" i="20"/>
  <c r="I682" i="20" s="1"/>
  <c r="H683" i="20"/>
  <c r="I683" i="20" s="1"/>
  <c r="H684" i="20"/>
  <c r="I684" i="20" s="1"/>
  <c r="H685" i="20"/>
  <c r="I685" i="20" s="1"/>
  <c r="H686" i="20"/>
  <c r="I686" i="20" s="1"/>
  <c r="H687" i="20"/>
  <c r="I687" i="20" s="1"/>
  <c r="H688" i="20"/>
  <c r="I688" i="20" s="1"/>
  <c r="H689" i="20"/>
  <c r="I689" i="20" s="1"/>
  <c r="G519" i="20"/>
  <c r="G520" i="20"/>
  <c r="G521" i="20"/>
  <c r="G522" i="20"/>
  <c r="G523" i="20"/>
  <c r="G524" i="20"/>
  <c r="G525" i="20"/>
  <c r="G562" i="20"/>
  <c r="G563" i="20"/>
  <c r="G564" i="20"/>
  <c r="G565" i="20"/>
  <c r="G566" i="20"/>
  <c r="G567" i="20"/>
  <c r="G568" i="20"/>
  <c r="G569" i="20"/>
  <c r="G570" i="20"/>
  <c r="G571" i="20"/>
  <c r="G572" i="20"/>
  <c r="G573" i="20"/>
  <c r="G574" i="20"/>
  <c r="G575" i="20"/>
  <c r="G576" i="20"/>
  <c r="G577" i="20"/>
  <c r="G578" i="20"/>
  <c r="G579" i="20"/>
  <c r="G580" i="20"/>
  <c r="G581" i="20"/>
  <c r="G582" i="20"/>
  <c r="G583" i="20"/>
  <c r="G584" i="20"/>
  <c r="G585" i="20"/>
  <c r="G586" i="20"/>
  <c r="G587" i="20"/>
  <c r="G588" i="20"/>
  <c r="G589" i="20"/>
  <c r="G590" i="20"/>
  <c r="G591" i="20"/>
  <c r="G592" i="20"/>
  <c r="G593" i="20"/>
  <c r="G594" i="20"/>
  <c r="G595" i="20"/>
  <c r="G596" i="20"/>
  <c r="G597" i="20"/>
  <c r="G598" i="20"/>
  <c r="G599" i="20"/>
  <c r="G600" i="20"/>
  <c r="G601" i="20"/>
  <c r="G602" i="20"/>
  <c r="G603" i="20"/>
  <c r="G604" i="20"/>
  <c r="G605" i="20"/>
  <c r="G606" i="20"/>
  <c r="G607" i="20"/>
  <c r="G608" i="20"/>
  <c r="G609" i="20"/>
  <c r="G610" i="20"/>
  <c r="G611" i="20"/>
  <c r="G612" i="20"/>
  <c r="G613" i="20"/>
  <c r="G614" i="20"/>
  <c r="G615" i="20"/>
  <c r="G616" i="20"/>
  <c r="G617" i="20"/>
  <c r="G618" i="20"/>
  <c r="G619" i="20"/>
  <c r="G620" i="20"/>
  <c r="G621" i="20"/>
  <c r="G622" i="20"/>
  <c r="G623" i="20"/>
  <c r="G624" i="20"/>
  <c r="G625" i="20"/>
  <c r="G626" i="20"/>
  <c r="G627" i="20"/>
  <c r="G628" i="20"/>
  <c r="G629" i="20"/>
  <c r="G630" i="20"/>
  <c r="G631" i="20"/>
  <c r="G632" i="20"/>
  <c r="G633" i="20"/>
  <c r="G634" i="20"/>
  <c r="G635" i="20"/>
  <c r="G636" i="20"/>
  <c r="G637" i="20"/>
  <c r="G638" i="20"/>
  <c r="G639" i="20"/>
  <c r="G640" i="20"/>
  <c r="G641" i="20"/>
  <c r="G642" i="20"/>
  <c r="G643" i="20"/>
  <c r="G644" i="20"/>
  <c r="G645" i="20"/>
  <c r="G646" i="20"/>
  <c r="G647" i="20"/>
  <c r="G648" i="20"/>
  <c r="G649" i="20"/>
  <c r="G650" i="20"/>
  <c r="G651" i="20"/>
  <c r="G652" i="20"/>
  <c r="G653" i="20"/>
  <c r="G654" i="20"/>
  <c r="G655" i="20"/>
  <c r="G656" i="20"/>
  <c r="G657" i="20"/>
  <c r="G658" i="20"/>
  <c r="G659" i="20"/>
  <c r="G660" i="20"/>
  <c r="G661" i="20"/>
  <c r="G662" i="20"/>
  <c r="G663" i="20"/>
  <c r="G664" i="20"/>
  <c r="G665" i="20"/>
  <c r="G666" i="20"/>
  <c r="G667" i="20"/>
  <c r="G668" i="20"/>
  <c r="G669" i="20"/>
  <c r="G670" i="20"/>
  <c r="G671" i="20"/>
  <c r="G672" i="20"/>
  <c r="G673" i="20"/>
  <c r="G674" i="20"/>
  <c r="G675" i="20"/>
  <c r="G676" i="20"/>
  <c r="G677" i="20"/>
  <c r="G678" i="20"/>
  <c r="G679" i="20"/>
  <c r="G680" i="20"/>
  <c r="G681" i="20"/>
  <c r="G682" i="20"/>
  <c r="G683" i="20"/>
  <c r="G684" i="20"/>
  <c r="G685" i="20"/>
  <c r="G686" i="20"/>
  <c r="G687" i="20"/>
  <c r="G688" i="20"/>
  <c r="G689" i="20"/>
  <c r="H2095" i="20"/>
  <c r="I2095" i="20" s="1"/>
  <c r="H2096" i="20"/>
  <c r="I2096" i="20" s="1"/>
  <c r="H2097" i="20"/>
  <c r="I2097" i="20" s="1"/>
  <c r="H2098" i="20"/>
  <c r="I2098" i="20" s="1"/>
  <c r="H2099" i="20"/>
  <c r="I2099" i="20" s="1"/>
  <c r="H2100" i="20"/>
  <c r="I2100" i="20" s="1"/>
  <c r="H2101" i="20"/>
  <c r="I2101" i="20" s="1"/>
  <c r="H2102" i="20"/>
  <c r="I2102" i="20" s="1"/>
  <c r="H2103" i="20"/>
  <c r="I2103" i="20" s="1"/>
  <c r="H2104" i="20"/>
  <c r="I2104" i="20" s="1"/>
  <c r="H2105" i="20"/>
  <c r="I2105" i="20" s="1"/>
  <c r="H2106" i="20"/>
  <c r="I2106" i="20" s="1"/>
  <c r="H2107" i="20"/>
  <c r="I2107" i="20" s="1"/>
  <c r="H2108" i="20"/>
  <c r="I2108" i="20" s="1"/>
  <c r="H2109" i="20"/>
  <c r="I2109" i="20" s="1"/>
  <c r="H2110" i="20"/>
  <c r="I2110" i="20" s="1"/>
  <c r="H2111" i="20"/>
  <c r="I2111" i="20" s="1"/>
  <c r="H2112" i="20"/>
  <c r="I2112" i="20" s="1"/>
  <c r="H2113" i="20"/>
  <c r="I2113" i="20" s="1"/>
  <c r="H2114" i="20"/>
  <c r="I2114" i="20" s="1"/>
  <c r="H2115" i="20"/>
  <c r="I2115" i="20" s="1"/>
  <c r="H2116" i="20"/>
  <c r="I2116" i="20" s="1"/>
  <c r="H2117" i="20"/>
  <c r="I2117" i="20" s="1"/>
  <c r="H2118" i="20"/>
  <c r="I2118" i="20" s="1"/>
  <c r="H2119" i="20"/>
  <c r="I2119" i="20" s="1"/>
  <c r="H2120" i="20"/>
  <c r="I2120" i="20" s="1"/>
  <c r="H2121" i="20"/>
  <c r="I2121" i="20" s="1"/>
  <c r="H2122" i="20"/>
  <c r="I2122" i="20" s="1"/>
  <c r="H2123" i="20"/>
  <c r="I2123" i="20" s="1"/>
  <c r="H2124" i="20"/>
  <c r="I2124" i="20" s="1"/>
  <c r="H2125" i="20"/>
  <c r="I2125" i="20" s="1"/>
  <c r="H2126" i="20"/>
  <c r="I2126" i="20" s="1"/>
  <c r="H2127" i="20"/>
  <c r="I2127" i="20" s="1"/>
  <c r="H2128" i="20"/>
  <c r="I2128" i="20" s="1"/>
  <c r="H2129" i="20"/>
  <c r="I2129" i="20" s="1"/>
  <c r="H2130" i="20"/>
  <c r="I2130" i="20" s="1"/>
  <c r="H2131" i="20"/>
  <c r="I2131" i="20" s="1"/>
  <c r="H2132" i="20"/>
  <c r="I2132" i="20" s="1"/>
  <c r="H2133" i="20"/>
  <c r="I2133" i="20" s="1"/>
  <c r="H2134" i="20"/>
  <c r="I2134" i="20" s="1"/>
  <c r="H2135" i="20"/>
  <c r="I2135" i="20" s="1"/>
  <c r="H2136" i="20"/>
  <c r="I2136" i="20" s="1"/>
  <c r="H2137" i="20"/>
  <c r="I2137" i="20" s="1"/>
  <c r="H2138" i="20"/>
  <c r="I2138" i="20" s="1"/>
  <c r="H2139" i="20"/>
  <c r="I2139" i="20" s="1"/>
  <c r="H2140" i="20"/>
  <c r="I2140" i="20" s="1"/>
  <c r="H2141" i="20"/>
  <c r="I2141" i="20" s="1"/>
  <c r="H2142" i="20"/>
  <c r="I2142" i="20" s="1"/>
  <c r="H2143" i="20"/>
  <c r="I2143" i="20" s="1"/>
  <c r="H2144" i="20"/>
  <c r="I2144" i="20" s="1"/>
  <c r="H2145" i="20"/>
  <c r="I2145" i="20" s="1"/>
  <c r="H2146" i="20"/>
  <c r="I2146" i="20" s="1"/>
  <c r="H2147" i="20"/>
  <c r="I2147" i="20" s="1"/>
  <c r="H2148" i="20"/>
  <c r="I2148" i="20" s="1"/>
  <c r="H2149" i="20"/>
  <c r="I2149" i="20" s="1"/>
  <c r="H2150" i="20"/>
  <c r="I2150" i="20" s="1"/>
  <c r="H2151" i="20"/>
  <c r="I2151" i="20" s="1"/>
  <c r="H2152" i="20"/>
  <c r="I2152" i="20" s="1"/>
  <c r="H2153" i="20"/>
  <c r="I2153" i="20" s="1"/>
  <c r="H2154" i="20"/>
  <c r="I2154" i="20" s="1"/>
  <c r="H2155" i="20"/>
  <c r="I2155" i="20" s="1"/>
  <c r="H2156" i="20"/>
  <c r="I2156" i="20" s="1"/>
  <c r="H2157" i="20"/>
  <c r="I2157" i="20" s="1"/>
  <c r="H2158" i="20"/>
  <c r="I2158" i="20" s="1"/>
  <c r="H2159" i="20"/>
  <c r="I2159" i="20" s="1"/>
  <c r="H2160" i="20"/>
  <c r="I2160" i="20" s="1"/>
  <c r="H2161" i="20"/>
  <c r="I2161" i="20" s="1"/>
  <c r="H2162" i="20"/>
  <c r="I2162" i="20" s="1"/>
  <c r="H2163" i="20"/>
  <c r="I2163" i="20" s="1"/>
  <c r="H2164" i="20"/>
  <c r="I2164" i="20" s="1"/>
  <c r="H2165" i="20"/>
  <c r="I2165" i="20" s="1"/>
  <c r="H2166" i="20"/>
  <c r="I2166" i="20" s="1"/>
  <c r="H2167" i="20"/>
  <c r="I2167" i="20" s="1"/>
  <c r="H2168" i="20"/>
  <c r="I2168" i="20" s="1"/>
  <c r="H2169" i="20"/>
  <c r="I2169" i="20" s="1"/>
  <c r="H2170" i="20"/>
  <c r="I2170" i="20" s="1"/>
  <c r="H2171" i="20"/>
  <c r="I2171" i="20" s="1"/>
  <c r="H2172" i="20"/>
  <c r="I2172" i="20" s="1"/>
  <c r="H2173" i="20"/>
  <c r="I2173" i="20" s="1"/>
  <c r="H2174" i="20"/>
  <c r="I2174" i="20" s="1"/>
  <c r="H2175" i="20"/>
  <c r="I2175" i="20" s="1"/>
  <c r="H2176" i="20"/>
  <c r="I2176" i="20" s="1"/>
  <c r="H2177" i="20"/>
  <c r="I2177" i="20" s="1"/>
  <c r="H2178" i="20"/>
  <c r="I2178" i="20" s="1"/>
  <c r="H2179" i="20"/>
  <c r="I2179" i="20" s="1"/>
  <c r="H2180" i="20"/>
  <c r="I2180" i="20" s="1"/>
  <c r="H2181" i="20"/>
  <c r="I2181" i="20" s="1"/>
  <c r="H2182" i="20"/>
  <c r="I2182" i="20" s="1"/>
  <c r="H2183" i="20"/>
  <c r="I2183" i="20" s="1"/>
  <c r="H2184" i="20"/>
  <c r="I2184" i="20" s="1"/>
  <c r="H2185" i="20"/>
  <c r="I2185" i="20" s="1"/>
  <c r="H2186" i="20"/>
  <c r="I2186" i="20" s="1"/>
  <c r="H2187" i="20"/>
  <c r="I2187" i="20" s="1"/>
  <c r="H2188" i="20"/>
  <c r="I2188" i="20" s="1"/>
  <c r="H2189" i="20"/>
  <c r="I2189" i="20" s="1"/>
  <c r="H2190" i="20"/>
  <c r="I2190" i="20" s="1"/>
  <c r="H2191" i="20"/>
  <c r="I2191" i="20" s="1"/>
  <c r="H2192" i="20"/>
  <c r="I2192" i="20" s="1"/>
  <c r="H2193" i="20"/>
  <c r="I2193" i="20" s="1"/>
  <c r="H2194" i="20"/>
  <c r="I2194" i="20" s="1"/>
  <c r="H2195" i="20"/>
  <c r="I2195" i="20" s="1"/>
  <c r="H2196" i="20"/>
  <c r="I2196" i="20" s="1"/>
  <c r="H2197" i="20"/>
  <c r="I2197" i="20" s="1"/>
  <c r="H2198" i="20"/>
  <c r="I2198" i="20" s="1"/>
  <c r="H2199" i="20"/>
  <c r="I2199" i="20" s="1"/>
  <c r="H2200" i="20"/>
  <c r="I2200" i="20" s="1"/>
  <c r="H2201" i="20"/>
  <c r="I2201" i="20" s="1"/>
  <c r="H2202" i="20"/>
  <c r="I2202" i="20" s="1"/>
  <c r="H2203" i="20"/>
  <c r="I2203" i="20" s="1"/>
  <c r="H2204" i="20"/>
  <c r="I2204" i="20" s="1"/>
  <c r="H2205" i="20"/>
  <c r="I2205" i="20" s="1"/>
  <c r="H2206" i="20"/>
  <c r="I2206" i="20" s="1"/>
  <c r="H2207" i="20"/>
  <c r="I2207" i="20" s="1"/>
  <c r="H2208" i="20"/>
  <c r="I2208" i="20" s="1"/>
  <c r="H2209" i="20"/>
  <c r="I2209" i="20" s="1"/>
  <c r="H2210" i="20"/>
  <c r="I2210" i="20" s="1"/>
  <c r="H2211" i="20"/>
  <c r="I2211" i="20" s="1"/>
  <c r="H2212" i="20"/>
  <c r="I2212" i="20" s="1"/>
  <c r="H2213" i="20"/>
  <c r="I2213" i="20" s="1"/>
  <c r="H2214" i="20"/>
  <c r="I2214" i="20" s="1"/>
  <c r="H2215" i="20"/>
  <c r="I2215" i="20" s="1"/>
  <c r="H2216" i="20"/>
  <c r="I2216" i="20" s="1"/>
  <c r="H2217" i="20"/>
  <c r="I2217" i="20" s="1"/>
  <c r="H2218" i="20"/>
  <c r="I2218" i="20" s="1"/>
  <c r="H2219" i="20"/>
  <c r="I2219" i="20" s="1"/>
  <c r="H2220" i="20"/>
  <c r="I2220" i="20" s="1"/>
  <c r="H2221" i="20"/>
  <c r="I2221" i="20" s="1"/>
  <c r="H2222" i="20"/>
  <c r="I2222" i="20" s="1"/>
  <c r="H2223" i="20"/>
  <c r="I2223" i="20" s="1"/>
  <c r="H2224" i="20"/>
  <c r="I2224" i="20" s="1"/>
  <c r="H2225" i="20"/>
  <c r="I2225" i="20" s="1"/>
  <c r="H2226" i="20"/>
  <c r="I2226" i="20" s="1"/>
  <c r="H2227" i="20"/>
  <c r="I2227" i="20" s="1"/>
  <c r="H2228" i="20"/>
  <c r="I2228" i="20" s="1"/>
  <c r="H2229" i="20"/>
  <c r="I2229" i="20" s="1"/>
  <c r="H2230" i="20"/>
  <c r="I2230" i="20" s="1"/>
  <c r="H2231" i="20"/>
  <c r="I2231" i="20" s="1"/>
  <c r="H2232" i="20"/>
  <c r="I2232" i="20" s="1"/>
  <c r="H2233" i="20"/>
  <c r="I2233" i="20" s="1"/>
  <c r="H2234" i="20"/>
  <c r="I2234" i="20" s="1"/>
  <c r="H2235" i="20"/>
  <c r="I2235" i="20" s="1"/>
  <c r="H2236" i="20"/>
  <c r="I2236" i="20" s="1"/>
  <c r="H2237" i="20"/>
  <c r="I2237" i="20" s="1"/>
  <c r="H2238" i="20"/>
  <c r="I2238" i="20" s="1"/>
  <c r="H2239" i="20"/>
  <c r="I2239" i="20" s="1"/>
  <c r="H2240" i="20"/>
  <c r="I2240" i="20" s="1"/>
  <c r="H2241" i="20"/>
  <c r="I2241" i="20" s="1"/>
  <c r="G2095" i="20"/>
  <c r="G2096" i="20"/>
  <c r="G2097" i="20"/>
  <c r="G2098" i="20"/>
  <c r="G2099" i="20"/>
  <c r="G2100" i="20"/>
  <c r="G2101" i="20"/>
  <c r="G2102" i="20"/>
  <c r="G2103" i="20"/>
  <c r="G2104" i="20"/>
  <c r="G2105" i="20"/>
  <c r="G2106" i="20"/>
  <c r="G2107" i="20"/>
  <c r="G2108" i="20"/>
  <c r="G2109" i="20"/>
  <c r="G2110" i="20"/>
  <c r="G2111" i="20"/>
  <c r="G2112" i="20"/>
  <c r="G2113" i="20"/>
  <c r="G2114" i="20"/>
  <c r="G2115" i="20"/>
  <c r="G2116" i="20"/>
  <c r="G2117" i="20"/>
  <c r="G2118" i="20"/>
  <c r="G2119" i="20"/>
  <c r="G2120" i="20"/>
  <c r="G2121" i="20"/>
  <c r="G2122" i="20"/>
  <c r="G2123" i="20"/>
  <c r="G2124" i="20"/>
  <c r="G2125" i="20"/>
  <c r="G2126" i="20"/>
  <c r="G2127" i="20"/>
  <c r="G2128" i="20"/>
  <c r="G2129" i="20"/>
  <c r="G2130" i="20"/>
  <c r="G2131" i="20"/>
  <c r="G2132" i="20"/>
  <c r="G2133" i="20"/>
  <c r="G2134" i="20"/>
  <c r="G2135" i="20"/>
  <c r="G2136" i="20"/>
  <c r="G2137" i="20"/>
  <c r="G2138" i="20"/>
  <c r="G2139" i="20"/>
  <c r="G2140" i="20"/>
  <c r="G2141" i="20"/>
  <c r="G2142" i="20"/>
  <c r="G2143" i="20"/>
  <c r="G2144" i="20"/>
  <c r="G2145" i="20"/>
  <c r="G2146" i="20"/>
  <c r="G2147" i="20"/>
  <c r="G2148" i="20"/>
  <c r="G2149" i="20"/>
  <c r="G2150" i="20"/>
  <c r="G2151" i="20"/>
  <c r="G2152" i="20"/>
  <c r="G2153" i="20"/>
  <c r="G2154" i="20"/>
  <c r="G2155" i="20"/>
  <c r="G2156" i="20"/>
  <c r="G2157" i="20"/>
  <c r="G2158" i="20"/>
  <c r="G2159" i="20"/>
  <c r="G2160" i="20"/>
  <c r="G2161" i="20"/>
  <c r="G2162" i="20"/>
  <c r="G2163" i="20"/>
  <c r="G2164" i="20"/>
  <c r="G2165" i="20"/>
  <c r="G2166" i="20"/>
  <c r="G2167" i="20"/>
  <c r="G2168" i="20"/>
  <c r="G2169" i="20"/>
  <c r="G2170" i="20"/>
  <c r="G2171" i="20"/>
  <c r="G2172" i="20"/>
  <c r="G2173" i="20"/>
  <c r="G2174" i="20"/>
  <c r="G2175" i="20"/>
  <c r="G2176" i="20"/>
  <c r="G2177" i="20"/>
  <c r="G2178" i="20"/>
  <c r="G2179" i="20"/>
  <c r="G2180" i="20"/>
  <c r="G2181" i="20"/>
  <c r="G2182" i="20"/>
  <c r="G2183" i="20"/>
  <c r="G2184" i="20"/>
  <c r="G2185" i="20"/>
  <c r="G2186" i="20"/>
  <c r="G2187" i="20"/>
  <c r="G2188" i="20"/>
  <c r="G2189" i="20"/>
  <c r="G2190" i="20"/>
  <c r="G2191" i="20"/>
  <c r="G2192" i="20"/>
  <c r="G2193" i="20"/>
  <c r="G2194" i="20"/>
  <c r="G2195" i="20"/>
  <c r="G2196" i="20"/>
  <c r="G2197" i="20"/>
  <c r="G2198" i="20"/>
  <c r="G2199" i="20"/>
  <c r="G2200" i="20"/>
  <c r="G2201" i="20"/>
  <c r="G2202" i="20"/>
  <c r="G2203" i="20"/>
  <c r="G2204" i="20"/>
  <c r="G2205" i="20"/>
  <c r="G2206" i="20"/>
  <c r="G2207" i="20"/>
  <c r="G2208" i="20"/>
  <c r="G2209" i="20"/>
  <c r="G2210" i="20"/>
  <c r="G2211" i="20"/>
  <c r="G2212" i="20"/>
  <c r="G2213" i="20"/>
  <c r="G2214" i="20"/>
  <c r="G2215" i="20"/>
  <c r="G2216" i="20"/>
  <c r="G2217" i="20"/>
  <c r="G2218" i="20"/>
  <c r="G2219" i="20"/>
  <c r="G2220" i="20"/>
  <c r="G2221" i="20"/>
  <c r="G2222" i="20"/>
  <c r="G2223" i="20"/>
  <c r="G2224" i="20"/>
  <c r="G2225" i="20"/>
  <c r="G2226" i="20"/>
  <c r="G2227" i="20"/>
  <c r="G2228" i="20"/>
  <c r="G2229" i="20"/>
  <c r="G2230" i="20"/>
  <c r="G2231" i="20"/>
  <c r="G2232" i="20"/>
  <c r="G2233" i="20"/>
  <c r="G2234" i="20"/>
  <c r="G2235" i="20"/>
  <c r="G2236" i="20"/>
  <c r="G2237" i="20"/>
  <c r="G2238" i="20"/>
  <c r="G2239" i="20"/>
  <c r="G2240" i="20"/>
  <c r="G2241" i="20"/>
  <c r="H1416" i="20"/>
  <c r="I1416" i="20" s="1"/>
  <c r="H1417" i="20"/>
  <c r="I1417" i="20" s="1"/>
  <c r="H1418" i="20"/>
  <c r="I1418" i="20" s="1"/>
  <c r="H1419" i="20"/>
  <c r="I1419" i="20" s="1"/>
  <c r="H1420" i="20"/>
  <c r="I1420" i="20" s="1"/>
  <c r="H1421" i="20"/>
  <c r="I1421" i="20" s="1"/>
  <c r="H1422" i="20"/>
  <c r="I1422" i="20" s="1"/>
  <c r="H1423" i="20"/>
  <c r="I1423" i="20" s="1"/>
  <c r="H1424" i="20"/>
  <c r="I1424" i="20" s="1"/>
  <c r="H1425" i="20"/>
  <c r="I1425" i="20" s="1"/>
  <c r="H1426" i="20"/>
  <c r="I1426" i="20" s="1"/>
  <c r="H1427" i="20"/>
  <c r="I1427" i="20" s="1"/>
  <c r="H1428" i="20"/>
  <c r="I1428" i="20" s="1"/>
  <c r="H1429" i="20"/>
  <c r="I1429" i="20" s="1"/>
  <c r="H1430" i="20"/>
  <c r="I1430" i="20" s="1"/>
  <c r="H1431" i="20"/>
  <c r="I1431" i="20" s="1"/>
  <c r="H1432" i="20"/>
  <c r="I1432" i="20" s="1"/>
  <c r="H1433" i="20"/>
  <c r="I1433" i="20" s="1"/>
  <c r="H1434" i="20"/>
  <c r="I1434" i="20" s="1"/>
  <c r="H1435" i="20"/>
  <c r="I1435" i="20" s="1"/>
  <c r="H1436" i="20"/>
  <c r="I1436" i="20" s="1"/>
  <c r="H1437" i="20"/>
  <c r="I1437" i="20" s="1"/>
  <c r="H1438" i="20"/>
  <c r="I1438" i="20" s="1"/>
  <c r="H1439" i="20"/>
  <c r="I1439" i="20" s="1"/>
  <c r="H1440" i="20"/>
  <c r="I1440" i="20" s="1"/>
  <c r="H1441" i="20"/>
  <c r="I1441" i="20" s="1"/>
  <c r="H1442" i="20"/>
  <c r="I1442" i="20" s="1"/>
  <c r="H1443" i="20"/>
  <c r="I1443" i="20" s="1"/>
  <c r="H1444" i="20"/>
  <c r="I1444" i="20" s="1"/>
  <c r="H1445" i="20"/>
  <c r="I1445" i="20" s="1"/>
  <c r="H1446" i="20"/>
  <c r="I1446" i="20" s="1"/>
  <c r="H1447" i="20"/>
  <c r="I1447" i="20" s="1"/>
  <c r="H1448" i="20"/>
  <c r="I1448" i="20" s="1"/>
  <c r="H1449" i="20"/>
  <c r="I1449" i="20" s="1"/>
  <c r="H1450" i="20"/>
  <c r="I1450" i="20" s="1"/>
  <c r="H1451" i="20"/>
  <c r="I1451" i="20" s="1"/>
  <c r="H1452" i="20"/>
  <c r="I1452" i="20" s="1"/>
  <c r="H1453" i="20"/>
  <c r="I1453" i="20" s="1"/>
  <c r="H1454" i="20"/>
  <c r="I1454" i="20" s="1"/>
  <c r="H1455" i="20"/>
  <c r="I1455" i="20" s="1"/>
  <c r="H1456" i="20"/>
  <c r="I1456" i="20" s="1"/>
  <c r="H1457" i="20"/>
  <c r="I1457" i="20" s="1"/>
  <c r="H1458" i="20"/>
  <c r="I1458" i="20" s="1"/>
  <c r="H1459" i="20"/>
  <c r="I1459" i="20" s="1"/>
  <c r="H1460" i="20"/>
  <c r="I1460" i="20" s="1"/>
  <c r="H1461" i="20"/>
  <c r="I1461" i="20" s="1"/>
  <c r="H1462" i="20"/>
  <c r="I1462" i="20" s="1"/>
  <c r="H1463" i="20"/>
  <c r="I1463" i="20" s="1"/>
  <c r="H1464" i="20"/>
  <c r="I1464" i="20" s="1"/>
  <c r="H1465" i="20"/>
  <c r="I1465" i="20" s="1"/>
  <c r="H1466" i="20"/>
  <c r="I1466" i="20" s="1"/>
  <c r="H1467" i="20"/>
  <c r="I1467" i="20" s="1"/>
  <c r="H1468" i="20"/>
  <c r="I1468" i="20" s="1"/>
  <c r="H1469" i="20"/>
  <c r="I1469" i="20" s="1"/>
  <c r="H1470" i="20"/>
  <c r="I1470" i="20" s="1"/>
  <c r="H1471" i="20"/>
  <c r="I1471" i="20" s="1"/>
  <c r="H1472" i="20"/>
  <c r="I1472" i="20" s="1"/>
  <c r="H1473" i="20"/>
  <c r="I1473" i="20" s="1"/>
  <c r="H1474" i="20"/>
  <c r="I1474" i="20" s="1"/>
  <c r="H1475" i="20"/>
  <c r="I1475" i="20" s="1"/>
  <c r="H1476" i="20"/>
  <c r="I1476" i="20" s="1"/>
  <c r="H1477" i="20"/>
  <c r="I1477" i="20" s="1"/>
  <c r="H1478" i="20"/>
  <c r="I1478" i="20" s="1"/>
  <c r="H1479" i="20"/>
  <c r="I1479" i="20" s="1"/>
  <c r="H1480" i="20"/>
  <c r="I1480" i="20" s="1"/>
  <c r="H1481" i="20"/>
  <c r="I1481" i="20" s="1"/>
  <c r="H1482" i="20"/>
  <c r="I1482" i="20" s="1"/>
  <c r="H1483" i="20"/>
  <c r="I1483" i="20" s="1"/>
  <c r="H1484" i="20"/>
  <c r="I1484" i="20" s="1"/>
  <c r="H1485" i="20"/>
  <c r="I1485" i="20" s="1"/>
  <c r="H1486" i="20"/>
  <c r="I1486" i="20" s="1"/>
  <c r="H1487" i="20"/>
  <c r="I1487" i="20" s="1"/>
  <c r="H1488" i="20"/>
  <c r="I1488" i="20" s="1"/>
  <c r="H1489" i="20"/>
  <c r="I1489" i="20" s="1"/>
  <c r="H1490" i="20"/>
  <c r="I1490" i="20" s="1"/>
  <c r="H1491" i="20"/>
  <c r="I1491" i="20" s="1"/>
  <c r="H1492" i="20"/>
  <c r="I1492" i="20" s="1"/>
  <c r="H1493" i="20"/>
  <c r="I1493" i="20" s="1"/>
  <c r="H1494" i="20"/>
  <c r="I1494" i="20" s="1"/>
  <c r="H1495" i="20"/>
  <c r="I1495" i="20" s="1"/>
  <c r="H1496" i="20"/>
  <c r="I1496" i="20" s="1"/>
  <c r="H1497" i="20"/>
  <c r="I1497" i="20" s="1"/>
  <c r="H1498" i="20"/>
  <c r="I1498" i="20" s="1"/>
  <c r="H1499" i="20"/>
  <c r="I1499" i="20" s="1"/>
  <c r="H1500" i="20"/>
  <c r="I1500" i="20" s="1"/>
  <c r="H1501" i="20"/>
  <c r="I1501" i="20" s="1"/>
  <c r="H1502" i="20"/>
  <c r="I1502" i="20" s="1"/>
  <c r="H1503" i="20"/>
  <c r="I1503" i="20" s="1"/>
  <c r="H1504" i="20"/>
  <c r="I1504" i="20" s="1"/>
  <c r="H1505" i="20"/>
  <c r="I1505" i="20" s="1"/>
  <c r="H1506" i="20"/>
  <c r="I1506" i="20" s="1"/>
  <c r="H1507" i="20"/>
  <c r="I1507" i="20" s="1"/>
  <c r="H1508" i="20"/>
  <c r="I1508" i="20" s="1"/>
  <c r="H1509" i="20"/>
  <c r="I1509" i="20" s="1"/>
  <c r="H1510" i="20"/>
  <c r="I1510" i="20" s="1"/>
  <c r="H1511" i="20"/>
  <c r="I1511" i="20" s="1"/>
  <c r="H1512" i="20"/>
  <c r="I1512" i="20" s="1"/>
  <c r="H1513" i="20"/>
  <c r="I1513" i="20" s="1"/>
  <c r="H1514" i="20"/>
  <c r="I1514" i="20" s="1"/>
  <c r="H1515" i="20"/>
  <c r="I1515" i="20" s="1"/>
  <c r="H1516" i="20"/>
  <c r="I1516" i="20" s="1"/>
  <c r="H1517" i="20"/>
  <c r="I1517" i="20" s="1"/>
  <c r="H1518" i="20"/>
  <c r="I1518" i="20" s="1"/>
  <c r="H1519" i="20"/>
  <c r="I1519" i="20" s="1"/>
  <c r="H1520" i="20"/>
  <c r="I1520" i="20" s="1"/>
  <c r="H1521" i="20"/>
  <c r="I1521" i="20" s="1"/>
  <c r="H1522" i="20"/>
  <c r="I1522" i="20" s="1"/>
  <c r="H1523" i="20"/>
  <c r="I1523" i="20" s="1"/>
  <c r="H1524" i="20"/>
  <c r="I1524" i="20" s="1"/>
  <c r="H1525" i="20"/>
  <c r="I1525" i="20" s="1"/>
  <c r="H1526" i="20"/>
  <c r="I1526" i="20" s="1"/>
  <c r="H1527" i="20"/>
  <c r="I1527" i="20" s="1"/>
  <c r="H1528" i="20"/>
  <c r="I1528" i="20" s="1"/>
  <c r="H1529" i="20"/>
  <c r="I1529" i="20" s="1"/>
  <c r="H1530" i="20"/>
  <c r="I1530" i="20" s="1"/>
  <c r="H1531" i="20"/>
  <c r="I1531" i="20" s="1"/>
  <c r="H1532" i="20"/>
  <c r="I1532" i="20" s="1"/>
  <c r="H1533" i="20"/>
  <c r="I1533" i="20" s="1"/>
  <c r="H1534" i="20"/>
  <c r="I1534" i="20" s="1"/>
  <c r="H1535" i="20"/>
  <c r="I1535" i="20" s="1"/>
  <c r="H1536" i="20"/>
  <c r="I1536" i="20" s="1"/>
  <c r="H1537" i="20"/>
  <c r="I1537" i="20" s="1"/>
  <c r="H1538" i="20"/>
  <c r="I1538" i="20" s="1"/>
  <c r="H1539" i="20"/>
  <c r="I1539" i="20" s="1"/>
  <c r="H1540" i="20"/>
  <c r="I1540" i="20" s="1"/>
  <c r="H1541" i="20"/>
  <c r="I1541" i="20" s="1"/>
  <c r="H1542" i="20"/>
  <c r="I1542" i="20" s="1"/>
  <c r="H1543" i="20"/>
  <c r="I1543" i="20" s="1"/>
  <c r="H1544" i="20"/>
  <c r="I1544" i="20" s="1"/>
  <c r="H1545" i="20"/>
  <c r="I1545" i="20" s="1"/>
  <c r="H1546" i="20"/>
  <c r="I1546" i="20" s="1"/>
  <c r="H1547" i="20"/>
  <c r="I1547" i="20" s="1"/>
  <c r="H1548" i="20"/>
  <c r="I1548" i="20" s="1"/>
  <c r="H1549" i="20"/>
  <c r="I1549" i="20" s="1"/>
  <c r="H1550" i="20"/>
  <c r="I1550" i="20" s="1"/>
  <c r="H1551" i="20"/>
  <c r="I1551" i="20" s="1"/>
  <c r="H1552" i="20"/>
  <c r="I1552" i="20" s="1"/>
  <c r="H1553" i="20"/>
  <c r="I1553" i="20" s="1"/>
  <c r="H1554" i="20"/>
  <c r="I1554" i="20" s="1"/>
  <c r="H1555" i="20"/>
  <c r="I1555" i="20" s="1"/>
  <c r="H1556" i="20"/>
  <c r="I1556" i="20" s="1"/>
  <c r="H1557" i="20"/>
  <c r="I1557" i="20" s="1"/>
  <c r="H1558" i="20"/>
  <c r="I1558" i="20" s="1"/>
  <c r="H1559" i="20"/>
  <c r="I1559" i="20" s="1"/>
  <c r="H1560" i="20"/>
  <c r="I1560" i="20" s="1"/>
  <c r="H1561" i="20"/>
  <c r="I1561" i="20" s="1"/>
  <c r="H1562" i="20"/>
  <c r="I1562" i="20" s="1"/>
  <c r="H1563" i="20"/>
  <c r="I1563" i="20" s="1"/>
  <c r="H1564" i="20"/>
  <c r="I1564" i="20" s="1"/>
  <c r="H1565" i="20"/>
  <c r="I1565" i="20" s="1"/>
  <c r="H1566" i="20"/>
  <c r="I1566" i="20" s="1"/>
  <c r="H1567" i="20"/>
  <c r="I1567" i="20" s="1"/>
  <c r="H1568" i="20"/>
  <c r="I1568" i="20" s="1"/>
  <c r="H1569" i="20"/>
  <c r="I1569" i="20" s="1"/>
  <c r="H1570" i="20"/>
  <c r="I1570" i="20" s="1"/>
  <c r="H1571" i="20"/>
  <c r="I1571" i="20" s="1"/>
  <c r="H1572" i="20"/>
  <c r="I1572" i="20" s="1"/>
  <c r="H1573" i="20"/>
  <c r="I1573" i="20" s="1"/>
  <c r="H1574" i="20"/>
  <c r="I1574" i="20" s="1"/>
  <c r="H1575" i="20"/>
  <c r="I1575" i="20" s="1"/>
  <c r="H1576" i="20"/>
  <c r="I1576" i="20" s="1"/>
  <c r="H1577" i="20"/>
  <c r="I1577" i="20" s="1"/>
  <c r="H1578" i="20"/>
  <c r="I1578" i="20" s="1"/>
  <c r="H1579" i="20"/>
  <c r="I1579" i="20" s="1"/>
  <c r="H1580" i="20"/>
  <c r="I1580" i="20" s="1"/>
  <c r="H1581" i="20"/>
  <c r="I1581" i="20" s="1"/>
  <c r="H1582" i="20"/>
  <c r="I1582" i="20" s="1"/>
  <c r="H1583" i="20"/>
  <c r="I1583" i="20" s="1"/>
  <c r="H1584" i="20"/>
  <c r="I1584" i="20" s="1"/>
  <c r="H1585" i="20"/>
  <c r="I1585" i="20" s="1"/>
  <c r="H1586" i="20"/>
  <c r="I1586" i="20" s="1"/>
  <c r="H1587" i="20"/>
  <c r="I1587" i="20" s="1"/>
  <c r="H1588" i="20"/>
  <c r="I1588" i="20" s="1"/>
  <c r="H1589" i="20"/>
  <c r="I1589" i="20" s="1"/>
  <c r="H1590" i="20"/>
  <c r="I1590" i="20" s="1"/>
  <c r="H1591" i="20"/>
  <c r="I1591" i="20" s="1"/>
  <c r="H1592" i="20"/>
  <c r="I1592" i="20" s="1"/>
  <c r="H1593" i="20"/>
  <c r="I1593" i="20" s="1"/>
  <c r="H1594" i="20"/>
  <c r="I1594" i="20" s="1"/>
  <c r="H1595" i="20"/>
  <c r="I1595" i="20" s="1"/>
  <c r="H1597" i="20"/>
  <c r="I1597" i="20" s="1"/>
  <c r="H1598" i="20"/>
  <c r="I1598" i="20" s="1"/>
  <c r="H1599" i="20"/>
  <c r="I1599" i="20" s="1"/>
  <c r="H1600" i="20"/>
  <c r="I1600" i="20" s="1"/>
  <c r="H1601" i="20"/>
  <c r="I1601" i="20" s="1"/>
  <c r="H1602" i="20"/>
  <c r="I1602" i="20" s="1"/>
  <c r="H1603" i="20"/>
  <c r="I1603" i="20" s="1"/>
  <c r="H1604" i="20"/>
  <c r="I1604" i="20" s="1"/>
  <c r="H1605" i="20"/>
  <c r="I1605" i="20" s="1"/>
  <c r="H1606" i="20"/>
  <c r="I1606" i="20" s="1"/>
  <c r="H1607" i="20"/>
  <c r="I1607" i="20" s="1"/>
  <c r="H1608" i="20"/>
  <c r="I1608" i="20" s="1"/>
  <c r="H1609" i="20"/>
  <c r="I1609" i="20" s="1"/>
  <c r="H1610" i="20"/>
  <c r="I1610" i="20" s="1"/>
  <c r="H1611" i="20"/>
  <c r="I1611" i="20" s="1"/>
  <c r="H1612" i="20"/>
  <c r="I1612" i="20" s="1"/>
  <c r="H1613" i="20"/>
  <c r="I1613" i="20" s="1"/>
  <c r="H1614" i="20"/>
  <c r="I1614" i="20" s="1"/>
  <c r="H1615" i="20"/>
  <c r="I1615" i="20" s="1"/>
  <c r="H1616" i="20"/>
  <c r="I1616" i="20" s="1"/>
  <c r="H1617" i="20"/>
  <c r="I1617" i="20" s="1"/>
  <c r="H1618" i="20"/>
  <c r="I1618" i="20" s="1"/>
  <c r="H1619" i="20"/>
  <c r="I1619" i="20" s="1"/>
  <c r="H1620" i="20"/>
  <c r="I1620" i="20" s="1"/>
  <c r="H1621" i="20"/>
  <c r="I1621" i="20" s="1"/>
  <c r="H1622" i="20"/>
  <c r="I1622" i="20" s="1"/>
  <c r="H1623" i="20"/>
  <c r="I1623" i="20" s="1"/>
  <c r="H1624" i="20"/>
  <c r="I1624" i="20" s="1"/>
  <c r="H1625" i="20"/>
  <c r="I1625" i="20" s="1"/>
  <c r="H1626" i="20"/>
  <c r="I1626" i="20" s="1"/>
  <c r="H1627" i="20"/>
  <c r="I1627" i="20" s="1"/>
  <c r="H1628" i="20"/>
  <c r="I1628" i="20" s="1"/>
  <c r="H1629" i="20"/>
  <c r="I1629" i="20" s="1"/>
  <c r="H1630" i="20"/>
  <c r="I1630" i="20" s="1"/>
  <c r="H1631" i="20"/>
  <c r="I1631" i="20" s="1"/>
  <c r="H1632" i="20"/>
  <c r="I1632" i="20" s="1"/>
  <c r="H1633" i="20"/>
  <c r="I1633" i="20" s="1"/>
  <c r="H1634" i="20"/>
  <c r="I1634" i="20" s="1"/>
  <c r="H1635" i="20"/>
  <c r="I1635" i="20" s="1"/>
  <c r="H1636" i="20"/>
  <c r="I1636" i="20" s="1"/>
  <c r="H1637" i="20"/>
  <c r="I1637" i="20" s="1"/>
  <c r="H1638" i="20"/>
  <c r="I1638" i="20" s="1"/>
  <c r="H1639" i="20"/>
  <c r="I1639" i="20" s="1"/>
  <c r="H1640" i="20"/>
  <c r="I1640" i="20" s="1"/>
  <c r="H1641" i="20"/>
  <c r="I1641" i="20" s="1"/>
  <c r="H1642" i="20"/>
  <c r="I1642" i="20" s="1"/>
  <c r="H1643" i="20"/>
  <c r="I1643" i="20" s="1"/>
  <c r="H1644" i="20"/>
  <c r="I1644" i="20" s="1"/>
  <c r="H1645" i="20"/>
  <c r="I1645" i="20" s="1"/>
  <c r="H1646" i="20"/>
  <c r="I1646" i="20" s="1"/>
  <c r="H1647" i="20"/>
  <c r="I1647" i="20" s="1"/>
  <c r="H1648" i="20"/>
  <c r="I1648" i="20" s="1"/>
  <c r="H1649" i="20"/>
  <c r="I1649" i="20" s="1"/>
  <c r="H1650" i="20"/>
  <c r="I1650" i="20" s="1"/>
  <c r="H1651" i="20"/>
  <c r="I1651" i="20" s="1"/>
  <c r="H1652" i="20"/>
  <c r="I1652" i="20" s="1"/>
  <c r="H1653" i="20"/>
  <c r="I1653" i="20" s="1"/>
  <c r="H1654" i="20"/>
  <c r="I1654" i="20" s="1"/>
  <c r="H1655" i="20"/>
  <c r="I1655" i="20" s="1"/>
  <c r="H1656" i="20"/>
  <c r="I1656" i="20" s="1"/>
  <c r="H1657" i="20"/>
  <c r="I1657" i="20" s="1"/>
  <c r="H1658" i="20"/>
  <c r="I1658" i="20" s="1"/>
  <c r="H1659" i="20"/>
  <c r="I1659" i="20" s="1"/>
  <c r="H1660" i="20"/>
  <c r="I1660" i="20" s="1"/>
  <c r="H1661" i="20"/>
  <c r="I1661" i="20" s="1"/>
  <c r="H1662" i="20"/>
  <c r="I1662" i="20" s="1"/>
  <c r="H1663" i="20"/>
  <c r="I1663" i="20" s="1"/>
  <c r="H1664" i="20"/>
  <c r="I1664" i="20" s="1"/>
  <c r="H1665" i="20"/>
  <c r="I1665" i="20" s="1"/>
  <c r="H1666" i="20"/>
  <c r="I1666" i="20" s="1"/>
  <c r="H1667" i="20"/>
  <c r="I1667" i="20" s="1"/>
  <c r="H1668" i="20"/>
  <c r="I1668" i="20" s="1"/>
  <c r="H1669" i="20"/>
  <c r="I1669" i="20" s="1"/>
  <c r="H1670" i="20"/>
  <c r="I1670" i="20" s="1"/>
  <c r="H1671" i="20"/>
  <c r="I1671" i="20" s="1"/>
  <c r="H1672" i="20"/>
  <c r="I1672" i="20" s="1"/>
  <c r="H1673" i="20"/>
  <c r="I1673" i="20" s="1"/>
  <c r="H1674" i="20"/>
  <c r="I1674" i="20" s="1"/>
  <c r="H1675" i="20"/>
  <c r="I1675" i="20" s="1"/>
  <c r="H1676" i="20"/>
  <c r="I1676" i="20" s="1"/>
  <c r="H1677" i="20"/>
  <c r="I1677" i="20" s="1"/>
  <c r="H1678" i="20"/>
  <c r="I1678" i="20" s="1"/>
  <c r="H1679" i="20"/>
  <c r="I1679" i="20" s="1"/>
  <c r="H1680" i="20"/>
  <c r="I1680" i="20" s="1"/>
  <c r="H1681" i="20"/>
  <c r="I1681" i="20" s="1"/>
  <c r="H1682" i="20"/>
  <c r="I1682" i="20" s="1"/>
  <c r="H1683" i="20"/>
  <c r="I1683" i="20" s="1"/>
  <c r="H1684" i="20"/>
  <c r="I1684" i="20" s="1"/>
  <c r="H1685" i="20"/>
  <c r="I1685" i="20" s="1"/>
  <c r="H1686" i="20"/>
  <c r="I1686" i="20" s="1"/>
  <c r="H1687" i="20"/>
  <c r="I1687" i="20" s="1"/>
  <c r="H1688" i="20"/>
  <c r="I1688" i="20" s="1"/>
  <c r="H1689" i="20"/>
  <c r="I1689" i="20" s="1"/>
  <c r="H1690" i="20"/>
  <c r="I1690" i="20" s="1"/>
  <c r="H1691" i="20"/>
  <c r="I1691" i="20" s="1"/>
  <c r="H1692" i="20"/>
  <c r="I1692" i="20" s="1"/>
  <c r="H1693" i="20"/>
  <c r="I1693" i="20" s="1"/>
  <c r="H1694" i="20"/>
  <c r="I1694" i="20" s="1"/>
  <c r="H1695" i="20"/>
  <c r="I1695" i="20" s="1"/>
  <c r="H1696" i="20"/>
  <c r="I1696" i="20" s="1"/>
  <c r="H1697" i="20"/>
  <c r="I1697" i="20" s="1"/>
  <c r="H1698" i="20"/>
  <c r="I1698" i="20" s="1"/>
  <c r="H1699" i="20"/>
  <c r="I1699" i="20" s="1"/>
  <c r="H1700" i="20"/>
  <c r="I1700" i="20" s="1"/>
  <c r="H1701" i="20"/>
  <c r="I1701" i="20" s="1"/>
  <c r="H1702" i="20"/>
  <c r="I1702" i="20" s="1"/>
  <c r="H1703" i="20"/>
  <c r="I1703" i="20" s="1"/>
  <c r="H1704" i="20"/>
  <c r="I1704" i="20" s="1"/>
  <c r="H1705" i="20"/>
  <c r="I1705" i="20" s="1"/>
  <c r="H1706" i="20"/>
  <c r="I1706" i="20" s="1"/>
  <c r="H1707" i="20"/>
  <c r="I1707" i="20" s="1"/>
  <c r="H1708" i="20"/>
  <c r="I1708" i="20" s="1"/>
  <c r="H1709" i="20"/>
  <c r="I1709" i="20" s="1"/>
  <c r="H1710" i="20"/>
  <c r="I1710" i="20" s="1"/>
  <c r="H1711" i="20"/>
  <c r="I1711" i="20" s="1"/>
  <c r="H1712" i="20"/>
  <c r="I1712" i="20" s="1"/>
  <c r="H1713" i="20"/>
  <c r="I1713" i="20" s="1"/>
  <c r="H1714" i="20"/>
  <c r="I1714" i="20" s="1"/>
  <c r="H1715" i="20"/>
  <c r="I1715" i="20" s="1"/>
  <c r="H1716" i="20"/>
  <c r="I1716" i="20" s="1"/>
  <c r="H1717" i="20"/>
  <c r="I1717" i="20" s="1"/>
  <c r="H1718" i="20"/>
  <c r="I1718" i="20" s="1"/>
  <c r="H1719" i="20"/>
  <c r="I1719" i="20" s="1"/>
  <c r="H1720" i="20"/>
  <c r="I1720" i="20" s="1"/>
  <c r="H1721" i="20"/>
  <c r="I1721" i="20" s="1"/>
  <c r="H1722" i="20"/>
  <c r="I1722" i="20" s="1"/>
  <c r="H1723" i="20"/>
  <c r="I1723" i="20" s="1"/>
  <c r="H1724" i="20"/>
  <c r="I1724" i="20" s="1"/>
  <c r="H1725" i="20"/>
  <c r="I1725" i="20" s="1"/>
  <c r="H1726" i="20"/>
  <c r="I1726" i="20" s="1"/>
  <c r="H1727" i="20"/>
  <c r="I1727" i="20" s="1"/>
  <c r="H1728" i="20"/>
  <c r="I1728" i="20" s="1"/>
  <c r="H1729" i="20"/>
  <c r="I1729" i="20" s="1"/>
  <c r="H1730" i="20"/>
  <c r="I1730" i="20" s="1"/>
  <c r="H1731" i="20"/>
  <c r="I1731" i="20" s="1"/>
  <c r="H1732" i="20"/>
  <c r="I1732" i="20" s="1"/>
  <c r="H1733" i="20"/>
  <c r="I1733" i="20" s="1"/>
  <c r="H1734" i="20"/>
  <c r="I1734" i="20" s="1"/>
  <c r="H1735" i="20"/>
  <c r="I1735" i="20" s="1"/>
  <c r="H1736" i="20"/>
  <c r="I1736" i="20" s="1"/>
  <c r="H1737" i="20"/>
  <c r="I1737" i="20" s="1"/>
  <c r="H1738" i="20"/>
  <c r="I1738" i="20" s="1"/>
  <c r="H1739" i="20"/>
  <c r="I1739" i="20" s="1"/>
  <c r="H1740" i="20"/>
  <c r="I1740" i="20" s="1"/>
  <c r="H1741" i="20"/>
  <c r="I1741" i="20" s="1"/>
  <c r="H1742" i="20"/>
  <c r="I1742" i="20" s="1"/>
  <c r="H1743" i="20"/>
  <c r="I1743" i="20" s="1"/>
  <c r="H1744" i="20"/>
  <c r="I1744" i="20" s="1"/>
  <c r="H1745" i="20"/>
  <c r="I1745" i="20" s="1"/>
  <c r="H1746" i="20"/>
  <c r="I1746" i="20" s="1"/>
  <c r="H1747" i="20"/>
  <c r="I1747" i="20" s="1"/>
  <c r="H1748" i="20"/>
  <c r="I1748" i="20" s="1"/>
  <c r="H1749" i="20"/>
  <c r="I1749" i="20" s="1"/>
  <c r="H1750" i="20"/>
  <c r="I1750" i="20" s="1"/>
  <c r="H1751" i="20"/>
  <c r="I1751" i="20" s="1"/>
  <c r="H1752" i="20"/>
  <c r="I1752" i="20" s="1"/>
  <c r="H1753" i="20"/>
  <c r="I1753" i="20" s="1"/>
  <c r="H1754" i="20"/>
  <c r="I1754" i="20" s="1"/>
  <c r="H1755" i="20"/>
  <c r="I1755" i="20" s="1"/>
  <c r="H1756" i="20"/>
  <c r="I1756" i="20" s="1"/>
  <c r="H1757" i="20"/>
  <c r="I1757" i="20" s="1"/>
  <c r="H1758" i="20"/>
  <c r="I1758" i="20" s="1"/>
  <c r="H1759" i="20"/>
  <c r="I1759" i="20" s="1"/>
  <c r="H1760" i="20"/>
  <c r="I1760" i="20" s="1"/>
  <c r="H1761" i="20"/>
  <c r="I1761" i="20" s="1"/>
  <c r="H1762" i="20"/>
  <c r="I1762" i="20" s="1"/>
  <c r="H1763" i="20"/>
  <c r="I1763" i="20" s="1"/>
  <c r="H1764" i="20"/>
  <c r="I1764" i="20" s="1"/>
  <c r="H1765" i="20"/>
  <c r="I1765" i="20" s="1"/>
  <c r="H1766" i="20"/>
  <c r="I1766" i="20" s="1"/>
  <c r="H1767" i="20"/>
  <c r="I1767" i="20" s="1"/>
  <c r="H1768" i="20"/>
  <c r="I1768" i="20" s="1"/>
  <c r="H1769" i="20"/>
  <c r="I1769" i="20" s="1"/>
  <c r="H1770" i="20"/>
  <c r="I1770" i="20" s="1"/>
  <c r="H1771" i="20"/>
  <c r="I1771" i="20" s="1"/>
  <c r="H1772" i="20"/>
  <c r="I1772" i="20" s="1"/>
  <c r="H1773" i="20"/>
  <c r="I1773" i="20" s="1"/>
  <c r="H1774" i="20"/>
  <c r="I1774" i="20" s="1"/>
  <c r="H1775" i="20"/>
  <c r="I1775" i="20" s="1"/>
  <c r="H1776" i="20"/>
  <c r="I1776" i="20" s="1"/>
  <c r="H1777" i="20"/>
  <c r="I1777" i="20" s="1"/>
  <c r="H1778" i="20"/>
  <c r="I1778" i="20" s="1"/>
  <c r="H1779" i="20"/>
  <c r="I1779" i="20" s="1"/>
  <c r="H1780" i="20"/>
  <c r="I1780" i="20" s="1"/>
  <c r="H1781" i="20"/>
  <c r="I1781" i="20" s="1"/>
  <c r="H1782" i="20"/>
  <c r="I1782" i="20" s="1"/>
  <c r="H1783" i="20"/>
  <c r="I1783" i="20" s="1"/>
  <c r="H1784" i="20"/>
  <c r="I1784" i="20" s="1"/>
  <c r="H1785" i="20"/>
  <c r="I1785" i="20" s="1"/>
  <c r="H1786" i="20"/>
  <c r="I1786" i="20" s="1"/>
  <c r="H1787" i="20"/>
  <c r="I1787" i="20" s="1"/>
  <c r="H1788" i="20"/>
  <c r="I1788" i="20" s="1"/>
  <c r="H1789" i="20"/>
  <c r="I1789" i="20" s="1"/>
  <c r="H1790" i="20"/>
  <c r="I1790" i="20" s="1"/>
  <c r="H1791" i="20"/>
  <c r="I1791" i="20" s="1"/>
  <c r="H1792" i="20"/>
  <c r="I1792" i="20" s="1"/>
  <c r="H1793" i="20"/>
  <c r="I1793" i="20" s="1"/>
  <c r="H1794" i="20"/>
  <c r="I1794" i="20" s="1"/>
  <c r="H1795" i="20"/>
  <c r="I1795" i="20" s="1"/>
  <c r="H1796" i="20"/>
  <c r="I1796" i="20" s="1"/>
  <c r="H1797" i="20"/>
  <c r="I1797" i="20" s="1"/>
  <c r="H1798" i="20"/>
  <c r="I1798" i="20" s="1"/>
  <c r="H1799" i="20"/>
  <c r="I1799" i="20" s="1"/>
  <c r="H1800" i="20"/>
  <c r="I1800" i="20" s="1"/>
  <c r="H1801" i="20"/>
  <c r="I1801" i="20" s="1"/>
  <c r="H1802" i="20"/>
  <c r="I1802" i="20" s="1"/>
  <c r="H1803" i="20"/>
  <c r="I1803" i="20" s="1"/>
  <c r="H1804" i="20"/>
  <c r="I1804" i="20" s="1"/>
  <c r="H1805" i="20"/>
  <c r="I1805" i="20" s="1"/>
  <c r="H1806" i="20"/>
  <c r="I1806" i="20" s="1"/>
  <c r="H1807" i="20"/>
  <c r="I1807" i="20" s="1"/>
  <c r="H1808" i="20"/>
  <c r="I1808" i="20" s="1"/>
  <c r="H1809" i="20"/>
  <c r="I1809" i="20" s="1"/>
  <c r="H1810" i="20"/>
  <c r="I1810" i="20" s="1"/>
  <c r="H1811" i="20"/>
  <c r="I1811" i="20" s="1"/>
  <c r="H1812" i="20"/>
  <c r="I1812" i="20" s="1"/>
  <c r="H1813" i="20"/>
  <c r="I1813" i="20" s="1"/>
  <c r="H1814" i="20"/>
  <c r="I1814" i="20" s="1"/>
  <c r="H1815" i="20"/>
  <c r="I1815" i="20" s="1"/>
  <c r="H1816" i="20"/>
  <c r="I1816" i="20" s="1"/>
  <c r="H1817" i="20"/>
  <c r="I1817" i="20" s="1"/>
  <c r="H1818" i="20"/>
  <c r="I1818" i="20" s="1"/>
  <c r="H1819" i="20"/>
  <c r="I1819" i="20" s="1"/>
  <c r="H1820" i="20"/>
  <c r="I1820" i="20" s="1"/>
  <c r="H1821" i="20"/>
  <c r="I1821" i="20" s="1"/>
  <c r="H1822" i="20"/>
  <c r="I1822" i="20" s="1"/>
  <c r="H1823" i="20"/>
  <c r="I1823" i="20" s="1"/>
  <c r="H1824" i="20"/>
  <c r="I1824" i="20" s="1"/>
  <c r="H1825" i="20"/>
  <c r="I1825" i="20" s="1"/>
  <c r="H1826" i="20"/>
  <c r="I1826" i="20" s="1"/>
  <c r="H1827" i="20"/>
  <c r="I1827" i="20" s="1"/>
  <c r="H1828" i="20"/>
  <c r="I1828" i="20" s="1"/>
  <c r="G1416" i="20"/>
  <c r="G1417" i="20"/>
  <c r="G1418" i="20"/>
  <c r="G1419" i="20"/>
  <c r="G1420" i="20"/>
  <c r="G1421" i="20"/>
  <c r="G1422" i="20"/>
  <c r="G1423" i="20"/>
  <c r="G1424" i="20"/>
  <c r="G1425" i="20"/>
  <c r="G1426" i="20"/>
  <c r="G1427" i="20"/>
  <c r="G1428" i="20"/>
  <c r="G1429" i="20"/>
  <c r="G1430" i="20"/>
  <c r="G1431" i="20"/>
  <c r="G1432" i="20"/>
  <c r="G1433" i="20"/>
  <c r="G1434" i="20"/>
  <c r="G1435" i="20"/>
  <c r="G1436" i="20"/>
  <c r="G1437" i="20"/>
  <c r="G1438" i="20"/>
  <c r="G1439" i="20"/>
  <c r="G1440" i="20"/>
  <c r="G1441" i="20"/>
  <c r="G1442" i="20"/>
  <c r="G1443" i="20"/>
  <c r="G1444" i="20"/>
  <c r="G1445" i="20"/>
  <c r="G1446" i="20"/>
  <c r="G1447" i="20"/>
  <c r="G1448" i="20"/>
  <c r="G1449" i="20"/>
  <c r="G1450" i="20"/>
  <c r="G1451" i="20"/>
  <c r="G1452" i="20"/>
  <c r="G1453" i="20"/>
  <c r="G1454" i="20"/>
  <c r="G1455" i="20"/>
  <c r="G1456" i="20"/>
  <c r="G1457" i="20"/>
  <c r="G1458" i="20"/>
  <c r="G1459" i="20"/>
  <c r="G1460" i="20"/>
  <c r="G1461" i="20"/>
  <c r="G1462" i="20"/>
  <c r="G1463" i="20"/>
  <c r="G1464" i="20"/>
  <c r="G1465" i="20"/>
  <c r="G1466" i="20"/>
  <c r="G1467" i="20"/>
  <c r="G1468" i="20"/>
  <c r="G1469" i="20"/>
  <c r="G1470" i="20"/>
  <c r="G1471" i="20"/>
  <c r="G1472" i="20"/>
  <c r="G1473" i="20"/>
  <c r="G1474" i="20"/>
  <c r="G1475" i="20"/>
  <c r="G1476" i="20"/>
  <c r="G1477" i="20"/>
  <c r="G1478" i="20"/>
  <c r="G1479" i="20"/>
  <c r="G1480" i="20"/>
  <c r="G1481" i="20"/>
  <c r="G1482" i="20"/>
  <c r="G1483" i="20"/>
  <c r="G1484" i="20"/>
  <c r="G1485" i="20"/>
  <c r="G1486" i="20"/>
  <c r="G1487" i="20"/>
  <c r="G1488" i="20"/>
  <c r="G1489" i="20"/>
  <c r="G1490" i="20"/>
  <c r="G1491" i="20"/>
  <c r="G1492" i="20"/>
  <c r="G1493" i="20"/>
  <c r="G1494" i="20"/>
  <c r="G1495" i="20"/>
  <c r="G1496" i="20"/>
  <c r="G1497" i="20"/>
  <c r="G1498" i="20"/>
  <c r="G1499" i="20"/>
  <c r="G1500" i="20"/>
  <c r="G1501" i="20"/>
  <c r="G1502" i="20"/>
  <c r="G1503" i="20"/>
  <c r="G1504" i="20"/>
  <c r="G1505" i="20"/>
  <c r="G1506" i="20"/>
  <c r="G1507" i="20"/>
  <c r="G1508" i="20"/>
  <c r="G1509" i="20"/>
  <c r="G1510" i="20"/>
  <c r="G1511" i="20"/>
  <c r="G1512" i="20"/>
  <c r="G1513" i="20"/>
  <c r="G1514" i="20"/>
  <c r="G1515" i="20"/>
  <c r="G1516" i="20"/>
  <c r="G1517" i="20"/>
  <c r="G1518" i="20"/>
  <c r="G1519" i="20"/>
  <c r="G1520" i="20"/>
  <c r="G1521" i="20"/>
  <c r="G1522" i="20"/>
  <c r="G1523" i="20"/>
  <c r="G1524" i="20"/>
  <c r="G1525" i="20"/>
  <c r="G1526" i="20"/>
  <c r="G1527" i="20"/>
  <c r="G1528" i="20"/>
  <c r="G1529" i="20"/>
  <c r="G1530" i="20"/>
  <c r="G1531" i="20"/>
  <c r="G1532" i="20"/>
  <c r="G1533" i="20"/>
  <c r="G1534" i="20"/>
  <c r="G1535" i="20"/>
  <c r="G1536" i="20"/>
  <c r="G1537" i="20"/>
  <c r="G1538" i="20"/>
  <c r="G1539" i="20"/>
  <c r="G1540" i="20"/>
  <c r="G1541" i="20"/>
  <c r="G1542" i="20"/>
  <c r="G1543" i="20"/>
  <c r="G1544" i="20"/>
  <c r="G1545" i="20"/>
  <c r="G1546" i="20"/>
  <c r="G1547" i="20"/>
  <c r="G1548" i="20"/>
  <c r="G1549" i="20"/>
  <c r="G1550" i="20"/>
  <c r="G1551" i="20"/>
  <c r="G1552" i="20"/>
  <c r="G1553" i="20"/>
  <c r="G1554" i="20"/>
  <c r="G1555" i="20"/>
  <c r="G1556" i="20"/>
  <c r="G1557" i="20"/>
  <c r="G1558" i="20"/>
  <c r="G1559" i="20"/>
  <c r="G1560" i="20"/>
  <c r="G1561" i="20"/>
  <c r="G1562" i="20"/>
  <c r="G1563" i="20"/>
  <c r="G1564" i="20"/>
  <c r="G1565" i="20"/>
  <c r="G1566" i="20"/>
  <c r="G1567" i="20"/>
  <c r="G1568" i="20"/>
  <c r="G1569" i="20"/>
  <c r="G1570" i="20"/>
  <c r="G1571" i="20"/>
  <c r="G1572" i="20"/>
  <c r="G1573" i="20"/>
  <c r="G1574" i="20"/>
  <c r="G1575" i="20"/>
  <c r="G1576" i="20"/>
  <c r="G1577" i="20"/>
  <c r="G1578" i="20"/>
  <c r="G1579" i="20"/>
  <c r="G1580" i="20"/>
  <c r="G1581" i="20"/>
  <c r="G1582" i="20"/>
  <c r="G1583" i="20"/>
  <c r="G1584" i="20"/>
  <c r="G1585" i="20"/>
  <c r="G1586" i="20"/>
  <c r="G1587" i="20"/>
  <c r="G1588" i="20"/>
  <c r="G1589" i="20"/>
  <c r="G1590" i="20"/>
  <c r="G1591" i="20"/>
  <c r="G1592" i="20"/>
  <c r="G1593" i="20"/>
  <c r="G1594" i="20"/>
  <c r="G1595" i="20"/>
  <c r="G1596" i="20"/>
  <c r="G1597" i="20"/>
  <c r="G1598" i="20"/>
  <c r="G1599" i="20"/>
  <c r="G1600" i="20"/>
  <c r="G1601" i="20"/>
  <c r="G1602" i="20"/>
  <c r="G1603" i="20"/>
  <c r="G1604" i="20"/>
  <c r="G1605" i="20"/>
  <c r="G1606" i="20"/>
  <c r="G1607" i="20"/>
  <c r="G1608" i="20"/>
  <c r="G1609" i="20"/>
  <c r="G1610" i="20"/>
  <c r="G1611" i="20"/>
  <c r="G1612" i="20"/>
  <c r="G1613" i="20"/>
  <c r="G1614" i="20"/>
  <c r="G1615" i="20"/>
  <c r="G1616" i="20"/>
  <c r="G1617" i="20"/>
  <c r="G1618" i="20"/>
  <c r="G1619" i="20"/>
  <c r="G1620" i="20"/>
  <c r="G1621" i="20"/>
  <c r="G1622" i="20"/>
  <c r="G1623" i="20"/>
  <c r="G1624" i="20"/>
  <c r="G1625" i="20"/>
  <c r="G1626" i="20"/>
  <c r="G1627" i="20"/>
  <c r="G1628" i="20"/>
  <c r="G1629" i="20"/>
  <c r="G1630" i="20"/>
  <c r="G1631" i="20"/>
  <c r="G1632" i="20"/>
  <c r="G1633" i="20"/>
  <c r="G1634" i="20"/>
  <c r="G1635" i="20"/>
  <c r="G1636" i="20"/>
  <c r="G1637" i="20"/>
  <c r="G1638" i="20"/>
  <c r="G1639" i="20"/>
  <c r="G1640" i="20"/>
  <c r="G1641" i="20"/>
  <c r="G1642" i="20"/>
  <c r="G1643" i="20"/>
  <c r="G1644" i="20"/>
  <c r="G1645" i="20"/>
  <c r="G1646" i="20"/>
  <c r="G1647" i="20"/>
  <c r="G1648" i="20"/>
  <c r="G1649" i="20"/>
  <c r="G1650" i="20"/>
  <c r="G1651" i="20"/>
  <c r="G1652" i="20"/>
  <c r="G1653" i="20"/>
  <c r="G1654" i="20"/>
  <c r="G1655" i="20"/>
  <c r="G1656" i="20"/>
  <c r="G1657" i="20"/>
  <c r="G1658" i="20"/>
  <c r="G1659" i="20"/>
  <c r="G1660" i="20"/>
  <c r="G1661" i="20"/>
  <c r="G1662" i="20"/>
  <c r="G1663" i="20"/>
  <c r="G1664" i="20"/>
  <c r="G1665" i="20"/>
  <c r="G1666" i="20"/>
  <c r="G1667" i="20"/>
  <c r="G1668" i="20"/>
  <c r="G1669" i="20"/>
  <c r="G1670" i="20"/>
  <c r="G1671" i="20"/>
  <c r="G1672" i="20"/>
  <c r="G1673" i="20"/>
  <c r="G1674" i="20"/>
  <c r="G1675" i="20"/>
  <c r="G1676" i="20"/>
  <c r="G1677" i="20"/>
  <c r="G1678" i="20"/>
  <c r="G1679" i="20"/>
  <c r="G1680" i="20"/>
  <c r="G1681" i="20"/>
  <c r="G1682" i="20"/>
  <c r="G1683" i="20"/>
  <c r="G1684" i="20"/>
  <c r="G1685" i="20"/>
  <c r="G1686" i="20"/>
  <c r="G1687" i="20"/>
  <c r="G1688" i="20"/>
  <c r="G1689" i="20"/>
  <c r="G1690" i="20"/>
  <c r="G1691" i="20"/>
  <c r="G1692" i="20"/>
  <c r="G1693" i="20"/>
  <c r="G1694" i="20"/>
  <c r="G1695" i="20"/>
  <c r="G1696" i="20"/>
  <c r="G1697" i="20"/>
  <c r="G1698" i="20"/>
  <c r="G1699" i="20"/>
  <c r="G1700" i="20"/>
  <c r="G1701" i="20"/>
  <c r="G1702" i="20"/>
  <c r="G1703" i="20"/>
  <c r="G1704" i="20"/>
  <c r="G1705" i="20"/>
  <c r="G1706" i="20"/>
  <c r="G1707" i="20"/>
  <c r="G1708" i="20"/>
  <c r="G1709" i="20"/>
  <c r="G1710" i="20"/>
  <c r="G1711" i="20"/>
  <c r="G1712" i="20"/>
  <c r="G1713" i="20"/>
  <c r="G1714" i="20"/>
  <c r="G1715" i="20"/>
  <c r="G1716" i="20"/>
  <c r="G1717" i="20"/>
  <c r="G1718" i="20"/>
  <c r="G1719" i="20"/>
  <c r="G1720" i="20"/>
  <c r="G1721" i="20"/>
  <c r="G1722" i="20"/>
  <c r="G1723" i="20"/>
  <c r="G1724" i="20"/>
  <c r="G1725" i="20"/>
  <c r="G1726" i="20"/>
  <c r="G1727" i="20"/>
  <c r="G1728" i="20"/>
  <c r="G1729" i="20"/>
  <c r="G1730" i="20"/>
  <c r="G1731" i="20"/>
  <c r="G1732" i="20"/>
  <c r="G1733" i="20"/>
  <c r="G1734" i="20"/>
  <c r="G1735" i="20"/>
  <c r="G1736" i="20"/>
  <c r="G1737" i="20"/>
  <c r="G1738" i="20"/>
  <c r="G1739" i="20"/>
  <c r="G1740" i="20"/>
  <c r="G1741" i="20"/>
  <c r="G1742" i="20"/>
  <c r="G1743" i="20"/>
  <c r="G1744" i="20"/>
  <c r="G1745" i="20"/>
  <c r="G1746" i="20"/>
  <c r="G1747" i="20"/>
  <c r="G1748" i="20"/>
  <c r="G1749" i="20"/>
  <c r="G1750" i="20"/>
  <c r="G1751" i="20"/>
  <c r="G1752" i="20"/>
  <c r="G1753" i="20"/>
  <c r="G1754" i="20"/>
  <c r="G1755" i="20"/>
  <c r="G1756" i="20"/>
  <c r="G1757" i="20"/>
  <c r="G1758" i="20"/>
  <c r="G1759" i="20"/>
  <c r="G1760" i="20"/>
  <c r="G1761" i="20"/>
  <c r="G1762" i="20"/>
  <c r="G1763" i="20"/>
  <c r="G1764" i="20"/>
  <c r="G1765" i="20"/>
  <c r="G1766" i="20"/>
  <c r="G1767" i="20"/>
  <c r="G1768" i="20"/>
  <c r="G1769" i="20"/>
  <c r="G1770" i="20"/>
  <c r="G1771" i="20"/>
  <c r="G1772" i="20"/>
  <c r="G1773" i="20"/>
  <c r="G1774" i="20"/>
  <c r="G1775" i="20"/>
  <c r="G1776" i="20"/>
  <c r="G1777" i="20"/>
  <c r="G1778" i="20"/>
  <c r="G1779" i="20"/>
  <c r="G1780" i="20"/>
  <c r="G1781" i="20"/>
  <c r="G1782" i="20"/>
  <c r="G1783" i="20"/>
  <c r="G1784" i="20"/>
  <c r="G1785" i="20"/>
  <c r="G1786" i="20"/>
  <c r="G1787" i="20"/>
  <c r="G1788" i="20"/>
  <c r="G1789" i="20"/>
  <c r="G1790" i="20"/>
  <c r="G1791" i="20"/>
  <c r="G1792" i="20"/>
  <c r="G1793" i="20"/>
  <c r="G1794" i="20"/>
  <c r="G1795" i="20"/>
  <c r="G1796" i="20"/>
  <c r="G1797" i="20"/>
  <c r="G1798" i="20"/>
  <c r="G1799" i="20"/>
  <c r="G1800" i="20"/>
  <c r="G1801" i="20"/>
  <c r="G1802" i="20"/>
  <c r="G1803" i="20"/>
  <c r="G1804" i="20"/>
  <c r="G1805" i="20"/>
  <c r="G1806" i="20"/>
  <c r="G1807" i="20"/>
  <c r="G1808" i="20"/>
  <c r="G1809" i="20"/>
  <c r="G1810" i="20"/>
  <c r="G1811" i="20"/>
  <c r="G1812" i="20"/>
  <c r="G1813" i="20"/>
  <c r="G1814" i="20"/>
  <c r="G1815" i="20"/>
  <c r="G1816" i="20"/>
  <c r="G1817" i="20"/>
  <c r="G1818" i="20"/>
  <c r="G1819" i="20"/>
  <c r="G1820" i="20"/>
  <c r="G1821" i="20"/>
  <c r="G1822" i="20"/>
  <c r="G1823" i="20"/>
  <c r="G1824" i="20"/>
  <c r="G1825" i="20"/>
  <c r="G1826" i="20"/>
  <c r="G1827" i="20"/>
  <c r="G1828" i="20"/>
  <c r="H1268" i="20"/>
  <c r="I1268" i="20" s="1"/>
  <c r="H1269" i="20"/>
  <c r="I1269" i="20" s="1"/>
  <c r="H1270" i="20"/>
  <c r="I1270" i="20" s="1"/>
  <c r="H1271" i="20"/>
  <c r="I1271" i="20" s="1"/>
  <c r="H1272" i="20"/>
  <c r="I1272" i="20" s="1"/>
  <c r="H1273" i="20"/>
  <c r="I1273" i="20" s="1"/>
  <c r="H1274" i="20"/>
  <c r="I1274" i="20" s="1"/>
  <c r="H1275" i="20"/>
  <c r="I1275" i="20" s="1"/>
  <c r="H1276" i="20"/>
  <c r="I1276" i="20" s="1"/>
  <c r="H1277" i="20"/>
  <c r="I1277" i="20" s="1"/>
  <c r="H1278" i="20"/>
  <c r="I1278" i="20" s="1"/>
  <c r="H1279" i="20"/>
  <c r="I1279" i="20" s="1"/>
  <c r="H1280" i="20"/>
  <c r="I1280" i="20" s="1"/>
  <c r="H1281" i="20"/>
  <c r="I1281" i="20" s="1"/>
  <c r="H1282" i="20"/>
  <c r="I1282" i="20" s="1"/>
  <c r="H1283" i="20"/>
  <c r="I1283" i="20" s="1"/>
  <c r="H1284" i="20"/>
  <c r="I1284" i="20" s="1"/>
  <c r="H1285" i="20"/>
  <c r="I1285" i="20" s="1"/>
  <c r="H1286" i="20"/>
  <c r="I1286" i="20" s="1"/>
  <c r="H1287" i="20"/>
  <c r="I1287" i="20" s="1"/>
  <c r="H1288" i="20"/>
  <c r="I1288" i="20" s="1"/>
  <c r="H1289" i="20"/>
  <c r="I1289" i="20" s="1"/>
  <c r="H1290" i="20"/>
  <c r="I1290" i="20" s="1"/>
  <c r="H1291" i="20"/>
  <c r="I1291" i="20" s="1"/>
  <c r="H1292" i="20"/>
  <c r="I1292" i="20" s="1"/>
  <c r="H1293" i="20"/>
  <c r="I1293" i="20" s="1"/>
  <c r="H1294" i="20"/>
  <c r="I1294" i="20" s="1"/>
  <c r="H1295" i="20"/>
  <c r="I1295" i="20" s="1"/>
  <c r="H1296" i="20"/>
  <c r="I1296" i="20" s="1"/>
  <c r="H1297" i="20"/>
  <c r="I1297" i="20" s="1"/>
  <c r="H1298" i="20"/>
  <c r="I1298" i="20" s="1"/>
  <c r="H1299" i="20"/>
  <c r="I1299" i="20" s="1"/>
  <c r="H1300" i="20"/>
  <c r="I1300" i="20" s="1"/>
  <c r="H1301" i="20"/>
  <c r="I1301" i="20" s="1"/>
  <c r="H1302" i="20"/>
  <c r="I1302" i="20" s="1"/>
  <c r="H1303" i="20"/>
  <c r="I1303" i="20" s="1"/>
  <c r="H1304" i="20"/>
  <c r="I1304" i="20" s="1"/>
  <c r="H1305" i="20"/>
  <c r="I1305" i="20" s="1"/>
  <c r="H1306" i="20"/>
  <c r="I1306" i="20" s="1"/>
  <c r="H1307" i="20"/>
  <c r="I1307" i="20" s="1"/>
  <c r="H1308" i="20"/>
  <c r="I1308" i="20" s="1"/>
  <c r="H1309" i="20"/>
  <c r="I1309" i="20" s="1"/>
  <c r="H1310" i="20"/>
  <c r="I1310" i="20" s="1"/>
  <c r="H1311" i="20"/>
  <c r="I1311" i="20" s="1"/>
  <c r="H1312" i="20"/>
  <c r="I1312" i="20" s="1"/>
  <c r="H1313" i="20"/>
  <c r="I1313" i="20" s="1"/>
  <c r="H1314" i="20"/>
  <c r="I1314" i="20" s="1"/>
  <c r="H1315" i="20"/>
  <c r="I1315" i="20" s="1"/>
  <c r="H1316" i="20"/>
  <c r="I1316" i="20" s="1"/>
  <c r="H1317" i="20"/>
  <c r="I1317" i="20" s="1"/>
  <c r="H1318" i="20"/>
  <c r="I1318" i="20" s="1"/>
  <c r="H1319" i="20"/>
  <c r="I1319" i="20" s="1"/>
  <c r="H1320" i="20"/>
  <c r="I1320" i="20" s="1"/>
  <c r="H1321" i="20"/>
  <c r="I1321" i="20" s="1"/>
  <c r="H1322" i="20"/>
  <c r="I1322" i="20" s="1"/>
  <c r="H1323" i="20"/>
  <c r="I1323" i="20" s="1"/>
  <c r="H1324" i="20"/>
  <c r="I1324" i="20" s="1"/>
  <c r="H1325" i="20"/>
  <c r="I1325" i="20" s="1"/>
  <c r="H1326" i="20"/>
  <c r="I1326" i="20" s="1"/>
  <c r="H1327" i="20"/>
  <c r="I1327" i="20" s="1"/>
  <c r="H1328" i="20"/>
  <c r="I1328" i="20" s="1"/>
  <c r="H1329" i="20"/>
  <c r="I1329" i="20" s="1"/>
  <c r="H1330" i="20"/>
  <c r="I1330" i="20" s="1"/>
  <c r="H1331" i="20"/>
  <c r="I1331" i="20" s="1"/>
  <c r="H1332" i="20"/>
  <c r="I1332" i="20" s="1"/>
  <c r="H1369" i="20"/>
  <c r="I1369" i="20" s="1"/>
  <c r="H1370" i="20"/>
  <c r="I1370" i="20" s="1"/>
  <c r="H1371" i="20"/>
  <c r="I1371" i="20" s="1"/>
  <c r="H1372" i="20"/>
  <c r="I1372" i="20" s="1"/>
  <c r="H1373" i="20"/>
  <c r="I1373" i="20" s="1"/>
  <c r="H1374" i="20"/>
  <c r="I1374" i="20" s="1"/>
  <c r="H1375" i="20"/>
  <c r="I1375" i="20" s="1"/>
  <c r="H1376" i="20"/>
  <c r="I1376" i="20" s="1"/>
  <c r="H1377" i="20"/>
  <c r="I1377" i="20" s="1"/>
  <c r="H1378" i="20"/>
  <c r="I1378" i="20" s="1"/>
  <c r="H1379" i="20"/>
  <c r="I1379" i="20" s="1"/>
  <c r="H1380" i="20"/>
  <c r="I1380" i="20" s="1"/>
  <c r="H1381" i="20"/>
  <c r="I1381" i="20" s="1"/>
  <c r="H1382" i="20"/>
  <c r="I1382" i="20" s="1"/>
  <c r="H1383" i="20"/>
  <c r="I1383" i="20" s="1"/>
  <c r="H1384" i="20"/>
  <c r="I1384" i="20" s="1"/>
  <c r="H1385" i="20"/>
  <c r="I1385" i="20" s="1"/>
  <c r="H1386" i="20"/>
  <c r="I1386" i="20" s="1"/>
  <c r="H1387" i="20"/>
  <c r="I1387" i="20" s="1"/>
  <c r="H1388" i="20"/>
  <c r="I1388" i="20" s="1"/>
  <c r="H1389" i="20"/>
  <c r="I1389" i="20" s="1"/>
  <c r="H1390" i="20"/>
  <c r="I1390" i="20" s="1"/>
  <c r="H1391" i="20"/>
  <c r="I1391" i="20" s="1"/>
  <c r="H1392" i="20"/>
  <c r="I1392" i="20" s="1"/>
  <c r="H1393" i="20"/>
  <c r="I1393" i="20" s="1"/>
  <c r="H1394" i="20"/>
  <c r="I1394" i="20" s="1"/>
  <c r="H1395" i="20"/>
  <c r="I1395" i="20" s="1"/>
  <c r="H1396" i="20"/>
  <c r="I1396" i="20" s="1"/>
  <c r="H1397" i="20"/>
  <c r="I1397" i="20" s="1"/>
  <c r="H1398" i="20"/>
  <c r="I1398" i="20" s="1"/>
  <c r="H1399" i="20"/>
  <c r="I1399" i="20" s="1"/>
  <c r="H1400" i="20"/>
  <c r="I1400" i="20" s="1"/>
  <c r="H1401" i="20"/>
  <c r="I1401" i="20" s="1"/>
  <c r="H1402" i="20"/>
  <c r="I1402" i="20" s="1"/>
  <c r="H1403" i="20"/>
  <c r="I1403" i="20" s="1"/>
  <c r="H1404" i="20"/>
  <c r="I1404" i="20" s="1"/>
  <c r="H1405" i="20"/>
  <c r="I1405" i="20" s="1"/>
  <c r="H1406" i="20"/>
  <c r="I1406" i="20" s="1"/>
  <c r="H1407" i="20"/>
  <c r="I1407" i="20" s="1"/>
  <c r="H1408" i="20"/>
  <c r="I1408" i="20" s="1"/>
  <c r="H1409" i="20"/>
  <c r="I1409" i="20" s="1"/>
  <c r="H1410" i="20"/>
  <c r="I1410" i="20" s="1"/>
  <c r="H1411" i="20"/>
  <c r="I1411" i="20" s="1"/>
  <c r="H1412" i="20"/>
  <c r="I1412" i="20" s="1"/>
  <c r="H1413" i="20"/>
  <c r="I1413" i="20" s="1"/>
  <c r="H1414" i="20"/>
  <c r="I1414" i="20" s="1"/>
  <c r="H1415" i="20"/>
  <c r="I1415" i="20" s="1"/>
  <c r="H1829" i="20"/>
  <c r="I1829" i="20" s="1"/>
  <c r="H1830" i="20"/>
  <c r="I1830" i="20" s="1"/>
  <c r="H1831" i="20"/>
  <c r="I1831" i="20" s="1"/>
  <c r="H1832" i="20"/>
  <c r="I1832" i="20" s="1"/>
  <c r="H1833" i="20"/>
  <c r="I1833" i="20" s="1"/>
  <c r="H1834" i="20"/>
  <c r="I1834" i="20" s="1"/>
  <c r="H1835" i="20"/>
  <c r="I1835" i="20" s="1"/>
  <c r="H1836" i="20"/>
  <c r="I1836" i="20" s="1"/>
  <c r="H1837" i="20"/>
  <c r="I1837" i="20" s="1"/>
  <c r="H1838" i="20"/>
  <c r="I1838" i="20" s="1"/>
  <c r="H1839" i="20"/>
  <c r="I1839" i="20" s="1"/>
  <c r="H1840" i="20"/>
  <c r="I1840" i="20" s="1"/>
  <c r="H1841" i="20"/>
  <c r="I1841" i="20" s="1"/>
  <c r="H1842" i="20"/>
  <c r="I1842" i="20" s="1"/>
  <c r="H1843" i="20"/>
  <c r="I1843" i="20" s="1"/>
  <c r="H1844" i="20"/>
  <c r="I1844" i="20" s="1"/>
  <c r="H1845" i="20"/>
  <c r="I1845" i="20" s="1"/>
  <c r="H1846" i="20"/>
  <c r="I1846" i="20" s="1"/>
  <c r="H1847" i="20"/>
  <c r="I1847" i="20" s="1"/>
  <c r="H1848" i="20"/>
  <c r="I1848" i="20" s="1"/>
  <c r="H1849" i="20"/>
  <c r="I1849" i="20" s="1"/>
  <c r="H1850" i="20"/>
  <c r="I1850" i="20" s="1"/>
  <c r="H1851" i="20"/>
  <c r="I1851" i="20" s="1"/>
  <c r="H1852" i="20"/>
  <c r="I1852" i="20" s="1"/>
  <c r="H1853" i="20"/>
  <c r="I1853" i="20" s="1"/>
  <c r="H1854" i="20"/>
  <c r="I1854" i="20" s="1"/>
  <c r="H1855" i="20"/>
  <c r="I1855" i="20" s="1"/>
  <c r="H1856" i="20"/>
  <c r="I1856" i="20" s="1"/>
  <c r="H1857" i="20"/>
  <c r="I1857" i="20" s="1"/>
  <c r="H1858" i="20"/>
  <c r="I1858" i="20" s="1"/>
  <c r="H1859" i="20"/>
  <c r="I1859" i="20" s="1"/>
  <c r="H1860" i="20"/>
  <c r="I1860" i="20" s="1"/>
  <c r="H1861" i="20"/>
  <c r="I1861" i="20" s="1"/>
  <c r="H1862" i="20"/>
  <c r="I1862" i="20" s="1"/>
  <c r="H1863" i="20"/>
  <c r="I1863" i="20" s="1"/>
  <c r="H1864" i="20"/>
  <c r="I1864" i="20" s="1"/>
  <c r="H1865" i="20"/>
  <c r="I1865" i="20" s="1"/>
  <c r="H1866" i="20"/>
  <c r="I1866" i="20" s="1"/>
  <c r="H1867" i="20"/>
  <c r="I1867" i="20" s="1"/>
  <c r="H1868" i="20"/>
  <c r="I1868" i="20" s="1"/>
  <c r="H1869" i="20"/>
  <c r="I1869" i="20" s="1"/>
  <c r="H1870" i="20"/>
  <c r="I1870" i="20" s="1"/>
  <c r="H1871" i="20"/>
  <c r="I1871" i="20" s="1"/>
  <c r="H1872" i="20"/>
  <c r="I1872" i="20" s="1"/>
  <c r="H1873" i="20"/>
  <c r="I1873" i="20" s="1"/>
  <c r="H1874" i="20"/>
  <c r="I1874" i="20" s="1"/>
  <c r="H1875" i="20"/>
  <c r="I1875" i="20" s="1"/>
  <c r="H1876" i="20"/>
  <c r="I1876" i="20" s="1"/>
  <c r="H1877" i="20"/>
  <c r="I1877" i="20" s="1"/>
  <c r="H1878" i="20"/>
  <c r="I1878" i="20" s="1"/>
  <c r="H1879" i="20"/>
  <c r="I1879" i="20" s="1"/>
  <c r="H1880" i="20"/>
  <c r="I1880" i="20" s="1"/>
  <c r="H1881" i="20"/>
  <c r="I1881" i="20" s="1"/>
  <c r="H1882" i="20"/>
  <c r="I1882" i="20" s="1"/>
  <c r="H1883" i="20"/>
  <c r="I1883" i="20" s="1"/>
  <c r="H1884" i="20"/>
  <c r="I1884" i="20" s="1"/>
  <c r="H1885" i="20"/>
  <c r="I1885" i="20" s="1"/>
  <c r="H1886" i="20"/>
  <c r="I1886" i="20" s="1"/>
  <c r="H1887" i="20"/>
  <c r="I1887" i="20" s="1"/>
  <c r="H1888" i="20"/>
  <c r="I1888" i="20" s="1"/>
  <c r="H1889" i="20"/>
  <c r="I1889" i="20" s="1"/>
  <c r="H1890" i="20"/>
  <c r="I1890" i="20" s="1"/>
  <c r="H1891" i="20"/>
  <c r="I1891" i="20" s="1"/>
  <c r="H1892" i="20"/>
  <c r="I1892" i="20" s="1"/>
  <c r="H1893" i="20"/>
  <c r="I1893" i="20" s="1"/>
  <c r="H1894" i="20"/>
  <c r="I1894" i="20" s="1"/>
  <c r="H1895" i="20"/>
  <c r="I1895" i="20" s="1"/>
  <c r="H1896" i="20"/>
  <c r="I1896" i="20" s="1"/>
  <c r="H1897" i="20"/>
  <c r="I1897" i="20" s="1"/>
  <c r="H1898" i="20"/>
  <c r="I1898" i="20" s="1"/>
  <c r="H1899" i="20"/>
  <c r="I1899" i="20" s="1"/>
  <c r="H1900" i="20"/>
  <c r="I1900" i="20" s="1"/>
  <c r="H1901" i="20"/>
  <c r="I1901" i="20" s="1"/>
  <c r="H1902" i="20"/>
  <c r="I1902" i="20" s="1"/>
  <c r="H1903" i="20"/>
  <c r="I1903" i="20" s="1"/>
  <c r="H1904" i="20"/>
  <c r="I1904" i="20" s="1"/>
  <c r="H1905" i="20"/>
  <c r="I1905" i="20" s="1"/>
  <c r="H1906" i="20"/>
  <c r="I1906" i="20" s="1"/>
  <c r="H1907" i="20"/>
  <c r="I1907" i="20" s="1"/>
  <c r="H1908" i="20"/>
  <c r="I1908" i="20" s="1"/>
  <c r="H1909" i="20"/>
  <c r="I1909" i="20" s="1"/>
  <c r="H1910" i="20"/>
  <c r="I1910" i="20" s="1"/>
  <c r="H1911" i="20"/>
  <c r="I1911" i="20" s="1"/>
  <c r="H1912" i="20"/>
  <c r="I1912" i="20" s="1"/>
  <c r="H1913" i="20"/>
  <c r="I1913" i="20" s="1"/>
  <c r="H1914" i="20"/>
  <c r="I1914" i="20" s="1"/>
  <c r="H1915" i="20"/>
  <c r="I1915" i="20" s="1"/>
  <c r="H1916" i="20"/>
  <c r="I1916" i="20" s="1"/>
  <c r="H1917" i="20"/>
  <c r="I1917" i="20" s="1"/>
  <c r="H1918" i="20"/>
  <c r="I1918" i="20" s="1"/>
  <c r="H1919" i="20"/>
  <c r="I1919" i="20" s="1"/>
  <c r="H1920" i="20"/>
  <c r="I1920" i="20" s="1"/>
  <c r="H1921" i="20"/>
  <c r="I1921" i="20" s="1"/>
  <c r="H1922" i="20"/>
  <c r="I1922" i="20" s="1"/>
  <c r="H1923" i="20"/>
  <c r="I1923" i="20" s="1"/>
  <c r="H1924" i="20"/>
  <c r="I1924" i="20" s="1"/>
  <c r="H1925" i="20"/>
  <c r="I1925" i="20" s="1"/>
  <c r="H1926" i="20"/>
  <c r="I1926" i="20" s="1"/>
  <c r="H1927" i="20"/>
  <c r="I1927" i="20" s="1"/>
  <c r="H1928" i="20"/>
  <c r="I1928" i="20" s="1"/>
  <c r="H1929" i="20"/>
  <c r="I1929" i="20" s="1"/>
  <c r="H1930" i="20"/>
  <c r="I1930" i="20" s="1"/>
  <c r="H1931" i="20"/>
  <c r="I1931" i="20" s="1"/>
  <c r="H1932" i="20"/>
  <c r="I1932" i="20" s="1"/>
  <c r="H1933" i="20"/>
  <c r="I1933" i="20" s="1"/>
  <c r="H1934" i="20"/>
  <c r="I1934" i="20" s="1"/>
  <c r="H1935" i="20"/>
  <c r="I1935" i="20" s="1"/>
  <c r="H1936" i="20"/>
  <c r="I1936" i="20" s="1"/>
  <c r="H1937" i="20"/>
  <c r="I1937" i="20" s="1"/>
  <c r="H1938" i="20"/>
  <c r="I1938" i="20" s="1"/>
  <c r="H1939" i="20"/>
  <c r="I1939" i="20" s="1"/>
  <c r="H1940" i="20"/>
  <c r="I1940" i="20" s="1"/>
  <c r="H1941" i="20"/>
  <c r="I1941" i="20" s="1"/>
  <c r="H1942" i="20"/>
  <c r="I1942" i="20" s="1"/>
  <c r="H1943" i="20"/>
  <c r="I1943" i="20" s="1"/>
  <c r="H1944" i="20"/>
  <c r="I1944" i="20" s="1"/>
  <c r="H1945" i="20"/>
  <c r="I1945" i="20" s="1"/>
  <c r="H1946" i="20"/>
  <c r="I1946" i="20" s="1"/>
  <c r="H1947" i="20"/>
  <c r="I1947" i="20" s="1"/>
  <c r="H1948" i="20"/>
  <c r="I1948" i="20" s="1"/>
  <c r="H1949" i="20"/>
  <c r="I1949" i="20" s="1"/>
  <c r="H1950" i="20"/>
  <c r="I1950" i="20" s="1"/>
  <c r="H1951" i="20"/>
  <c r="I1951" i="20" s="1"/>
  <c r="H1952" i="20"/>
  <c r="I1952" i="20" s="1"/>
  <c r="H1953" i="20"/>
  <c r="I1953" i="20" s="1"/>
  <c r="H1954" i="20"/>
  <c r="I1954" i="20" s="1"/>
  <c r="H1955" i="20"/>
  <c r="I1955" i="20" s="1"/>
  <c r="H1956" i="20"/>
  <c r="I1956" i="20" s="1"/>
  <c r="H1957" i="20"/>
  <c r="I1957" i="20" s="1"/>
  <c r="H1958" i="20"/>
  <c r="I1958" i="20" s="1"/>
  <c r="H1959" i="20"/>
  <c r="I1959" i="20" s="1"/>
  <c r="H1960" i="20"/>
  <c r="I1960" i="20" s="1"/>
  <c r="H1961" i="20"/>
  <c r="I1961" i="20" s="1"/>
  <c r="H1962" i="20"/>
  <c r="I1962" i="20" s="1"/>
  <c r="H1963" i="20"/>
  <c r="I1963" i="20" s="1"/>
  <c r="H1964" i="20"/>
  <c r="I1964" i="20" s="1"/>
  <c r="H1965" i="20"/>
  <c r="I1965" i="20" s="1"/>
  <c r="H1966" i="20"/>
  <c r="I1966" i="20" s="1"/>
  <c r="H1967" i="20"/>
  <c r="I1967" i="20" s="1"/>
  <c r="H1968" i="20"/>
  <c r="I1968" i="20" s="1"/>
  <c r="H1969" i="20"/>
  <c r="I1969" i="20" s="1"/>
  <c r="H1970" i="20"/>
  <c r="I1970" i="20" s="1"/>
  <c r="H1971" i="20"/>
  <c r="I1971" i="20" s="1"/>
  <c r="H1972" i="20"/>
  <c r="I1972" i="20" s="1"/>
  <c r="H1973" i="20"/>
  <c r="I1973" i="20" s="1"/>
  <c r="H1974" i="20"/>
  <c r="I1974" i="20" s="1"/>
  <c r="H1975" i="20"/>
  <c r="I1975" i="20" s="1"/>
  <c r="H1976" i="20"/>
  <c r="I1976" i="20" s="1"/>
  <c r="H1977" i="20"/>
  <c r="I1977" i="20" s="1"/>
  <c r="H1978" i="20"/>
  <c r="I1978" i="20" s="1"/>
  <c r="H1979" i="20"/>
  <c r="I1979" i="20" s="1"/>
  <c r="H1980" i="20"/>
  <c r="I1980" i="20" s="1"/>
  <c r="H1981" i="20"/>
  <c r="I1981" i="20" s="1"/>
  <c r="H1982" i="20"/>
  <c r="I1982" i="20" s="1"/>
  <c r="H1983" i="20"/>
  <c r="I1983" i="20" s="1"/>
  <c r="H1984" i="20"/>
  <c r="I1984" i="20" s="1"/>
  <c r="H1985" i="20"/>
  <c r="I1985" i="20" s="1"/>
  <c r="H1986" i="20"/>
  <c r="I1986" i="20" s="1"/>
  <c r="H1987" i="20"/>
  <c r="I1987" i="20" s="1"/>
  <c r="H1988" i="20"/>
  <c r="I1988" i="20" s="1"/>
  <c r="H1989" i="20"/>
  <c r="I1989" i="20" s="1"/>
  <c r="H1990" i="20"/>
  <c r="I1990" i="20" s="1"/>
  <c r="H1991" i="20"/>
  <c r="I1991" i="20" s="1"/>
  <c r="H1992" i="20"/>
  <c r="I1992" i="20" s="1"/>
  <c r="H1993" i="20"/>
  <c r="I1993" i="20" s="1"/>
  <c r="H1994" i="20"/>
  <c r="I1994" i="20" s="1"/>
  <c r="H1995" i="20"/>
  <c r="I1995" i="20" s="1"/>
  <c r="H1996" i="20"/>
  <c r="I1996" i="20" s="1"/>
  <c r="H1997" i="20"/>
  <c r="I1997" i="20" s="1"/>
  <c r="H1998" i="20"/>
  <c r="I1998" i="20" s="1"/>
  <c r="H1999" i="20"/>
  <c r="I1999" i="20" s="1"/>
  <c r="H2000" i="20"/>
  <c r="I2000" i="20" s="1"/>
  <c r="H2001" i="20"/>
  <c r="I2001" i="20" s="1"/>
  <c r="H2002" i="20"/>
  <c r="I2002" i="20" s="1"/>
  <c r="H2003" i="20"/>
  <c r="I2003" i="20" s="1"/>
  <c r="H2004" i="20"/>
  <c r="I2004" i="20" s="1"/>
  <c r="H2005" i="20"/>
  <c r="I2005" i="20" s="1"/>
  <c r="H2006" i="20"/>
  <c r="I2006" i="20" s="1"/>
  <c r="H2007" i="20"/>
  <c r="I2007" i="20" s="1"/>
  <c r="H2008" i="20"/>
  <c r="I2008" i="20" s="1"/>
  <c r="H2009" i="20"/>
  <c r="I2009" i="20" s="1"/>
  <c r="H2010" i="20"/>
  <c r="I2010" i="20" s="1"/>
  <c r="H2011" i="20"/>
  <c r="I2011" i="20" s="1"/>
  <c r="H2012" i="20"/>
  <c r="I2012" i="20" s="1"/>
  <c r="H2013" i="20"/>
  <c r="I2013" i="20" s="1"/>
  <c r="H2014" i="20"/>
  <c r="I2014" i="20" s="1"/>
  <c r="H2015" i="20"/>
  <c r="I2015" i="20" s="1"/>
  <c r="H2016" i="20"/>
  <c r="I2016" i="20" s="1"/>
  <c r="H2017" i="20"/>
  <c r="I2017" i="20" s="1"/>
  <c r="H2018" i="20"/>
  <c r="I2018" i="20" s="1"/>
  <c r="H2019" i="20"/>
  <c r="I2019" i="20" s="1"/>
  <c r="H2020" i="20"/>
  <c r="I2020" i="20" s="1"/>
  <c r="H2021" i="20"/>
  <c r="I2021" i="20" s="1"/>
  <c r="H2022" i="20"/>
  <c r="I2022" i="20" s="1"/>
  <c r="H2023" i="20"/>
  <c r="I2023" i="20" s="1"/>
  <c r="H2024" i="20"/>
  <c r="I2024" i="20" s="1"/>
  <c r="H2025" i="20"/>
  <c r="I2025" i="20" s="1"/>
  <c r="H2026" i="20"/>
  <c r="I2026" i="20" s="1"/>
  <c r="H2027" i="20"/>
  <c r="I2027" i="20" s="1"/>
  <c r="H2028" i="20"/>
  <c r="I2028" i="20" s="1"/>
  <c r="H2029" i="20"/>
  <c r="I2029" i="20" s="1"/>
  <c r="H2030" i="20"/>
  <c r="I2030" i="20" s="1"/>
  <c r="H2031" i="20"/>
  <c r="I2031" i="20" s="1"/>
  <c r="H2032" i="20"/>
  <c r="I2032" i="20" s="1"/>
  <c r="H2033" i="20"/>
  <c r="I2033" i="20" s="1"/>
  <c r="H2034" i="20"/>
  <c r="I2034" i="20" s="1"/>
  <c r="H2035" i="20"/>
  <c r="I2035" i="20" s="1"/>
  <c r="H2036" i="20"/>
  <c r="I2036" i="20" s="1"/>
  <c r="H2037" i="20"/>
  <c r="I2037" i="20" s="1"/>
  <c r="H2038" i="20"/>
  <c r="I2038" i="20" s="1"/>
  <c r="H2039" i="20"/>
  <c r="I2039" i="20" s="1"/>
  <c r="H2040" i="20"/>
  <c r="I2040" i="20" s="1"/>
  <c r="H2041" i="20"/>
  <c r="I2041" i="20" s="1"/>
  <c r="H2042" i="20"/>
  <c r="I2042" i="20" s="1"/>
  <c r="H2043" i="20"/>
  <c r="I2043" i="20" s="1"/>
  <c r="H2044" i="20"/>
  <c r="I2044" i="20" s="1"/>
  <c r="H2045" i="20"/>
  <c r="I2045" i="20" s="1"/>
  <c r="H2046" i="20"/>
  <c r="I2046" i="20" s="1"/>
  <c r="H2047" i="20"/>
  <c r="I2047" i="20" s="1"/>
  <c r="H2048" i="20"/>
  <c r="I2048" i="20" s="1"/>
  <c r="H2049" i="20"/>
  <c r="I2049" i="20" s="1"/>
  <c r="H2050" i="20"/>
  <c r="I2050" i="20" s="1"/>
  <c r="H2051" i="20"/>
  <c r="I2051" i="20" s="1"/>
  <c r="H2052" i="20"/>
  <c r="I2052" i="20" s="1"/>
  <c r="H2053" i="20"/>
  <c r="I2053" i="20" s="1"/>
  <c r="H2054" i="20"/>
  <c r="I2054" i="20" s="1"/>
  <c r="H2055" i="20"/>
  <c r="I2055" i="20" s="1"/>
  <c r="H2056" i="20"/>
  <c r="I2056" i="20" s="1"/>
  <c r="H2057" i="20"/>
  <c r="I2057" i="20" s="1"/>
  <c r="H2058" i="20"/>
  <c r="I2058" i="20" s="1"/>
  <c r="H2059" i="20"/>
  <c r="I2059" i="20" s="1"/>
  <c r="H2060" i="20"/>
  <c r="I2060" i="20" s="1"/>
  <c r="H2061" i="20"/>
  <c r="I2061" i="20" s="1"/>
  <c r="H2062" i="20"/>
  <c r="I2062" i="20" s="1"/>
  <c r="H2063" i="20"/>
  <c r="I2063" i="20" s="1"/>
  <c r="H2064" i="20"/>
  <c r="I2064" i="20" s="1"/>
  <c r="H2065" i="20"/>
  <c r="I2065" i="20" s="1"/>
  <c r="H2066" i="20"/>
  <c r="I2066" i="20" s="1"/>
  <c r="H2067" i="20"/>
  <c r="I2067" i="20" s="1"/>
  <c r="H2068" i="20"/>
  <c r="I2068" i="20" s="1"/>
  <c r="H2069" i="20"/>
  <c r="I2069" i="20" s="1"/>
  <c r="H2070" i="20"/>
  <c r="I2070" i="20" s="1"/>
  <c r="H2071" i="20"/>
  <c r="I2071" i="20" s="1"/>
  <c r="H2072" i="20"/>
  <c r="I2072" i="20" s="1"/>
  <c r="H2073" i="20"/>
  <c r="I2073" i="20" s="1"/>
  <c r="H2074" i="20"/>
  <c r="I2074" i="20" s="1"/>
  <c r="H2075" i="20"/>
  <c r="I2075" i="20" s="1"/>
  <c r="H2076" i="20"/>
  <c r="I2076" i="20" s="1"/>
  <c r="H2077" i="20"/>
  <c r="I2077" i="20" s="1"/>
  <c r="H2078" i="20"/>
  <c r="I2078" i="20" s="1"/>
  <c r="H2079" i="20"/>
  <c r="I2079" i="20" s="1"/>
  <c r="H2080" i="20"/>
  <c r="I2080" i="20" s="1"/>
  <c r="H2081" i="20"/>
  <c r="I2081" i="20" s="1"/>
  <c r="H2082" i="20"/>
  <c r="I2082" i="20" s="1"/>
  <c r="H2083" i="20"/>
  <c r="I2083" i="20" s="1"/>
  <c r="H2084" i="20"/>
  <c r="I2084" i="20" s="1"/>
  <c r="H2085" i="20"/>
  <c r="I2085" i="20" s="1"/>
  <c r="H2086" i="20"/>
  <c r="I2086" i="20" s="1"/>
  <c r="H2087" i="20"/>
  <c r="I2087" i="20" s="1"/>
  <c r="H2088" i="20"/>
  <c r="I2088" i="20" s="1"/>
  <c r="H2089" i="20"/>
  <c r="I2089" i="20" s="1"/>
  <c r="H2090" i="20"/>
  <c r="I2090" i="20" s="1"/>
  <c r="H2091" i="20"/>
  <c r="I2091" i="20" s="1"/>
  <c r="H2092" i="20"/>
  <c r="I2092" i="20" s="1"/>
  <c r="H2093" i="20"/>
  <c r="I2093" i="20" s="1"/>
  <c r="H2094" i="20"/>
  <c r="I2094" i="20" s="1"/>
  <c r="H2242" i="20"/>
  <c r="I2242" i="20" s="1"/>
  <c r="H2243" i="20"/>
  <c r="I2243" i="20" s="1"/>
  <c r="H2244" i="20"/>
  <c r="I2244" i="20" s="1"/>
  <c r="H2245" i="20"/>
  <c r="I2245" i="20" s="1"/>
  <c r="H2246" i="20"/>
  <c r="I2246" i="20" s="1"/>
  <c r="H2247" i="20"/>
  <c r="I2247" i="20" s="1"/>
  <c r="H2248" i="20"/>
  <c r="I2248" i="20" s="1"/>
  <c r="H2249" i="20"/>
  <c r="I2249" i="20" s="1"/>
  <c r="H2250" i="20"/>
  <c r="I2250" i="20" s="1"/>
  <c r="H2251" i="20"/>
  <c r="I2251" i="20" s="1"/>
  <c r="H2252" i="20"/>
  <c r="I2252" i="20" s="1"/>
  <c r="H2253" i="20"/>
  <c r="I2253" i="20" s="1"/>
  <c r="H2254" i="20"/>
  <c r="I2254" i="20" s="1"/>
  <c r="H2255" i="20"/>
  <c r="I2255" i="20" s="1"/>
  <c r="H2256" i="20"/>
  <c r="I2256" i="20" s="1"/>
  <c r="H2257" i="20"/>
  <c r="I2257" i="20" s="1"/>
  <c r="H2258" i="20"/>
  <c r="I2258" i="20" s="1"/>
  <c r="H2259" i="20"/>
  <c r="I2259" i="20" s="1"/>
  <c r="H2260" i="20"/>
  <c r="I2260" i="20" s="1"/>
  <c r="H2261" i="20"/>
  <c r="I2261" i="20" s="1"/>
  <c r="H2262" i="20"/>
  <c r="I2262" i="20" s="1"/>
  <c r="H2263" i="20"/>
  <c r="I2263" i="20" s="1"/>
  <c r="H2264" i="20"/>
  <c r="I2264" i="20" s="1"/>
  <c r="H2265" i="20"/>
  <c r="I2265" i="20" s="1"/>
  <c r="H2266" i="20"/>
  <c r="I2266" i="20" s="1"/>
  <c r="H2267" i="20"/>
  <c r="I2267" i="20" s="1"/>
  <c r="H2268" i="20"/>
  <c r="I2268" i="20" s="1"/>
  <c r="H2269" i="20"/>
  <c r="I2269" i="20" s="1"/>
  <c r="H2270" i="20"/>
  <c r="I2270" i="20" s="1"/>
  <c r="H2271" i="20"/>
  <c r="I2271" i="20" s="1"/>
  <c r="H2272" i="20"/>
  <c r="I2272" i="20" s="1"/>
  <c r="H2273" i="20"/>
  <c r="I2273" i="20" s="1"/>
  <c r="H2274" i="20"/>
  <c r="I2274" i="20" s="1"/>
  <c r="H2275" i="20"/>
  <c r="I2275" i="20" s="1"/>
  <c r="H2276" i="20"/>
  <c r="I2276" i="20" s="1"/>
  <c r="H2277" i="20"/>
  <c r="I2277" i="20" s="1"/>
  <c r="H2278" i="20"/>
  <c r="I2278" i="20" s="1"/>
  <c r="H2279" i="20"/>
  <c r="I2279" i="20" s="1"/>
  <c r="H2280" i="20"/>
  <c r="I2280" i="20" s="1"/>
  <c r="H2281" i="20"/>
  <c r="I2281" i="20" s="1"/>
  <c r="H2282" i="20"/>
  <c r="I2282" i="20" s="1"/>
  <c r="H2283" i="20"/>
  <c r="I2283" i="20" s="1"/>
  <c r="H2284" i="20"/>
  <c r="I2284" i="20" s="1"/>
  <c r="H2285" i="20"/>
  <c r="I2285" i="20" s="1"/>
  <c r="H2286" i="20"/>
  <c r="I2286" i="20" s="1"/>
  <c r="H2287" i="20"/>
  <c r="I2287" i="20" s="1"/>
  <c r="H2288" i="20"/>
  <c r="I2288" i="20" s="1"/>
  <c r="H2289" i="20"/>
  <c r="I2289" i="20" s="1"/>
  <c r="H2290" i="20"/>
  <c r="I2290" i="20" s="1"/>
  <c r="H2291" i="20"/>
  <c r="I2291" i="20" s="1"/>
  <c r="H2292" i="20"/>
  <c r="I2292" i="20" s="1"/>
  <c r="H2293" i="20"/>
  <c r="I2293" i="20" s="1"/>
  <c r="H2294" i="20"/>
  <c r="I2294" i="20" s="1"/>
  <c r="H2295" i="20"/>
  <c r="I2295" i="20" s="1"/>
  <c r="H2296" i="20"/>
  <c r="I2296" i="20" s="1"/>
  <c r="H2297" i="20"/>
  <c r="I2297" i="20" s="1"/>
  <c r="H2298" i="20"/>
  <c r="I2298" i="20" s="1"/>
  <c r="H2299" i="20"/>
  <c r="I2299" i="20" s="1"/>
  <c r="H2300" i="20"/>
  <c r="I2300" i="20" s="1"/>
  <c r="H2301" i="20"/>
  <c r="I2301" i="20" s="1"/>
  <c r="H2302" i="20"/>
  <c r="I2302" i="20" s="1"/>
  <c r="H2303" i="20"/>
  <c r="I2303" i="20" s="1"/>
  <c r="H2304" i="20"/>
  <c r="I2304" i="20" s="1"/>
  <c r="H2305" i="20"/>
  <c r="I2305" i="20" s="1"/>
  <c r="H2306" i="20"/>
  <c r="I2306" i="20" s="1"/>
  <c r="H2307" i="20"/>
  <c r="I2307" i="20" s="1"/>
  <c r="H2308" i="20"/>
  <c r="I2308" i="20" s="1"/>
  <c r="H2309" i="20"/>
  <c r="I2309" i="20" s="1"/>
  <c r="H2310" i="20"/>
  <c r="I2310" i="20" s="1"/>
  <c r="H2311" i="20"/>
  <c r="I2311" i="20" s="1"/>
  <c r="H2312" i="20"/>
  <c r="I2312" i="20" s="1"/>
  <c r="H2313" i="20"/>
  <c r="I2313" i="20" s="1"/>
  <c r="H2314" i="20"/>
  <c r="I2314" i="20" s="1"/>
  <c r="H2315" i="20"/>
  <c r="I2315" i="20" s="1"/>
  <c r="H2316" i="20"/>
  <c r="I2316" i="20" s="1"/>
  <c r="H2317" i="20"/>
  <c r="I2317" i="20" s="1"/>
  <c r="H2318" i="20"/>
  <c r="I2318" i="20" s="1"/>
  <c r="H2319" i="20"/>
  <c r="I2319" i="20" s="1"/>
  <c r="H2320" i="20"/>
  <c r="I2320" i="20" s="1"/>
  <c r="H2321" i="20"/>
  <c r="I2321" i="20" s="1"/>
  <c r="H2322" i="20"/>
  <c r="I2322" i="20" s="1"/>
  <c r="H2323" i="20"/>
  <c r="I2323" i="20" s="1"/>
  <c r="H2324" i="20"/>
  <c r="I2324" i="20" s="1"/>
  <c r="H2325" i="20"/>
  <c r="I2325" i="20" s="1"/>
  <c r="H2326" i="20"/>
  <c r="I2326" i="20" s="1"/>
  <c r="H2327" i="20"/>
  <c r="I2327" i="20" s="1"/>
  <c r="H2328" i="20"/>
  <c r="I2328" i="20" s="1"/>
  <c r="H2329" i="20"/>
  <c r="I2329" i="20" s="1"/>
  <c r="H2330" i="20"/>
  <c r="I2330" i="20" s="1"/>
  <c r="H2331" i="20"/>
  <c r="I2331" i="20" s="1"/>
  <c r="H2332" i="20"/>
  <c r="I2332" i="20" s="1"/>
  <c r="H2333" i="20"/>
  <c r="I2333" i="20" s="1"/>
  <c r="H2334" i="20"/>
  <c r="I2334" i="20" s="1"/>
  <c r="H2335" i="20"/>
  <c r="I2335" i="20" s="1"/>
  <c r="H2336" i="20"/>
  <c r="I2336" i="20" s="1"/>
  <c r="H2337" i="20"/>
  <c r="I2337" i="20" s="1"/>
  <c r="H2338" i="20"/>
  <c r="I2338" i="20" s="1"/>
  <c r="H2339" i="20"/>
  <c r="I2339" i="20" s="1"/>
  <c r="H2340" i="20"/>
  <c r="I2340" i="20" s="1"/>
  <c r="H2341" i="20"/>
  <c r="I2341" i="20" s="1"/>
  <c r="H2342" i="20"/>
  <c r="I2342" i="20" s="1"/>
  <c r="H2343" i="20"/>
  <c r="I2343" i="20" s="1"/>
  <c r="H2344" i="20"/>
  <c r="I2344" i="20" s="1"/>
  <c r="H2345" i="20"/>
  <c r="I2345" i="20" s="1"/>
  <c r="H2346" i="20"/>
  <c r="I2346" i="20" s="1"/>
  <c r="H2347" i="20"/>
  <c r="I2347" i="20" s="1"/>
  <c r="H2348" i="20"/>
  <c r="I2348" i="20" s="1"/>
  <c r="H2349" i="20"/>
  <c r="I2349" i="20" s="1"/>
  <c r="H2350" i="20"/>
  <c r="I2350" i="20" s="1"/>
  <c r="H2351" i="20"/>
  <c r="I2351" i="20" s="1"/>
  <c r="H2352" i="20"/>
  <c r="I2352" i="20" s="1"/>
  <c r="H2353" i="20"/>
  <c r="I2353" i="20" s="1"/>
  <c r="H2354" i="20"/>
  <c r="I2354" i="20" s="1"/>
  <c r="H2355" i="20"/>
  <c r="I2355" i="20" s="1"/>
  <c r="H2356" i="20"/>
  <c r="I2356" i="20" s="1"/>
  <c r="H2357" i="20"/>
  <c r="I2357" i="20" s="1"/>
  <c r="H2358" i="20"/>
  <c r="I2358" i="20" s="1"/>
  <c r="H2359" i="20"/>
  <c r="I2359" i="20" s="1"/>
  <c r="H2360" i="20"/>
  <c r="I2360" i="20" s="1"/>
  <c r="H2361" i="20"/>
  <c r="I2361" i="20" s="1"/>
  <c r="H2362" i="20"/>
  <c r="I2362" i="20" s="1"/>
  <c r="H2363" i="20"/>
  <c r="I2363" i="20" s="1"/>
  <c r="G1268" i="20"/>
  <c r="G1269" i="20"/>
  <c r="G1270" i="20"/>
  <c r="G1271" i="20"/>
  <c r="G1272" i="20"/>
  <c r="G1273" i="20"/>
  <c r="G1274" i="20"/>
  <c r="G1275" i="20"/>
  <c r="G1276" i="20"/>
  <c r="G1277" i="20"/>
  <c r="G1278" i="20"/>
  <c r="G1279" i="20"/>
  <c r="G1280" i="20"/>
  <c r="G1281" i="20"/>
  <c r="G1282" i="20"/>
  <c r="G1283" i="20"/>
  <c r="G1284" i="20"/>
  <c r="G1285" i="20"/>
  <c r="G1286" i="20"/>
  <c r="G1287" i="20"/>
  <c r="G1288" i="20"/>
  <c r="G1289" i="20"/>
  <c r="G1290" i="20"/>
  <c r="G1291" i="20"/>
  <c r="G1292" i="20"/>
  <c r="G1293" i="20"/>
  <c r="G1294" i="20"/>
  <c r="G1295" i="20"/>
  <c r="G1296" i="20"/>
  <c r="G1297" i="20"/>
  <c r="G1298" i="20"/>
  <c r="G1299" i="20"/>
  <c r="G1300" i="20"/>
  <c r="G1301" i="20"/>
  <c r="G1302" i="20"/>
  <c r="G1303" i="20"/>
  <c r="G1304" i="20"/>
  <c r="G1305" i="20"/>
  <c r="G1306" i="20"/>
  <c r="G1307" i="20"/>
  <c r="G1308" i="20"/>
  <c r="G1309" i="20"/>
  <c r="G1310" i="20"/>
  <c r="G1311" i="20"/>
  <c r="G1312" i="20"/>
  <c r="G1313" i="20"/>
  <c r="G1314" i="20"/>
  <c r="G1315" i="20"/>
  <c r="G1316" i="20"/>
  <c r="G1317" i="20"/>
  <c r="G1318" i="20"/>
  <c r="G1319" i="20"/>
  <c r="G1320" i="20"/>
  <c r="G1321" i="20"/>
  <c r="G1322" i="20"/>
  <c r="G1323" i="20"/>
  <c r="G1324" i="20"/>
  <c r="G1325" i="20"/>
  <c r="G1326" i="20"/>
  <c r="G1327" i="20"/>
  <c r="G1328" i="20"/>
  <c r="G1329" i="20"/>
  <c r="G1330" i="20"/>
  <c r="G1331" i="20"/>
  <c r="G1332" i="20"/>
  <c r="G1369" i="20"/>
  <c r="G1370" i="20"/>
  <c r="G1371" i="20"/>
  <c r="G1372" i="20"/>
  <c r="G1373" i="20"/>
  <c r="G1374" i="20"/>
  <c r="G1375" i="20"/>
  <c r="G1376" i="20"/>
  <c r="G1377" i="20"/>
  <c r="G1378" i="20"/>
  <c r="G1379" i="20"/>
  <c r="G1380" i="20"/>
  <c r="G1381" i="20"/>
  <c r="G1382" i="20"/>
  <c r="G1383" i="20"/>
  <c r="G1384" i="20"/>
  <c r="G1385" i="20"/>
  <c r="G1386" i="20"/>
  <c r="G1387" i="20"/>
  <c r="G1388" i="20"/>
  <c r="G1389" i="20"/>
  <c r="G1390" i="20"/>
  <c r="G1391" i="20"/>
  <c r="G1392" i="20"/>
  <c r="G1393" i="20"/>
  <c r="G1394" i="20"/>
  <c r="G1395" i="20"/>
  <c r="G1396" i="20"/>
  <c r="G1397" i="20"/>
  <c r="G1398" i="20"/>
  <c r="G1399" i="20"/>
  <c r="G1400" i="20"/>
  <c r="G1401" i="20"/>
  <c r="G1402" i="20"/>
  <c r="G1403" i="20"/>
  <c r="G1404" i="20"/>
  <c r="G1405" i="20"/>
  <c r="G1406" i="20"/>
  <c r="G1407" i="20"/>
  <c r="G1408" i="20"/>
  <c r="G1409" i="20"/>
  <c r="G1410" i="20"/>
  <c r="G1411" i="20"/>
  <c r="G1412" i="20"/>
  <c r="G1413" i="20"/>
  <c r="G1414" i="20"/>
  <c r="G1415" i="20"/>
  <c r="G1829" i="20"/>
  <c r="G1830" i="20"/>
  <c r="G1831" i="20"/>
  <c r="G1832" i="20"/>
  <c r="G1833" i="20"/>
  <c r="G1834" i="20"/>
  <c r="G1835" i="20"/>
  <c r="G1836" i="20"/>
  <c r="G1837" i="20"/>
  <c r="G1838" i="20"/>
  <c r="G1839" i="20"/>
  <c r="G1840" i="20"/>
  <c r="G1841" i="20"/>
  <c r="G1842" i="20"/>
  <c r="G1843" i="20"/>
  <c r="G1844" i="20"/>
  <c r="G1845" i="20"/>
  <c r="G1846" i="20"/>
  <c r="G1847" i="20"/>
  <c r="G1848" i="20"/>
  <c r="G1849" i="20"/>
  <c r="G1850" i="20"/>
  <c r="G1851" i="20"/>
  <c r="G1852" i="20"/>
  <c r="G1853" i="20"/>
  <c r="G1854" i="20"/>
  <c r="G1855" i="20"/>
  <c r="G1856" i="20"/>
  <c r="G1857" i="20"/>
  <c r="G1858" i="20"/>
  <c r="G1859" i="20"/>
  <c r="G1860" i="20"/>
  <c r="G1861" i="20"/>
  <c r="G1862" i="20"/>
  <c r="G1863" i="20"/>
  <c r="G1864" i="20"/>
  <c r="G1865" i="20"/>
  <c r="G1866" i="20"/>
  <c r="G1867" i="20"/>
  <c r="G1868" i="20"/>
  <c r="G1869" i="20"/>
  <c r="G1870" i="20"/>
  <c r="G1871" i="20"/>
  <c r="G1872" i="20"/>
  <c r="G1873" i="20"/>
  <c r="G1874" i="20"/>
  <c r="G1875" i="20"/>
  <c r="G1876" i="20"/>
  <c r="G1877" i="20"/>
  <c r="G1878" i="20"/>
  <c r="G1879" i="20"/>
  <c r="G1880" i="20"/>
  <c r="G1881" i="20"/>
  <c r="G1882" i="20"/>
  <c r="G1883" i="20"/>
  <c r="G1884" i="20"/>
  <c r="G1885" i="20"/>
  <c r="G1886" i="20"/>
  <c r="G1887" i="20"/>
  <c r="G1888" i="20"/>
  <c r="G1889" i="20"/>
  <c r="G1890" i="20"/>
  <c r="G1891" i="20"/>
  <c r="G1892" i="20"/>
  <c r="G1893" i="20"/>
  <c r="G1894" i="20"/>
  <c r="G1895" i="20"/>
  <c r="G1896" i="20"/>
  <c r="G1897" i="20"/>
  <c r="G1898" i="20"/>
  <c r="G1899" i="20"/>
  <c r="G1900" i="20"/>
  <c r="G1901" i="20"/>
  <c r="G1902" i="20"/>
  <c r="G1903" i="20"/>
  <c r="G1904" i="20"/>
  <c r="G1905" i="20"/>
  <c r="G1906" i="20"/>
  <c r="G1907" i="20"/>
  <c r="G1908" i="20"/>
  <c r="G1909" i="20"/>
  <c r="G1910" i="20"/>
  <c r="G1911" i="20"/>
  <c r="G1912" i="20"/>
  <c r="G1913" i="20"/>
  <c r="G1914" i="20"/>
  <c r="G1915" i="20"/>
  <c r="G1916" i="20"/>
  <c r="G1917" i="20"/>
  <c r="G1918" i="20"/>
  <c r="G1919" i="20"/>
  <c r="G1920" i="20"/>
  <c r="G1921" i="20"/>
  <c r="G1922" i="20"/>
  <c r="G1923" i="20"/>
  <c r="G1924" i="20"/>
  <c r="G1925" i="20"/>
  <c r="G1926" i="20"/>
  <c r="G1927" i="20"/>
  <c r="G1928" i="20"/>
  <c r="G1929" i="20"/>
  <c r="G1930" i="20"/>
  <c r="G1931" i="20"/>
  <c r="G1932" i="20"/>
  <c r="G1933" i="20"/>
  <c r="G1934" i="20"/>
  <c r="G1935" i="20"/>
  <c r="G1936" i="20"/>
  <c r="G1937" i="20"/>
  <c r="G1938" i="20"/>
  <c r="G1939" i="20"/>
  <c r="G1940" i="20"/>
  <c r="G1941" i="20"/>
  <c r="G1942" i="20"/>
  <c r="G1943" i="20"/>
  <c r="G1944" i="20"/>
  <c r="G1945" i="20"/>
  <c r="G1946" i="20"/>
  <c r="G1947" i="20"/>
  <c r="G1948" i="20"/>
  <c r="G1949" i="20"/>
  <c r="G1950" i="20"/>
  <c r="G1951" i="20"/>
  <c r="G1952" i="20"/>
  <c r="G1953" i="20"/>
  <c r="G1954" i="20"/>
  <c r="G1955" i="20"/>
  <c r="G1956" i="20"/>
  <c r="G1957" i="20"/>
  <c r="G1958" i="20"/>
  <c r="G1959" i="20"/>
  <c r="G1960" i="20"/>
  <c r="G1961" i="20"/>
  <c r="G1962" i="20"/>
  <c r="G1963" i="20"/>
  <c r="G1964" i="20"/>
  <c r="G1965" i="20"/>
  <c r="G1966" i="20"/>
  <c r="G1967" i="20"/>
  <c r="G1968" i="20"/>
  <c r="G1969" i="20"/>
  <c r="G1970" i="20"/>
  <c r="G1971" i="20"/>
  <c r="G1972" i="20"/>
  <c r="G1973" i="20"/>
  <c r="G1974" i="20"/>
  <c r="G1975" i="20"/>
  <c r="G1976" i="20"/>
  <c r="G1977" i="20"/>
  <c r="G1978" i="20"/>
  <c r="G1979" i="20"/>
  <c r="G1980" i="20"/>
  <c r="G1981" i="20"/>
  <c r="G1982" i="20"/>
  <c r="G1983" i="20"/>
  <c r="G1984" i="20"/>
  <c r="G1985" i="20"/>
  <c r="G1986" i="20"/>
  <c r="G1987" i="20"/>
  <c r="G1988" i="20"/>
  <c r="G1989" i="20"/>
  <c r="G1990" i="20"/>
  <c r="G1991" i="20"/>
  <c r="G1992" i="20"/>
  <c r="G1993" i="20"/>
  <c r="G1994" i="20"/>
  <c r="G1995" i="20"/>
  <c r="G1996" i="20"/>
  <c r="G1997" i="20"/>
  <c r="G1998" i="20"/>
  <c r="G1999" i="20"/>
  <c r="G2000" i="20"/>
  <c r="G2001" i="20"/>
  <c r="G2002" i="20"/>
  <c r="G2003" i="20"/>
  <c r="G2004" i="20"/>
  <c r="G2005" i="20"/>
  <c r="G2006" i="20"/>
  <c r="G2007" i="20"/>
  <c r="G2008" i="20"/>
  <c r="G2009" i="20"/>
  <c r="G2010" i="20"/>
  <c r="G2011" i="20"/>
  <c r="G2012" i="20"/>
  <c r="G2013" i="20"/>
  <c r="G2014" i="20"/>
  <c r="G2015" i="20"/>
  <c r="G2016" i="20"/>
  <c r="G2017" i="20"/>
  <c r="G2018" i="20"/>
  <c r="G2019" i="20"/>
  <c r="G2020" i="20"/>
  <c r="G2021" i="20"/>
  <c r="G2022" i="20"/>
  <c r="G2023" i="20"/>
  <c r="G2024" i="20"/>
  <c r="G2025" i="20"/>
  <c r="G2026" i="20"/>
  <c r="G2027" i="20"/>
  <c r="G2028" i="20"/>
  <c r="G2029" i="20"/>
  <c r="G2030" i="20"/>
  <c r="G2031" i="20"/>
  <c r="G2032" i="20"/>
  <c r="G2033" i="20"/>
  <c r="G2034" i="20"/>
  <c r="G2035" i="20"/>
  <c r="G2036" i="20"/>
  <c r="G2037" i="20"/>
  <c r="G2038" i="20"/>
  <c r="G2039" i="20"/>
  <c r="G2040" i="20"/>
  <c r="G2041" i="20"/>
  <c r="G2042" i="20"/>
  <c r="G2043" i="20"/>
  <c r="G2044" i="20"/>
  <c r="G2045" i="20"/>
  <c r="G2046" i="20"/>
  <c r="G2047" i="20"/>
  <c r="G2048" i="20"/>
  <c r="G2049" i="20"/>
  <c r="G2050" i="20"/>
  <c r="G2051" i="20"/>
  <c r="G2052" i="20"/>
  <c r="G2053" i="20"/>
  <c r="G2054" i="20"/>
  <c r="G2055" i="20"/>
  <c r="G2056" i="20"/>
  <c r="G2057" i="20"/>
  <c r="G2058" i="20"/>
  <c r="G2059" i="20"/>
  <c r="G2060" i="20"/>
  <c r="G2061" i="20"/>
  <c r="G2062" i="20"/>
  <c r="G2063" i="20"/>
  <c r="G2064" i="20"/>
  <c r="G2065" i="20"/>
  <c r="G2066" i="20"/>
  <c r="G2067" i="20"/>
  <c r="G2068" i="20"/>
  <c r="G2069" i="20"/>
  <c r="G2070" i="20"/>
  <c r="G2071" i="20"/>
  <c r="G2072" i="20"/>
  <c r="G2073" i="20"/>
  <c r="G2074" i="20"/>
  <c r="G2075" i="20"/>
  <c r="G2076" i="20"/>
  <c r="G2077" i="20"/>
  <c r="G2078" i="20"/>
  <c r="G2079" i="20"/>
  <c r="G2080" i="20"/>
  <c r="G2081" i="20"/>
  <c r="G2082" i="20"/>
  <c r="G2083" i="20"/>
  <c r="G2084" i="20"/>
  <c r="G2085" i="20"/>
  <c r="G2086" i="20"/>
  <c r="G2087" i="20"/>
  <c r="G2088" i="20"/>
  <c r="G2089" i="20"/>
  <c r="G2090" i="20"/>
  <c r="G2091" i="20"/>
  <c r="G2092" i="20"/>
  <c r="G2093" i="20"/>
  <c r="G2094" i="20"/>
  <c r="G2242" i="20"/>
  <c r="G2243" i="20"/>
  <c r="G2244" i="20"/>
  <c r="G2245" i="20"/>
  <c r="G2246" i="20"/>
  <c r="G2247" i="20"/>
  <c r="G2248" i="20"/>
  <c r="G2249" i="20"/>
  <c r="G2250" i="20"/>
  <c r="G2251" i="20"/>
  <c r="G2252" i="20"/>
  <c r="G2253" i="20"/>
  <c r="G2254" i="20"/>
  <c r="G2255" i="20"/>
  <c r="G2256" i="20"/>
  <c r="G2257" i="20"/>
  <c r="G2258" i="20"/>
  <c r="G2259" i="20"/>
  <c r="G2260" i="20"/>
  <c r="G2261" i="20"/>
  <c r="G2262" i="20"/>
  <c r="G2263" i="20"/>
  <c r="G2264" i="20"/>
  <c r="G2265" i="20"/>
  <c r="G2266" i="20"/>
  <c r="G2267" i="20"/>
  <c r="G2268" i="20"/>
  <c r="G2269" i="20"/>
  <c r="G2270" i="20"/>
  <c r="G2271" i="20"/>
  <c r="G2272" i="20"/>
  <c r="G2273" i="20"/>
  <c r="G2274" i="20"/>
  <c r="G2275" i="20"/>
  <c r="G2276" i="20"/>
  <c r="G2277" i="20"/>
  <c r="G2278" i="20"/>
  <c r="G2279" i="20"/>
  <c r="G2280" i="20"/>
  <c r="G2281" i="20"/>
  <c r="G2282" i="20"/>
  <c r="G2283" i="20"/>
  <c r="G2284" i="20"/>
  <c r="G2285" i="20"/>
  <c r="G2286" i="20"/>
  <c r="G2287" i="20"/>
  <c r="G2288" i="20"/>
  <c r="G2289" i="20"/>
  <c r="G2290" i="20"/>
  <c r="G2291" i="20"/>
  <c r="G2292" i="20"/>
  <c r="G2293" i="20"/>
  <c r="G2294" i="20"/>
  <c r="G2295" i="20"/>
  <c r="G2296" i="20"/>
  <c r="G2297" i="20"/>
  <c r="G2298" i="20"/>
  <c r="G2299" i="20"/>
  <c r="G2300" i="20"/>
  <c r="G2301" i="20"/>
  <c r="G2302" i="20"/>
  <c r="G2303" i="20"/>
  <c r="G2304" i="20"/>
  <c r="G2305" i="20"/>
  <c r="G2306" i="20"/>
  <c r="G2307" i="20"/>
  <c r="G2308" i="20"/>
  <c r="G2309" i="20"/>
  <c r="G2310" i="20"/>
  <c r="G2311" i="20"/>
  <c r="G2312" i="20"/>
  <c r="G2313" i="20"/>
  <c r="G2314" i="20"/>
  <c r="G2315" i="20"/>
  <c r="G2316" i="20"/>
  <c r="G2317" i="20"/>
  <c r="G2318" i="20"/>
  <c r="G2319" i="20"/>
  <c r="G2320" i="20"/>
  <c r="G2321" i="20"/>
  <c r="G2322" i="20"/>
  <c r="G2323" i="20"/>
  <c r="G2324" i="20"/>
  <c r="G2325" i="20"/>
  <c r="G2326" i="20"/>
  <c r="G2327" i="20"/>
  <c r="G2328" i="20"/>
  <c r="G2329" i="20"/>
  <c r="G2330" i="20"/>
  <c r="G2331" i="20"/>
  <c r="G2332" i="20"/>
  <c r="G2333" i="20"/>
  <c r="G2334" i="20"/>
  <c r="G2335" i="20"/>
  <c r="G2336" i="20"/>
  <c r="G2337" i="20"/>
  <c r="G2338" i="20"/>
  <c r="G2339" i="20"/>
  <c r="G2340" i="20"/>
  <c r="G2341" i="20"/>
  <c r="G2342" i="20"/>
  <c r="G2343" i="20"/>
  <c r="G2344" i="20"/>
  <c r="G2345" i="20"/>
  <c r="G2346" i="20"/>
  <c r="G2347" i="20"/>
  <c r="G2348" i="20"/>
  <c r="G2349" i="20"/>
  <c r="G2350" i="20"/>
  <c r="G2351" i="20"/>
  <c r="G2352" i="20"/>
  <c r="G2353" i="20"/>
  <c r="G2354" i="20"/>
  <c r="G2355" i="20"/>
  <c r="G2356" i="20"/>
  <c r="G2357" i="20"/>
  <c r="G2358" i="20"/>
  <c r="G2359" i="20"/>
  <c r="G2360" i="20"/>
  <c r="G2361" i="20"/>
  <c r="G2362" i="20"/>
  <c r="G2363" i="20"/>
  <c r="H929" i="20"/>
  <c r="I929" i="20" s="1"/>
  <c r="H930" i="20"/>
  <c r="I930" i="20" s="1"/>
  <c r="H931" i="20"/>
  <c r="I931" i="20" s="1"/>
  <c r="H932" i="20"/>
  <c r="I932" i="20" s="1"/>
  <c r="H933" i="20"/>
  <c r="I933" i="20" s="1"/>
  <c r="H934" i="20"/>
  <c r="I934" i="20" s="1"/>
  <c r="H935" i="20"/>
  <c r="I935" i="20" s="1"/>
  <c r="H936" i="20"/>
  <c r="I936" i="20" s="1"/>
  <c r="H937" i="20"/>
  <c r="I937" i="20" s="1"/>
  <c r="H938" i="20"/>
  <c r="I938" i="20" s="1"/>
  <c r="H939" i="20"/>
  <c r="I939" i="20" s="1"/>
  <c r="H940" i="20"/>
  <c r="I940" i="20" s="1"/>
  <c r="H941" i="20"/>
  <c r="I941" i="20" s="1"/>
  <c r="H942" i="20"/>
  <c r="I942" i="20" s="1"/>
  <c r="H943" i="20"/>
  <c r="I943" i="20" s="1"/>
  <c r="H944" i="20"/>
  <c r="I944" i="20" s="1"/>
  <c r="H945" i="20"/>
  <c r="I945" i="20" s="1"/>
  <c r="H946" i="20"/>
  <c r="I946" i="20" s="1"/>
  <c r="H947" i="20"/>
  <c r="I947" i="20" s="1"/>
  <c r="H948" i="20"/>
  <c r="I948" i="20" s="1"/>
  <c r="H949" i="20"/>
  <c r="I949" i="20" s="1"/>
  <c r="H950" i="20"/>
  <c r="I950" i="20" s="1"/>
  <c r="H951" i="20"/>
  <c r="I951" i="20" s="1"/>
  <c r="H952" i="20"/>
  <c r="I952" i="20" s="1"/>
  <c r="H953" i="20"/>
  <c r="I953" i="20" s="1"/>
  <c r="H954" i="20"/>
  <c r="I954" i="20" s="1"/>
  <c r="H955" i="20"/>
  <c r="I955" i="20" s="1"/>
  <c r="H956" i="20"/>
  <c r="I956" i="20" s="1"/>
  <c r="H957" i="20"/>
  <c r="I957" i="20" s="1"/>
  <c r="H958" i="20"/>
  <c r="I958" i="20" s="1"/>
  <c r="H959" i="20"/>
  <c r="I959" i="20" s="1"/>
  <c r="H960" i="20"/>
  <c r="I960" i="20" s="1"/>
  <c r="H961" i="20"/>
  <c r="I961" i="20" s="1"/>
  <c r="H962" i="20"/>
  <c r="I962" i="20" s="1"/>
  <c r="H963" i="20"/>
  <c r="I963" i="20" s="1"/>
  <c r="H964" i="20"/>
  <c r="I964" i="20" s="1"/>
  <c r="H965" i="20"/>
  <c r="I965" i="20" s="1"/>
  <c r="H966" i="20"/>
  <c r="I966" i="20" s="1"/>
  <c r="H967" i="20"/>
  <c r="I967" i="20" s="1"/>
  <c r="H968" i="20"/>
  <c r="I968" i="20" s="1"/>
  <c r="H969" i="20"/>
  <c r="I969" i="20" s="1"/>
  <c r="H970" i="20"/>
  <c r="I970" i="20" s="1"/>
  <c r="H971" i="20"/>
  <c r="I971" i="20" s="1"/>
  <c r="H972" i="20"/>
  <c r="I972" i="20" s="1"/>
  <c r="H973" i="20"/>
  <c r="I973" i="20" s="1"/>
  <c r="H974" i="20"/>
  <c r="I974" i="20" s="1"/>
  <c r="H975" i="20"/>
  <c r="I975" i="20" s="1"/>
  <c r="H976" i="20"/>
  <c r="I976" i="20" s="1"/>
  <c r="H977" i="20"/>
  <c r="I977" i="20" s="1"/>
  <c r="H978" i="20"/>
  <c r="I978" i="20" s="1"/>
  <c r="H979" i="20"/>
  <c r="I979" i="20" s="1"/>
  <c r="H980" i="20"/>
  <c r="I980" i="20" s="1"/>
  <c r="H981" i="20"/>
  <c r="I981" i="20" s="1"/>
  <c r="H982" i="20"/>
  <c r="I982" i="20" s="1"/>
  <c r="H983" i="20"/>
  <c r="I983" i="20" s="1"/>
  <c r="H984" i="20"/>
  <c r="I984" i="20" s="1"/>
  <c r="H985" i="20"/>
  <c r="I985" i="20" s="1"/>
  <c r="H986" i="20"/>
  <c r="I986" i="20" s="1"/>
  <c r="H987" i="20"/>
  <c r="I987" i="20" s="1"/>
  <c r="H988" i="20"/>
  <c r="I988" i="20" s="1"/>
  <c r="H989" i="20"/>
  <c r="I989" i="20" s="1"/>
  <c r="H990" i="20"/>
  <c r="I990" i="20" s="1"/>
  <c r="H991" i="20"/>
  <c r="I991" i="20" s="1"/>
  <c r="H992" i="20"/>
  <c r="I992" i="20" s="1"/>
  <c r="H993" i="20"/>
  <c r="I993" i="20" s="1"/>
  <c r="H994" i="20"/>
  <c r="I994" i="20" s="1"/>
  <c r="H995" i="20"/>
  <c r="I995" i="20" s="1"/>
  <c r="H996" i="20"/>
  <c r="I996" i="20" s="1"/>
  <c r="H997" i="20"/>
  <c r="I997" i="20" s="1"/>
  <c r="H998" i="20"/>
  <c r="I998" i="20" s="1"/>
  <c r="H999" i="20"/>
  <c r="I999" i="20" s="1"/>
  <c r="H1000" i="20"/>
  <c r="I1000" i="20" s="1"/>
  <c r="H1001" i="20"/>
  <c r="I1001" i="20" s="1"/>
  <c r="H1002" i="20"/>
  <c r="I1002" i="20" s="1"/>
  <c r="H1003" i="20"/>
  <c r="I1003" i="20" s="1"/>
  <c r="H1004" i="20"/>
  <c r="I1004" i="20" s="1"/>
  <c r="H1005" i="20"/>
  <c r="I1005" i="20" s="1"/>
  <c r="H1006" i="20"/>
  <c r="I1006" i="20" s="1"/>
  <c r="H1007" i="20"/>
  <c r="I1007" i="20" s="1"/>
  <c r="H1008" i="20"/>
  <c r="I1008" i="20" s="1"/>
  <c r="H1009" i="20"/>
  <c r="I1009" i="20" s="1"/>
  <c r="H1010" i="20"/>
  <c r="I1010" i="20" s="1"/>
  <c r="H1011" i="20"/>
  <c r="I1011" i="20" s="1"/>
  <c r="H1012" i="20"/>
  <c r="I1012" i="20" s="1"/>
  <c r="H1013" i="20"/>
  <c r="I1013" i="20" s="1"/>
  <c r="H1014" i="20"/>
  <c r="I1014" i="20" s="1"/>
  <c r="H1015" i="20"/>
  <c r="I1015" i="20" s="1"/>
  <c r="H1016" i="20"/>
  <c r="I1016" i="20" s="1"/>
  <c r="H1017" i="20"/>
  <c r="I1017" i="20" s="1"/>
  <c r="H1018" i="20"/>
  <c r="I1018" i="20" s="1"/>
  <c r="H1019" i="20"/>
  <c r="I1019" i="20" s="1"/>
  <c r="H1020" i="20"/>
  <c r="I1020" i="20" s="1"/>
  <c r="H1021" i="20"/>
  <c r="I1021" i="20" s="1"/>
  <c r="H1022" i="20"/>
  <c r="I1022" i="20" s="1"/>
  <c r="H1023" i="20"/>
  <c r="I1023" i="20" s="1"/>
  <c r="H1024" i="20"/>
  <c r="I1024" i="20" s="1"/>
  <c r="H1025" i="20"/>
  <c r="I1025" i="20" s="1"/>
  <c r="H1026" i="20"/>
  <c r="I1026" i="20" s="1"/>
  <c r="H1027" i="20"/>
  <c r="I1027" i="20" s="1"/>
  <c r="H1028" i="20"/>
  <c r="I1028" i="20" s="1"/>
  <c r="H1029" i="20"/>
  <c r="I1029" i="20" s="1"/>
  <c r="H1030" i="20"/>
  <c r="I1030" i="20" s="1"/>
  <c r="H1031" i="20"/>
  <c r="I1031" i="20" s="1"/>
  <c r="H1032" i="20"/>
  <c r="I1032" i="20" s="1"/>
  <c r="H1033" i="20"/>
  <c r="I1033" i="20" s="1"/>
  <c r="H1034" i="20"/>
  <c r="I1034" i="20" s="1"/>
  <c r="H1035" i="20"/>
  <c r="I1035" i="20" s="1"/>
  <c r="H1036" i="20"/>
  <c r="I1036" i="20" s="1"/>
  <c r="H1037" i="20"/>
  <c r="I1037" i="20" s="1"/>
  <c r="H1038" i="20"/>
  <c r="I1038" i="20" s="1"/>
  <c r="H1039" i="20"/>
  <c r="I1039" i="20" s="1"/>
  <c r="H1040" i="20"/>
  <c r="I1040" i="20" s="1"/>
  <c r="H1041" i="20"/>
  <c r="I1041" i="20" s="1"/>
  <c r="H1042" i="20"/>
  <c r="I1042" i="20" s="1"/>
  <c r="H1043" i="20"/>
  <c r="I1043" i="20" s="1"/>
  <c r="H1044" i="20"/>
  <c r="I1044" i="20" s="1"/>
  <c r="H1045" i="20"/>
  <c r="I1045" i="20" s="1"/>
  <c r="H1046" i="20"/>
  <c r="I1046" i="20" s="1"/>
  <c r="H1047" i="20"/>
  <c r="I1047" i="20" s="1"/>
  <c r="H1048" i="20"/>
  <c r="I1048" i="20" s="1"/>
  <c r="H1049" i="20"/>
  <c r="I1049" i="20" s="1"/>
  <c r="H1050" i="20"/>
  <c r="I1050" i="20" s="1"/>
  <c r="H1051" i="20"/>
  <c r="I1051" i="20" s="1"/>
  <c r="H1052" i="20"/>
  <c r="I1052" i="20" s="1"/>
  <c r="H1053" i="20"/>
  <c r="I1053" i="20" s="1"/>
  <c r="H1054" i="20"/>
  <c r="I1054" i="20" s="1"/>
  <c r="H1055" i="20"/>
  <c r="I1055" i="20" s="1"/>
  <c r="H1056" i="20"/>
  <c r="I1056" i="20" s="1"/>
  <c r="H1057" i="20"/>
  <c r="I1057" i="20" s="1"/>
  <c r="H1058" i="20"/>
  <c r="I1058" i="20" s="1"/>
  <c r="H1059" i="20"/>
  <c r="I1059" i="20" s="1"/>
  <c r="H1060" i="20"/>
  <c r="I1060" i="20" s="1"/>
  <c r="H1061" i="20"/>
  <c r="I1061" i="20" s="1"/>
  <c r="H1062" i="20"/>
  <c r="I1062" i="20" s="1"/>
  <c r="H1063" i="20"/>
  <c r="I1063" i="20" s="1"/>
  <c r="H1064" i="20"/>
  <c r="I1064" i="20" s="1"/>
  <c r="H1065" i="20"/>
  <c r="I1065" i="20" s="1"/>
  <c r="H1066" i="20"/>
  <c r="I1066" i="20" s="1"/>
  <c r="H1067" i="20"/>
  <c r="I1067" i="20" s="1"/>
  <c r="H1068" i="20"/>
  <c r="I1068" i="20" s="1"/>
  <c r="H1069" i="20"/>
  <c r="I1069" i="20" s="1"/>
  <c r="H1070" i="20"/>
  <c r="I1070" i="20" s="1"/>
  <c r="H1071" i="20"/>
  <c r="I1071" i="20" s="1"/>
  <c r="H1072" i="20"/>
  <c r="I1072" i="20" s="1"/>
  <c r="H1073" i="20"/>
  <c r="I1073" i="20" s="1"/>
  <c r="H1074" i="20"/>
  <c r="I1074" i="20" s="1"/>
  <c r="H1075" i="20"/>
  <c r="I1075" i="20" s="1"/>
  <c r="H1076" i="20"/>
  <c r="I1076" i="20" s="1"/>
  <c r="H1077" i="20"/>
  <c r="I1077" i="20" s="1"/>
  <c r="H1078" i="20"/>
  <c r="I1078" i="20" s="1"/>
  <c r="H1079" i="20"/>
  <c r="I1079" i="20" s="1"/>
  <c r="H1080" i="20"/>
  <c r="I1080" i="20" s="1"/>
  <c r="H1081" i="20"/>
  <c r="I1081" i="20" s="1"/>
  <c r="H1082" i="20"/>
  <c r="I1082" i="20" s="1"/>
  <c r="H1083" i="20"/>
  <c r="I1083" i="20" s="1"/>
  <c r="H1084" i="20"/>
  <c r="I1084" i="20" s="1"/>
  <c r="H1085" i="20"/>
  <c r="I1085" i="20" s="1"/>
  <c r="H1086" i="20"/>
  <c r="I1086" i="20" s="1"/>
  <c r="H1087" i="20"/>
  <c r="I1087" i="20" s="1"/>
  <c r="H1088" i="20"/>
  <c r="I1088" i="20" s="1"/>
  <c r="H1089" i="20"/>
  <c r="I1089" i="20" s="1"/>
  <c r="H1090" i="20"/>
  <c r="I1090" i="20" s="1"/>
  <c r="H1091" i="20"/>
  <c r="I1091" i="20" s="1"/>
  <c r="H1092" i="20"/>
  <c r="I1092" i="20" s="1"/>
  <c r="H1093" i="20"/>
  <c r="I1093" i="20" s="1"/>
  <c r="H1094" i="20"/>
  <c r="I1094" i="20" s="1"/>
  <c r="H1095" i="20"/>
  <c r="I1095" i="20" s="1"/>
  <c r="H1096" i="20"/>
  <c r="I1096" i="20" s="1"/>
  <c r="H1097" i="20"/>
  <c r="I1097" i="20" s="1"/>
  <c r="H1098" i="20"/>
  <c r="I1098" i="20" s="1"/>
  <c r="H1099" i="20"/>
  <c r="I1099" i="20" s="1"/>
  <c r="H1100" i="20"/>
  <c r="I1100" i="20" s="1"/>
  <c r="H1101" i="20"/>
  <c r="I1101" i="20" s="1"/>
  <c r="H1102" i="20"/>
  <c r="I1102" i="20" s="1"/>
  <c r="H1103" i="20"/>
  <c r="I1103" i="20" s="1"/>
  <c r="H1104" i="20"/>
  <c r="I1104" i="20" s="1"/>
  <c r="H1105" i="20"/>
  <c r="I1105" i="20" s="1"/>
  <c r="H1106" i="20"/>
  <c r="I1106" i="20" s="1"/>
  <c r="H1107" i="20"/>
  <c r="I1107" i="20" s="1"/>
  <c r="H1108" i="20"/>
  <c r="I1108" i="20" s="1"/>
  <c r="H1109" i="20"/>
  <c r="I1109" i="20" s="1"/>
  <c r="H1110" i="20"/>
  <c r="I1110" i="20" s="1"/>
  <c r="H1111" i="20"/>
  <c r="I1111" i="20" s="1"/>
  <c r="H1112" i="20"/>
  <c r="I1112" i="20" s="1"/>
  <c r="H1113" i="20"/>
  <c r="I1113" i="20" s="1"/>
  <c r="H1114" i="20"/>
  <c r="I1114" i="20" s="1"/>
  <c r="H1115" i="20"/>
  <c r="I1115" i="20" s="1"/>
  <c r="H1116" i="20"/>
  <c r="I1116" i="20" s="1"/>
  <c r="H1117" i="20"/>
  <c r="I1117" i="20" s="1"/>
  <c r="H1118" i="20"/>
  <c r="I1118" i="20" s="1"/>
  <c r="H1119" i="20"/>
  <c r="I1119" i="20" s="1"/>
  <c r="H1120" i="20"/>
  <c r="I1120" i="20" s="1"/>
  <c r="H1121" i="20"/>
  <c r="I1121" i="20" s="1"/>
  <c r="H1122" i="20"/>
  <c r="I1122" i="20" s="1"/>
  <c r="H1123" i="20"/>
  <c r="I1123" i="20" s="1"/>
  <c r="H1124" i="20"/>
  <c r="I1124" i="20" s="1"/>
  <c r="H1125" i="20"/>
  <c r="I1125" i="20" s="1"/>
  <c r="H1126" i="20"/>
  <c r="I1126" i="20" s="1"/>
  <c r="H1127" i="20"/>
  <c r="I1127" i="20" s="1"/>
  <c r="H1128" i="20"/>
  <c r="I1128" i="20" s="1"/>
  <c r="H1129" i="20"/>
  <c r="I1129" i="20" s="1"/>
  <c r="H1130" i="20"/>
  <c r="I1130" i="20" s="1"/>
  <c r="H1131" i="20"/>
  <c r="I1131" i="20" s="1"/>
  <c r="H1132" i="20"/>
  <c r="I1132" i="20" s="1"/>
  <c r="H1133" i="20"/>
  <c r="I1133" i="20" s="1"/>
  <c r="H1134" i="20"/>
  <c r="I1134" i="20" s="1"/>
  <c r="H1135" i="20"/>
  <c r="I1135" i="20" s="1"/>
  <c r="H1136" i="20"/>
  <c r="I1136" i="20" s="1"/>
  <c r="H1137" i="20"/>
  <c r="I1137" i="20" s="1"/>
  <c r="H1138" i="20"/>
  <c r="I1138" i="20" s="1"/>
  <c r="H1139" i="20"/>
  <c r="I1139" i="20" s="1"/>
  <c r="H1140" i="20"/>
  <c r="I1140" i="20" s="1"/>
  <c r="H1141" i="20"/>
  <c r="I1141" i="20" s="1"/>
  <c r="H1142" i="20"/>
  <c r="I1142" i="20" s="1"/>
  <c r="H1143" i="20"/>
  <c r="I1143" i="20" s="1"/>
  <c r="H1144" i="20"/>
  <c r="I1144" i="20" s="1"/>
  <c r="H1145" i="20"/>
  <c r="I1145" i="20" s="1"/>
  <c r="H1146" i="20"/>
  <c r="I1146" i="20" s="1"/>
  <c r="H1147" i="20"/>
  <c r="I1147" i="20" s="1"/>
  <c r="H1148" i="20"/>
  <c r="I1148" i="20" s="1"/>
  <c r="H1149" i="20"/>
  <c r="I1149" i="20" s="1"/>
  <c r="H1150" i="20"/>
  <c r="I1150" i="20" s="1"/>
  <c r="H1151" i="20"/>
  <c r="I1151" i="20" s="1"/>
  <c r="H1152" i="20"/>
  <c r="I1152" i="20" s="1"/>
  <c r="H1153" i="20"/>
  <c r="I1153" i="20" s="1"/>
  <c r="H1154" i="20"/>
  <c r="I1154" i="20" s="1"/>
  <c r="H1155" i="20"/>
  <c r="I1155" i="20" s="1"/>
  <c r="H1156" i="20"/>
  <c r="I1156" i="20" s="1"/>
  <c r="H1157" i="20"/>
  <c r="I1157" i="20" s="1"/>
  <c r="H1158" i="20"/>
  <c r="I1158" i="20" s="1"/>
  <c r="H1159" i="20"/>
  <c r="I1159" i="20" s="1"/>
  <c r="H1160" i="20"/>
  <c r="I1160" i="20" s="1"/>
  <c r="H1161" i="20"/>
  <c r="I1161" i="20" s="1"/>
  <c r="H1162" i="20"/>
  <c r="I1162" i="20" s="1"/>
  <c r="H1163" i="20"/>
  <c r="I1163" i="20" s="1"/>
  <c r="H1164" i="20"/>
  <c r="I1164" i="20" s="1"/>
  <c r="H1165" i="20"/>
  <c r="I1165" i="20" s="1"/>
  <c r="H1166" i="20"/>
  <c r="I1166" i="20" s="1"/>
  <c r="H1167" i="20"/>
  <c r="I1167" i="20" s="1"/>
  <c r="H1168" i="20"/>
  <c r="I1168" i="20" s="1"/>
  <c r="H1169" i="20"/>
  <c r="I1169" i="20" s="1"/>
  <c r="H1170" i="20"/>
  <c r="I1170" i="20" s="1"/>
  <c r="H1171" i="20"/>
  <c r="I1171" i="20" s="1"/>
  <c r="H1172" i="20"/>
  <c r="I1172" i="20" s="1"/>
  <c r="H1173" i="20"/>
  <c r="I1173" i="20" s="1"/>
  <c r="H1174" i="20"/>
  <c r="I1174" i="20" s="1"/>
  <c r="H1175" i="20"/>
  <c r="I1175" i="20" s="1"/>
  <c r="H1176" i="20"/>
  <c r="I1176" i="20" s="1"/>
  <c r="H1177" i="20"/>
  <c r="I1177" i="20" s="1"/>
  <c r="H1178" i="20"/>
  <c r="I1178" i="20" s="1"/>
  <c r="H1179" i="20"/>
  <c r="I1179" i="20" s="1"/>
  <c r="H1180" i="20"/>
  <c r="I1180" i="20" s="1"/>
  <c r="H1181" i="20"/>
  <c r="I1181" i="20" s="1"/>
  <c r="H1182" i="20"/>
  <c r="I1182" i="20" s="1"/>
  <c r="H1183" i="20"/>
  <c r="I1183" i="20" s="1"/>
  <c r="H1184" i="20"/>
  <c r="I1184" i="20" s="1"/>
  <c r="H1185" i="20"/>
  <c r="I1185" i="20" s="1"/>
  <c r="H1186" i="20"/>
  <c r="I1186" i="20" s="1"/>
  <c r="H1187" i="20"/>
  <c r="I1187" i="20" s="1"/>
  <c r="H1188" i="20"/>
  <c r="I1188" i="20" s="1"/>
  <c r="H1189" i="20"/>
  <c r="I1189" i="20" s="1"/>
  <c r="H1190" i="20"/>
  <c r="I1190" i="20" s="1"/>
  <c r="H1191" i="20"/>
  <c r="I1191" i="20" s="1"/>
  <c r="H1192" i="20"/>
  <c r="I1192" i="20" s="1"/>
  <c r="H1193" i="20"/>
  <c r="I1193" i="20" s="1"/>
  <c r="H1194" i="20"/>
  <c r="I1194" i="20" s="1"/>
  <c r="H1195" i="20"/>
  <c r="I1195" i="20" s="1"/>
  <c r="H1196" i="20"/>
  <c r="I1196" i="20" s="1"/>
  <c r="H1197" i="20"/>
  <c r="I1197" i="20" s="1"/>
  <c r="H1198" i="20"/>
  <c r="I1198" i="20" s="1"/>
  <c r="H1199" i="20"/>
  <c r="I1199" i="20" s="1"/>
  <c r="H1200" i="20"/>
  <c r="I1200" i="20" s="1"/>
  <c r="H1201" i="20"/>
  <c r="I1201" i="20" s="1"/>
  <c r="H1202" i="20"/>
  <c r="I1202" i="20" s="1"/>
  <c r="H1203" i="20"/>
  <c r="I1203" i="20" s="1"/>
  <c r="H1204" i="20"/>
  <c r="I1204" i="20" s="1"/>
  <c r="H1205" i="20"/>
  <c r="I1205" i="20" s="1"/>
  <c r="H1206" i="20"/>
  <c r="I1206" i="20" s="1"/>
  <c r="H1207" i="20"/>
  <c r="I1207" i="20" s="1"/>
  <c r="H1208" i="20"/>
  <c r="I1208" i="20" s="1"/>
  <c r="H1209" i="20"/>
  <c r="I1209" i="20" s="1"/>
  <c r="H1210" i="20"/>
  <c r="I1210" i="20" s="1"/>
  <c r="H1211" i="20"/>
  <c r="I1211" i="20" s="1"/>
  <c r="H1212" i="20"/>
  <c r="I1212" i="20" s="1"/>
  <c r="H1213" i="20"/>
  <c r="I1213" i="20" s="1"/>
  <c r="H1214" i="20"/>
  <c r="I1214" i="20" s="1"/>
  <c r="H1215" i="20"/>
  <c r="I1215" i="20" s="1"/>
  <c r="H1216" i="20"/>
  <c r="I1216" i="20" s="1"/>
  <c r="H1217" i="20"/>
  <c r="I1217" i="20" s="1"/>
  <c r="H1218" i="20"/>
  <c r="I1218" i="20" s="1"/>
  <c r="H1219" i="20"/>
  <c r="I1219" i="20" s="1"/>
  <c r="H1220" i="20"/>
  <c r="I1220" i="20" s="1"/>
  <c r="H1221" i="20"/>
  <c r="I1221" i="20" s="1"/>
  <c r="H1222" i="20"/>
  <c r="I1222" i="20" s="1"/>
  <c r="H1223" i="20"/>
  <c r="I1223" i="20" s="1"/>
  <c r="H1224" i="20"/>
  <c r="I1224" i="20" s="1"/>
  <c r="H1225" i="20"/>
  <c r="I1225" i="20" s="1"/>
  <c r="H1226" i="20"/>
  <c r="I1226" i="20" s="1"/>
  <c r="H1227" i="20"/>
  <c r="I1227" i="20" s="1"/>
  <c r="H1228" i="20"/>
  <c r="I1228" i="20" s="1"/>
  <c r="H1229" i="20"/>
  <c r="I1229" i="20" s="1"/>
  <c r="H1230" i="20"/>
  <c r="I1230" i="20" s="1"/>
  <c r="H1231" i="20"/>
  <c r="I1231" i="20" s="1"/>
  <c r="H1232" i="20"/>
  <c r="I1232" i="20" s="1"/>
  <c r="H1233" i="20"/>
  <c r="I1233" i="20" s="1"/>
  <c r="H1234" i="20"/>
  <c r="I1234" i="20" s="1"/>
  <c r="H1235" i="20"/>
  <c r="I1235" i="20" s="1"/>
  <c r="H1236" i="20"/>
  <c r="I1236" i="20" s="1"/>
  <c r="H1237" i="20"/>
  <c r="I1237" i="20" s="1"/>
  <c r="H1238" i="20"/>
  <c r="I1238" i="20" s="1"/>
  <c r="H1239" i="20"/>
  <c r="I1239" i="20" s="1"/>
  <c r="H1240" i="20"/>
  <c r="I1240" i="20" s="1"/>
  <c r="H1241" i="20"/>
  <c r="I1241" i="20" s="1"/>
  <c r="H1242" i="20"/>
  <c r="I1242" i="20" s="1"/>
  <c r="H1243" i="20"/>
  <c r="I1243" i="20" s="1"/>
  <c r="H1244" i="20"/>
  <c r="I1244" i="20" s="1"/>
  <c r="H1245" i="20"/>
  <c r="I1245" i="20" s="1"/>
  <c r="H1246" i="20"/>
  <c r="I1246" i="20" s="1"/>
  <c r="H1247" i="20"/>
  <c r="I1247" i="20" s="1"/>
  <c r="H1248" i="20"/>
  <c r="I1248" i="20" s="1"/>
  <c r="H1249" i="20"/>
  <c r="I1249" i="20" s="1"/>
  <c r="H1250" i="20"/>
  <c r="I1250" i="20" s="1"/>
  <c r="H1251" i="20"/>
  <c r="I1251" i="20" s="1"/>
  <c r="H1252" i="20"/>
  <c r="I1252" i="20" s="1"/>
  <c r="H1253" i="20"/>
  <c r="I1253" i="20" s="1"/>
  <c r="H1254" i="20"/>
  <c r="I1254" i="20" s="1"/>
  <c r="H1255" i="20"/>
  <c r="I1255" i="20" s="1"/>
  <c r="H1256" i="20"/>
  <c r="I1256" i="20" s="1"/>
  <c r="H1257" i="20"/>
  <c r="I1257" i="20" s="1"/>
  <c r="H1258" i="20"/>
  <c r="I1258" i="20" s="1"/>
  <c r="H1259" i="20"/>
  <c r="I1259" i="20" s="1"/>
  <c r="H1260" i="20"/>
  <c r="I1260" i="20" s="1"/>
  <c r="H1261" i="20"/>
  <c r="I1261" i="20" s="1"/>
  <c r="H1262" i="20"/>
  <c r="I1262" i="20" s="1"/>
  <c r="H1263" i="20"/>
  <c r="I1263" i="20" s="1"/>
  <c r="H1264" i="20"/>
  <c r="I1264" i="20" s="1"/>
  <c r="H1265" i="20"/>
  <c r="I1265" i="20" s="1"/>
  <c r="H1266" i="20"/>
  <c r="I1266" i="20" s="1"/>
  <c r="H1267" i="20"/>
  <c r="I1267" i="20" s="1"/>
  <c r="H2427" i="20"/>
  <c r="I2427" i="20" s="1"/>
  <c r="H2458" i="20"/>
  <c r="I2458" i="20" s="1"/>
  <c r="H2459" i="20"/>
  <c r="I2459" i="20" s="1"/>
  <c r="H2460" i="20"/>
  <c r="I2460" i="20" s="1"/>
  <c r="H2461" i="20"/>
  <c r="I2461" i="20" s="1"/>
  <c r="H2502" i="20"/>
  <c r="I2502" i="20" s="1"/>
  <c r="H2503" i="20"/>
  <c r="I2503" i="20" s="1"/>
  <c r="H2504" i="20"/>
  <c r="I2504" i="20" s="1"/>
  <c r="H2505" i="20"/>
  <c r="I2505" i="20" s="1"/>
  <c r="H2506" i="20"/>
  <c r="I2506" i="20" s="1"/>
  <c r="H2507" i="20"/>
  <c r="I2507" i="20" s="1"/>
  <c r="H2508" i="20"/>
  <c r="I2508" i="20" s="1"/>
  <c r="G929" i="20"/>
  <c r="G930" i="20"/>
  <c r="G931" i="20"/>
  <c r="G932" i="20"/>
  <c r="G933" i="20"/>
  <c r="G934" i="20"/>
  <c r="G935" i="20"/>
  <c r="G936" i="20"/>
  <c r="G937" i="20"/>
  <c r="G938" i="20"/>
  <c r="G939" i="20"/>
  <c r="G940" i="20"/>
  <c r="G941" i="20"/>
  <c r="G942" i="20"/>
  <c r="G943" i="20"/>
  <c r="G944" i="20"/>
  <c r="G945" i="20"/>
  <c r="G946" i="20"/>
  <c r="G947" i="20"/>
  <c r="G948" i="20"/>
  <c r="G949" i="20"/>
  <c r="G950" i="20"/>
  <c r="G951" i="20"/>
  <c r="G952" i="20"/>
  <c r="G953" i="20"/>
  <c r="G954" i="20"/>
  <c r="G955" i="20"/>
  <c r="G956" i="20"/>
  <c r="G957" i="20"/>
  <c r="G958" i="20"/>
  <c r="G959" i="20"/>
  <c r="G960" i="20"/>
  <c r="G961" i="20"/>
  <c r="G962" i="20"/>
  <c r="G963" i="20"/>
  <c r="G964" i="20"/>
  <c r="G965" i="20"/>
  <c r="G966" i="20"/>
  <c r="G967" i="20"/>
  <c r="G968" i="20"/>
  <c r="G969" i="20"/>
  <c r="G970" i="20"/>
  <c r="G971" i="20"/>
  <c r="G972" i="20"/>
  <c r="G973" i="20"/>
  <c r="G974" i="20"/>
  <c r="G975" i="20"/>
  <c r="G976" i="20"/>
  <c r="G977" i="20"/>
  <c r="G978" i="20"/>
  <c r="G979" i="20"/>
  <c r="G980" i="20"/>
  <c r="G981" i="20"/>
  <c r="G982" i="20"/>
  <c r="G983" i="20"/>
  <c r="G984" i="20"/>
  <c r="G985" i="20"/>
  <c r="G986" i="20"/>
  <c r="G987" i="20"/>
  <c r="G988" i="20"/>
  <c r="G989" i="20"/>
  <c r="G990" i="20"/>
  <c r="G991" i="20"/>
  <c r="G992" i="20"/>
  <c r="G993" i="20"/>
  <c r="G994" i="20"/>
  <c r="G995" i="20"/>
  <c r="G996" i="20"/>
  <c r="G997" i="20"/>
  <c r="G998" i="20"/>
  <c r="G999" i="20"/>
  <c r="G1000" i="20"/>
  <c r="G1001" i="20"/>
  <c r="G1002" i="20"/>
  <c r="G1003" i="20"/>
  <c r="G1004" i="20"/>
  <c r="G1005" i="20"/>
  <c r="G1006" i="20"/>
  <c r="G1007" i="20"/>
  <c r="G1008" i="20"/>
  <c r="G1009" i="20"/>
  <c r="G1010" i="20"/>
  <c r="G1011" i="20"/>
  <c r="G1012" i="20"/>
  <c r="G1013" i="20"/>
  <c r="G1014" i="20"/>
  <c r="G1015" i="20"/>
  <c r="G1016" i="20"/>
  <c r="G1017" i="20"/>
  <c r="G1018" i="20"/>
  <c r="G1019" i="20"/>
  <c r="G1020" i="20"/>
  <c r="G1021" i="20"/>
  <c r="G1022" i="20"/>
  <c r="G1023" i="20"/>
  <c r="G1024" i="20"/>
  <c r="G1025" i="20"/>
  <c r="G1026" i="20"/>
  <c r="G1027" i="20"/>
  <c r="G1028" i="20"/>
  <c r="G1029" i="20"/>
  <c r="G1030" i="20"/>
  <c r="G1031" i="20"/>
  <c r="G1032" i="20"/>
  <c r="G1033" i="20"/>
  <c r="G1034" i="20"/>
  <c r="G1035" i="20"/>
  <c r="G1036" i="20"/>
  <c r="G1037" i="20"/>
  <c r="G1038" i="20"/>
  <c r="G1039" i="20"/>
  <c r="G1040" i="20"/>
  <c r="G1041" i="20"/>
  <c r="G1042" i="20"/>
  <c r="G1043" i="20"/>
  <c r="G1044" i="20"/>
  <c r="G1045" i="20"/>
  <c r="G1046" i="20"/>
  <c r="G1047" i="20"/>
  <c r="G1048" i="20"/>
  <c r="G1049" i="20"/>
  <c r="G1050" i="20"/>
  <c r="G1051" i="20"/>
  <c r="G1052" i="20"/>
  <c r="G1053" i="20"/>
  <c r="G1054" i="20"/>
  <c r="G1055" i="20"/>
  <c r="G1056" i="20"/>
  <c r="G1057" i="20"/>
  <c r="G1058" i="20"/>
  <c r="G1059" i="20"/>
  <c r="G1060" i="20"/>
  <c r="G1061" i="20"/>
  <c r="G1062" i="20"/>
  <c r="G1063" i="20"/>
  <c r="G1064" i="20"/>
  <c r="G1065" i="20"/>
  <c r="G1066" i="20"/>
  <c r="G1067" i="20"/>
  <c r="G1068" i="20"/>
  <c r="G1069" i="20"/>
  <c r="G1070" i="20"/>
  <c r="G1071" i="20"/>
  <c r="G1072" i="20"/>
  <c r="G1073" i="20"/>
  <c r="G1074" i="20"/>
  <c r="G1075" i="20"/>
  <c r="G1076" i="20"/>
  <c r="G1077" i="20"/>
  <c r="G1078" i="20"/>
  <c r="G1079" i="20"/>
  <c r="G1080" i="20"/>
  <c r="G1081" i="20"/>
  <c r="G1082" i="20"/>
  <c r="G1083" i="20"/>
  <c r="G1084" i="20"/>
  <c r="G1085" i="20"/>
  <c r="G1086" i="20"/>
  <c r="G1087" i="20"/>
  <c r="G1088" i="20"/>
  <c r="G1089" i="20"/>
  <c r="G1090" i="20"/>
  <c r="G1091" i="20"/>
  <c r="G1092" i="20"/>
  <c r="G1093" i="20"/>
  <c r="G1094" i="20"/>
  <c r="G1095" i="20"/>
  <c r="G1096" i="20"/>
  <c r="G1097" i="20"/>
  <c r="G1098" i="20"/>
  <c r="G1099" i="20"/>
  <c r="G1100" i="20"/>
  <c r="G1101" i="20"/>
  <c r="G1102" i="20"/>
  <c r="G1103" i="20"/>
  <c r="G1104" i="20"/>
  <c r="G1105" i="20"/>
  <c r="G1106" i="20"/>
  <c r="G1107" i="20"/>
  <c r="G1108" i="20"/>
  <c r="G1109" i="20"/>
  <c r="G1110" i="20"/>
  <c r="G1111" i="20"/>
  <c r="G1112" i="20"/>
  <c r="G1113" i="20"/>
  <c r="G1114" i="20"/>
  <c r="G1115" i="20"/>
  <c r="G1116" i="20"/>
  <c r="G1117" i="20"/>
  <c r="G1118" i="20"/>
  <c r="G1119" i="20"/>
  <c r="G1120" i="20"/>
  <c r="G1121" i="20"/>
  <c r="G1122" i="20"/>
  <c r="G1123" i="20"/>
  <c r="G1124" i="20"/>
  <c r="G1125" i="20"/>
  <c r="G1126" i="20"/>
  <c r="G1127" i="20"/>
  <c r="G1128" i="20"/>
  <c r="G1129" i="20"/>
  <c r="G1130" i="20"/>
  <c r="G1131" i="20"/>
  <c r="G1132" i="20"/>
  <c r="G1133" i="20"/>
  <c r="G1134" i="20"/>
  <c r="G1135" i="20"/>
  <c r="G1136" i="20"/>
  <c r="G1137" i="20"/>
  <c r="G1138" i="20"/>
  <c r="G1139" i="20"/>
  <c r="G1140" i="20"/>
  <c r="G1141" i="20"/>
  <c r="G1142" i="20"/>
  <c r="G1143" i="20"/>
  <c r="G1144" i="20"/>
  <c r="G1145" i="20"/>
  <c r="G1146" i="20"/>
  <c r="G1147" i="20"/>
  <c r="G1148" i="20"/>
  <c r="G1149" i="20"/>
  <c r="G1150" i="20"/>
  <c r="G1151" i="20"/>
  <c r="G1152" i="20"/>
  <c r="G1153" i="20"/>
  <c r="G1154" i="20"/>
  <c r="G1155" i="20"/>
  <c r="G1156" i="20"/>
  <c r="G1157" i="20"/>
  <c r="G1158" i="20"/>
  <c r="G1159" i="20"/>
  <c r="G1160" i="20"/>
  <c r="G1161" i="20"/>
  <c r="G1162" i="20"/>
  <c r="G1163" i="20"/>
  <c r="G1164" i="20"/>
  <c r="G1165" i="20"/>
  <c r="G1166" i="20"/>
  <c r="G1167" i="20"/>
  <c r="G1168" i="20"/>
  <c r="G1169" i="20"/>
  <c r="G1170" i="20"/>
  <c r="G1171" i="20"/>
  <c r="G1172" i="20"/>
  <c r="G1173" i="20"/>
  <c r="G1174" i="20"/>
  <c r="G1175" i="20"/>
  <c r="G1176" i="20"/>
  <c r="G1177" i="20"/>
  <c r="G1178" i="20"/>
  <c r="G1179" i="20"/>
  <c r="G1180" i="20"/>
  <c r="G1181" i="20"/>
  <c r="G1182" i="20"/>
  <c r="G1183" i="20"/>
  <c r="G1184" i="20"/>
  <c r="G1185" i="20"/>
  <c r="G1186" i="20"/>
  <c r="G1187" i="20"/>
  <c r="G1188" i="20"/>
  <c r="G1189" i="20"/>
  <c r="G1190" i="20"/>
  <c r="G1191" i="20"/>
  <c r="G1192" i="20"/>
  <c r="G1193" i="20"/>
  <c r="G1194" i="20"/>
  <c r="G1195" i="20"/>
  <c r="G1196" i="20"/>
  <c r="G1197" i="20"/>
  <c r="G1198" i="20"/>
  <c r="G1199" i="20"/>
  <c r="G1200" i="20"/>
  <c r="G1201" i="20"/>
  <c r="G1202" i="20"/>
  <c r="G1203" i="20"/>
  <c r="G1204" i="20"/>
  <c r="G1205" i="20"/>
  <c r="G1206" i="20"/>
  <c r="G1207" i="20"/>
  <c r="G1208" i="20"/>
  <c r="G1209" i="20"/>
  <c r="G1210" i="20"/>
  <c r="G1211" i="20"/>
  <c r="G1212" i="20"/>
  <c r="G1213" i="20"/>
  <c r="G1214" i="20"/>
  <c r="G1215" i="20"/>
  <c r="G1216" i="20"/>
  <c r="G1217" i="20"/>
  <c r="G1218" i="20"/>
  <c r="G1219" i="20"/>
  <c r="G1220" i="20"/>
  <c r="G1221" i="20"/>
  <c r="G1222" i="20"/>
  <c r="G1223" i="20"/>
  <c r="G1224" i="20"/>
  <c r="G1225" i="20"/>
  <c r="G1226" i="20"/>
  <c r="G1227" i="20"/>
  <c r="G1228" i="20"/>
  <c r="G1229" i="20"/>
  <c r="G1230" i="20"/>
  <c r="G1231" i="20"/>
  <c r="G1232" i="20"/>
  <c r="G1233" i="20"/>
  <c r="G1234" i="20"/>
  <c r="G1235" i="20"/>
  <c r="G1236" i="20"/>
  <c r="G1237" i="20"/>
  <c r="G1238" i="20"/>
  <c r="G1239" i="20"/>
  <c r="G1240" i="20"/>
  <c r="G1241" i="20"/>
  <c r="G1242" i="20"/>
  <c r="G1243" i="20"/>
  <c r="G1244" i="20"/>
  <c r="G1245" i="20"/>
  <c r="G1246" i="20"/>
  <c r="G1247" i="20"/>
  <c r="G1248" i="20"/>
  <c r="G1249" i="20"/>
  <c r="G1250" i="20"/>
  <c r="G1251" i="20"/>
  <c r="G1252" i="20"/>
  <c r="G1253" i="20"/>
  <c r="G1254" i="20"/>
  <c r="G1255" i="20"/>
  <c r="G1256" i="20"/>
  <c r="G1257" i="20"/>
  <c r="G1258" i="20"/>
  <c r="G1259" i="20"/>
  <c r="G1260" i="20"/>
  <c r="G1261" i="20"/>
  <c r="G1262" i="20"/>
  <c r="G1263" i="20"/>
  <c r="G1264" i="20"/>
  <c r="G1265" i="20"/>
  <c r="G1266" i="20"/>
  <c r="G1267" i="20"/>
  <c r="G2427" i="20"/>
  <c r="G2458" i="20"/>
  <c r="G2459" i="20"/>
  <c r="G2460" i="20"/>
  <c r="G2461" i="20"/>
  <c r="G2502" i="20"/>
  <c r="G2503" i="20"/>
  <c r="G2504" i="20"/>
  <c r="G2505" i="20"/>
  <c r="G2506" i="20"/>
  <c r="G2507" i="20"/>
  <c r="G2508" i="20"/>
  <c r="H2521" i="20"/>
  <c r="I2521" i="20" s="1"/>
  <c r="H2520" i="20"/>
  <c r="I2520" i="20" s="1"/>
  <c r="H2519" i="20"/>
  <c r="I2519" i="20" s="1"/>
  <c r="H2518" i="20"/>
  <c r="I2518" i="20" s="1"/>
  <c r="H2517" i="20"/>
  <c r="I2517" i="20" s="1"/>
  <c r="H2516" i="20"/>
  <c r="I2516" i="20" s="1"/>
  <c r="H2515" i="20"/>
  <c r="I2515" i="20" s="1"/>
  <c r="H2514" i="20"/>
  <c r="I2514" i="20" s="1"/>
  <c r="H2513" i="20"/>
  <c r="I2513" i="20" s="1"/>
  <c r="H2512" i="20"/>
  <c r="I2512" i="20" s="1"/>
  <c r="H2511" i="20"/>
  <c r="I2511" i="20" s="1"/>
  <c r="H2510" i="20"/>
  <c r="I2510" i="20" s="1"/>
  <c r="H2509" i="20"/>
  <c r="I2509" i="20" s="1"/>
  <c r="H928" i="20"/>
  <c r="I928" i="20" s="1"/>
  <c r="H927" i="20"/>
  <c r="I927" i="20" s="1"/>
  <c r="H926" i="20"/>
  <c r="I926" i="20" s="1"/>
  <c r="H925" i="20"/>
  <c r="I925" i="20" s="1"/>
  <c r="H924" i="20"/>
  <c r="I924" i="20" s="1"/>
  <c r="H923" i="20"/>
  <c r="I923" i="20" s="1"/>
  <c r="H922" i="20"/>
  <c r="I922" i="20" s="1"/>
  <c r="H921" i="20"/>
  <c r="I921" i="20" s="1"/>
  <c r="H920" i="20"/>
  <c r="I920" i="20" s="1"/>
  <c r="H919" i="20"/>
  <c r="I919" i="20" s="1"/>
  <c r="H918" i="20"/>
  <c r="I918" i="20" s="1"/>
  <c r="H917" i="20"/>
  <c r="I917" i="20" s="1"/>
  <c r="H916" i="20"/>
  <c r="I916" i="20" s="1"/>
  <c r="H915" i="20"/>
  <c r="I915" i="20" s="1"/>
  <c r="H914" i="20"/>
  <c r="I914" i="20" s="1"/>
  <c r="H913" i="20"/>
  <c r="I913" i="20" s="1"/>
  <c r="H912" i="20"/>
  <c r="I912" i="20" s="1"/>
  <c r="H911" i="20"/>
  <c r="I911" i="20" s="1"/>
  <c r="H910" i="20"/>
  <c r="I910" i="20" s="1"/>
  <c r="H909" i="20"/>
  <c r="I909" i="20" s="1"/>
  <c r="H908" i="20"/>
  <c r="I908" i="20" s="1"/>
  <c r="H907" i="20"/>
  <c r="I907" i="20" s="1"/>
  <c r="H906" i="20"/>
  <c r="I906" i="20" s="1"/>
  <c r="H905" i="20"/>
  <c r="I905" i="20" s="1"/>
  <c r="H904" i="20"/>
  <c r="I904" i="20" s="1"/>
  <c r="H903" i="20"/>
  <c r="I903" i="20" s="1"/>
  <c r="H902" i="20"/>
  <c r="I902" i="20" s="1"/>
  <c r="H901" i="20"/>
  <c r="I901" i="20" s="1"/>
  <c r="H900" i="20"/>
  <c r="I900" i="20" s="1"/>
  <c r="H899" i="20"/>
  <c r="I899" i="20" s="1"/>
  <c r="H898" i="20"/>
  <c r="I898" i="20" s="1"/>
  <c r="H897" i="20"/>
  <c r="I897" i="20" s="1"/>
  <c r="H896" i="20"/>
  <c r="I896" i="20" s="1"/>
  <c r="H895" i="20"/>
  <c r="I895" i="20" s="1"/>
  <c r="H894" i="20"/>
  <c r="I894" i="20" s="1"/>
  <c r="H893" i="20"/>
  <c r="I893" i="20" s="1"/>
  <c r="H892" i="20"/>
  <c r="I892" i="20" s="1"/>
  <c r="H891" i="20"/>
  <c r="I891" i="20" s="1"/>
  <c r="H890" i="20"/>
  <c r="I890" i="20" s="1"/>
  <c r="H889" i="20"/>
  <c r="I889" i="20" s="1"/>
  <c r="H888" i="20"/>
  <c r="I888" i="20" s="1"/>
  <c r="H887" i="20"/>
  <c r="I887" i="20" s="1"/>
  <c r="H886" i="20"/>
  <c r="I886" i="20" s="1"/>
  <c r="H885" i="20"/>
  <c r="I885" i="20" s="1"/>
  <c r="H884" i="20"/>
  <c r="I884" i="20" s="1"/>
  <c r="H883" i="20"/>
  <c r="I883" i="20" s="1"/>
  <c r="H882" i="20"/>
  <c r="I882" i="20" s="1"/>
  <c r="H881" i="20"/>
  <c r="I881" i="20" s="1"/>
  <c r="H880" i="20"/>
  <c r="I880" i="20" s="1"/>
  <c r="H879" i="20"/>
  <c r="I879" i="20" s="1"/>
  <c r="H878" i="20"/>
  <c r="I878" i="20" s="1"/>
  <c r="H877" i="20"/>
  <c r="I877" i="20" s="1"/>
  <c r="H876" i="20"/>
  <c r="I876" i="20" s="1"/>
  <c r="H875" i="20"/>
  <c r="I875" i="20" s="1"/>
  <c r="H874" i="20"/>
  <c r="I874" i="20" s="1"/>
  <c r="H873" i="20"/>
  <c r="I873" i="20" s="1"/>
  <c r="H872" i="20"/>
  <c r="I872" i="20" s="1"/>
  <c r="H871" i="20"/>
  <c r="I871" i="20" s="1"/>
  <c r="H870" i="20"/>
  <c r="I870" i="20" s="1"/>
  <c r="H860" i="20"/>
  <c r="I860" i="20" s="1"/>
  <c r="H859" i="20"/>
  <c r="I859" i="20" s="1"/>
  <c r="H858" i="20"/>
  <c r="I858" i="20" s="1"/>
  <c r="H857" i="20"/>
  <c r="I857" i="20" s="1"/>
  <c r="H856" i="20"/>
  <c r="I856" i="20" s="1"/>
  <c r="H855" i="20"/>
  <c r="I855" i="20" s="1"/>
  <c r="H854" i="20"/>
  <c r="I854" i="20" s="1"/>
  <c r="H853" i="20"/>
  <c r="I853" i="20" s="1"/>
  <c r="H852" i="20"/>
  <c r="I852" i="20" s="1"/>
  <c r="H851" i="20"/>
  <c r="I851" i="20" s="1"/>
  <c r="H850" i="20"/>
  <c r="I850" i="20" s="1"/>
  <c r="H849" i="20"/>
  <c r="I849" i="20" s="1"/>
  <c r="H848" i="20"/>
  <c r="I848" i="20" s="1"/>
  <c r="H847" i="20"/>
  <c r="I847" i="20" s="1"/>
  <c r="H846" i="20"/>
  <c r="I846" i="20" s="1"/>
  <c r="H845" i="20"/>
  <c r="I845" i="20" s="1"/>
  <c r="H844" i="20"/>
  <c r="I844" i="20" s="1"/>
  <c r="H843" i="20"/>
  <c r="I843" i="20" s="1"/>
  <c r="H842" i="20"/>
  <c r="I842" i="20" s="1"/>
  <c r="H841" i="20"/>
  <c r="I841" i="20" s="1"/>
  <c r="H840" i="20"/>
  <c r="I840" i="20" s="1"/>
  <c r="H839" i="20"/>
  <c r="I839" i="20" s="1"/>
  <c r="H838" i="20"/>
  <c r="I838" i="20" s="1"/>
  <c r="H837" i="20"/>
  <c r="I837" i="20" s="1"/>
  <c r="H836" i="20"/>
  <c r="I836" i="20" s="1"/>
  <c r="H835" i="20"/>
  <c r="I835" i="20" s="1"/>
  <c r="H834" i="20"/>
  <c r="I834" i="20" s="1"/>
  <c r="H833" i="20"/>
  <c r="I833" i="20" s="1"/>
  <c r="H832" i="20"/>
  <c r="I832" i="20" s="1"/>
  <c r="H831" i="20"/>
  <c r="I831" i="20" s="1"/>
  <c r="H830" i="20"/>
  <c r="I830" i="20" s="1"/>
  <c r="H829" i="20"/>
  <c r="I829" i="20" s="1"/>
  <c r="H828" i="20"/>
  <c r="I828" i="20" s="1"/>
  <c r="H827" i="20"/>
  <c r="I827" i="20" s="1"/>
  <c r="H826" i="20"/>
  <c r="I826" i="20" s="1"/>
  <c r="H825" i="20"/>
  <c r="I825" i="20" s="1"/>
  <c r="H824" i="20"/>
  <c r="I824" i="20" s="1"/>
  <c r="H823" i="20"/>
  <c r="I823" i="20" s="1"/>
  <c r="H822" i="20"/>
  <c r="I822" i="20" s="1"/>
  <c r="H821" i="20"/>
  <c r="I821" i="20" s="1"/>
  <c r="H820" i="20"/>
  <c r="I820" i="20" s="1"/>
  <c r="H819" i="20"/>
  <c r="I819" i="20" s="1"/>
  <c r="H818" i="20"/>
  <c r="I818" i="20" s="1"/>
  <c r="H817" i="20"/>
  <c r="I817" i="20" s="1"/>
  <c r="H816" i="20"/>
  <c r="I816" i="20" s="1"/>
  <c r="H815" i="20"/>
  <c r="I815" i="20" s="1"/>
  <c r="H814" i="20"/>
  <c r="I814" i="20" s="1"/>
  <c r="H813" i="20"/>
  <c r="I813" i="20" s="1"/>
  <c r="H812" i="20"/>
  <c r="I812" i="20" s="1"/>
  <c r="H811" i="20"/>
  <c r="I811" i="20" s="1"/>
  <c r="H810" i="20"/>
  <c r="I810" i="20" s="1"/>
  <c r="H809" i="20"/>
  <c r="I809" i="20" s="1"/>
  <c r="H808" i="20"/>
  <c r="I808" i="20" s="1"/>
  <c r="H807" i="20"/>
  <c r="I807" i="20" s="1"/>
  <c r="H806" i="20"/>
  <c r="I806" i="20" s="1"/>
  <c r="H805" i="20"/>
  <c r="I805" i="20" s="1"/>
  <c r="H804" i="20"/>
  <c r="I804" i="20" s="1"/>
  <c r="H803" i="20"/>
  <c r="I803" i="20" s="1"/>
  <c r="H802" i="20"/>
  <c r="I802" i="20" s="1"/>
  <c r="H801" i="20"/>
  <c r="I801" i="20" s="1"/>
  <c r="H800" i="20"/>
  <c r="I800" i="20" s="1"/>
  <c r="H799" i="20"/>
  <c r="I799" i="20" s="1"/>
  <c r="H798" i="20"/>
  <c r="I798" i="20" s="1"/>
  <c r="H797" i="20"/>
  <c r="I797" i="20" s="1"/>
  <c r="H796" i="20"/>
  <c r="I796" i="20" s="1"/>
  <c r="H795" i="20"/>
  <c r="I795" i="20" s="1"/>
  <c r="H794" i="20"/>
  <c r="I794" i="20" s="1"/>
  <c r="H793" i="20"/>
  <c r="I793" i="20" s="1"/>
  <c r="H792" i="20"/>
  <c r="I792" i="20" s="1"/>
  <c r="H791" i="20"/>
  <c r="I791" i="20" s="1"/>
  <c r="H790" i="20"/>
  <c r="I790" i="20" s="1"/>
  <c r="H789" i="20"/>
  <c r="I789" i="20" s="1"/>
  <c r="H788" i="20"/>
  <c r="I788" i="20" s="1"/>
  <c r="H787" i="20"/>
  <c r="I787" i="20" s="1"/>
  <c r="H786" i="20"/>
  <c r="I786" i="20" s="1"/>
  <c r="H785" i="20"/>
  <c r="I785" i="20" s="1"/>
  <c r="H784" i="20"/>
  <c r="I784" i="20" s="1"/>
  <c r="H783" i="20"/>
  <c r="I783" i="20" s="1"/>
  <c r="H782" i="20"/>
  <c r="I782" i="20" s="1"/>
  <c r="H781" i="20"/>
  <c r="I781" i="20" s="1"/>
  <c r="H780" i="20"/>
  <c r="I780" i="20" s="1"/>
  <c r="H779" i="20"/>
  <c r="I779" i="20" s="1"/>
  <c r="H778" i="20"/>
  <c r="I778" i="20" s="1"/>
  <c r="H777" i="20"/>
  <c r="I777" i="20" s="1"/>
  <c r="H776" i="20"/>
  <c r="I776" i="20" s="1"/>
  <c r="H775" i="20"/>
  <c r="I775" i="20" s="1"/>
  <c r="H774" i="20"/>
  <c r="I774" i="20" s="1"/>
  <c r="H773" i="20"/>
  <c r="I773" i="20" s="1"/>
  <c r="H772" i="20"/>
  <c r="I772" i="20" s="1"/>
  <c r="H771" i="20"/>
  <c r="I771" i="20" s="1"/>
  <c r="H770" i="20"/>
  <c r="I770" i="20" s="1"/>
  <c r="H769" i="20"/>
  <c r="I769" i="20" s="1"/>
  <c r="H768" i="20"/>
  <c r="I768" i="20" s="1"/>
  <c r="H767" i="20"/>
  <c r="I767" i="20" s="1"/>
  <c r="H766" i="20"/>
  <c r="I766" i="20" s="1"/>
  <c r="H765" i="20"/>
  <c r="I765" i="20" s="1"/>
  <c r="H764" i="20"/>
  <c r="I764" i="20" s="1"/>
  <c r="H763" i="20"/>
  <c r="I763" i="20" s="1"/>
  <c r="H762" i="20"/>
  <c r="I762" i="20" s="1"/>
  <c r="H761" i="20"/>
  <c r="I761" i="20" s="1"/>
  <c r="H760" i="20"/>
  <c r="I760" i="20" s="1"/>
  <c r="H759" i="20"/>
  <c r="I759" i="20" s="1"/>
  <c r="H758" i="20"/>
  <c r="I758" i="20" s="1"/>
  <c r="H757" i="20"/>
  <c r="I757" i="20" s="1"/>
  <c r="H756" i="20"/>
  <c r="I756" i="20" s="1"/>
  <c r="H755" i="20"/>
  <c r="I755" i="20" s="1"/>
  <c r="H754" i="20"/>
  <c r="I754" i="20" s="1"/>
  <c r="H753" i="20"/>
  <c r="I753" i="20" s="1"/>
  <c r="H752" i="20"/>
  <c r="I752" i="20" s="1"/>
  <c r="H751" i="20"/>
  <c r="I751" i="20" s="1"/>
  <c r="H750" i="20"/>
  <c r="I750" i="20" s="1"/>
  <c r="H749" i="20"/>
  <c r="I749" i="20" s="1"/>
  <c r="H748" i="20"/>
  <c r="I748" i="20" s="1"/>
  <c r="H747" i="20"/>
  <c r="I747" i="20" s="1"/>
  <c r="H746" i="20"/>
  <c r="I746" i="20" s="1"/>
  <c r="H745" i="20"/>
  <c r="I745" i="20" s="1"/>
  <c r="H744" i="20"/>
  <c r="I744" i="20" s="1"/>
  <c r="H743" i="20"/>
  <c r="I743" i="20" s="1"/>
  <c r="H742" i="20"/>
  <c r="I742" i="20" s="1"/>
  <c r="H741" i="20"/>
  <c r="I741" i="20" s="1"/>
  <c r="H740" i="20"/>
  <c r="I740" i="20" s="1"/>
  <c r="H739" i="20"/>
  <c r="I739" i="20" s="1"/>
  <c r="H738" i="20"/>
  <c r="I738" i="20" s="1"/>
  <c r="H737" i="20"/>
  <c r="I737" i="20" s="1"/>
  <c r="H736" i="20"/>
  <c r="I736" i="20" s="1"/>
  <c r="H735" i="20"/>
  <c r="I735" i="20" s="1"/>
  <c r="H734" i="20"/>
  <c r="I734" i="20" s="1"/>
  <c r="H733" i="20"/>
  <c r="I733" i="20" s="1"/>
  <c r="H732" i="20"/>
  <c r="I732" i="20" s="1"/>
  <c r="H731" i="20"/>
  <c r="I731" i="20" s="1"/>
  <c r="H730" i="20"/>
  <c r="I730" i="20" s="1"/>
  <c r="H729" i="20"/>
  <c r="I729" i="20" s="1"/>
  <c r="H728" i="20"/>
  <c r="I728" i="20" s="1"/>
  <c r="H727" i="20"/>
  <c r="I727" i="20" s="1"/>
  <c r="H726" i="20"/>
  <c r="I726" i="20" s="1"/>
  <c r="H725" i="20"/>
  <c r="I725" i="20" s="1"/>
  <c r="H724" i="20"/>
  <c r="I724" i="20" s="1"/>
  <c r="H723" i="20"/>
  <c r="I723" i="20" s="1"/>
  <c r="H722" i="20"/>
  <c r="I722" i="20" s="1"/>
  <c r="H721" i="20"/>
  <c r="I721" i="20" s="1"/>
  <c r="H720" i="20"/>
  <c r="I720" i="20" s="1"/>
  <c r="H719" i="20"/>
  <c r="I719" i="20" s="1"/>
  <c r="H718" i="20"/>
  <c r="I718" i="20" s="1"/>
  <c r="H717" i="20"/>
  <c r="I717" i="20" s="1"/>
  <c r="H716" i="20"/>
  <c r="I716" i="20" s="1"/>
  <c r="H715" i="20"/>
  <c r="I715" i="20" s="1"/>
  <c r="H714" i="20"/>
  <c r="I714" i="20" s="1"/>
  <c r="H713" i="20"/>
  <c r="I713" i="20" s="1"/>
  <c r="H712" i="20"/>
  <c r="I712" i="20" s="1"/>
  <c r="H711" i="20"/>
  <c r="I711" i="20" s="1"/>
  <c r="H710" i="20"/>
  <c r="I710" i="20" s="1"/>
  <c r="H709" i="20"/>
  <c r="I709" i="20" s="1"/>
  <c r="H708" i="20"/>
  <c r="I708" i="20" s="1"/>
  <c r="H707" i="20"/>
  <c r="I707" i="20" s="1"/>
  <c r="H706" i="20"/>
  <c r="I706" i="20" s="1"/>
  <c r="H705" i="20"/>
  <c r="I705" i="20" s="1"/>
  <c r="H704" i="20"/>
  <c r="I704" i="20" s="1"/>
  <c r="H703" i="20"/>
  <c r="I703" i="20" s="1"/>
  <c r="H702" i="20"/>
  <c r="I702" i="20" s="1"/>
  <c r="H701" i="20"/>
  <c r="I701" i="20" s="1"/>
  <c r="H700" i="20"/>
  <c r="I700" i="20" s="1"/>
  <c r="H699" i="20"/>
  <c r="I699" i="20" s="1"/>
  <c r="H698" i="20"/>
  <c r="I698" i="20" s="1"/>
  <c r="H697" i="20"/>
  <c r="I697" i="20" s="1"/>
  <c r="H696" i="20"/>
  <c r="I696" i="20" s="1"/>
  <c r="H695" i="20"/>
  <c r="I695" i="20" s="1"/>
  <c r="H694" i="20"/>
  <c r="I694" i="20" s="1"/>
  <c r="H693" i="20"/>
  <c r="I693" i="20" s="1"/>
  <c r="H692" i="20"/>
  <c r="I692" i="20" s="1"/>
  <c r="H691" i="20"/>
  <c r="I691" i="20" s="1"/>
  <c r="H690" i="20"/>
  <c r="I690" i="20" s="1"/>
  <c r="H518" i="20"/>
  <c r="I518" i="20" s="1"/>
  <c r="H517" i="20"/>
  <c r="I517" i="20" s="1"/>
  <c r="H516" i="20"/>
  <c r="I516" i="20" s="1"/>
  <c r="H515" i="20"/>
  <c r="I515" i="20" s="1"/>
  <c r="H514" i="20"/>
  <c r="I514" i="20" s="1"/>
  <c r="H513" i="20"/>
  <c r="I513" i="20" s="1"/>
  <c r="I339" i="20"/>
  <c r="I340" i="20"/>
  <c r="I341" i="20"/>
  <c r="I342" i="20"/>
  <c r="I343" i="20"/>
  <c r="I344" i="20"/>
  <c r="I345" i="20"/>
  <c r="I346" i="20"/>
  <c r="I347" i="20"/>
  <c r="I348" i="20"/>
  <c r="I349" i="20"/>
  <c r="I350" i="20"/>
  <c r="I351" i="20"/>
  <c r="I352" i="20"/>
  <c r="I353" i="20"/>
  <c r="I354" i="20"/>
  <c r="L339" i="20"/>
  <c r="L340" i="20"/>
  <c r="L341" i="20"/>
  <c r="L342" i="20"/>
  <c r="L343" i="20"/>
  <c r="L344" i="20"/>
  <c r="L345" i="20"/>
  <c r="L346" i="20"/>
  <c r="L347" i="20"/>
  <c r="L348" i="20"/>
  <c r="L349" i="20"/>
  <c r="L350" i="20"/>
  <c r="L351" i="20"/>
  <c r="L352" i="20"/>
  <c r="L353" i="20"/>
  <c r="L354" i="20"/>
  <c r="I355" i="20"/>
  <c r="I356" i="20"/>
  <c r="L356" i="20" s="1"/>
  <c r="I357" i="20"/>
  <c r="L357" i="20" s="1"/>
  <c r="I358" i="20"/>
  <c r="L358" i="20" s="1"/>
  <c r="I359" i="20"/>
  <c r="L359" i="20" s="1"/>
  <c r="I360" i="20"/>
  <c r="L360" i="20" s="1"/>
  <c r="I361" i="20"/>
  <c r="L361" i="20" s="1"/>
  <c r="I362" i="20"/>
  <c r="L362" i="20" s="1"/>
  <c r="I363" i="20"/>
  <c r="L363" i="20" s="1"/>
  <c r="I364" i="20"/>
  <c r="L364" i="20" s="1"/>
  <c r="I365" i="20"/>
  <c r="L365" i="20" s="1"/>
  <c r="I366" i="20"/>
  <c r="L366" i="20" s="1"/>
  <c r="I367" i="20"/>
  <c r="I368" i="20"/>
  <c r="L368" i="20" s="1"/>
  <c r="I369" i="20"/>
  <c r="L369" i="20" s="1"/>
  <c r="I370" i="20"/>
  <c r="L370" i="20" s="1"/>
  <c r="L355" i="20"/>
  <c r="L367" i="20"/>
  <c r="I328" i="20"/>
  <c r="I329" i="20"/>
  <c r="I330" i="20"/>
  <c r="I331" i="20"/>
  <c r="I332" i="20"/>
  <c r="I333" i="20"/>
  <c r="L333" i="20" s="1"/>
  <c r="I334" i="20"/>
  <c r="L334" i="20" s="1"/>
  <c r="I335" i="20"/>
  <c r="L335" i="20" s="1"/>
  <c r="L328" i="20"/>
  <c r="L329" i="20"/>
  <c r="L330" i="20"/>
  <c r="L331" i="20"/>
  <c r="L332" i="20"/>
  <c r="I336" i="20"/>
  <c r="I337" i="20"/>
  <c r="L337" i="20" s="1"/>
  <c r="I338" i="20"/>
  <c r="L338" i="20" s="1"/>
  <c r="I371" i="20"/>
  <c r="L371" i="20" s="1"/>
  <c r="I372" i="20"/>
  <c r="L372" i="20" s="1"/>
  <c r="I373" i="20"/>
  <c r="L373" i="20" s="1"/>
  <c r="I374" i="20"/>
  <c r="L374" i="20" s="1"/>
  <c r="I375" i="20"/>
  <c r="L375" i="20" s="1"/>
  <c r="L336" i="20"/>
  <c r="I264" i="20"/>
  <c r="L264" i="20" s="1"/>
  <c r="I265" i="20"/>
  <c r="L265" i="20" s="1"/>
  <c r="I266" i="20"/>
  <c r="L266" i="20" s="1"/>
  <c r="I267" i="20"/>
  <c r="L267" i="20" s="1"/>
  <c r="I268" i="20"/>
  <c r="L268" i="20" s="1"/>
  <c r="I269" i="20"/>
  <c r="L269" i="20" s="1"/>
  <c r="I270" i="20"/>
  <c r="L270" i="20" s="1"/>
  <c r="I271" i="20"/>
  <c r="L271" i="20" s="1"/>
  <c r="I272" i="20"/>
  <c r="L272" i="20" s="1"/>
  <c r="I273" i="20"/>
  <c r="L273" i="20" s="1"/>
  <c r="I274" i="20"/>
  <c r="L274" i="20" s="1"/>
  <c r="I275" i="20"/>
  <c r="L275" i="20" s="1"/>
  <c r="I276" i="20"/>
  <c r="L276" i="20" s="1"/>
  <c r="I277" i="20"/>
  <c r="L277" i="20" s="1"/>
  <c r="I278" i="20"/>
  <c r="L278" i="20" s="1"/>
  <c r="I279" i="20"/>
  <c r="L279" i="20" s="1"/>
  <c r="I280" i="20"/>
  <c r="L280" i="20" s="1"/>
  <c r="I281" i="20"/>
  <c r="L281" i="20" s="1"/>
  <c r="I282" i="20"/>
  <c r="L282" i="20" s="1"/>
  <c r="I283" i="20"/>
  <c r="L283" i="20" s="1"/>
  <c r="I284" i="20"/>
  <c r="L284" i="20" s="1"/>
  <c r="I285" i="20"/>
  <c r="L285" i="20" s="1"/>
  <c r="I286" i="20"/>
  <c r="I287" i="20"/>
  <c r="L287" i="20" s="1"/>
  <c r="I288" i="20"/>
  <c r="L288" i="20" s="1"/>
  <c r="I289" i="20"/>
  <c r="L289" i="20" s="1"/>
  <c r="I290" i="20"/>
  <c r="L290" i="20" s="1"/>
  <c r="I291" i="20"/>
  <c r="L291" i="20" s="1"/>
  <c r="I292" i="20"/>
  <c r="L292" i="20" s="1"/>
  <c r="I293" i="20"/>
  <c r="L293" i="20" s="1"/>
  <c r="L286" i="20"/>
  <c r="I294" i="20"/>
  <c r="L294" i="20" s="1"/>
  <c r="I295" i="20"/>
  <c r="L295" i="20" s="1"/>
  <c r="I296" i="20"/>
  <c r="L296" i="20" s="1"/>
  <c r="I297" i="20"/>
  <c r="L297" i="20" s="1"/>
  <c r="I298" i="20"/>
  <c r="L298" i="20" s="1"/>
  <c r="I299" i="20"/>
  <c r="L299" i="20" s="1"/>
  <c r="I300" i="20"/>
  <c r="L300" i="20" s="1"/>
  <c r="I301" i="20"/>
  <c r="L301" i="20" s="1"/>
  <c r="I302" i="20"/>
  <c r="L302" i="20" s="1"/>
  <c r="I303" i="20"/>
  <c r="L303" i="20" s="1"/>
  <c r="I304" i="20"/>
  <c r="L304" i="20" s="1"/>
  <c r="I305" i="20"/>
  <c r="L305" i="20" s="1"/>
  <c r="I306" i="20"/>
  <c r="L306" i="20" s="1"/>
  <c r="I307" i="20"/>
  <c r="L307" i="20" s="1"/>
  <c r="I308" i="20"/>
  <c r="L308" i="20" s="1"/>
  <c r="I309" i="20"/>
  <c r="L309" i="20" s="1"/>
  <c r="I310" i="20"/>
  <c r="L310" i="20" s="1"/>
  <c r="I311" i="20"/>
  <c r="L311" i="20" s="1"/>
  <c r="I312" i="20"/>
  <c r="L312" i="20" s="1"/>
  <c r="I313" i="20"/>
  <c r="L313" i="20" s="1"/>
  <c r="I314" i="20"/>
  <c r="L314" i="20" s="1"/>
  <c r="I315" i="20"/>
  <c r="L315" i="20" s="1"/>
  <c r="I316" i="20"/>
  <c r="L316" i="20" s="1"/>
  <c r="I317" i="20"/>
  <c r="L317" i="20" s="1"/>
  <c r="I318" i="20"/>
  <c r="L318" i="20" s="1"/>
  <c r="I319" i="20"/>
  <c r="L319" i="20" s="1"/>
  <c r="I320" i="20"/>
  <c r="L320" i="20" s="1"/>
  <c r="I321" i="20"/>
  <c r="L321" i="20" s="1"/>
  <c r="I322" i="20"/>
  <c r="L322" i="20" s="1"/>
  <c r="I323" i="20"/>
  <c r="L323" i="20" s="1"/>
  <c r="I324" i="20"/>
  <c r="L324" i="20" s="1"/>
  <c r="I325" i="20"/>
  <c r="L325" i="20" s="1"/>
  <c r="I326" i="20"/>
  <c r="L326" i="20" s="1"/>
  <c r="I327" i="20"/>
  <c r="L327" i="20" s="1"/>
  <c r="I376" i="20"/>
  <c r="L376" i="20" s="1"/>
  <c r="I377" i="20"/>
  <c r="L377" i="20" s="1"/>
  <c r="I378" i="20"/>
  <c r="L378" i="20" s="1"/>
  <c r="I379" i="20"/>
  <c r="L379" i="20" s="1"/>
  <c r="I380" i="20"/>
  <c r="L380" i="20" s="1"/>
  <c r="I381" i="20"/>
  <c r="L381" i="20" s="1"/>
  <c r="I233" i="20"/>
  <c r="L233" i="20" s="1"/>
  <c r="I234" i="20"/>
  <c r="L234" i="20" s="1"/>
  <c r="I235" i="20"/>
  <c r="I236" i="20"/>
  <c r="L236" i="20" s="1"/>
  <c r="I237" i="20"/>
  <c r="L237" i="20" s="1"/>
  <c r="I238" i="20"/>
  <c r="L238" i="20" s="1"/>
  <c r="I239" i="20"/>
  <c r="L239" i="20" s="1"/>
  <c r="I240" i="20"/>
  <c r="L240" i="20" s="1"/>
  <c r="I241" i="20"/>
  <c r="L241" i="20" s="1"/>
  <c r="I242" i="20"/>
  <c r="L242" i="20" s="1"/>
  <c r="L235" i="20"/>
  <c r="I243" i="20"/>
  <c r="L243" i="20" s="1"/>
  <c r="I244" i="20"/>
  <c r="L244" i="20" s="1"/>
  <c r="I245" i="20"/>
  <c r="L245" i="20" s="1"/>
  <c r="I246" i="20"/>
  <c r="L246" i="20" s="1"/>
  <c r="I247" i="20"/>
  <c r="L247" i="20" s="1"/>
  <c r="I248" i="20"/>
  <c r="L248" i="20" s="1"/>
  <c r="I249" i="20"/>
  <c r="L249" i="20" s="1"/>
  <c r="I250" i="20"/>
  <c r="L250" i="20" s="1"/>
  <c r="I251" i="20"/>
  <c r="L251" i="20" s="1"/>
  <c r="I252" i="20"/>
  <c r="L252" i="20" s="1"/>
  <c r="I253" i="20"/>
  <c r="L253" i="20" s="1"/>
  <c r="I254" i="20"/>
  <c r="L254" i="20" s="1"/>
  <c r="I255" i="20"/>
  <c r="L255" i="20" s="1"/>
  <c r="I256" i="20"/>
  <c r="L256" i="20" s="1"/>
  <c r="I257" i="20"/>
  <c r="L257" i="20" s="1"/>
  <c r="I258" i="20"/>
  <c r="L258" i="20" s="1"/>
  <c r="I259" i="20"/>
  <c r="L259" i="20" s="1"/>
  <c r="I260" i="20"/>
  <c r="L260" i="20" s="1"/>
  <c r="I261" i="20"/>
  <c r="L261" i="20" s="1"/>
  <c r="I262" i="20"/>
  <c r="L262" i="20" s="1"/>
  <c r="I232" i="20"/>
  <c r="L232" i="20" s="1"/>
  <c r="I263" i="20"/>
  <c r="L263" i="20" s="1"/>
  <c r="I382" i="20"/>
  <c r="L382" i="20" s="1"/>
  <c r="I383" i="20"/>
  <c r="L383" i="20" s="1"/>
  <c r="I384" i="20"/>
  <c r="L384" i="20" s="1"/>
  <c r="I385" i="20"/>
  <c r="L385" i="20" s="1"/>
  <c r="I386" i="20"/>
  <c r="L386" i="20" s="1"/>
  <c r="I387" i="20"/>
  <c r="L387" i="20" s="1"/>
  <c r="I388" i="20"/>
  <c r="L388" i="20" s="1"/>
  <c r="I389" i="20"/>
  <c r="L389" i="20" s="1"/>
  <c r="I390" i="20"/>
  <c r="L390" i="20" s="1"/>
  <c r="I391" i="20"/>
  <c r="L391" i="20" s="1"/>
  <c r="G396" i="20"/>
  <c r="I396" i="20"/>
  <c r="L396" i="20" s="1"/>
  <c r="G514" i="20"/>
  <c r="G515" i="20"/>
  <c r="G516" i="20"/>
  <c r="G517" i="20"/>
  <c r="G518" i="20"/>
  <c r="G513" i="20"/>
  <c r="G690" i="20"/>
  <c r="G691" i="20"/>
  <c r="G692" i="20"/>
  <c r="G693" i="20"/>
  <c r="G694" i="20"/>
  <c r="G695" i="20"/>
  <c r="G696" i="20"/>
  <c r="G697" i="20"/>
  <c r="G698" i="20"/>
  <c r="G699" i="20"/>
  <c r="G700" i="20"/>
  <c r="G701" i="20"/>
  <c r="G702" i="20"/>
  <c r="G703" i="20"/>
  <c r="G704" i="20"/>
  <c r="G705" i="20"/>
  <c r="G706" i="20"/>
  <c r="G707" i="20"/>
  <c r="G708" i="20"/>
  <c r="G709" i="20"/>
  <c r="G710" i="20"/>
  <c r="G711" i="20"/>
  <c r="G712" i="20"/>
  <c r="G713" i="20"/>
  <c r="G714" i="20"/>
  <c r="G715" i="20"/>
  <c r="G716" i="20"/>
  <c r="G717" i="20"/>
  <c r="G718" i="20"/>
  <c r="G719" i="20"/>
  <c r="G720" i="20"/>
  <c r="G721" i="20"/>
  <c r="G722" i="20"/>
  <c r="G723" i="20"/>
  <c r="G724" i="20"/>
  <c r="G725" i="20"/>
  <c r="G726" i="20"/>
  <c r="G727" i="20"/>
  <c r="G728" i="20"/>
  <c r="G729" i="20"/>
  <c r="G730" i="20"/>
  <c r="G731" i="20"/>
  <c r="G732" i="20"/>
  <c r="G733" i="20"/>
  <c r="G734" i="20"/>
  <c r="G735" i="20"/>
  <c r="G736" i="20"/>
  <c r="G737" i="20"/>
  <c r="G738" i="20"/>
  <c r="G739" i="20"/>
  <c r="G740" i="20"/>
  <c r="G741" i="20"/>
  <c r="G742" i="20"/>
  <c r="G743" i="20"/>
  <c r="G744" i="20"/>
  <c r="G745" i="20"/>
  <c r="G746" i="20"/>
  <c r="G747" i="20"/>
  <c r="G748" i="20"/>
  <c r="G749" i="20"/>
  <c r="G750" i="20"/>
  <c r="G751" i="20"/>
  <c r="G752" i="20"/>
  <c r="G753" i="20"/>
  <c r="G754" i="20"/>
  <c r="G755" i="20"/>
  <c r="G756" i="20"/>
  <c r="G757" i="20"/>
  <c r="G758" i="20"/>
  <c r="G759" i="20"/>
  <c r="G760" i="20"/>
  <c r="G761" i="20"/>
  <c r="G762" i="20"/>
  <c r="G763" i="20"/>
  <c r="G764" i="20"/>
  <c r="G765" i="20"/>
  <c r="G766" i="20"/>
  <c r="G767" i="20"/>
  <c r="G768" i="20"/>
  <c r="G769" i="20"/>
  <c r="G770" i="20"/>
  <c r="G771" i="20"/>
  <c r="G772" i="20"/>
  <c r="G773" i="20"/>
  <c r="G774" i="20"/>
  <c r="G775" i="20"/>
  <c r="G776" i="20"/>
  <c r="G777" i="20"/>
  <c r="G778" i="20"/>
  <c r="G779" i="20"/>
  <c r="G780" i="20"/>
  <c r="G781" i="20"/>
  <c r="G782" i="20"/>
  <c r="G783" i="20"/>
  <c r="G784" i="20"/>
  <c r="G785" i="20"/>
  <c r="G786" i="20"/>
  <c r="G787" i="20"/>
  <c r="G788" i="20"/>
  <c r="G789" i="20"/>
  <c r="G790" i="20"/>
  <c r="G791" i="20"/>
  <c r="G792" i="20"/>
  <c r="G793" i="20"/>
  <c r="G794" i="20"/>
  <c r="G795" i="20"/>
  <c r="G796" i="20"/>
  <c r="G797" i="20"/>
  <c r="G798" i="20"/>
  <c r="G799" i="20"/>
  <c r="G800" i="20"/>
  <c r="G801" i="20"/>
  <c r="G802" i="20"/>
  <c r="G803" i="20"/>
  <c r="G804" i="20"/>
  <c r="G805" i="20"/>
  <c r="G806" i="20"/>
  <c r="G807" i="20"/>
  <c r="G808" i="20"/>
  <c r="G809" i="20"/>
  <c r="G810" i="20"/>
  <c r="G811" i="20"/>
  <c r="G812" i="20"/>
  <c r="G813" i="20"/>
  <c r="G814" i="20"/>
  <c r="G815" i="20"/>
  <c r="G816" i="20"/>
  <c r="G817" i="20"/>
  <c r="G818" i="20"/>
  <c r="G819" i="20"/>
  <c r="G820" i="20"/>
  <c r="G821" i="20"/>
  <c r="G822" i="20"/>
  <c r="G823" i="20"/>
  <c r="G824" i="20"/>
  <c r="G825" i="20"/>
  <c r="G826" i="20"/>
  <c r="G827" i="20"/>
  <c r="G828" i="20"/>
  <c r="G829" i="20"/>
  <c r="G830" i="20"/>
  <c r="G831" i="20"/>
  <c r="G832" i="20"/>
  <c r="G833" i="20"/>
  <c r="G834" i="20"/>
  <c r="G835" i="20"/>
  <c r="G836" i="20"/>
  <c r="G837" i="20"/>
  <c r="G838" i="20"/>
  <c r="G839" i="20"/>
  <c r="G840" i="20"/>
  <c r="G841" i="20"/>
  <c r="G842" i="20"/>
  <c r="G843" i="20"/>
  <c r="G844" i="20"/>
  <c r="G845" i="20"/>
  <c r="G846" i="20"/>
  <c r="G847" i="20"/>
  <c r="G848" i="20"/>
  <c r="G849" i="20"/>
  <c r="G850" i="20"/>
  <c r="G851" i="20"/>
  <c r="G852" i="20"/>
  <c r="G853" i="20"/>
  <c r="G854" i="20"/>
  <c r="G855" i="20"/>
  <c r="G856" i="20"/>
  <c r="G857" i="20"/>
  <c r="G858" i="20"/>
  <c r="G859" i="20"/>
  <c r="G860" i="20"/>
  <c r="G870" i="20"/>
  <c r="G871" i="20"/>
  <c r="G872" i="20"/>
  <c r="G873" i="20"/>
  <c r="G874" i="20"/>
  <c r="G875" i="20"/>
  <c r="G876" i="20"/>
  <c r="G877" i="20"/>
  <c r="G878" i="20"/>
  <c r="G879" i="20"/>
  <c r="G880" i="20"/>
  <c r="G881" i="20"/>
  <c r="G882" i="20"/>
  <c r="G883" i="20"/>
  <c r="G884" i="20"/>
  <c r="G885" i="20"/>
  <c r="G886" i="20"/>
  <c r="G887" i="20"/>
  <c r="G888" i="20"/>
  <c r="G889" i="20"/>
  <c r="G890" i="20"/>
  <c r="G891" i="20"/>
  <c r="G892" i="20"/>
  <c r="G893" i="20"/>
  <c r="G894" i="20"/>
  <c r="G895" i="20"/>
  <c r="G896" i="20"/>
  <c r="G897" i="20"/>
  <c r="G898" i="20"/>
  <c r="G899" i="20"/>
  <c r="G900" i="20"/>
  <c r="G901" i="20"/>
  <c r="G902" i="20"/>
  <c r="G903" i="20"/>
  <c r="G904" i="20"/>
  <c r="G905" i="20"/>
  <c r="G906" i="20"/>
  <c r="G907" i="20"/>
  <c r="G908" i="20"/>
  <c r="G909" i="20"/>
  <c r="G910" i="20"/>
  <c r="G911" i="20"/>
  <c r="G912" i="20"/>
  <c r="G913" i="20"/>
  <c r="G914" i="20"/>
  <c r="G915" i="20"/>
  <c r="G916" i="20"/>
  <c r="G917" i="20"/>
  <c r="G918" i="20"/>
  <c r="G919" i="20"/>
  <c r="G920" i="20"/>
  <c r="G921" i="20"/>
  <c r="G922" i="20"/>
  <c r="G923" i="20"/>
  <c r="G924" i="20"/>
  <c r="G925" i="20"/>
  <c r="G926" i="20"/>
  <c r="G927" i="20"/>
  <c r="G928" i="20"/>
  <c r="G2509" i="20"/>
  <c r="G2510" i="20"/>
  <c r="G2511" i="20"/>
  <c r="G2512" i="20"/>
  <c r="G2513" i="20"/>
  <c r="G2514" i="20"/>
  <c r="G2515" i="20"/>
  <c r="G2516" i="20"/>
  <c r="G2517" i="20"/>
  <c r="G2518" i="20"/>
  <c r="G2519" i="20"/>
  <c r="G2520" i="20"/>
  <c r="G2521" i="20"/>
  <c r="M161" i="20"/>
  <c r="N161" i="20"/>
  <c r="L161" i="20"/>
  <c r="K102" i="20" l="1"/>
  <c r="K38" i="20"/>
  <c r="I187" i="3" s="1"/>
  <c r="J154" i="20"/>
  <c r="K50" i="20"/>
  <c r="J151" i="20"/>
  <c r="I186" i="3" l="1"/>
  <c r="J161" i="20"/>
  <c r="R94" i="22"/>
  <c r="R52" i="22"/>
  <c r="R26" i="22"/>
  <c r="R25" i="22"/>
  <c r="R24" i="22"/>
  <c r="R47" i="22"/>
  <c r="R23" i="22"/>
  <c r="R48" i="22"/>
  <c r="R22" i="22"/>
  <c r="R39" i="22"/>
  <c r="R44" i="22"/>
  <c r="R21" i="22"/>
  <c r="R20" i="22"/>
  <c r="R19" i="22"/>
  <c r="R18" i="22"/>
  <c r="R17" i="22"/>
  <c r="R16" i="22"/>
  <c r="R15" i="22"/>
  <c r="R14" i="22"/>
  <c r="R13" i="22"/>
  <c r="R12" i="22"/>
  <c r="R11" i="22"/>
  <c r="R10" i="22"/>
  <c r="R9" i="22"/>
  <c r="R51" i="22"/>
  <c r="R93" i="22"/>
  <c r="R92" i="22"/>
  <c r="R38" i="22"/>
  <c r="R91" i="22"/>
  <c r="R90" i="22"/>
  <c r="R89" i="22"/>
  <c r="R88" i="22"/>
  <c r="R40" i="22"/>
  <c r="R53" i="22"/>
  <c r="R87" i="22"/>
  <c r="R86" i="22"/>
  <c r="R85" i="22"/>
  <c r="R84" i="22"/>
  <c r="R83" i="22"/>
  <c r="R82" i="22"/>
  <c r="R50" i="22"/>
  <c r="R81" i="22"/>
  <c r="R80" i="22"/>
  <c r="R79" i="22"/>
  <c r="R78" i="22"/>
  <c r="R77" i="22"/>
  <c r="R76" i="22"/>
  <c r="R75" i="22"/>
  <c r="R74" i="22"/>
  <c r="Q94" i="22"/>
  <c r="G94" i="22"/>
  <c r="Q52" i="22"/>
  <c r="G52" i="22"/>
  <c r="Q26" i="22"/>
  <c r="G26" i="22"/>
  <c r="Q25" i="22"/>
  <c r="G25" i="22"/>
  <c r="Q24" i="22"/>
  <c r="G24" i="22"/>
  <c r="Q47" i="22"/>
  <c r="G47" i="22"/>
  <c r="Q23" i="22"/>
  <c r="G23" i="22"/>
  <c r="Q48" i="22"/>
  <c r="G48" i="22"/>
  <c r="Q22" i="22"/>
  <c r="G22" i="22"/>
  <c r="Q39" i="22"/>
  <c r="G39" i="22"/>
  <c r="Q44" i="22"/>
  <c r="G44" i="22"/>
  <c r="Q21" i="22"/>
  <c r="G21" i="22"/>
  <c r="Q20" i="22"/>
  <c r="G20" i="22"/>
  <c r="Q19" i="22"/>
  <c r="G19" i="22"/>
  <c r="Q18" i="22"/>
  <c r="G18" i="22"/>
  <c r="Q17" i="22"/>
  <c r="G17" i="22"/>
  <c r="Q16" i="22"/>
  <c r="G16" i="22"/>
  <c r="Q15" i="22"/>
  <c r="G15" i="22"/>
  <c r="Q14" i="22"/>
  <c r="G14" i="22"/>
  <c r="Q13" i="22"/>
  <c r="G13" i="22"/>
  <c r="Q12" i="22"/>
  <c r="G12" i="22"/>
  <c r="Q11" i="22"/>
  <c r="G11" i="22"/>
  <c r="Q10" i="22"/>
  <c r="G10" i="22"/>
  <c r="Q9" i="22"/>
  <c r="G9" i="22"/>
  <c r="Q51" i="22"/>
  <c r="G51" i="22"/>
  <c r="Q93" i="22"/>
  <c r="G93" i="22"/>
  <c r="Q92" i="22"/>
  <c r="G92" i="22"/>
  <c r="Q38" i="22"/>
  <c r="G38" i="22"/>
  <c r="Q91" i="22"/>
  <c r="G91" i="22"/>
  <c r="Q90" i="22"/>
  <c r="G90" i="22"/>
  <c r="Q89" i="22"/>
  <c r="G89" i="22"/>
  <c r="Q88" i="22"/>
  <c r="G88" i="22"/>
  <c r="Q40" i="22"/>
  <c r="G40" i="22"/>
  <c r="Q53" i="22"/>
  <c r="G53" i="22"/>
  <c r="Q87" i="22"/>
  <c r="G87" i="22"/>
  <c r="Q86" i="22"/>
  <c r="G86" i="22"/>
  <c r="Q85" i="22"/>
  <c r="G85" i="22"/>
  <c r="Q84" i="22"/>
  <c r="G84" i="22"/>
  <c r="Q83" i="22"/>
  <c r="G83" i="22"/>
  <c r="Q82" i="22"/>
  <c r="G82" i="22"/>
  <c r="Q50" i="22"/>
  <c r="G50" i="22"/>
  <c r="Q81" i="22"/>
  <c r="G81" i="22"/>
  <c r="Q80" i="22"/>
  <c r="Q79" i="22"/>
  <c r="G79" i="22"/>
  <c r="Q77" i="22"/>
  <c r="G77" i="22"/>
  <c r="Q75" i="22"/>
  <c r="G75" i="22"/>
  <c r="R73" i="22"/>
  <c r="R37" i="22"/>
  <c r="R72" i="22"/>
  <c r="R71" i="22"/>
  <c r="R70" i="22"/>
  <c r="R69" i="22"/>
  <c r="R68" i="22"/>
  <c r="R36" i="22"/>
  <c r="R67" i="22"/>
  <c r="R66" i="22"/>
  <c r="R65" i="22"/>
  <c r="R64" i="22"/>
  <c r="R63" i="22"/>
  <c r="R35" i="22"/>
  <c r="R62" i="22"/>
  <c r="R61" i="22"/>
  <c r="R60" i="22"/>
  <c r="R59" i="22"/>
  <c r="R49" i="22"/>
  <c r="R45" i="22"/>
  <c r="R58" i="22"/>
  <c r="R57" i="22"/>
  <c r="R43" i="22"/>
  <c r="R56" i="22"/>
  <c r="R41" i="22"/>
  <c r="R55" i="22"/>
  <c r="R54" i="22"/>
  <c r="G56" i="22"/>
  <c r="G41" i="22"/>
  <c r="G55" i="22"/>
  <c r="G54" i="22"/>
  <c r="G80" i="22"/>
  <c r="Q78" i="22"/>
  <c r="G78" i="22"/>
  <c r="Q76" i="22"/>
  <c r="G76" i="22"/>
  <c r="Q74" i="22"/>
  <c r="G74" i="22"/>
  <c r="Q73" i="22"/>
  <c r="G73" i="22"/>
  <c r="Q37" i="22"/>
  <c r="G37" i="22"/>
  <c r="Q72" i="22"/>
  <c r="G72" i="22"/>
  <c r="Q71" i="22"/>
  <c r="G71" i="22"/>
  <c r="Q70" i="22"/>
  <c r="G70" i="22"/>
  <c r="Q69" i="22"/>
  <c r="G69" i="22"/>
  <c r="Q68" i="22"/>
  <c r="G68" i="22"/>
  <c r="Q36" i="22"/>
  <c r="G36" i="22"/>
  <c r="Q67" i="22"/>
  <c r="G67" i="22"/>
  <c r="Q66" i="22"/>
  <c r="G66" i="22"/>
  <c r="Q65" i="22"/>
  <c r="G65" i="22"/>
  <c r="Q64" i="22"/>
  <c r="G64" i="22"/>
  <c r="Q63" i="22"/>
  <c r="G63" i="22"/>
  <c r="Q35" i="22"/>
  <c r="G35" i="22"/>
  <c r="Q62" i="22"/>
  <c r="G62" i="22"/>
  <c r="Q61" i="22"/>
  <c r="G61" i="22"/>
  <c r="Q60" i="22"/>
  <c r="G60" i="22"/>
  <c r="Q59" i="22"/>
  <c r="G59" i="22"/>
  <c r="Q49" i="22"/>
  <c r="G49" i="22"/>
  <c r="Q45" i="22"/>
  <c r="G45" i="22"/>
  <c r="Q58" i="22"/>
  <c r="G58" i="22"/>
  <c r="Q57" i="22"/>
  <c r="G57" i="22"/>
  <c r="Q43" i="22"/>
  <c r="G43" i="22"/>
  <c r="Q56" i="22"/>
  <c r="Q41" i="22"/>
  <c r="Q55" i="22"/>
  <c r="Q54" i="22"/>
  <c r="G42" i="10"/>
  <c r="G30" i="10"/>
  <c r="G13" i="10"/>
  <c r="G54" i="10"/>
  <c r="G55" i="10"/>
  <c r="Q19" i="10"/>
  <c r="Q53" i="10"/>
  <c r="Q65" i="10"/>
  <c r="Q14" i="10"/>
  <c r="Q56" i="10"/>
  <c r="R19" i="10"/>
  <c r="R53" i="10"/>
  <c r="R65" i="10"/>
  <c r="R14" i="10"/>
  <c r="R56" i="10"/>
  <c r="G57" i="10"/>
  <c r="G32" i="10"/>
  <c r="G58" i="10"/>
  <c r="G15" i="10"/>
  <c r="Q57" i="10"/>
  <c r="Q32" i="10"/>
  <c r="Q58" i="10"/>
  <c r="Q15" i="10"/>
  <c r="R57" i="10"/>
  <c r="R32" i="10"/>
  <c r="R58" i="10"/>
  <c r="R15" i="10"/>
  <c r="R39" i="10"/>
  <c r="R40" i="10"/>
  <c r="R17" i="10"/>
  <c r="R18" i="10"/>
  <c r="R62" i="10"/>
  <c r="R61" i="10"/>
  <c r="R20" i="10"/>
  <c r="R60" i="10"/>
  <c r="R59" i="10"/>
  <c r="R29" i="10"/>
  <c r="G19" i="10"/>
  <c r="G53" i="10"/>
  <c r="G65" i="10"/>
  <c r="G14" i="10"/>
  <c r="G56" i="10"/>
  <c r="Q42" i="10"/>
  <c r="Q30" i="10"/>
  <c r="Q13" i="10"/>
  <c r="Q54" i="10"/>
  <c r="Q55" i="10"/>
  <c r="R42" i="10"/>
  <c r="R30" i="10"/>
  <c r="R13" i="10"/>
  <c r="R54" i="10"/>
  <c r="R55" i="10"/>
  <c r="G37" i="10"/>
  <c r="G31" i="10"/>
  <c r="G38" i="10"/>
  <c r="G16" i="10"/>
  <c r="Q37" i="10"/>
  <c r="Q31" i="10"/>
  <c r="Q38" i="10"/>
  <c r="Q16" i="10"/>
  <c r="R37" i="10"/>
  <c r="R31" i="10"/>
  <c r="R38" i="10"/>
  <c r="R16" i="10"/>
  <c r="G39" i="10"/>
  <c r="Q39" i="10"/>
  <c r="G40" i="10"/>
  <c r="Q40" i="10"/>
  <c r="G17" i="10"/>
  <c r="Q17" i="10"/>
  <c r="G18" i="10"/>
  <c r="Q18" i="10"/>
  <c r="G62" i="10"/>
  <c r="Q62" i="10"/>
  <c r="G61" i="10"/>
  <c r="Q61" i="10"/>
  <c r="G20" i="10"/>
  <c r="Q20" i="10"/>
  <c r="G60" i="10"/>
  <c r="Q60" i="10"/>
  <c r="G59" i="10"/>
  <c r="Q59" i="10"/>
  <c r="G29" i="10"/>
  <c r="Q29" i="10"/>
  <c r="G64" i="10"/>
  <c r="Q64" i="10"/>
  <c r="G12" i="10"/>
  <c r="Q12" i="10"/>
  <c r="G52" i="10"/>
  <c r="Q52" i="10"/>
  <c r="R64" i="10"/>
  <c r="R12" i="10"/>
  <c r="R52" i="10"/>
  <c r="G23" i="10"/>
  <c r="G63" i="10"/>
  <c r="G10" i="10"/>
  <c r="Q11" i="10"/>
  <c r="R23" i="10"/>
  <c r="R63" i="10"/>
  <c r="R10" i="10"/>
  <c r="G47" i="10"/>
  <c r="G66" i="10"/>
  <c r="G24" i="10"/>
  <c r="Q46" i="10"/>
  <c r="Q48" i="10"/>
  <c r="Q41" i="10"/>
  <c r="Q49" i="10"/>
  <c r="R47" i="10"/>
  <c r="R66" i="10"/>
  <c r="R24" i="10"/>
  <c r="G68" i="10"/>
  <c r="Q68" i="10"/>
  <c r="R68" i="10"/>
  <c r="G25" i="10"/>
  <c r="Q25" i="10"/>
  <c r="R25" i="10"/>
  <c r="G21" i="10"/>
  <c r="Q72" i="10"/>
  <c r="R72" i="10"/>
  <c r="G27" i="10"/>
  <c r="Q27" i="10"/>
  <c r="R50" i="10"/>
  <c r="R70" i="10"/>
  <c r="G51" i="10"/>
  <c r="Q51" i="10"/>
  <c r="R51" i="10"/>
  <c r="G22" i="10"/>
  <c r="G44" i="10"/>
  <c r="Q22" i="10"/>
  <c r="Q44" i="10"/>
  <c r="R22" i="10"/>
  <c r="R44" i="10"/>
  <c r="G49" i="2"/>
  <c r="G53" i="2"/>
  <c r="G58" i="2"/>
  <c r="G81" i="2"/>
  <c r="G63" i="2"/>
  <c r="Q49" i="2"/>
  <c r="Q53" i="2"/>
  <c r="Q58" i="2"/>
  <c r="Q81" i="2"/>
  <c r="Q63" i="2"/>
  <c r="R49" i="2"/>
  <c r="R53" i="2"/>
  <c r="R58" i="2"/>
  <c r="R81" i="2"/>
  <c r="R63" i="2"/>
  <c r="G87" i="2"/>
  <c r="G74" i="2"/>
  <c r="G68" i="2"/>
  <c r="G88" i="2"/>
  <c r="G72" i="2"/>
  <c r="Q64" i="2"/>
  <c r="Q71" i="2"/>
  <c r="Q76" i="2"/>
  <c r="Q65" i="2"/>
  <c r="Q89" i="2"/>
  <c r="R64" i="2"/>
  <c r="R71" i="2"/>
  <c r="R76" i="2"/>
  <c r="R65" i="2"/>
  <c r="R89" i="2"/>
  <c r="G11" i="10"/>
  <c r="Q23" i="10"/>
  <c r="Q63" i="10"/>
  <c r="Q10" i="10"/>
  <c r="R11" i="10"/>
  <c r="G46" i="10"/>
  <c r="G48" i="10"/>
  <c r="G41" i="10"/>
  <c r="G49" i="10"/>
  <c r="Q47" i="10"/>
  <c r="Q66" i="10"/>
  <c r="Q24" i="10"/>
  <c r="R46" i="10"/>
  <c r="R48" i="10"/>
  <c r="R41" i="10"/>
  <c r="R49" i="10"/>
  <c r="G69" i="10"/>
  <c r="Q69" i="10"/>
  <c r="R69" i="10"/>
  <c r="G26" i="10"/>
  <c r="Q26" i="10"/>
  <c r="R26" i="10"/>
  <c r="G72" i="10"/>
  <c r="Q21" i="10"/>
  <c r="R21" i="10"/>
  <c r="G50" i="10"/>
  <c r="G70" i="10"/>
  <c r="Q50" i="10"/>
  <c r="Q70" i="10"/>
  <c r="R27" i="10"/>
  <c r="G28" i="10"/>
  <c r="Q28" i="10"/>
  <c r="R28" i="10"/>
  <c r="G9" i="10"/>
  <c r="G43" i="10"/>
  <c r="Q9" i="10"/>
  <c r="Q43" i="10"/>
  <c r="R9" i="10"/>
  <c r="R43" i="10"/>
  <c r="G50" i="2"/>
  <c r="G57" i="2"/>
  <c r="G56" i="2"/>
  <c r="G82" i="2"/>
  <c r="G86" i="2"/>
  <c r="Q50" i="2"/>
  <c r="Q57" i="2"/>
  <c r="Q56" i="2"/>
  <c r="Q82" i="2"/>
  <c r="Q86" i="2"/>
  <c r="R50" i="2"/>
  <c r="R57" i="2"/>
  <c r="R56" i="2"/>
  <c r="R82" i="2"/>
  <c r="R86" i="2"/>
  <c r="G64" i="2"/>
  <c r="G71" i="2"/>
  <c r="G76" i="2"/>
  <c r="G65" i="2"/>
  <c r="G89" i="2"/>
  <c r="Q87" i="2"/>
  <c r="Q74" i="2"/>
  <c r="Q68" i="2"/>
  <c r="Q88" i="2"/>
  <c r="Q72" i="2"/>
  <c r="R87" i="2"/>
  <c r="R74" i="2"/>
  <c r="R68" i="2"/>
  <c r="R88" i="2"/>
  <c r="R72" i="2"/>
  <c r="G73" i="2"/>
  <c r="G61" i="2"/>
  <c r="Q73" i="2"/>
  <c r="Q61" i="2"/>
  <c r="R73" i="2"/>
  <c r="R61" i="2"/>
  <c r="G91" i="2"/>
  <c r="G84" i="2"/>
  <c r="Q91" i="2"/>
  <c r="Q84" i="2"/>
  <c r="R91" i="2"/>
  <c r="R84" i="2"/>
  <c r="G77" i="2"/>
  <c r="G66" i="2"/>
  <c r="G78" i="2"/>
  <c r="Q77" i="2"/>
  <c r="Q66" i="2"/>
  <c r="Q78" i="2"/>
  <c r="R77" i="2"/>
  <c r="R66" i="2"/>
  <c r="R78" i="2"/>
  <c r="R52" i="2"/>
  <c r="G80" i="2"/>
  <c r="Q80" i="2"/>
  <c r="R80" i="2"/>
  <c r="G69" i="2"/>
  <c r="G90" i="2"/>
  <c r="Q69" i="2"/>
  <c r="Q90" i="2"/>
  <c r="R69" i="2"/>
  <c r="R90" i="2"/>
  <c r="G83" i="2"/>
  <c r="G85" i="2"/>
  <c r="Q83" i="2"/>
  <c r="Q85" i="2"/>
  <c r="R83" i="2"/>
  <c r="R85" i="2"/>
  <c r="G70" i="2"/>
  <c r="G92" i="2"/>
  <c r="G75" i="2"/>
  <c r="Q70" i="2"/>
  <c r="Q92" i="2"/>
  <c r="Q75" i="2"/>
  <c r="R70" i="2"/>
  <c r="R92" i="2"/>
  <c r="R75" i="2"/>
  <c r="G52" i="2"/>
  <c r="Q52" i="2"/>
  <c r="G79" i="2"/>
  <c r="Q79" i="2"/>
  <c r="R79" i="2"/>
  <c r="G34" i="2"/>
  <c r="G32" i="2"/>
  <c r="G18" i="2"/>
  <c r="G19" i="2"/>
  <c r="G40" i="2"/>
  <c r="G47" i="2"/>
  <c r="G54" i="2"/>
  <c r="G9" i="2"/>
  <c r="G11" i="2"/>
  <c r="Q34" i="2"/>
  <c r="Q32" i="2"/>
  <c r="Q18" i="2"/>
  <c r="Q19" i="2"/>
  <c r="Q40" i="2"/>
  <c r="Q47" i="2"/>
  <c r="Q54" i="2"/>
  <c r="Q9" i="2"/>
  <c r="Q11" i="2"/>
  <c r="R34" i="2"/>
  <c r="R32" i="2"/>
  <c r="R18" i="2"/>
  <c r="R19" i="2"/>
  <c r="R40" i="2"/>
  <c r="R47" i="2"/>
  <c r="R54" i="2"/>
  <c r="R9" i="2"/>
  <c r="R11" i="2"/>
  <c r="G13" i="2"/>
  <c r="G15" i="2"/>
  <c r="G24" i="2"/>
  <c r="G22" i="2"/>
  <c r="G36" i="2"/>
  <c r="G29" i="2"/>
  <c r="G27" i="2"/>
  <c r="G42" i="2"/>
  <c r="Q13" i="2"/>
  <c r="Q15" i="2"/>
  <c r="Q24" i="2"/>
  <c r="Q22" i="2"/>
  <c r="Q36" i="2"/>
  <c r="Q29" i="2"/>
  <c r="Q27" i="2"/>
  <c r="Q42" i="2"/>
  <c r="R13" i="2"/>
  <c r="R15" i="2"/>
  <c r="R24" i="2"/>
  <c r="R22" i="2"/>
  <c r="R36" i="2"/>
  <c r="R29" i="2"/>
  <c r="R27" i="2"/>
  <c r="R42" i="2"/>
  <c r="G37" i="2"/>
  <c r="G26" i="2"/>
  <c r="G17" i="2"/>
  <c r="G31" i="2"/>
  <c r="G39" i="2"/>
  <c r="G55" i="2"/>
  <c r="G51" i="2"/>
  <c r="G28" i="2"/>
  <c r="G67" i="2"/>
  <c r="Q37" i="2"/>
  <c r="Q26" i="2"/>
  <c r="Q17" i="2"/>
  <c r="Q31" i="2"/>
  <c r="Q39" i="2"/>
  <c r="Q55" i="2"/>
  <c r="Q51" i="2"/>
  <c r="Q28" i="2"/>
  <c r="Q67" i="2"/>
  <c r="R37" i="2"/>
  <c r="R26" i="2"/>
  <c r="R17" i="2"/>
  <c r="R31" i="2"/>
  <c r="R39" i="2"/>
  <c r="R55" i="2"/>
  <c r="R51" i="2"/>
  <c r="R28" i="2"/>
  <c r="R67" i="2"/>
  <c r="G33" i="2"/>
  <c r="Q33" i="2"/>
  <c r="R46" i="2"/>
  <c r="G35" i="2"/>
  <c r="G23" i="2"/>
  <c r="G41" i="2"/>
  <c r="G10" i="2"/>
  <c r="G12" i="2"/>
  <c r="Q35" i="2"/>
  <c r="Q23" i="2"/>
  <c r="Q41" i="2"/>
  <c r="Q10" i="2"/>
  <c r="Q12" i="2"/>
  <c r="R35" i="2"/>
  <c r="R23" i="2"/>
  <c r="R41" i="2"/>
  <c r="R10" i="2"/>
  <c r="R12" i="2"/>
  <c r="G14" i="2"/>
  <c r="G44" i="2"/>
  <c r="G21" i="2"/>
  <c r="G16" i="2"/>
  <c r="G45" i="2"/>
  <c r="G20" i="2"/>
  <c r="G60" i="2"/>
  <c r="G25" i="2"/>
  <c r="Q14" i="2"/>
  <c r="Q44" i="2"/>
  <c r="Q21" i="2"/>
  <c r="Q16" i="2"/>
  <c r="Q45" i="2"/>
  <c r="Q20" i="2"/>
  <c r="Q60" i="2"/>
  <c r="Q25" i="2"/>
  <c r="R14" i="2"/>
  <c r="R44" i="2"/>
  <c r="R21" i="2"/>
  <c r="R16" i="2"/>
  <c r="R45" i="2"/>
  <c r="R20" i="2"/>
  <c r="R60" i="2"/>
  <c r="R25" i="2"/>
  <c r="G38" i="2"/>
  <c r="G30" i="2"/>
  <c r="G59" i="2"/>
  <c r="G62" i="2"/>
  <c r="Q38" i="2"/>
  <c r="Q30" i="2"/>
  <c r="Q59" i="2"/>
  <c r="Q62" i="2"/>
  <c r="R38" i="2"/>
  <c r="R30" i="2"/>
  <c r="R59" i="2"/>
  <c r="R62" i="2"/>
  <c r="G46" i="2"/>
  <c r="Q46" i="2"/>
  <c r="R33" i="2"/>
  <c r="G1796" i="19"/>
  <c r="G1556" i="19"/>
  <c r="G1558" i="19"/>
  <c r="G1562" i="19"/>
  <c r="G1634" i="19"/>
  <c r="G1636" i="19"/>
  <c r="G1708" i="19"/>
  <c r="G1710" i="19"/>
  <c r="G1712" i="19"/>
  <c r="G1714" i="19"/>
  <c r="G604" i="19"/>
  <c r="G618" i="19"/>
  <c r="G620" i="19"/>
  <c r="G622" i="19"/>
  <c r="G626" i="19"/>
  <c r="G704" i="19"/>
  <c r="G708" i="19"/>
  <c r="G710" i="19"/>
  <c r="G712" i="19"/>
  <c r="G714" i="19"/>
  <c r="G718" i="19"/>
  <c r="G720" i="19"/>
  <c r="G768" i="19"/>
  <c r="G772" i="19"/>
  <c r="G812" i="19"/>
  <c r="G820" i="19"/>
  <c r="G824" i="19"/>
  <c r="G826" i="19"/>
  <c r="G876" i="19"/>
  <c r="G878" i="19"/>
  <c r="G942" i="19"/>
  <c r="G944" i="19"/>
  <c r="G946" i="19"/>
  <c r="G948" i="19"/>
  <c r="G950" i="19"/>
  <c r="G952" i="19"/>
  <c r="G1436" i="19"/>
  <c r="G1438" i="19"/>
  <c r="G1440" i="19"/>
  <c r="G1442" i="19"/>
  <c r="G1494" i="19"/>
  <c r="G1500" i="19"/>
  <c r="G266" i="19"/>
  <c r="G268" i="19"/>
  <c r="G270" i="19"/>
  <c r="G272" i="19"/>
  <c r="G274" i="19"/>
  <c r="G276" i="19"/>
  <c r="G278" i="19"/>
  <c r="G280" i="19"/>
  <c r="G282" i="19"/>
  <c r="G284" i="19"/>
  <c r="G286" i="19"/>
  <c r="G288" i="19"/>
  <c r="G289" i="19"/>
  <c r="G291" i="19"/>
  <c r="G293" i="19"/>
  <c r="G295" i="19"/>
  <c r="G297" i="19"/>
  <c r="G299" i="19"/>
  <c r="G301" i="19"/>
  <c r="G303" i="19"/>
  <c r="G305" i="19"/>
  <c r="G307" i="19"/>
  <c r="G309" i="19"/>
  <c r="G311" i="19"/>
  <c r="G250" i="19"/>
  <c r="G252" i="19"/>
  <c r="G254" i="19"/>
  <c r="G256" i="19"/>
  <c r="G258" i="19"/>
  <c r="G259" i="19"/>
  <c r="G261" i="19"/>
  <c r="G263" i="19"/>
  <c r="G313" i="19"/>
  <c r="G315" i="19"/>
  <c r="G317" i="19"/>
  <c r="G319" i="19"/>
  <c r="G321" i="19"/>
  <c r="G323" i="19"/>
  <c r="G325" i="19"/>
  <c r="G327" i="19"/>
  <c r="G329" i="19"/>
  <c r="G331" i="19"/>
  <c r="G333" i="19"/>
  <c r="G1559" i="19"/>
  <c r="G1561" i="19"/>
  <c r="G1563" i="19"/>
  <c r="G1635" i="19"/>
  <c r="G1637" i="19"/>
  <c r="G1707" i="19"/>
  <c r="G1709" i="19"/>
  <c r="G1715" i="19"/>
  <c r="G619" i="19"/>
  <c r="G621" i="19"/>
  <c r="G625" i="19"/>
  <c r="G707" i="19"/>
  <c r="G709" i="19"/>
  <c r="G711" i="19"/>
  <c r="G717" i="19"/>
  <c r="G719" i="19"/>
  <c r="G721" i="19"/>
  <c r="G771" i="19"/>
  <c r="G773" i="19"/>
  <c r="G819" i="19"/>
  <c r="G823" i="19"/>
  <c r="G825" i="19"/>
  <c r="G941" i="19"/>
  <c r="G943" i="19"/>
  <c r="G945" i="19"/>
  <c r="G947" i="19"/>
  <c r="G949" i="19"/>
  <c r="G951" i="19"/>
  <c r="G953" i="19"/>
  <c r="G1435" i="19"/>
  <c r="G1437" i="19"/>
  <c r="G1439" i="19"/>
  <c r="G1441" i="19"/>
  <c r="G1497" i="19"/>
  <c r="G1501" i="19"/>
  <c r="G265" i="19"/>
  <c r="G267" i="19"/>
  <c r="G269" i="19"/>
  <c r="G271" i="19"/>
  <c r="G273" i="19"/>
  <c r="G275" i="19"/>
  <c r="G277" i="19"/>
  <c r="G279" i="19"/>
  <c r="G281" i="19"/>
  <c r="G283" i="19"/>
  <c r="G285" i="19"/>
  <c r="G287" i="19"/>
  <c r="G290" i="19"/>
  <c r="G292" i="19"/>
  <c r="G294" i="19"/>
  <c r="G296" i="19"/>
  <c r="G298" i="19"/>
  <c r="G300" i="19"/>
  <c r="G302" i="19"/>
  <c r="G304" i="19"/>
  <c r="G306" i="19"/>
  <c r="G308" i="19"/>
  <c r="G310" i="19"/>
  <c r="G312" i="19"/>
  <c r="G251" i="19"/>
  <c r="G253" i="19"/>
  <c r="G255" i="19"/>
  <c r="G257" i="19"/>
  <c r="G260" i="19"/>
  <c r="G262" i="19"/>
  <c r="G264" i="19"/>
  <c r="G314" i="19"/>
  <c r="G316" i="19"/>
  <c r="G318" i="19"/>
  <c r="G320" i="19"/>
  <c r="G322" i="19"/>
  <c r="G324" i="19"/>
  <c r="G326" i="19"/>
  <c r="G328" i="19"/>
  <c r="G330" i="19"/>
  <c r="G332" i="19"/>
  <c r="G334" i="19"/>
  <c r="G336" i="19"/>
  <c r="G338" i="19"/>
  <c r="G340" i="19"/>
  <c r="G249" i="19"/>
  <c r="G248" i="19"/>
  <c r="G247" i="19"/>
  <c r="G246" i="19"/>
  <c r="G245" i="19"/>
  <c r="G244" i="19"/>
  <c r="G243" i="19"/>
  <c r="G242" i="19"/>
  <c r="G241" i="19"/>
  <c r="G240" i="19"/>
  <c r="G239" i="19"/>
  <c r="G238" i="19"/>
  <c r="G237" i="19"/>
  <c r="G236" i="19"/>
  <c r="G235" i="19"/>
  <c r="G234" i="19"/>
  <c r="G233" i="19"/>
  <c r="G232" i="19"/>
  <c r="G231" i="19"/>
  <c r="G230" i="19"/>
  <c r="G229" i="19"/>
  <c r="H186" i="19"/>
  <c r="H188" i="19"/>
  <c r="J186" i="19"/>
  <c r="J188" i="19"/>
  <c r="K186" i="19"/>
  <c r="K188" i="19"/>
  <c r="H190" i="19"/>
  <c r="H192" i="19"/>
  <c r="J190" i="19"/>
  <c r="J192" i="19"/>
  <c r="K190" i="19"/>
  <c r="K192" i="19"/>
  <c r="H194" i="19"/>
  <c r="H196" i="19"/>
  <c r="J194" i="19"/>
  <c r="J196" i="19"/>
  <c r="K194" i="19"/>
  <c r="K196" i="19"/>
  <c r="H198" i="19"/>
  <c r="H200" i="19"/>
  <c r="J198" i="19"/>
  <c r="J200" i="19"/>
  <c r="K198" i="19"/>
  <c r="K200" i="19"/>
  <c r="H202" i="19"/>
  <c r="H204" i="19"/>
  <c r="J202" i="19"/>
  <c r="J204" i="19"/>
  <c r="K202" i="19"/>
  <c r="K204" i="19"/>
  <c r="G135" i="19"/>
  <c r="G19" i="19"/>
  <c r="G20" i="19"/>
  <c r="G85" i="19"/>
  <c r="G35" i="19"/>
  <c r="G87" i="19"/>
  <c r="G106" i="19"/>
  <c r="Q135" i="19"/>
  <c r="Q19" i="19"/>
  <c r="Q20" i="19"/>
  <c r="Q85" i="19"/>
  <c r="Q35" i="19"/>
  <c r="Q87" i="19"/>
  <c r="Q106" i="19"/>
  <c r="R18" i="19"/>
  <c r="R116" i="19"/>
  <c r="R136" i="19"/>
  <c r="R47" i="19"/>
  <c r="R86" i="19"/>
  <c r="R40" i="19"/>
  <c r="G88" i="19"/>
  <c r="G52" i="19"/>
  <c r="G36" i="19"/>
  <c r="G58" i="19"/>
  <c r="G117" i="19"/>
  <c r="G108" i="19"/>
  <c r="G61" i="19"/>
  <c r="Q88" i="19"/>
  <c r="Q52" i="19"/>
  <c r="Q36" i="19"/>
  <c r="Q58" i="19"/>
  <c r="Q117" i="19"/>
  <c r="Q108" i="19"/>
  <c r="Q61" i="19"/>
  <c r="R29" i="19"/>
  <c r="R137" i="19"/>
  <c r="R107" i="19"/>
  <c r="R49" i="19"/>
  <c r="R155" i="19"/>
  <c r="R60" i="19"/>
  <c r="G62" i="19"/>
  <c r="G21" i="19"/>
  <c r="G53" i="19"/>
  <c r="G156" i="19"/>
  <c r="G89" i="19"/>
  <c r="G41" i="19"/>
  <c r="G43" i="19"/>
  <c r="Q62" i="19"/>
  <c r="Q21" i="19"/>
  <c r="Q53" i="19"/>
  <c r="Q156" i="19"/>
  <c r="Q89" i="19"/>
  <c r="Q41" i="19"/>
  <c r="Q43" i="19"/>
  <c r="R138" i="19"/>
  <c r="G335" i="19"/>
  <c r="G337" i="19"/>
  <c r="G339" i="19"/>
  <c r="H187" i="19"/>
  <c r="H189" i="19"/>
  <c r="J187" i="19"/>
  <c r="J189" i="19"/>
  <c r="K187" i="19"/>
  <c r="K189" i="19"/>
  <c r="H191" i="19"/>
  <c r="H193" i="19"/>
  <c r="J191" i="19"/>
  <c r="J193" i="19"/>
  <c r="K191" i="19"/>
  <c r="K193" i="19"/>
  <c r="H195" i="19"/>
  <c r="H197" i="19"/>
  <c r="J195" i="19"/>
  <c r="J197" i="19"/>
  <c r="K195" i="19"/>
  <c r="K197" i="19"/>
  <c r="H199" i="19"/>
  <c r="H201" i="19"/>
  <c r="J199" i="19"/>
  <c r="J201" i="19"/>
  <c r="K199" i="19"/>
  <c r="K201" i="19"/>
  <c r="H203" i="19"/>
  <c r="H205" i="19"/>
  <c r="J203" i="19"/>
  <c r="J205" i="19"/>
  <c r="K203" i="19"/>
  <c r="K205" i="19"/>
  <c r="G18" i="19"/>
  <c r="G116" i="19"/>
  <c r="G136" i="19"/>
  <c r="G47" i="19"/>
  <c r="G86" i="19"/>
  <c r="G40" i="19"/>
  <c r="Q18" i="19"/>
  <c r="Q116" i="19"/>
  <c r="Q136" i="19"/>
  <c r="Q47" i="19"/>
  <c r="Q86" i="19"/>
  <c r="Q40" i="19"/>
  <c r="R135" i="19"/>
  <c r="R19" i="19"/>
  <c r="R20" i="19"/>
  <c r="R85" i="19"/>
  <c r="R35" i="19"/>
  <c r="R87" i="19"/>
  <c r="R106" i="19"/>
  <c r="G29" i="19"/>
  <c r="G137" i="19"/>
  <c r="G107" i="19"/>
  <c r="G49" i="19"/>
  <c r="G155" i="19"/>
  <c r="G60" i="19"/>
  <c r="Q29" i="19"/>
  <c r="Q137" i="19"/>
  <c r="Q107" i="19"/>
  <c r="Q49" i="19"/>
  <c r="Q155" i="19"/>
  <c r="Q60" i="19"/>
  <c r="R88" i="19"/>
  <c r="R52" i="19"/>
  <c r="R36" i="19"/>
  <c r="R58" i="19"/>
  <c r="R117" i="19"/>
  <c r="R108" i="19"/>
  <c r="R61" i="19"/>
  <c r="G138" i="19"/>
  <c r="G22" i="19"/>
  <c r="G139" i="19"/>
  <c r="G59" i="19"/>
  <c r="G140" i="19"/>
  <c r="G42" i="19"/>
  <c r="Q138" i="19"/>
  <c r="Q22" i="19"/>
  <c r="Q139" i="19"/>
  <c r="Q59" i="19"/>
  <c r="Q140" i="19"/>
  <c r="Q42" i="19"/>
  <c r="R62" i="19"/>
  <c r="R21" i="19"/>
  <c r="R53" i="19"/>
  <c r="R156" i="19"/>
  <c r="R89" i="19"/>
  <c r="R41" i="19"/>
  <c r="R43" i="19"/>
  <c r="G33" i="19"/>
  <c r="G72" i="19"/>
  <c r="G73" i="19"/>
  <c r="G51" i="19"/>
  <c r="G160" i="19"/>
  <c r="G92" i="19"/>
  <c r="G94" i="19"/>
  <c r="G161" i="19"/>
  <c r="G75" i="19"/>
  <c r="G26" i="19"/>
  <c r="Q33" i="19"/>
  <c r="Q72" i="19"/>
  <c r="Q73" i="19"/>
  <c r="Q51" i="19"/>
  <c r="Q160" i="19"/>
  <c r="Q92" i="19"/>
  <c r="Q94" i="19"/>
  <c r="Q161" i="19"/>
  <c r="Q75" i="19"/>
  <c r="Q26" i="19"/>
  <c r="R32" i="19"/>
  <c r="R71" i="19"/>
  <c r="R45" i="19"/>
  <c r="R100" i="19"/>
  <c r="R74" i="19"/>
  <c r="R167" i="19"/>
  <c r="R93" i="19"/>
  <c r="R95" i="19"/>
  <c r="R25" i="19"/>
  <c r="R76" i="19"/>
  <c r="R125" i="19"/>
  <c r="G101" i="19"/>
  <c r="G103" i="19"/>
  <c r="G54" i="19"/>
  <c r="G126" i="19"/>
  <c r="G128" i="19"/>
  <c r="G77" i="19"/>
  <c r="G129" i="19"/>
  <c r="G39" i="19"/>
  <c r="G131" i="19"/>
  <c r="G152" i="19"/>
  <c r="Q101" i="19"/>
  <c r="Q103" i="19"/>
  <c r="Q54" i="19"/>
  <c r="Q126" i="19"/>
  <c r="Q128" i="19"/>
  <c r="Q77" i="19"/>
  <c r="Q129" i="19"/>
  <c r="Q39" i="19"/>
  <c r="Q131" i="19"/>
  <c r="Q152" i="19"/>
  <c r="R27" i="19"/>
  <c r="R102" i="19"/>
  <c r="R104" i="19"/>
  <c r="R55" i="19"/>
  <c r="R127" i="19"/>
  <c r="R34" i="19"/>
  <c r="R78" i="19"/>
  <c r="R130" i="19"/>
  <c r="R79" i="19"/>
  <c r="R46" i="19"/>
  <c r="R28" i="19"/>
  <c r="G162" i="19"/>
  <c r="G164" i="19"/>
  <c r="G154" i="19"/>
  <c r="G112" i="19"/>
  <c r="G132" i="19"/>
  <c r="G133" i="19"/>
  <c r="G165" i="19"/>
  <c r="G115" i="19"/>
  <c r="G82" i="19"/>
  <c r="G57" i="19"/>
  <c r="Q80" i="19"/>
  <c r="Q163" i="19"/>
  <c r="Q153" i="19"/>
  <c r="Q81" i="19"/>
  <c r="Q105" i="19"/>
  <c r="Q113" i="19"/>
  <c r="Q114" i="19"/>
  <c r="Q96" i="19"/>
  <c r="Q56" i="19"/>
  <c r="Q83" i="19"/>
  <c r="Q134" i="19"/>
  <c r="R162" i="19"/>
  <c r="R164" i="19"/>
  <c r="R154" i="19"/>
  <c r="R112" i="19"/>
  <c r="R132" i="19"/>
  <c r="R133" i="19"/>
  <c r="R165" i="19"/>
  <c r="R115" i="19"/>
  <c r="R82" i="19"/>
  <c r="R57" i="19"/>
  <c r="G15" i="19"/>
  <c r="G119" i="19"/>
  <c r="G63" i="19"/>
  <c r="G122" i="19"/>
  <c r="Q15" i="19"/>
  <c r="Q119" i="19"/>
  <c r="Q63" i="19"/>
  <c r="Q122" i="19"/>
  <c r="R109" i="19"/>
  <c r="R120" i="19"/>
  <c r="R121" i="19"/>
  <c r="G110" i="19"/>
  <c r="G16" i="19"/>
  <c r="G30" i="19"/>
  <c r="G148" i="19"/>
  <c r="Q110" i="19"/>
  <c r="Q16" i="19"/>
  <c r="Q30" i="19"/>
  <c r="Q148" i="19"/>
  <c r="R64" i="19"/>
  <c r="R99" i="19"/>
  <c r="R65" i="19"/>
  <c r="G66" i="19"/>
  <c r="G123" i="19"/>
  <c r="G24" i="19"/>
  <c r="G157" i="19"/>
  <c r="Q66" i="19"/>
  <c r="Q123" i="19"/>
  <c r="Q24" i="19"/>
  <c r="Q157" i="19"/>
  <c r="R50" i="19"/>
  <c r="R111" i="19"/>
  <c r="R149" i="19"/>
  <c r="G67" i="19"/>
  <c r="G17" i="19"/>
  <c r="G151" i="19"/>
  <c r="G69" i="19"/>
  <c r="Q67" i="19"/>
  <c r="Q17" i="19"/>
  <c r="Q151" i="19"/>
  <c r="Q69" i="19"/>
  <c r="R150" i="19"/>
  <c r="R68" i="19"/>
  <c r="R31" i="19"/>
  <c r="G158" i="19"/>
  <c r="G124" i="19"/>
  <c r="G166" i="19"/>
  <c r="G44" i="19"/>
  <c r="Q158" i="19"/>
  <c r="Q124" i="19"/>
  <c r="Q166" i="19"/>
  <c r="Q44" i="19"/>
  <c r="R159" i="19"/>
  <c r="R70" i="19"/>
  <c r="R84" i="19"/>
  <c r="G97" i="19"/>
  <c r="G37" i="19"/>
  <c r="G141" i="19"/>
  <c r="G143" i="19"/>
  <c r="Q97" i="19"/>
  <c r="Q37" i="19"/>
  <c r="Q141" i="19"/>
  <c r="Q143" i="19"/>
  <c r="R90" i="19"/>
  <c r="R48" i="19"/>
  <c r="R142" i="19"/>
  <c r="G144" i="19"/>
  <c r="G146" i="19"/>
  <c r="G38" i="19"/>
  <c r="G98" i="19"/>
  <c r="Q144" i="19"/>
  <c r="Q146" i="19"/>
  <c r="R22" i="19"/>
  <c r="R139" i="19"/>
  <c r="R59" i="19"/>
  <c r="R140" i="19"/>
  <c r="R42" i="19"/>
  <c r="G32" i="19"/>
  <c r="G71" i="19"/>
  <c r="G45" i="19"/>
  <c r="G100" i="19"/>
  <c r="G74" i="19"/>
  <c r="G167" i="19"/>
  <c r="G93" i="19"/>
  <c r="G95" i="19"/>
  <c r="G25" i="19"/>
  <c r="G76" i="19"/>
  <c r="G125" i="19"/>
  <c r="Q32" i="19"/>
  <c r="Q71" i="19"/>
  <c r="Q45" i="19"/>
  <c r="Q100" i="19"/>
  <c r="Q74" i="19"/>
  <c r="Q167" i="19"/>
  <c r="Q93" i="19"/>
  <c r="Q95" i="19"/>
  <c r="Q25" i="19"/>
  <c r="Q76" i="19"/>
  <c r="Q125" i="19"/>
  <c r="R33" i="19"/>
  <c r="R72" i="19"/>
  <c r="R73" i="19"/>
  <c r="R51" i="19"/>
  <c r="R160" i="19"/>
  <c r="R92" i="19"/>
  <c r="R94" i="19"/>
  <c r="R161" i="19"/>
  <c r="R75" i="19"/>
  <c r="R26" i="19"/>
  <c r="G27" i="19"/>
  <c r="G102" i="19"/>
  <c r="G104" i="19"/>
  <c r="G55" i="19"/>
  <c r="G127" i="19"/>
  <c r="G34" i="19"/>
  <c r="G78" i="19"/>
  <c r="G130" i="19"/>
  <c r="G79" i="19"/>
  <c r="G46" i="19"/>
  <c r="G28" i="19"/>
  <c r="Q27" i="19"/>
  <c r="Q102" i="19"/>
  <c r="Q104" i="19"/>
  <c r="Q55" i="19"/>
  <c r="Q127" i="19"/>
  <c r="Q34" i="19"/>
  <c r="Q78" i="19"/>
  <c r="Q130" i="19"/>
  <c r="Q79" i="19"/>
  <c r="Q46" i="19"/>
  <c r="Q28" i="19"/>
  <c r="R101" i="19"/>
  <c r="R103" i="19"/>
  <c r="R54" i="19"/>
  <c r="R126" i="19"/>
  <c r="R128" i="19"/>
  <c r="R77" i="19"/>
  <c r="R129" i="19"/>
  <c r="R39" i="19"/>
  <c r="R131" i="19"/>
  <c r="R152" i="19"/>
  <c r="G80" i="19"/>
  <c r="G163" i="19"/>
  <c r="G153" i="19"/>
  <c r="G81" i="19"/>
  <c r="G105" i="19"/>
  <c r="G113" i="19"/>
  <c r="G114" i="19"/>
  <c r="G96" i="19"/>
  <c r="G56" i="19"/>
  <c r="G83" i="19"/>
  <c r="G134" i="19"/>
  <c r="Q162" i="19"/>
  <c r="Q164" i="19"/>
  <c r="Q154" i="19"/>
  <c r="Q112" i="19"/>
  <c r="Q132" i="19"/>
  <c r="Q133" i="19"/>
  <c r="Q165" i="19"/>
  <c r="Q115" i="19"/>
  <c r="Q82" i="19"/>
  <c r="Q57" i="19"/>
  <c r="R80" i="19"/>
  <c r="R163" i="19"/>
  <c r="R153" i="19"/>
  <c r="R81" i="19"/>
  <c r="R105" i="19"/>
  <c r="R113" i="19"/>
  <c r="R114" i="19"/>
  <c r="R96" i="19"/>
  <c r="R56" i="19"/>
  <c r="R83" i="19"/>
  <c r="R134" i="19"/>
  <c r="G109" i="19"/>
  <c r="G120" i="19"/>
  <c r="G121" i="19"/>
  <c r="Q109" i="19"/>
  <c r="Q120" i="19"/>
  <c r="Q121" i="19"/>
  <c r="R15" i="19"/>
  <c r="R119" i="19"/>
  <c r="R63" i="19"/>
  <c r="R122" i="19"/>
  <c r="G64" i="19"/>
  <c r="G99" i="19"/>
  <c r="G65" i="19"/>
  <c r="Q64" i="19"/>
  <c r="Q99" i="19"/>
  <c r="Q65" i="19"/>
  <c r="R110" i="19"/>
  <c r="R16" i="19"/>
  <c r="R30" i="19"/>
  <c r="R148" i="19"/>
  <c r="G50" i="19"/>
  <c r="G111" i="19"/>
  <c r="G149" i="19"/>
  <c r="Q50" i="19"/>
  <c r="Q111" i="19"/>
  <c r="Q149" i="19"/>
  <c r="R66" i="19"/>
  <c r="R123" i="19"/>
  <c r="R24" i="19"/>
  <c r="R157" i="19"/>
  <c r="G150" i="19"/>
  <c r="G68" i="19"/>
  <c r="G31" i="19"/>
  <c r="Q150" i="19"/>
  <c r="Q68" i="19"/>
  <c r="Q31" i="19"/>
  <c r="R67" i="19"/>
  <c r="R17" i="19"/>
  <c r="R151" i="19"/>
  <c r="R69" i="19"/>
  <c r="G159" i="19"/>
  <c r="G70" i="19"/>
  <c r="G84" i="19"/>
  <c r="Q159" i="19"/>
  <c r="Q70" i="19"/>
  <c r="Q84" i="19"/>
  <c r="R158" i="19"/>
  <c r="R124" i="19"/>
  <c r="R166" i="19"/>
  <c r="R44" i="19"/>
  <c r="G90" i="19"/>
  <c r="G48" i="19"/>
  <c r="G142" i="19"/>
  <c r="Q90" i="19"/>
  <c r="Q48" i="19"/>
  <c r="Q142" i="19"/>
  <c r="R97" i="19"/>
  <c r="R37" i="19"/>
  <c r="R141" i="19"/>
  <c r="R143" i="19"/>
  <c r="G145" i="19"/>
  <c r="G147" i="19"/>
  <c r="G91" i="19"/>
  <c r="Q145" i="19"/>
  <c r="Q147" i="19"/>
  <c r="Q91" i="19"/>
  <c r="R144" i="19"/>
  <c r="Q38" i="19"/>
  <c r="R145" i="19"/>
  <c r="R147" i="19"/>
  <c r="R91" i="19"/>
  <c r="Q98" i="19"/>
  <c r="R146" i="19"/>
  <c r="R38" i="19"/>
  <c r="R98" i="19"/>
  <c r="Q10" i="20"/>
  <c r="Q31" i="20"/>
  <c r="G44" i="20"/>
  <c r="R31" i="20"/>
  <c r="G17" i="20"/>
  <c r="Q44" i="20"/>
  <c r="G31" i="20"/>
  <c r="R44" i="20"/>
  <c r="Q17" i="20"/>
  <c r="R17" i="20"/>
  <c r="G339" i="20"/>
  <c r="G340" i="20"/>
  <c r="G341" i="20"/>
  <c r="G342" i="20"/>
  <c r="G343" i="20"/>
  <c r="G344" i="20"/>
  <c r="G345" i="20"/>
  <c r="G346" i="20"/>
  <c r="G347" i="20"/>
  <c r="G348" i="20"/>
  <c r="G349" i="20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64" i="20"/>
  <c r="G365" i="20"/>
  <c r="G366" i="20"/>
  <c r="G367" i="20"/>
  <c r="G368" i="20"/>
  <c r="G369" i="20"/>
  <c r="G370" i="20"/>
  <c r="G328" i="20"/>
  <c r="G329" i="20"/>
  <c r="G330" i="20"/>
  <c r="G331" i="20"/>
  <c r="G332" i="20"/>
  <c r="G333" i="20"/>
  <c r="G334" i="20"/>
  <c r="G335" i="20"/>
  <c r="G336" i="20"/>
  <c r="G337" i="20"/>
  <c r="G338" i="20"/>
  <c r="G371" i="20"/>
  <c r="G372" i="20"/>
  <c r="G373" i="20"/>
  <c r="G374" i="20"/>
  <c r="G375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  <c r="G307" i="20"/>
  <c r="G308" i="20"/>
  <c r="G309" i="20"/>
  <c r="G310" i="20"/>
  <c r="G311" i="20"/>
  <c r="G312" i="20"/>
  <c r="G313" i="20"/>
  <c r="G314" i="20"/>
  <c r="G315" i="20"/>
  <c r="G316" i="20"/>
  <c r="G317" i="20"/>
  <c r="G318" i="20"/>
  <c r="G319" i="20"/>
  <c r="G320" i="20"/>
  <c r="G321" i="20"/>
  <c r="G322" i="20"/>
  <c r="G323" i="20"/>
  <c r="G324" i="20"/>
  <c r="G325" i="20"/>
  <c r="G326" i="20"/>
  <c r="G327" i="20"/>
  <c r="G376" i="20"/>
  <c r="G377" i="20"/>
  <c r="G378" i="20"/>
  <c r="G379" i="20"/>
  <c r="G380" i="20"/>
  <c r="G381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32" i="20"/>
  <c r="G263" i="20"/>
  <c r="G382" i="20"/>
  <c r="G383" i="20"/>
  <c r="G384" i="20"/>
  <c r="G385" i="20"/>
  <c r="G386" i="20"/>
  <c r="G387" i="20"/>
  <c r="G388" i="20"/>
  <c r="G389" i="20"/>
  <c r="G390" i="20"/>
  <c r="G391" i="20"/>
  <c r="K161" i="20"/>
  <c r="G334" i="21"/>
  <c r="H178" i="21"/>
  <c r="K178" i="21"/>
  <c r="H179" i="21"/>
  <c r="K179" i="21"/>
  <c r="H180" i="21"/>
  <c r="K180" i="21"/>
  <c r="H181" i="21"/>
  <c r="K181" i="21"/>
  <c r="H182" i="21"/>
  <c r="K182" i="21"/>
  <c r="H183" i="21"/>
  <c r="K183" i="21"/>
  <c r="H184" i="21"/>
  <c r="K184" i="21"/>
  <c r="H185" i="21"/>
  <c r="K185" i="21"/>
  <c r="H186" i="21"/>
  <c r="K186" i="21"/>
  <c r="H190" i="21"/>
  <c r="K190" i="21"/>
  <c r="H195" i="21"/>
  <c r="K195" i="21"/>
  <c r="H196" i="21"/>
  <c r="K196" i="21"/>
  <c r="H197" i="21"/>
  <c r="K197" i="21"/>
  <c r="H201" i="21"/>
  <c r="H202" i="21"/>
  <c r="K201" i="21"/>
  <c r="K202" i="21"/>
  <c r="N6" i="3" l="1"/>
  <c r="N21" i="3"/>
  <c r="N37" i="3"/>
  <c r="N18" i="3"/>
  <c r="N34" i="3"/>
  <c r="N11" i="3"/>
  <c r="N27" i="3"/>
  <c r="N9" i="3"/>
  <c r="N24" i="3"/>
  <c r="N8" i="3"/>
  <c r="N20" i="3"/>
  <c r="N10" i="3"/>
  <c r="N25" i="3"/>
  <c r="N7" i="3"/>
  <c r="N22" i="3"/>
  <c r="N38" i="3"/>
  <c r="N15" i="3"/>
  <c r="N31" i="3"/>
  <c r="N12" i="3"/>
  <c r="N28" i="3"/>
  <c r="N17" i="3"/>
  <c r="N30" i="3"/>
  <c r="N23" i="3"/>
  <c r="N36" i="3"/>
  <c r="N13" i="3"/>
  <c r="N29" i="3"/>
  <c r="N26" i="3"/>
  <c r="N40" i="3"/>
  <c r="N19" i="3"/>
  <c r="N35" i="3"/>
  <c r="N16" i="3"/>
  <c r="N32" i="3"/>
  <c r="N33" i="3"/>
  <c r="N14" i="3"/>
  <c r="N39" i="3"/>
  <c r="G18" i="20"/>
  <c r="I18" i="20"/>
  <c r="P18" i="20" s="1"/>
  <c r="Q18" i="20"/>
  <c r="R18" i="20"/>
  <c r="G40" i="20"/>
  <c r="I40" i="20"/>
  <c r="P40" i="20" s="1"/>
  <c r="Q40" i="20"/>
  <c r="R40" i="20"/>
  <c r="H194" i="20"/>
  <c r="J194" i="20"/>
  <c r="K194" i="20"/>
  <c r="H197" i="20"/>
  <c r="J197" i="20"/>
  <c r="K197" i="20"/>
  <c r="H201" i="20"/>
  <c r="J201" i="20"/>
  <c r="K201" i="20"/>
  <c r="G19" i="20"/>
  <c r="I19" i="20"/>
  <c r="P19" i="20" s="1"/>
  <c r="Q19" i="20"/>
  <c r="R19" i="20"/>
  <c r="G46" i="20"/>
  <c r="I46" i="20"/>
  <c r="P46" i="20" s="1"/>
  <c r="Q46" i="20"/>
  <c r="R46" i="20"/>
  <c r="G20" i="20"/>
  <c r="I20" i="20"/>
  <c r="P20" i="20" s="1"/>
  <c r="Q20" i="20"/>
  <c r="R20" i="20"/>
  <c r="G23" i="20"/>
  <c r="I23" i="20"/>
  <c r="P23" i="20" s="1"/>
  <c r="Q23" i="20"/>
  <c r="R23" i="20"/>
  <c r="G26" i="20"/>
  <c r="I26" i="20"/>
  <c r="P26" i="20" s="1"/>
  <c r="Q26" i="20"/>
  <c r="R26" i="20"/>
  <c r="G61" i="20"/>
  <c r="I61" i="20"/>
  <c r="P61" i="20" s="1"/>
  <c r="Q61" i="20"/>
  <c r="R61" i="20"/>
  <c r="G98" i="20"/>
  <c r="P98" i="20"/>
  <c r="Q98" i="20"/>
  <c r="R98" i="20"/>
  <c r="G27" i="20"/>
  <c r="I27" i="20"/>
  <c r="P27" i="20" s="1"/>
  <c r="Q27" i="20"/>
  <c r="R27" i="20"/>
  <c r="H200" i="20"/>
  <c r="J200" i="20"/>
  <c r="K200" i="20"/>
  <c r="H195" i="20"/>
  <c r="J195" i="20"/>
  <c r="K195" i="20"/>
  <c r="O161" i="20"/>
  <c r="H198" i="20" l="1"/>
  <c r="J198" i="20"/>
  <c r="K198" i="20"/>
  <c r="H193" i="20"/>
  <c r="H188" i="20"/>
  <c r="H186" i="20"/>
  <c r="H187" i="20"/>
  <c r="H192" i="20"/>
  <c r="J193" i="20"/>
  <c r="J188" i="20"/>
  <c r="J186" i="20"/>
  <c r="J187" i="20"/>
  <c r="J192" i="20"/>
  <c r="K193" i="20"/>
  <c r="K188" i="20"/>
  <c r="K186" i="20"/>
  <c r="K187" i="20"/>
  <c r="K192" i="20"/>
  <c r="H190" i="20"/>
  <c r="H184" i="20"/>
  <c r="J190" i="20"/>
  <c r="J184" i="20"/>
  <c r="K190" i="20"/>
  <c r="K184" i="20"/>
  <c r="H189" i="20"/>
  <c r="J189" i="20"/>
  <c r="K189" i="20"/>
  <c r="G24" i="20"/>
  <c r="I24" i="20"/>
  <c r="P24" i="20" s="1"/>
  <c r="Q24" i="20"/>
  <c r="R24" i="20"/>
  <c r="G25" i="20"/>
  <c r="P25" i="20"/>
  <c r="Q25" i="20"/>
  <c r="R25" i="20"/>
  <c r="G32" i="20"/>
  <c r="I32" i="20"/>
  <c r="P32" i="20" s="1"/>
  <c r="Q32" i="20"/>
  <c r="R32" i="20"/>
  <c r="G30" i="20"/>
  <c r="I30" i="20"/>
  <c r="P30" i="20" s="1"/>
  <c r="Q30" i="20"/>
  <c r="R30" i="20"/>
  <c r="G102" i="20"/>
  <c r="P102" i="20"/>
  <c r="Q102" i="20"/>
  <c r="R102" i="20"/>
  <c r="G67" i="20"/>
  <c r="G154" i="20"/>
  <c r="G138" i="20"/>
  <c r="I138" i="20"/>
  <c r="P138" i="20" s="1"/>
  <c r="Q138" i="20"/>
  <c r="R138" i="20"/>
  <c r="G109" i="20"/>
  <c r="I109" i="20"/>
  <c r="P109" i="20" s="1"/>
  <c r="Q109" i="20"/>
  <c r="R109" i="20"/>
  <c r="G88" i="20"/>
  <c r="I88" i="20"/>
  <c r="P88" i="20" s="1"/>
  <c r="Q88" i="20"/>
  <c r="R88" i="20"/>
  <c r="G140" i="20"/>
  <c r="I140" i="20"/>
  <c r="P140" i="20" s="1"/>
  <c r="Q140" i="20"/>
  <c r="R140" i="20"/>
  <c r="G15" i="20"/>
  <c r="I15" i="20"/>
  <c r="P15" i="20" s="1"/>
  <c r="Q15" i="20"/>
  <c r="R15" i="20"/>
  <c r="G16" i="20"/>
  <c r="I16" i="20"/>
  <c r="P16" i="20" s="1"/>
  <c r="Q16" i="20"/>
  <c r="R16" i="20"/>
  <c r="G87" i="20"/>
  <c r="I87" i="20"/>
  <c r="P87" i="20" s="1"/>
  <c r="Q87" i="20"/>
  <c r="R87" i="20"/>
  <c r="G89" i="20"/>
  <c r="P89" i="20"/>
  <c r="Q89" i="20"/>
  <c r="R89" i="20"/>
  <c r="G37" i="20"/>
  <c r="I37" i="20"/>
  <c r="P37" i="20" s="1"/>
  <c r="Q37" i="20"/>
  <c r="R37" i="20"/>
  <c r="G108" i="20"/>
  <c r="I108" i="20"/>
  <c r="P108" i="20" s="1"/>
  <c r="Q108" i="20"/>
  <c r="R108" i="20"/>
  <c r="G79" i="20"/>
  <c r="I79" i="20"/>
  <c r="P79" i="20" s="1"/>
  <c r="Q79" i="20"/>
  <c r="R79" i="20"/>
  <c r="G58" i="20"/>
  <c r="I58" i="20"/>
  <c r="P58" i="20" s="1"/>
  <c r="Q58" i="20"/>
  <c r="R58" i="20"/>
  <c r="G59" i="20"/>
  <c r="I59" i="20"/>
  <c r="P59" i="20" s="1"/>
  <c r="Q59" i="20"/>
  <c r="R59" i="20"/>
  <c r="G86" i="20"/>
  <c r="I86" i="20"/>
  <c r="P86" i="20" s="1"/>
  <c r="Q86" i="20"/>
  <c r="R86" i="20"/>
  <c r="G139" i="20"/>
  <c r="I139" i="20"/>
  <c r="P139" i="20" s="1"/>
  <c r="Q139" i="20"/>
  <c r="R139" i="20"/>
  <c r="G36" i="20"/>
  <c r="I36" i="20"/>
  <c r="P36" i="20" s="1"/>
  <c r="Q36" i="20"/>
  <c r="R36" i="20"/>
  <c r="G78" i="20"/>
  <c r="I78" i="20"/>
  <c r="P78" i="20" s="1"/>
  <c r="Q78" i="20"/>
  <c r="R78" i="20"/>
  <c r="G57" i="20"/>
  <c r="I57" i="20"/>
  <c r="P57" i="20" s="1"/>
  <c r="Q57" i="20"/>
  <c r="R57" i="20"/>
  <c r="G148" i="20"/>
  <c r="I148" i="20"/>
  <c r="P148" i="20" s="1"/>
  <c r="Q148" i="20"/>
  <c r="R148" i="20"/>
  <c r="G77" i="20"/>
  <c r="I77" i="20"/>
  <c r="P77" i="20" s="1"/>
  <c r="Q77" i="20"/>
  <c r="R77" i="20"/>
  <c r="G14" i="20"/>
  <c r="I14" i="20"/>
  <c r="P14" i="20" s="1"/>
  <c r="Q14" i="20"/>
  <c r="R14" i="20"/>
  <c r="G9" i="20"/>
  <c r="P9" i="20"/>
  <c r="Q9" i="20"/>
  <c r="R9" i="20"/>
  <c r="G137" i="20"/>
  <c r="I137" i="20"/>
  <c r="P137" i="20" s="1"/>
  <c r="Q137" i="20"/>
  <c r="R137" i="20"/>
  <c r="G107" i="20"/>
  <c r="I107" i="20"/>
  <c r="P107" i="20" s="1"/>
  <c r="Q107" i="20"/>
  <c r="R107" i="20"/>
  <c r="G105" i="20"/>
  <c r="I105" i="20"/>
  <c r="P105" i="20" s="1"/>
  <c r="Q105" i="20"/>
  <c r="R105" i="20"/>
  <c r="G56" i="20"/>
  <c r="I56" i="20"/>
  <c r="P56" i="20" s="1"/>
  <c r="Q56" i="20"/>
  <c r="R56" i="20"/>
  <c r="G33" i="20"/>
  <c r="I33" i="20"/>
  <c r="P33" i="20" s="1"/>
  <c r="Q33" i="20"/>
  <c r="R33" i="20"/>
  <c r="G104" i="20"/>
  <c r="I104" i="20"/>
  <c r="P104" i="20" s="1"/>
  <c r="Q104" i="20"/>
  <c r="R104" i="20"/>
  <c r="G43" i="20"/>
  <c r="P43" i="20"/>
  <c r="Q43" i="20"/>
  <c r="R43" i="20"/>
  <c r="G94" i="20"/>
  <c r="I94" i="20"/>
  <c r="P94" i="20" s="1"/>
  <c r="Q94" i="20"/>
  <c r="R94" i="20"/>
  <c r="G103" i="20"/>
  <c r="I103" i="20"/>
  <c r="P103" i="20" s="1"/>
  <c r="Q103" i="20"/>
  <c r="R103" i="20"/>
  <c r="G39" i="20"/>
  <c r="P39" i="20"/>
  <c r="Q39" i="20"/>
  <c r="R39" i="20"/>
  <c r="G159" i="20"/>
  <c r="I159" i="20"/>
  <c r="P159" i="20" s="1"/>
  <c r="Q159" i="20"/>
  <c r="R159" i="20"/>
  <c r="G76" i="20"/>
  <c r="P76" i="20"/>
  <c r="Q76" i="20"/>
  <c r="R76" i="20"/>
  <c r="G136" i="20"/>
  <c r="I136" i="20"/>
  <c r="P136" i="20" s="1"/>
  <c r="Q136" i="20"/>
  <c r="R136" i="20"/>
  <c r="G126" i="20"/>
  <c r="G127" i="20"/>
  <c r="G129" i="20"/>
  <c r="G130" i="20"/>
  <c r="G70" i="20"/>
  <c r="G71" i="20"/>
  <c r="G28" i="20"/>
  <c r="G156" i="20"/>
  <c r="G157" i="20"/>
  <c r="G158" i="20"/>
  <c r="G128" i="20"/>
  <c r="G55" i="20"/>
  <c r="G146" i="20"/>
  <c r="G131" i="20"/>
  <c r="G132" i="20"/>
  <c r="G93" i="20"/>
  <c r="G72" i="20"/>
  <c r="G145" i="20"/>
  <c r="G147" i="20"/>
  <c r="G133" i="20"/>
  <c r="G134" i="20"/>
  <c r="G135" i="20"/>
  <c r="G74" i="20"/>
  <c r="G51" i="20"/>
  <c r="G75" i="20"/>
  <c r="I126" i="20"/>
  <c r="I127" i="20"/>
  <c r="P127" i="20" s="1"/>
  <c r="I129" i="20"/>
  <c r="P129" i="20" s="1"/>
  <c r="I130" i="20"/>
  <c r="P130" i="20" s="1"/>
  <c r="I70" i="20"/>
  <c r="P70" i="20" s="1"/>
  <c r="I71" i="20"/>
  <c r="P71" i="20" s="1"/>
  <c r="I28" i="20"/>
  <c r="P28" i="20" s="1"/>
  <c r="I156" i="20"/>
  <c r="P156" i="20" s="1"/>
  <c r="I157" i="20"/>
  <c r="P157" i="20" s="1"/>
  <c r="I158" i="20"/>
  <c r="P158" i="20" s="1"/>
  <c r="I128" i="20"/>
  <c r="P128" i="20" s="1"/>
  <c r="I55" i="20"/>
  <c r="P55" i="20" s="1"/>
  <c r="I146" i="20"/>
  <c r="P146" i="20" s="1"/>
  <c r="I131" i="20"/>
  <c r="P131" i="20" s="1"/>
  <c r="I132" i="20"/>
  <c r="P132" i="20" s="1"/>
  <c r="I93" i="20"/>
  <c r="P93" i="20" s="1"/>
  <c r="I72" i="20"/>
  <c r="P72" i="20" s="1"/>
  <c r="I145" i="20"/>
  <c r="P145" i="20" s="1"/>
  <c r="I147" i="20"/>
  <c r="P147" i="20" s="1"/>
  <c r="I133" i="20"/>
  <c r="P133" i="20" s="1"/>
  <c r="I134" i="20"/>
  <c r="P134" i="20" s="1"/>
  <c r="I135" i="20"/>
  <c r="P135" i="20" s="1"/>
  <c r="I51" i="20"/>
  <c r="P51" i="20" s="1"/>
  <c r="I75" i="20"/>
  <c r="P75" i="20" s="1"/>
  <c r="P126" i="20"/>
  <c r="P74" i="20"/>
  <c r="Q126" i="20"/>
  <c r="Q127" i="20"/>
  <c r="Q129" i="20"/>
  <c r="Q130" i="20"/>
  <c r="Q70" i="20"/>
  <c r="Q71" i="20"/>
  <c r="Q28" i="20"/>
  <c r="Q156" i="20"/>
  <c r="Q157" i="20"/>
  <c r="Q158" i="20"/>
  <c r="Q128" i="20"/>
  <c r="Q55" i="20"/>
  <c r="Q146" i="20"/>
  <c r="Q131" i="20"/>
  <c r="Q132" i="20"/>
  <c r="Q93" i="20"/>
  <c r="Q72" i="20"/>
  <c r="Q145" i="20"/>
  <c r="Q147" i="20"/>
  <c r="Q133" i="20"/>
  <c r="Q134" i="20"/>
  <c r="Q135" i="20"/>
  <c r="Q74" i="20"/>
  <c r="Q51" i="20"/>
  <c r="Q75" i="20"/>
  <c r="R126" i="20"/>
  <c r="R127" i="20"/>
  <c r="R129" i="20"/>
  <c r="R130" i="20"/>
  <c r="R70" i="20"/>
  <c r="R71" i="20"/>
  <c r="R28" i="20"/>
  <c r="R156" i="20"/>
  <c r="R157" i="20"/>
  <c r="R158" i="20"/>
  <c r="R128" i="20"/>
  <c r="R55" i="20"/>
  <c r="R146" i="20"/>
  <c r="R131" i="20"/>
  <c r="R132" i="20"/>
  <c r="R93" i="20"/>
  <c r="R72" i="20"/>
  <c r="R145" i="20"/>
  <c r="R147" i="20"/>
  <c r="R133" i="20"/>
  <c r="R134" i="20"/>
  <c r="R135" i="20"/>
  <c r="R74" i="20"/>
  <c r="R51" i="20"/>
  <c r="R75" i="20"/>
  <c r="G38" i="20"/>
  <c r="P38" i="20"/>
  <c r="Q38" i="20"/>
  <c r="R38" i="20"/>
  <c r="G101" i="20"/>
  <c r="I101" i="20"/>
  <c r="P101" i="20" s="1"/>
  <c r="Q101" i="20"/>
  <c r="R101" i="20"/>
  <c r="G92" i="20"/>
  <c r="I92" i="20"/>
  <c r="P92" i="20" s="1"/>
  <c r="Q92" i="20"/>
  <c r="R92" i="20"/>
  <c r="G99" i="20"/>
  <c r="P99" i="20"/>
  <c r="Q99" i="20"/>
  <c r="R99" i="20"/>
  <c r="G100" i="20"/>
  <c r="I100" i="20"/>
  <c r="P100" i="20" s="1"/>
  <c r="Q100" i="20"/>
  <c r="R100" i="20"/>
  <c r="G125" i="20"/>
  <c r="I125" i="20"/>
  <c r="P125" i="20" s="1"/>
  <c r="Q125" i="20"/>
  <c r="R125" i="20"/>
  <c r="G42" i="20"/>
  <c r="I42" i="20"/>
  <c r="P42" i="20" s="1"/>
  <c r="Q42" i="20"/>
  <c r="R42" i="20"/>
  <c r="G95" i="20"/>
  <c r="I95" i="20"/>
  <c r="P95" i="20" s="1"/>
  <c r="Q95" i="20"/>
  <c r="R95" i="20"/>
  <c r="G41" i="20"/>
  <c r="I41" i="20"/>
  <c r="P41" i="20" s="1"/>
  <c r="Q41" i="20"/>
  <c r="R41" i="20"/>
  <c r="G149" i="20"/>
  <c r="I149" i="20"/>
  <c r="P149" i="20" s="1"/>
  <c r="Q149" i="20"/>
  <c r="R149" i="20"/>
  <c r="G123" i="20"/>
  <c r="I123" i="20"/>
  <c r="P123" i="20" s="1"/>
  <c r="Q123" i="20"/>
  <c r="R123" i="20"/>
  <c r="G124" i="20"/>
  <c r="P124" i="20"/>
  <c r="Q124" i="20"/>
  <c r="R124" i="20"/>
  <c r="G155" i="20"/>
  <c r="P155" i="20"/>
  <c r="Q155" i="20"/>
  <c r="R155" i="20"/>
  <c r="G83" i="20"/>
  <c r="I83" i="20"/>
  <c r="P83" i="20" s="1"/>
  <c r="Q83" i="20"/>
  <c r="R83" i="20"/>
  <c r="G84" i="20"/>
  <c r="I84" i="20"/>
  <c r="P84" i="20" s="1"/>
  <c r="Q84" i="20"/>
  <c r="R84" i="20"/>
  <c r="G82" i="20"/>
  <c r="I82" i="20"/>
  <c r="P82" i="20" s="1"/>
  <c r="Q82" i="20"/>
  <c r="R82" i="20"/>
  <c r="G85" i="20"/>
  <c r="I85" i="20"/>
  <c r="P85" i="20" s="1"/>
  <c r="Q85" i="20"/>
  <c r="R85" i="20"/>
  <c r="G121" i="20"/>
  <c r="I121" i="20"/>
  <c r="P121" i="20" s="1"/>
  <c r="Q121" i="20"/>
  <c r="R121" i="20"/>
  <c r="G69" i="20"/>
  <c r="I69" i="20"/>
  <c r="P69" i="20" s="1"/>
  <c r="Q69" i="20"/>
  <c r="R69" i="20"/>
  <c r="G13" i="20"/>
  <c r="I13" i="20"/>
  <c r="P13" i="20" s="1"/>
  <c r="Q13" i="20"/>
  <c r="R13" i="20"/>
  <c r="G48" i="20"/>
  <c r="I48" i="20"/>
  <c r="P48" i="20" s="1"/>
  <c r="Q48" i="20"/>
  <c r="R48" i="20"/>
  <c r="G68" i="20"/>
  <c r="P68" i="20"/>
  <c r="Q68" i="20"/>
  <c r="R68" i="20"/>
  <c r="G81" i="20"/>
  <c r="I81" i="20"/>
  <c r="P81" i="20" s="1"/>
  <c r="Q81" i="20"/>
  <c r="R81" i="20"/>
  <c r="G861" i="20"/>
  <c r="G862" i="20"/>
  <c r="G863" i="20"/>
  <c r="G864" i="20"/>
  <c r="G865" i="20"/>
  <c r="G866" i="20"/>
  <c r="G867" i="20"/>
  <c r="G868" i="20"/>
  <c r="G869" i="20"/>
  <c r="G397" i="20"/>
  <c r="I397" i="20"/>
  <c r="L397" i="20" s="1"/>
  <c r="G395" i="20"/>
  <c r="I395" i="20"/>
  <c r="L395" i="20" s="1"/>
  <c r="G394" i="20"/>
  <c r="I394" i="20"/>
  <c r="L394" i="20" s="1"/>
  <c r="G393" i="20"/>
  <c r="I393" i="20"/>
  <c r="L393" i="20" s="1"/>
  <c r="G392" i="20"/>
  <c r="I392" i="20"/>
  <c r="L392" i="20" s="1"/>
  <c r="G231" i="20"/>
  <c r="I231" i="20"/>
  <c r="L231" i="20" s="1"/>
  <c r="G230" i="20"/>
  <c r="I230" i="20"/>
  <c r="L230" i="20" s="1"/>
  <c r="G229" i="20"/>
  <c r="I229" i="20"/>
  <c r="L229" i="20" s="1"/>
  <c r="G228" i="20"/>
  <c r="I228" i="20"/>
  <c r="L228" i="20" s="1"/>
  <c r="G227" i="20"/>
  <c r="I227" i="20"/>
  <c r="L227" i="20" s="1"/>
  <c r="G226" i="20"/>
  <c r="I226" i="20"/>
  <c r="L226" i="20" s="1"/>
  <c r="G225" i="20"/>
  <c r="I225" i="20"/>
  <c r="L225" i="20" s="1"/>
  <c r="G224" i="20"/>
  <c r="I224" i="20"/>
  <c r="L224" i="20" s="1"/>
  <c r="G223" i="20"/>
  <c r="I223" i="20"/>
  <c r="L223" i="20" s="1"/>
  <c r="G222" i="20"/>
  <c r="I222" i="20"/>
  <c r="L222" i="20" s="1"/>
  <c r="G221" i="20"/>
  <c r="I221" i="20"/>
  <c r="L221" i="20" s="1"/>
  <c r="G220" i="20"/>
  <c r="I220" i="20"/>
  <c r="L220" i="20" s="1"/>
  <c r="G150" i="20"/>
  <c r="I150" i="20"/>
  <c r="P150" i="20" s="1"/>
  <c r="Q150" i="20"/>
  <c r="R150" i="20"/>
  <c r="G114" i="20"/>
  <c r="G90" i="20"/>
  <c r="G49" i="20"/>
  <c r="G144" i="20"/>
  <c r="G116" i="20"/>
  <c r="G143" i="20"/>
  <c r="G151" i="20"/>
  <c r="G54" i="20"/>
  <c r="G62" i="20"/>
  <c r="G142" i="20"/>
  <c r="G118" i="20"/>
  <c r="G152" i="20"/>
  <c r="G153" i="20"/>
  <c r="G117" i="20"/>
  <c r="G50" i="20"/>
  <c r="G63" i="20"/>
  <c r="G21" i="20"/>
  <c r="G65" i="20"/>
  <c r="G64" i="20"/>
  <c r="G160" i="20"/>
  <c r="G66" i="20"/>
  <c r="G119" i="20"/>
  <c r="G12" i="20"/>
  <c r="G80" i="20"/>
  <c r="G22" i="20"/>
  <c r="G120" i="20"/>
  <c r="G91" i="20"/>
  <c r="G122" i="20"/>
  <c r="I114" i="20"/>
  <c r="P114" i="20" s="1"/>
  <c r="I90" i="20"/>
  <c r="P90" i="20" s="1"/>
  <c r="I49" i="20"/>
  <c r="P49" i="20" s="1"/>
  <c r="I144" i="20"/>
  <c r="P144" i="20" s="1"/>
  <c r="I116" i="20"/>
  <c r="P116" i="20" s="1"/>
  <c r="I143" i="20"/>
  <c r="P143" i="20" s="1"/>
  <c r="P151" i="20"/>
  <c r="I54" i="20"/>
  <c r="P54" i="20" s="1"/>
  <c r="I142" i="20"/>
  <c r="P142" i="20" s="1"/>
  <c r="I118" i="20"/>
  <c r="P118" i="20" s="1"/>
  <c r="I152" i="20"/>
  <c r="P152" i="20" s="1"/>
  <c r="I153" i="20"/>
  <c r="P153" i="20" s="1"/>
  <c r="I117" i="20"/>
  <c r="P117" i="20" s="1"/>
  <c r="P50" i="20"/>
  <c r="I21" i="20"/>
  <c r="P21" i="20" s="1"/>
  <c r="I65" i="20"/>
  <c r="P65" i="20" s="1"/>
  <c r="I64" i="20"/>
  <c r="P64" i="20" s="1"/>
  <c r="I160" i="20"/>
  <c r="P160" i="20" s="1"/>
  <c r="I66" i="20"/>
  <c r="P66" i="20" s="1"/>
  <c r="I119" i="20"/>
  <c r="P119" i="20" s="1"/>
  <c r="I12" i="20"/>
  <c r="P12" i="20" s="1"/>
  <c r="I80" i="20"/>
  <c r="P80" i="20" s="1"/>
  <c r="I67" i="20"/>
  <c r="P67" i="20" s="1"/>
  <c r="P154" i="20"/>
  <c r="I22" i="20"/>
  <c r="P22" i="20" s="1"/>
  <c r="I120" i="20"/>
  <c r="P120" i="20" s="1"/>
  <c r="I91" i="20"/>
  <c r="P91" i="20" s="1"/>
  <c r="I122" i="20"/>
  <c r="P122" i="20" s="1"/>
  <c r="P62" i="20"/>
  <c r="P63" i="20"/>
  <c r="Q114" i="20"/>
  <c r="Q90" i="20"/>
  <c r="Q49" i="20"/>
  <c r="Q144" i="20"/>
  <c r="Q116" i="20"/>
  <c r="Q143" i="20"/>
  <c r="Q151" i="20"/>
  <c r="Q54" i="20"/>
  <c r="Q62" i="20"/>
  <c r="Q142" i="20"/>
  <c r="Q118" i="20"/>
  <c r="Q152" i="20"/>
  <c r="Q153" i="20"/>
  <c r="Q117" i="20"/>
  <c r="Q50" i="20"/>
  <c r="Q63" i="20"/>
  <c r="Q21" i="20"/>
  <c r="Q65" i="20"/>
  <c r="Q64" i="20"/>
  <c r="Q160" i="20"/>
  <c r="Q66" i="20"/>
  <c r="Q119" i="20"/>
  <c r="Q12" i="20"/>
  <c r="Q80" i="20"/>
  <c r="Q67" i="20"/>
  <c r="Q154" i="20"/>
  <c r="Q22" i="20"/>
  <c r="Q120" i="20"/>
  <c r="Q91" i="20"/>
  <c r="Q122" i="20"/>
  <c r="R114" i="20"/>
  <c r="R90" i="20"/>
  <c r="R49" i="20"/>
  <c r="R144" i="20"/>
  <c r="R116" i="20"/>
  <c r="R143" i="20"/>
  <c r="R151" i="20"/>
  <c r="R54" i="20"/>
  <c r="R62" i="20"/>
  <c r="R142" i="20"/>
  <c r="R118" i="20"/>
  <c r="R152" i="20"/>
  <c r="R153" i="20"/>
  <c r="R117" i="20"/>
  <c r="R50" i="20"/>
  <c r="R63" i="20"/>
  <c r="R21" i="20"/>
  <c r="R65" i="20"/>
  <c r="R64" i="20"/>
  <c r="R160" i="20"/>
  <c r="R66" i="20"/>
  <c r="R119" i="20"/>
  <c r="R12" i="20"/>
  <c r="R80" i="20"/>
  <c r="R67" i="20"/>
  <c r="R154" i="20"/>
  <c r="R22" i="20"/>
  <c r="R120" i="20"/>
  <c r="R91" i="20"/>
  <c r="R122" i="20"/>
  <c r="G97" i="20"/>
  <c r="I97" i="20"/>
  <c r="P97" i="20" s="1"/>
  <c r="Q97" i="20"/>
  <c r="R97" i="20"/>
  <c r="G141" i="20"/>
  <c r="P141" i="20"/>
  <c r="Q141" i="20"/>
  <c r="R141" i="20"/>
  <c r="G115" i="20"/>
  <c r="I115" i="20"/>
  <c r="P115" i="20" s="1"/>
  <c r="Q115" i="20"/>
  <c r="R115" i="20"/>
  <c r="G60" i="20" l="1"/>
  <c r="P60" i="20"/>
  <c r="Q60" i="20"/>
  <c r="R60" i="20"/>
  <c r="G112" i="20"/>
  <c r="I112" i="20"/>
  <c r="P112" i="20" s="1"/>
  <c r="Q112" i="20"/>
  <c r="R112" i="20"/>
  <c r="G96" i="20"/>
  <c r="I96" i="20"/>
  <c r="P96" i="20" s="1"/>
  <c r="Q96" i="20"/>
  <c r="R96" i="20"/>
  <c r="G111" i="20"/>
  <c r="I111" i="20"/>
  <c r="P111" i="20" s="1"/>
  <c r="Q111" i="20"/>
  <c r="R111" i="20"/>
  <c r="G113" i="20"/>
  <c r="I113" i="20"/>
  <c r="P113" i="20" s="1"/>
  <c r="Q113" i="20"/>
  <c r="R113" i="20"/>
  <c r="G47" i="20"/>
  <c r="P47" i="20"/>
  <c r="Q47" i="20"/>
  <c r="R47" i="20"/>
  <c r="G110" i="20"/>
  <c r="I110" i="20"/>
  <c r="P110" i="20" s="1"/>
  <c r="Q110" i="20"/>
  <c r="R110" i="20"/>
  <c r="G10" i="20"/>
  <c r="I10" i="20"/>
  <c r="R10" i="20"/>
  <c r="G35" i="20"/>
  <c r="I35" i="20"/>
  <c r="P35" i="20" s="1"/>
  <c r="Q35" i="20"/>
  <c r="R35" i="20"/>
  <c r="H183" i="20"/>
  <c r="J183" i="20"/>
  <c r="K183" i="20"/>
  <c r="H191" i="20"/>
  <c r="J191" i="20"/>
  <c r="K191" i="20"/>
  <c r="G73" i="20"/>
  <c r="P73" i="20"/>
  <c r="Q73" i="20"/>
  <c r="R73" i="20"/>
  <c r="G29" i="20"/>
  <c r="I29" i="20"/>
  <c r="P29" i="20" s="1"/>
  <c r="Q29" i="20"/>
  <c r="R29" i="20"/>
  <c r="G106" i="20"/>
  <c r="I106" i="20"/>
  <c r="P106" i="20" s="1"/>
  <c r="Q106" i="20"/>
  <c r="R106" i="20"/>
  <c r="G11" i="20"/>
  <c r="I11" i="20"/>
  <c r="Q11" i="20"/>
  <c r="R11" i="20"/>
  <c r="G34" i="20"/>
  <c r="I34" i="20"/>
  <c r="P34" i="20" s="1"/>
  <c r="Q34" i="20"/>
  <c r="R34" i="20"/>
  <c r="P10" i="20" l="1"/>
  <c r="P11" i="20"/>
  <c r="G1" i="10"/>
  <c r="G1" i="20"/>
  <c r="G65" i="21" l="1"/>
  <c r="G38" i="21"/>
  <c r="G3025" i="21" l="1"/>
  <c r="L3025" i="21"/>
  <c r="G3024" i="21"/>
  <c r="L3024" i="21"/>
  <c r="G3023" i="21"/>
  <c r="L3023" i="21"/>
  <c r="G3022" i="21"/>
  <c r="L3022" i="21"/>
  <c r="G3021" i="21"/>
  <c r="L3021" i="21"/>
  <c r="L428" i="21"/>
  <c r="L438" i="21"/>
  <c r="L427" i="21"/>
  <c r="L426" i="21"/>
  <c r="L437" i="21"/>
  <c r="L435" i="21"/>
  <c r="L424" i="21"/>
  <c r="L425" i="21"/>
  <c r="L436" i="21"/>
  <c r="L423" i="21"/>
  <c r="L414" i="21"/>
  <c r="L434" i="21"/>
  <c r="L443" i="21"/>
  <c r="L422" i="21"/>
  <c r="L413" i="21"/>
  <c r="L442" i="21"/>
  <c r="L410" i="21"/>
  <c r="L411" i="21"/>
  <c r="L412" i="21"/>
  <c r="L421" i="21"/>
  <c r="L433" i="21"/>
  <c r="L431" i="21"/>
  <c r="L432" i="21"/>
  <c r="L440" i="21"/>
  <c r="L420" i="21"/>
  <c r="L441" i="21"/>
  <c r="L439" i="21"/>
  <c r="L419" i="21"/>
  <c r="L430" i="21"/>
  <c r="L418" i="21"/>
  <c r="L417" i="21"/>
  <c r="L409" i="21"/>
  <c r="L429" i="21"/>
  <c r="L407" i="21"/>
  <c r="L408" i="21"/>
  <c r="L415" i="21"/>
  <c r="L416" i="21"/>
  <c r="L1448" i="21"/>
  <c r="L1133" i="21"/>
  <c r="L699" i="21"/>
  <c r="L3019" i="21"/>
  <c r="L2997" i="21"/>
  <c r="L1450" i="21"/>
  <c r="L2992" i="21"/>
  <c r="L3007" i="21"/>
  <c r="L1129" i="21"/>
  <c r="L1883" i="21"/>
  <c r="L695" i="21"/>
  <c r="L3020" i="21"/>
  <c r="L1139" i="21"/>
  <c r="L3017" i="21"/>
  <c r="L3016" i="21"/>
  <c r="L707" i="21"/>
  <c r="L1453" i="21"/>
  <c r="L701" i="21"/>
  <c r="L2993" i="21"/>
  <c r="L1875" i="21"/>
  <c r="L1140" i="21"/>
  <c r="L1131" i="21"/>
  <c r="L694" i="21"/>
  <c r="L3005" i="21"/>
  <c r="L1456" i="21"/>
  <c r="L2988" i="21"/>
  <c r="L2990" i="21"/>
  <c r="L3011" i="21"/>
  <c r="L3010" i="21"/>
  <c r="L3006" i="21"/>
  <c r="L3003" i="21"/>
  <c r="L1876" i="21"/>
  <c r="L1880" i="21"/>
  <c r="L1886" i="21"/>
  <c r="L1130" i="21"/>
  <c r="L704" i="21"/>
  <c r="L1128" i="21"/>
  <c r="L3012" i="21"/>
  <c r="L1877" i="21"/>
  <c r="L2994" i="21"/>
  <c r="L1885" i="21"/>
  <c r="L2995" i="21"/>
  <c r="L1452" i="21"/>
  <c r="L2991" i="21"/>
  <c r="L2999" i="21"/>
  <c r="L3015" i="21"/>
  <c r="L3008" i="21"/>
  <c r="L1455" i="21"/>
  <c r="L3013" i="21"/>
  <c r="L3014" i="21"/>
  <c r="L696" i="21"/>
  <c r="L1135" i="21"/>
  <c r="L1132" i="21"/>
  <c r="L3009" i="21"/>
  <c r="L3002" i="21"/>
  <c r="L1881" i="21"/>
  <c r="L3000" i="21"/>
  <c r="L705" i="21"/>
  <c r="L3001" i="21"/>
  <c r="L1127" i="21"/>
  <c r="L693" i="21"/>
  <c r="L703" i="21"/>
  <c r="L1137" i="21"/>
  <c r="L1457" i="21"/>
  <c r="L3004" i="21"/>
  <c r="L698" i="21"/>
  <c r="L697" i="21"/>
  <c r="L700" i="21"/>
  <c r="L1126" i="21"/>
  <c r="L2989" i="21"/>
  <c r="L1458" i="21"/>
  <c r="L1134" i="21"/>
  <c r="L2987" i="21"/>
  <c r="L1454" i="21"/>
  <c r="L1878" i="21"/>
  <c r="L2996" i="21"/>
  <c r="L708" i="21"/>
  <c r="L2998" i="21"/>
  <c r="L1884" i="21"/>
  <c r="L702" i="21"/>
  <c r="L1449" i="21"/>
  <c r="L1882" i="21"/>
  <c r="L706" i="21"/>
  <c r="L2986" i="21"/>
  <c r="L1141" i="21"/>
  <c r="L1136" i="21"/>
  <c r="L1879" i="21"/>
  <c r="L1874" i="21"/>
  <c r="L3018" i="21"/>
  <c r="L1138" i="21"/>
  <c r="L1451" i="21"/>
  <c r="L2976" i="21"/>
  <c r="L1444" i="21"/>
  <c r="L1446" i="21"/>
  <c r="L2979" i="21"/>
  <c r="L1867" i="21"/>
  <c r="L1864" i="21"/>
  <c r="L2982" i="21"/>
  <c r="L2983" i="21"/>
  <c r="L2981" i="21"/>
  <c r="L2984" i="21"/>
  <c r="L1868" i="21"/>
  <c r="L1872" i="21"/>
  <c r="L1873" i="21"/>
  <c r="L1871" i="21"/>
  <c r="L691" i="21"/>
  <c r="L1120" i="21"/>
  <c r="L1866" i="21"/>
  <c r="L684" i="21"/>
  <c r="L2978" i="21"/>
  <c r="L2977" i="21"/>
  <c r="L1447" i="21"/>
  <c r="L1122" i="21"/>
  <c r="L2928" i="21"/>
  <c r="L1420" i="21"/>
  <c r="L663" i="21"/>
  <c r="L1837" i="21"/>
  <c r="L1835" i="21"/>
  <c r="L2926" i="21"/>
  <c r="L1100" i="21"/>
  <c r="L1842" i="21"/>
  <c r="L1846" i="21"/>
  <c r="L1858" i="21"/>
  <c r="L1108" i="21"/>
  <c r="L1107" i="21"/>
  <c r="L680" i="21"/>
  <c r="L1109" i="21"/>
  <c r="L1110" i="21"/>
  <c r="L2968" i="21"/>
  <c r="L2945" i="21"/>
  <c r="L1438" i="21"/>
  <c r="L1115" i="21"/>
  <c r="L2958" i="21"/>
  <c r="L2959" i="21"/>
  <c r="L1105" i="21"/>
  <c r="L682" i="21"/>
  <c r="L1853" i="21"/>
  <c r="L1422" i="21"/>
  <c r="L674" i="21"/>
  <c r="L2952" i="21"/>
  <c r="L2953" i="21"/>
  <c r="L1850" i="21"/>
  <c r="L2948" i="21"/>
  <c r="L1428" i="21"/>
  <c r="L1426" i="21"/>
  <c r="L2951" i="21"/>
  <c r="L1104" i="21"/>
  <c r="L2957" i="21"/>
  <c r="L2947" i="21"/>
  <c r="L2962" i="21"/>
  <c r="L1849" i="21"/>
  <c r="L2946" i="21"/>
  <c r="L1096" i="21"/>
  <c r="L1431" i="21"/>
  <c r="L1432" i="21"/>
  <c r="L1843" i="21"/>
  <c r="L1427" i="21"/>
  <c r="L2949" i="21"/>
  <c r="L676" i="21"/>
  <c r="L1106" i="21"/>
  <c r="L2966" i="21"/>
  <c r="L1848" i="21"/>
  <c r="L1113" i="21"/>
  <c r="L673" i="21"/>
  <c r="L1429" i="21"/>
  <c r="L1424" i="21"/>
  <c r="L677" i="21"/>
  <c r="L1112" i="21"/>
  <c r="L1098" i="21"/>
  <c r="L1103" i="21"/>
  <c r="L2961" i="21"/>
  <c r="L2970" i="21"/>
  <c r="L2964" i="21"/>
  <c r="L681" i="21"/>
  <c r="L678" i="21"/>
  <c r="L1097" i="21"/>
  <c r="L1851" i="21"/>
  <c r="L1434" i="21"/>
  <c r="L1433" i="21"/>
  <c r="L2956" i="21"/>
  <c r="L2955" i="21"/>
  <c r="L1436" i="21"/>
  <c r="L2954" i="21"/>
  <c r="L675" i="21"/>
  <c r="L1425" i="21"/>
  <c r="L672" i="21"/>
  <c r="L2950" i="21"/>
  <c r="L1854" i="21"/>
  <c r="L1435" i="21"/>
  <c r="L2960" i="21"/>
  <c r="L2965" i="21"/>
  <c r="L1111" i="21"/>
  <c r="L1114" i="21"/>
  <c r="L1856" i="21"/>
  <c r="L679" i="21"/>
  <c r="L1095" i="21"/>
  <c r="L1844" i="21"/>
  <c r="L2967" i="21"/>
  <c r="L1099" i="21"/>
  <c r="L671" i="21"/>
  <c r="L1437" i="21"/>
  <c r="L2969" i="21"/>
  <c r="L1101" i="21"/>
  <c r="L1847" i="21"/>
  <c r="L1852" i="21"/>
  <c r="L1102" i="21"/>
  <c r="L1423" i="21"/>
  <c r="L1430" i="21"/>
  <c r="L2963" i="21"/>
  <c r="L1857" i="21"/>
  <c r="L1855" i="21"/>
  <c r="L1845" i="21"/>
  <c r="L1869" i="21"/>
  <c r="L1117" i="21"/>
  <c r="L1439" i="21"/>
  <c r="L1116" i="21"/>
  <c r="L2974" i="21"/>
  <c r="L2972" i="21"/>
  <c r="L2980" i="21"/>
  <c r="L2975" i="21"/>
  <c r="L686" i="21"/>
  <c r="L1859" i="21"/>
  <c r="L683" i="21"/>
  <c r="L1860" i="21"/>
  <c r="L688" i="21"/>
  <c r="L1861" i="21"/>
  <c r="L1862" i="21"/>
  <c r="L1119" i="21"/>
  <c r="L1863" i="21"/>
  <c r="L1124" i="21"/>
  <c r="L687" i="21"/>
  <c r="L1440" i="21"/>
  <c r="L685" i="21"/>
  <c r="L1125" i="21"/>
  <c r="L1118" i="21"/>
  <c r="L2973" i="21"/>
  <c r="L1865" i="21"/>
  <c r="L1443" i="21"/>
  <c r="L690" i="21"/>
  <c r="L1442" i="21"/>
  <c r="L692" i="21"/>
  <c r="L1445" i="21"/>
  <c r="L1121" i="21"/>
  <c r="L1870" i="21"/>
  <c r="L1441" i="21"/>
  <c r="L2971" i="21"/>
  <c r="L1123" i="21"/>
  <c r="L2985" i="21"/>
  <c r="L689" i="21"/>
  <c r="L1827" i="21"/>
  <c r="L1089" i="21"/>
  <c r="L1421" i="21"/>
  <c r="L1418" i="21"/>
  <c r="L2939" i="21"/>
  <c r="L667" i="21"/>
  <c r="L1839" i="21"/>
  <c r="L1070" i="21"/>
  <c r="L656" i="21"/>
  <c r="L1409" i="21"/>
  <c r="L2936" i="21"/>
  <c r="L2935" i="21"/>
  <c r="L2933" i="21"/>
  <c r="L665" i="21"/>
  <c r="L1078" i="21"/>
  <c r="L1408" i="21"/>
  <c r="L1069" i="21"/>
  <c r="L660" i="21"/>
  <c r="L1079" i="21"/>
  <c r="L1072" i="21"/>
  <c r="L1076" i="21"/>
  <c r="L2944" i="21"/>
  <c r="L1836" i="21"/>
  <c r="L1841" i="21"/>
  <c r="L1407" i="21"/>
  <c r="L1067" i="21"/>
  <c r="L1092" i="21"/>
  <c r="L1840" i="21"/>
  <c r="L1068" i="21"/>
  <c r="L1402" i="21"/>
  <c r="L1084" i="21"/>
  <c r="L1832" i="21"/>
  <c r="L1412" i="21"/>
  <c r="L1414" i="21"/>
  <c r="L1413" i="21"/>
  <c r="L2937" i="21"/>
  <c r="L1838" i="21"/>
  <c r="L1074" i="21"/>
  <c r="L1077" i="21"/>
  <c r="L1404" i="21"/>
  <c r="L2940" i="21"/>
  <c r="L1080" i="21"/>
  <c r="L1082" i="21"/>
  <c r="L1086" i="21"/>
  <c r="L1071" i="21"/>
  <c r="L1065" i="21"/>
  <c r="L2925" i="21"/>
  <c r="L1075" i="21"/>
  <c r="L1415" i="21"/>
  <c r="L666" i="21"/>
  <c r="L1088" i="21"/>
  <c r="L2942" i="21"/>
  <c r="L659" i="21"/>
  <c r="L1083" i="21"/>
  <c r="L2929" i="21"/>
  <c r="L658" i="21"/>
  <c r="L1066" i="21"/>
  <c r="L2930" i="21"/>
  <c r="L668" i="21"/>
  <c r="L1828" i="21"/>
  <c r="L1093" i="21"/>
  <c r="L1091" i="21"/>
  <c r="L1410" i="21"/>
  <c r="L1081" i="21"/>
  <c r="L2931" i="21"/>
  <c r="L1073" i="21"/>
  <c r="L1401" i="21"/>
  <c r="L1821" i="21"/>
  <c r="L1829" i="21"/>
  <c r="L1403" i="21"/>
  <c r="L661" i="21"/>
  <c r="L669" i="21"/>
  <c r="L1090" i="21"/>
  <c r="L1405" i="21"/>
  <c r="L1833" i="21"/>
  <c r="L1834" i="21"/>
  <c r="L2934" i="21"/>
  <c r="L1094" i="21"/>
  <c r="L1087" i="21"/>
  <c r="L2943" i="21"/>
  <c r="L1411" i="21"/>
  <c r="L1417" i="21"/>
  <c r="L1416" i="21"/>
  <c r="L1824" i="21"/>
  <c r="L1826" i="21"/>
  <c r="L662" i="21"/>
  <c r="L1406" i="21"/>
  <c r="L1807" i="21"/>
  <c r="L1046" i="21"/>
  <c r="L2879" i="21"/>
  <c r="L2830" i="21"/>
  <c r="L2877" i="21"/>
  <c r="L2878" i="21"/>
  <c r="L654" i="21"/>
  <c r="L1391" i="21"/>
  <c r="L2861" i="21"/>
  <c r="L2927" i="21"/>
  <c r="L2932" i="21"/>
  <c r="L657" i="21"/>
  <c r="L1399" i="21"/>
  <c r="L1400" i="21"/>
  <c r="L1825" i="21"/>
  <c r="L1085" i="21"/>
  <c r="L1830" i="21"/>
  <c r="L1831" i="21"/>
  <c r="L1822" i="21"/>
  <c r="L2938" i="21"/>
  <c r="L670" i="21"/>
  <c r="L1419" i="21"/>
  <c r="L2941" i="21"/>
  <c r="L1823" i="21"/>
  <c r="L664" i="21"/>
  <c r="L2837" i="21"/>
  <c r="L1818" i="21"/>
  <c r="L2835" i="21"/>
  <c r="L2896" i="21"/>
  <c r="L2897" i="21"/>
  <c r="L2895" i="21"/>
  <c r="L2839" i="21"/>
  <c r="L2893" i="21"/>
  <c r="L2894" i="21"/>
  <c r="L1802" i="21"/>
  <c r="L1800" i="21"/>
  <c r="L1392" i="21"/>
  <c r="L1813" i="21"/>
  <c r="L2891" i="21"/>
  <c r="L2892" i="21"/>
  <c r="L2890" i="21"/>
  <c r="L2886" i="21"/>
  <c r="L2887" i="21"/>
  <c r="L2885" i="21"/>
  <c r="L2889" i="21"/>
  <c r="L2888" i="21"/>
  <c r="L1060" i="21"/>
  <c r="L1397" i="21"/>
  <c r="L1048" i="21"/>
  <c r="L651" i="21"/>
  <c r="L1393" i="21"/>
  <c r="L655" i="21"/>
  <c r="L2832" i="21"/>
  <c r="L1052" i="21"/>
  <c r="L2847" i="21"/>
  <c r="L1059" i="21"/>
  <c r="L2851" i="21"/>
  <c r="L1043" i="21"/>
  <c r="L1398" i="21"/>
  <c r="L1062" i="21"/>
  <c r="L2884" i="21"/>
  <c r="L2883" i="21"/>
  <c r="L2882" i="21"/>
  <c r="L2881" i="21"/>
  <c r="L2880" i="21"/>
  <c r="L1054" i="21"/>
  <c r="L653" i="21"/>
  <c r="L1051" i="21"/>
  <c r="L2846" i="21"/>
  <c r="L1812" i="21"/>
  <c r="L2859" i="21"/>
  <c r="L2858" i="21"/>
  <c r="L2860" i="21"/>
  <c r="L1388" i="21"/>
  <c r="L2840" i="21"/>
  <c r="L2854" i="21"/>
  <c r="L1042" i="21"/>
  <c r="L2827" i="21"/>
  <c r="L2856" i="21"/>
  <c r="L2829" i="21"/>
  <c r="L1811" i="21"/>
  <c r="L2833" i="21"/>
  <c r="L1387" i="21"/>
  <c r="L2841" i="21"/>
  <c r="L1815" i="21"/>
  <c r="L1064" i="21"/>
  <c r="L1814" i="21"/>
  <c r="L1061" i="21"/>
  <c r="L1819" i="21"/>
  <c r="L2901" i="21"/>
  <c r="L1057" i="21"/>
  <c r="L2900" i="21"/>
  <c r="L2899" i="21"/>
  <c r="L2898" i="21"/>
  <c r="L1817" i="21"/>
  <c r="L2845" i="21"/>
  <c r="L1053" i="21"/>
  <c r="L1799" i="21"/>
  <c r="L1063" i="21"/>
  <c r="L1806" i="21"/>
  <c r="L1809" i="21"/>
  <c r="L1045" i="21"/>
  <c r="L1389" i="21"/>
  <c r="L1390" i="21"/>
  <c r="L1803" i="21"/>
  <c r="L2842" i="21"/>
  <c r="L2834" i="21"/>
  <c r="L2852" i="21"/>
  <c r="L2865" i="21"/>
  <c r="L2905" i="21"/>
  <c r="L2836" i="21"/>
  <c r="L2902" i="21"/>
  <c r="L2907" i="21"/>
  <c r="L2906" i="21"/>
  <c r="L2903" i="21"/>
  <c r="L2904" i="21"/>
  <c r="L1808" i="21"/>
  <c r="L2855" i="21"/>
  <c r="L1816" i="21"/>
  <c r="L2831" i="21"/>
  <c r="L1050" i="21"/>
  <c r="L2853" i="21"/>
  <c r="L2843" i="21"/>
  <c r="L2918" i="21"/>
  <c r="L2916" i="21"/>
  <c r="L2917" i="21"/>
  <c r="L1810" i="21"/>
  <c r="L2915" i="21"/>
  <c r="L2914" i="21"/>
  <c r="L1396" i="21"/>
  <c r="L2910" i="21"/>
  <c r="L2911" i="21"/>
  <c r="L2912" i="21"/>
  <c r="L2909" i="21"/>
  <c r="L2913" i="21"/>
  <c r="L2908" i="21"/>
  <c r="L2828" i="21"/>
  <c r="L2848" i="21"/>
  <c r="L2857" i="21"/>
  <c r="L1801" i="21"/>
  <c r="L1820" i="21"/>
  <c r="L2870" i="21"/>
  <c r="L2869" i="21"/>
  <c r="L2871" i="21"/>
  <c r="L2867" i="21"/>
  <c r="L2838" i="21"/>
  <c r="L2868" i="21"/>
  <c r="L2866" i="21"/>
  <c r="L1049" i="21"/>
  <c r="L652" i="21"/>
  <c r="L2844" i="21"/>
  <c r="L1058" i="21"/>
  <c r="L1395" i="21"/>
  <c r="L2924" i="21"/>
  <c r="L2919" i="21"/>
  <c r="L2920" i="21"/>
  <c r="L2921" i="21"/>
  <c r="L2922" i="21"/>
  <c r="L2923" i="21"/>
  <c r="L1394" i="21"/>
  <c r="L650" i="21"/>
  <c r="L1044" i="21"/>
  <c r="L2862" i="21"/>
  <c r="L1055" i="21"/>
  <c r="L2863" i="21"/>
  <c r="L1805" i="21"/>
  <c r="L1056" i="21"/>
  <c r="L2864" i="21"/>
  <c r="L2876" i="21"/>
  <c r="L2872" i="21"/>
  <c r="L2874" i="21"/>
  <c r="L2875" i="21"/>
  <c r="L2873" i="21"/>
  <c r="L2849" i="21"/>
  <c r="L2850" i="21"/>
  <c r="L1804" i="21"/>
  <c r="L649" i="21"/>
  <c r="L1047" i="21"/>
  <c r="L2825" i="21"/>
  <c r="L1027" i="21"/>
  <c r="L2805" i="21"/>
  <c r="L1385" i="21"/>
  <c r="L1377" i="21"/>
  <c r="L1024" i="21"/>
  <c r="L644" i="21"/>
  <c r="L1796" i="21"/>
  <c r="L1033" i="21"/>
  <c r="L1031" i="21"/>
  <c r="L2821" i="21"/>
  <c r="L1795" i="21"/>
  <c r="L1785" i="21"/>
  <c r="L1034" i="21"/>
  <c r="L1383" i="21"/>
  <c r="L2818" i="21"/>
  <c r="L1025" i="21"/>
  <c r="L1373" i="21"/>
  <c r="L2804" i="21"/>
  <c r="L1035" i="21"/>
  <c r="L2823" i="21"/>
  <c r="L2817" i="21"/>
  <c r="L1368" i="21"/>
  <c r="L648" i="21"/>
  <c r="L1382" i="21"/>
  <c r="L1386" i="21"/>
  <c r="L1374" i="21"/>
  <c r="L1381" i="21"/>
  <c r="L1026" i="21"/>
  <c r="L646" i="21"/>
  <c r="L1037" i="21"/>
  <c r="L1036" i="21"/>
  <c r="L2822" i="21"/>
  <c r="L2824" i="21"/>
  <c r="L1367" i="21"/>
  <c r="L1366" i="21"/>
  <c r="L1372" i="21"/>
  <c r="L1376" i="21"/>
  <c r="L1016" i="21"/>
  <c r="L1013" i="21"/>
  <c r="L1769" i="21"/>
  <c r="L639" i="21"/>
  <c r="L2764" i="21"/>
  <c r="L2769" i="21"/>
  <c r="L2768" i="21"/>
  <c r="L634" i="21"/>
  <c r="L2780" i="21"/>
  <c r="L2772" i="21"/>
  <c r="L1754" i="21"/>
  <c r="L1766" i="21"/>
  <c r="L641" i="21"/>
  <c r="L1007" i="21"/>
  <c r="L1753" i="21"/>
  <c r="L1749" i="21"/>
  <c r="L1354" i="21"/>
  <c r="L1776" i="21"/>
  <c r="L1014" i="21"/>
  <c r="L1777" i="21"/>
  <c r="L2761" i="21"/>
  <c r="L2762" i="21"/>
  <c r="L628" i="21"/>
  <c r="L1001" i="21"/>
  <c r="L2771" i="21"/>
  <c r="L2770" i="21"/>
  <c r="L635" i="21"/>
  <c r="L2778" i="21"/>
  <c r="L1011" i="21"/>
  <c r="L1774" i="21"/>
  <c r="L1021" i="21"/>
  <c r="L1015" i="21"/>
  <c r="L2815" i="21"/>
  <c r="L2808" i="21"/>
  <c r="L1798" i="21"/>
  <c r="L1018" i="21"/>
  <c r="L1792" i="21"/>
  <c r="L2803" i="21"/>
  <c r="L1384" i="21"/>
  <c r="L2819" i="21"/>
  <c r="L1789" i="21"/>
  <c r="L2802" i="21"/>
  <c r="L1791" i="21"/>
  <c r="L1040" i="21"/>
  <c r="L1041" i="21"/>
  <c r="L2807" i="21"/>
  <c r="L1371" i="21"/>
  <c r="L1784" i="21"/>
  <c r="L1020" i="21"/>
  <c r="L1029" i="21"/>
  <c r="L1023" i="21"/>
  <c r="L643" i="21"/>
  <c r="L1039" i="21"/>
  <c r="L1783" i="21"/>
  <c r="L1786" i="21"/>
  <c r="L1793" i="21"/>
  <c r="L1380" i="21"/>
  <c r="L1378" i="21"/>
  <c r="L2814" i="21"/>
  <c r="L2813" i="21"/>
  <c r="L1782" i="21"/>
  <c r="L1787" i="21"/>
  <c r="L1022" i="21"/>
  <c r="L2809" i="21"/>
  <c r="L647" i="21"/>
  <c r="L1790" i="21"/>
  <c r="L1019" i="21"/>
  <c r="L2812" i="21"/>
  <c r="L1788" i="21"/>
  <c r="L1797" i="21"/>
  <c r="L2806" i="21"/>
  <c r="L1032" i="21"/>
  <c r="L1375" i="21"/>
  <c r="L2826" i="21"/>
  <c r="L1370" i="21"/>
  <c r="L1379" i="21"/>
  <c r="L1038" i="21"/>
  <c r="L1028" i="21"/>
  <c r="L2811" i="21"/>
  <c r="L2810" i="21"/>
  <c r="L2816" i="21"/>
  <c r="L1794" i="21"/>
  <c r="L2820" i="21"/>
  <c r="L1030" i="21"/>
  <c r="L1369" i="21"/>
  <c r="L645" i="21"/>
  <c r="L642" i="21"/>
  <c r="L1017" i="21"/>
  <c r="L1353" i="21"/>
  <c r="L1747" i="21"/>
  <c r="L1361" i="21"/>
  <c r="L1362" i="21"/>
  <c r="L1012" i="21"/>
  <c r="L2794" i="21"/>
  <c r="L640" i="21"/>
  <c r="L1771" i="21"/>
  <c r="L1750" i="21"/>
  <c r="L999" i="21"/>
  <c r="L1770" i="21"/>
  <c r="L1779" i="21"/>
  <c r="L2775" i="21"/>
  <c r="L2781" i="21"/>
  <c r="L1781" i="21"/>
  <c r="L1005" i="21"/>
  <c r="L631" i="21"/>
  <c r="L1008" i="21"/>
  <c r="L2798" i="21"/>
  <c r="L2797" i="21"/>
  <c r="L1772" i="21"/>
  <c r="L998" i="21"/>
  <c r="L1751" i="21"/>
  <c r="L2785" i="21"/>
  <c r="L1759" i="21"/>
  <c r="L1352" i="21"/>
  <c r="L2792" i="21"/>
  <c r="L1758" i="21"/>
  <c r="L1756" i="21"/>
  <c r="L1003" i="21"/>
  <c r="L1351" i="21"/>
  <c r="L1009" i="21"/>
  <c r="L2784" i="21"/>
  <c r="L1775" i="21"/>
  <c r="L1755" i="21"/>
  <c r="L2766" i="21"/>
  <c r="L1752" i="21"/>
  <c r="L632" i="21"/>
  <c r="L2793" i="21"/>
  <c r="L1006" i="21"/>
  <c r="L2790" i="21"/>
  <c r="L1004" i="21"/>
  <c r="L629" i="21"/>
  <c r="L997" i="21"/>
  <c r="L1767" i="21"/>
  <c r="L1765" i="21"/>
  <c r="L2799" i="21"/>
  <c r="L2800" i="21"/>
  <c r="L2801" i="21"/>
  <c r="L1773" i="21"/>
  <c r="L1762" i="21"/>
  <c r="L2777" i="21"/>
  <c r="L637" i="21"/>
  <c r="L1357" i="21"/>
  <c r="L2796" i="21"/>
  <c r="L2795" i="21"/>
  <c r="L2776" i="21"/>
  <c r="L1768" i="21"/>
  <c r="L2791" i="21"/>
  <c r="L2787" i="21"/>
  <c r="L1760" i="21"/>
  <c r="L1363" i="21"/>
  <c r="L633" i="21"/>
  <c r="L2773" i="21"/>
  <c r="L636" i="21"/>
  <c r="L1764" i="21"/>
  <c r="L1010" i="21"/>
  <c r="L1364" i="21"/>
  <c r="L1778" i="21"/>
  <c r="L1763" i="21"/>
  <c r="L2783" i="21"/>
  <c r="L1355" i="21"/>
  <c r="L2774" i="21"/>
  <c r="L1000" i="21"/>
  <c r="L2765" i="21"/>
  <c r="L2782" i="21"/>
  <c r="L1002" i="21"/>
  <c r="L2767" i="21"/>
  <c r="L1356" i="21"/>
  <c r="L2779" i="21"/>
  <c r="L1780" i="21"/>
  <c r="L2789" i="21"/>
  <c r="L2751" i="21"/>
  <c r="L1727" i="21"/>
  <c r="L1343" i="21"/>
  <c r="L2756" i="21"/>
  <c r="L2753" i="21"/>
  <c r="L1344" i="21"/>
  <c r="L623" i="21"/>
  <c r="L1730" i="21"/>
  <c r="L1731" i="21"/>
  <c r="L2759" i="21"/>
  <c r="L1348" i="21"/>
  <c r="L1340" i="21"/>
  <c r="L994" i="21"/>
  <c r="L1342" i="21"/>
  <c r="L2749" i="21"/>
  <c r="L1341" i="21"/>
  <c r="L1736" i="21"/>
  <c r="L2750" i="21"/>
  <c r="L1733" i="21"/>
  <c r="L2758" i="21"/>
  <c r="L1744" i="21"/>
  <c r="L2748" i="21"/>
  <c r="L1737" i="21"/>
  <c r="L1729" i="21"/>
  <c r="L1735" i="21"/>
  <c r="L626" i="21"/>
  <c r="L1728" i="21"/>
  <c r="L1732" i="21"/>
  <c r="L1743" i="21"/>
  <c r="L1734" i="21"/>
  <c r="L2752" i="21"/>
  <c r="L2747" i="21"/>
  <c r="L1742" i="21"/>
  <c r="L1349" i="21"/>
  <c r="L624" i="21"/>
  <c r="L627" i="21"/>
  <c r="L2746" i="21"/>
  <c r="L996" i="21"/>
  <c r="L1347" i="21"/>
  <c r="L1741" i="21"/>
  <c r="L2755" i="21"/>
  <c r="L2760" i="21"/>
  <c r="L625" i="21"/>
  <c r="L1746" i="21"/>
  <c r="L995" i="21"/>
  <c r="L1745" i="21"/>
  <c r="L1346" i="21"/>
  <c r="L2757" i="21"/>
  <c r="L1739" i="21"/>
  <c r="L2745" i="21"/>
  <c r="L1350" i="21"/>
  <c r="L2763" i="21"/>
  <c r="L1748" i="21"/>
  <c r="L630" i="21"/>
  <c r="L1358" i="21"/>
  <c r="L1757" i="21"/>
  <c r="L638" i="21"/>
  <c r="L2788" i="21"/>
  <c r="L1365" i="21"/>
  <c r="L1359" i="21"/>
  <c r="L1360" i="21"/>
  <c r="L2786" i="21"/>
  <c r="L1761" i="21"/>
  <c r="L1726" i="21"/>
  <c r="L1345" i="21"/>
  <c r="L1738" i="21"/>
  <c r="L2754" i="21"/>
  <c r="L1740" i="21"/>
  <c r="L2738" i="21"/>
  <c r="L2726" i="21"/>
  <c r="L2740" i="21"/>
  <c r="L2732" i="21"/>
  <c r="L1323" i="21"/>
  <c r="L2737" i="21"/>
  <c r="L1335" i="21"/>
  <c r="L2718" i="21"/>
  <c r="L2736" i="21"/>
  <c r="L1719" i="21"/>
  <c r="L1725" i="21"/>
  <c r="L2741" i="21"/>
  <c r="L2733" i="21"/>
  <c r="L986" i="21"/>
  <c r="L1336" i="21"/>
  <c r="L989" i="21"/>
  <c r="L1724" i="21"/>
  <c r="L2729" i="21"/>
  <c r="L2735" i="21"/>
  <c r="L1717" i="21"/>
  <c r="L2730" i="21"/>
  <c r="L983" i="21"/>
  <c r="L1339" i="21"/>
  <c r="L988" i="21"/>
  <c r="L1716" i="21"/>
  <c r="L2719" i="21"/>
  <c r="L2722" i="21"/>
  <c r="L992" i="21"/>
  <c r="L1327" i="21"/>
  <c r="L1721" i="21"/>
  <c r="L2720" i="21"/>
  <c r="L1326" i="21"/>
  <c r="L1322" i="21"/>
  <c r="L621" i="21"/>
  <c r="L2742" i="21"/>
  <c r="L1330" i="21"/>
  <c r="L2734" i="21"/>
  <c r="L990" i="21"/>
  <c r="L1333" i="21"/>
  <c r="L1325" i="21"/>
  <c r="L2728" i="21"/>
  <c r="L1715" i="21"/>
  <c r="L2723" i="21"/>
  <c r="L987" i="21"/>
  <c r="L2725" i="21"/>
  <c r="L1329" i="21"/>
  <c r="L985" i="21"/>
  <c r="L991" i="21"/>
  <c r="L1334" i="21"/>
  <c r="L993" i="21"/>
  <c r="L1331" i="21"/>
  <c r="L2739" i="21"/>
  <c r="L1723" i="21"/>
  <c r="L984" i="21"/>
  <c r="L2731" i="21"/>
  <c r="L620" i="21"/>
  <c r="L2724" i="21"/>
  <c r="L1720" i="21"/>
  <c r="L2743" i="21"/>
  <c r="L1332" i="21"/>
  <c r="L622" i="21"/>
  <c r="L1337" i="21"/>
  <c r="L619" i="21"/>
  <c r="L1324" i="21"/>
  <c r="L2744" i="21"/>
  <c r="L1328" i="21"/>
  <c r="L2717" i="21"/>
  <c r="L1722" i="21"/>
  <c r="L2727" i="21"/>
  <c r="L2721" i="21"/>
  <c r="L1338" i="21"/>
  <c r="L1718" i="21"/>
  <c r="L2698" i="21"/>
  <c r="L2691" i="21"/>
  <c r="L977" i="21"/>
  <c r="L975" i="21"/>
  <c r="L1707" i="21"/>
  <c r="L1311" i="21"/>
  <c r="L617" i="21"/>
  <c r="L1305" i="21"/>
  <c r="L1312" i="21"/>
  <c r="L1314" i="21"/>
  <c r="L1315" i="21"/>
  <c r="L607" i="21"/>
  <c r="L2693" i="21"/>
  <c r="L606" i="21"/>
  <c r="L2699" i="21"/>
  <c r="L978" i="21"/>
  <c r="L616" i="21"/>
  <c r="L960" i="21"/>
  <c r="L972" i="21"/>
  <c r="L2695" i="21"/>
  <c r="L1320" i="21"/>
  <c r="L2696" i="21"/>
  <c r="L980" i="21"/>
  <c r="L2689" i="21"/>
  <c r="L962" i="21"/>
  <c r="L1308" i="21"/>
  <c r="L605" i="21"/>
  <c r="L982" i="21"/>
  <c r="L966" i="21"/>
  <c r="L964" i="21"/>
  <c r="L1309" i="21"/>
  <c r="L2687" i="21"/>
  <c r="L609" i="21"/>
  <c r="L618" i="21"/>
  <c r="L1313" i="21"/>
  <c r="L1710" i="21"/>
  <c r="L2688" i="21"/>
  <c r="L968" i="21"/>
  <c r="L971" i="21"/>
  <c r="L2702" i="21"/>
  <c r="L967" i="21"/>
  <c r="L2690" i="21"/>
  <c r="L1713" i="21"/>
  <c r="L1310" i="21"/>
  <c r="L1321" i="21"/>
  <c r="L981" i="21"/>
  <c r="L2701" i="21"/>
  <c r="L959" i="21"/>
  <c r="L2692" i="21"/>
  <c r="L969" i="21"/>
  <c r="L965" i="21"/>
  <c r="L1714" i="21"/>
  <c r="L1706" i="21"/>
  <c r="L2711" i="21"/>
  <c r="L2712" i="21"/>
  <c r="L974" i="21"/>
  <c r="L2697" i="21"/>
  <c r="L611" i="21"/>
  <c r="L613" i="21"/>
  <c r="L1712" i="21"/>
  <c r="L604" i="21"/>
  <c r="L961" i="21"/>
  <c r="L2713" i="21"/>
  <c r="L2716" i="21"/>
  <c r="L2714" i="21"/>
  <c r="L612" i="21"/>
  <c r="L2700" i="21"/>
  <c r="L1711" i="21"/>
  <c r="L614" i="21"/>
  <c r="L1318" i="21"/>
  <c r="L608" i="21"/>
  <c r="L1307" i="21"/>
  <c r="L979" i="21"/>
  <c r="L2715" i="21"/>
  <c r="L973" i="21"/>
  <c r="L610" i="21"/>
  <c r="L958" i="21"/>
  <c r="L1316" i="21"/>
  <c r="L2706" i="21"/>
  <c r="L2705" i="21"/>
  <c r="L2707" i="21"/>
  <c r="L2703" i="21"/>
  <c r="L2704" i="21"/>
  <c r="L1319" i="21"/>
  <c r="L1317" i="21"/>
  <c r="L615" i="21"/>
  <c r="L2708" i="21"/>
  <c r="L2710" i="21"/>
  <c r="L2709" i="21"/>
  <c r="L976" i="21"/>
  <c r="L1709" i="21"/>
  <c r="L1306" i="21"/>
  <c r="L2694" i="21"/>
  <c r="L1708" i="21"/>
  <c r="L970" i="21"/>
  <c r="L963" i="21"/>
  <c r="L2680" i="21"/>
  <c r="L1693" i="21"/>
  <c r="L597" i="21"/>
  <c r="L2681" i="21"/>
  <c r="L587" i="21"/>
  <c r="L956" i="21"/>
  <c r="L2684" i="21"/>
  <c r="L1696" i="21"/>
  <c r="L2676" i="21"/>
  <c r="L590" i="21"/>
  <c r="L598" i="21"/>
  <c r="L1694" i="21"/>
  <c r="L2675" i="21"/>
  <c r="L948" i="21"/>
  <c r="L2685" i="21"/>
  <c r="L946" i="21"/>
  <c r="L2659" i="21"/>
  <c r="L1295" i="21"/>
  <c r="L1702" i="21"/>
  <c r="L1294" i="21"/>
  <c r="L603" i="21"/>
  <c r="L949" i="21"/>
  <c r="L2665" i="21"/>
  <c r="L1301" i="21"/>
  <c r="L1680" i="21"/>
  <c r="L952" i="21"/>
  <c r="L594" i="21"/>
  <c r="L1692" i="21"/>
  <c r="L1695" i="21"/>
  <c r="L2506" i="21"/>
  <c r="L2460" i="21"/>
  <c r="L2505" i="21"/>
  <c r="L832" i="21"/>
  <c r="L2477" i="21"/>
  <c r="L2478" i="21"/>
  <c r="L2479" i="21"/>
  <c r="L2476" i="21"/>
  <c r="L833" i="21"/>
  <c r="L2007" i="21"/>
  <c r="L2009" i="21"/>
  <c r="L2107" i="21"/>
  <c r="L2155" i="21"/>
  <c r="L2066" i="21"/>
  <c r="L2065" i="21"/>
  <c r="L2154" i="21"/>
  <c r="L2064" i="21"/>
  <c r="L2062" i="21"/>
  <c r="L2106" i="21"/>
  <c r="L1210" i="21"/>
  <c r="L2105" i="21"/>
  <c r="L2063" i="21"/>
  <c r="L2149" i="21"/>
  <c r="L2150" i="21"/>
  <c r="L2102" i="21"/>
  <c r="L2103" i="21"/>
  <c r="L2151" i="21"/>
  <c r="L2152" i="21"/>
  <c r="L1211" i="21"/>
  <c r="L2104" i="21"/>
  <c r="L2153" i="21"/>
  <c r="L2101" i="21"/>
  <c r="L2148" i="21"/>
  <c r="L2147" i="21"/>
  <c r="L2146" i="21"/>
  <c r="L2328" i="21"/>
  <c r="L2371" i="21"/>
  <c r="L2372" i="21"/>
  <c r="L2434" i="21"/>
  <c r="L2324" i="21"/>
  <c r="L2326" i="21"/>
  <c r="L2323" i="21"/>
  <c r="L2325" i="21"/>
  <c r="L2327" i="21"/>
  <c r="L2490" i="21"/>
  <c r="L2491" i="21"/>
  <c r="L2480" i="21"/>
  <c r="L2489" i="21"/>
  <c r="L2481" i="21"/>
  <c r="L2482" i="21"/>
  <c r="L2486" i="21"/>
  <c r="L2483" i="21"/>
  <c r="L2484" i="21"/>
  <c r="L2487" i="21"/>
  <c r="L2485" i="21"/>
  <c r="L2488" i="21"/>
  <c r="L1206" i="21"/>
  <c r="L1558" i="21"/>
  <c r="L2260" i="21"/>
  <c r="L2168" i="21"/>
  <c r="L2261" i="21"/>
  <c r="L2262" i="21"/>
  <c r="L2259" i="21"/>
  <c r="L829" i="21"/>
  <c r="L2380" i="21"/>
  <c r="L529" i="21"/>
  <c r="L2495" i="21"/>
  <c r="L2382" i="21"/>
  <c r="L2136" i="21"/>
  <c r="L2133" i="21"/>
  <c r="L2135" i="21"/>
  <c r="L2134" i="21"/>
  <c r="L2381" i="21"/>
  <c r="L2499" i="21"/>
  <c r="L2498" i="21"/>
  <c r="L2497" i="21"/>
  <c r="L2496" i="21"/>
  <c r="L2348" i="21"/>
  <c r="L2347" i="21"/>
  <c r="L2349" i="21"/>
  <c r="L2383" i="21"/>
  <c r="L1213" i="21"/>
  <c r="L2526" i="21"/>
  <c r="L2527" i="21"/>
  <c r="L1581" i="21"/>
  <c r="L1574" i="21"/>
  <c r="L2535" i="21"/>
  <c r="L841" i="21"/>
  <c r="L540" i="21"/>
  <c r="L530" i="21"/>
  <c r="L1580" i="21"/>
  <c r="L2528" i="21"/>
  <c r="L1586" i="21"/>
  <c r="L1587" i="21"/>
  <c r="L1589" i="21"/>
  <c r="L2523" i="21"/>
  <c r="L539" i="21"/>
  <c r="L2532" i="21"/>
  <c r="L1575" i="21"/>
  <c r="L1583" i="21"/>
  <c r="L1578" i="21"/>
  <c r="L1593" i="21"/>
  <c r="L2537" i="21"/>
  <c r="L844" i="21"/>
  <c r="L535" i="21"/>
  <c r="L1597" i="21"/>
  <c r="L2531" i="21"/>
  <c r="L837" i="21"/>
  <c r="L541" i="21"/>
  <c r="L843" i="21"/>
  <c r="L533" i="21"/>
  <c r="L538" i="21"/>
  <c r="L1221" i="21"/>
  <c r="L1577" i="21"/>
  <c r="L846" i="21"/>
  <c r="L1596" i="21"/>
  <c r="L2530" i="21"/>
  <c r="L2522" i="21"/>
  <c r="L838" i="21"/>
  <c r="L1582" i="21"/>
  <c r="L839" i="21"/>
  <c r="L1220" i="21"/>
  <c r="L1218" i="21"/>
  <c r="L1591" i="21"/>
  <c r="L1595" i="21"/>
  <c r="L537" i="21"/>
  <c r="L1216" i="21"/>
  <c r="L544" i="21"/>
  <c r="L845" i="21"/>
  <c r="L2538" i="21"/>
  <c r="L2525" i="21"/>
  <c r="L1588" i="21"/>
  <c r="L1579" i="21"/>
  <c r="L2524" i="21"/>
  <c r="L1223" i="21"/>
  <c r="L1576" i="21"/>
  <c r="L1214" i="21"/>
  <c r="L2536" i="21"/>
  <c r="L1585" i="21"/>
  <c r="L545" i="21"/>
  <c r="L536" i="21"/>
  <c r="L2533" i="21"/>
  <c r="L1584" i="21"/>
  <c r="L2521" i="21"/>
  <c r="L2534" i="21"/>
  <c r="L531" i="21"/>
  <c r="L532" i="21"/>
  <c r="L1217" i="21"/>
  <c r="L1215" i="21"/>
  <c r="L2529" i="21"/>
  <c r="L543" i="21"/>
  <c r="L1594" i="21"/>
  <c r="L546" i="21"/>
  <c r="L534" i="21"/>
  <c r="L1598" i="21"/>
  <c r="L836" i="21"/>
  <c r="L1573" i="21"/>
  <c r="L840" i="21"/>
  <c r="L542" i="21"/>
  <c r="L848" i="21"/>
  <c r="L847" i="21"/>
  <c r="L1222" i="21"/>
  <c r="L1590" i="21"/>
  <c r="L1219" i="21"/>
  <c r="L1592" i="21"/>
  <c r="L842" i="21"/>
  <c r="L1225" i="21"/>
  <c r="L851" i="21"/>
  <c r="L869" i="21"/>
  <c r="L1235" i="21"/>
  <c r="L554" i="21"/>
  <c r="L550" i="21"/>
  <c r="L859" i="21"/>
  <c r="L857" i="21"/>
  <c r="L2553" i="21"/>
  <c r="L552" i="21"/>
  <c r="L873" i="21"/>
  <c r="L2545" i="21"/>
  <c r="L852" i="21"/>
  <c r="L868" i="21"/>
  <c r="L2551" i="21"/>
  <c r="L864" i="21"/>
  <c r="L1602" i="21"/>
  <c r="L1603" i="21"/>
  <c r="L2557" i="21"/>
  <c r="L872" i="21"/>
  <c r="L2540" i="21"/>
  <c r="L2541" i="21"/>
  <c r="L1601" i="21"/>
  <c r="L856" i="21"/>
  <c r="L855" i="21"/>
  <c r="L870" i="21"/>
  <c r="L1238" i="21"/>
  <c r="L2554" i="21"/>
  <c r="L2555" i="21"/>
  <c r="L2544" i="21"/>
  <c r="L860" i="21"/>
  <c r="L861" i="21"/>
  <c r="L1599" i="21"/>
  <c r="L1226" i="21"/>
  <c r="L866" i="21"/>
  <c r="L867" i="21"/>
  <c r="L863" i="21"/>
  <c r="L862" i="21"/>
  <c r="L874" i="21"/>
  <c r="L2547" i="21"/>
  <c r="L2548" i="21"/>
  <c r="L2543" i="21"/>
  <c r="L1227" i="21"/>
  <c r="L865" i="21"/>
  <c r="L1230" i="21"/>
  <c r="L2550" i="21"/>
  <c r="L2552" i="21"/>
  <c r="L854" i="21"/>
  <c r="L2546" i="21"/>
  <c r="L1231" i="21"/>
  <c r="L551" i="21"/>
  <c r="L1228" i="21"/>
  <c r="L1229" i="21"/>
  <c r="L547" i="21"/>
  <c r="L1224" i="21"/>
  <c r="L1236" i="21"/>
  <c r="L1232" i="21"/>
  <c r="L2556" i="21"/>
  <c r="L1234" i="21"/>
  <c r="L2539" i="21"/>
  <c r="L549" i="21"/>
  <c r="L2549" i="21"/>
  <c r="L1237" i="21"/>
  <c r="L1606" i="21"/>
  <c r="L2542" i="21"/>
  <c r="L850" i="21"/>
  <c r="L871" i="21"/>
  <c r="L553" i="21"/>
  <c r="L1233" i="21"/>
  <c r="L548" i="21"/>
  <c r="L853" i="21"/>
  <c r="L858" i="21"/>
  <c r="L1607" i="21"/>
  <c r="L849" i="21"/>
  <c r="L1600" i="21"/>
  <c r="L1604" i="21"/>
  <c r="L1608" i="21"/>
  <c r="L1605" i="21"/>
  <c r="L2572" i="21"/>
  <c r="L880" i="21"/>
  <c r="L1247" i="21"/>
  <c r="L1253" i="21"/>
  <c r="L895" i="21"/>
  <c r="L1239" i="21"/>
  <c r="L875" i="21"/>
  <c r="L1249" i="21"/>
  <c r="L892" i="21"/>
  <c r="L2571" i="21"/>
  <c r="L2560" i="21"/>
  <c r="L2561" i="21"/>
  <c r="L556" i="21"/>
  <c r="L1616" i="21"/>
  <c r="L894" i="21"/>
  <c r="L1620" i="21"/>
  <c r="L1613" i="21"/>
  <c r="L1623" i="21"/>
  <c r="L1622" i="21"/>
  <c r="L557" i="21"/>
  <c r="L2576" i="21"/>
  <c r="L1627" i="21"/>
  <c r="L1626" i="21"/>
  <c r="L1241" i="21"/>
  <c r="L1624" i="21"/>
  <c r="L555" i="21"/>
  <c r="L2567" i="21"/>
  <c r="L2566" i="21"/>
  <c r="L2565" i="21"/>
  <c r="L2568" i="21"/>
  <c r="L2584" i="21"/>
  <c r="L1611" i="21"/>
  <c r="L1244" i="21"/>
  <c r="L1628" i="21"/>
  <c r="L886" i="21"/>
  <c r="L890" i="21"/>
  <c r="L2578" i="21"/>
  <c r="L884" i="21"/>
  <c r="L1245" i="21"/>
  <c r="L876" i="21"/>
  <c r="L1618" i="21"/>
  <c r="L1252" i="21"/>
  <c r="L879" i="21"/>
  <c r="L1610" i="21"/>
  <c r="L1248" i="21"/>
  <c r="L881" i="21"/>
  <c r="L878" i="21"/>
  <c r="L2558" i="21"/>
  <c r="L2559" i="21"/>
  <c r="L2581" i="21"/>
  <c r="L2583" i="21"/>
  <c r="L883" i="21"/>
  <c r="L2587" i="21"/>
  <c r="L2574" i="21"/>
  <c r="L1619" i="21"/>
  <c r="L2570" i="21"/>
  <c r="L2569" i="21"/>
  <c r="L887" i="21"/>
  <c r="L889" i="21"/>
  <c r="L2579" i="21"/>
  <c r="L2575" i="21"/>
  <c r="L1240" i="21"/>
  <c r="L2585" i="21"/>
  <c r="L558" i="21"/>
  <c r="L882" i="21"/>
  <c r="L1614" i="21"/>
  <c r="L1621" i="21"/>
  <c r="L1609" i="21"/>
  <c r="L877" i="21"/>
  <c r="L893" i="21"/>
  <c r="L2580" i="21"/>
  <c r="L1242" i="21"/>
  <c r="L1617" i="21"/>
  <c r="L1251" i="21"/>
  <c r="L2564" i="21"/>
  <c r="L2563" i="21"/>
  <c r="L2562" i="21"/>
  <c r="L885" i="21"/>
  <c r="L891" i="21"/>
  <c r="L1246" i="21"/>
  <c r="L2573" i="21"/>
  <c r="L1243" i="21"/>
  <c r="L2577" i="21"/>
  <c r="L1612" i="21"/>
  <c r="L2589" i="21"/>
  <c r="L2586" i="21"/>
  <c r="L1625" i="21"/>
  <c r="L888" i="21"/>
  <c r="L2582" i="21"/>
  <c r="L1629" i="21"/>
  <c r="L1250" i="21"/>
  <c r="L2588" i="21"/>
  <c r="L1615" i="21"/>
  <c r="L1644" i="21"/>
  <c r="L2603" i="21"/>
  <c r="L1645" i="21"/>
  <c r="L1639" i="21"/>
  <c r="L1257" i="21"/>
  <c r="L1646" i="21"/>
  <c r="L1631" i="21"/>
  <c r="L897" i="21"/>
  <c r="L2602" i="21"/>
  <c r="L896" i="21"/>
  <c r="L2599" i="21"/>
  <c r="L904" i="21"/>
  <c r="L1643" i="21"/>
  <c r="L1637" i="21"/>
  <c r="L2601" i="21"/>
  <c r="L1254" i="21"/>
  <c r="L901" i="21"/>
  <c r="L2597" i="21"/>
  <c r="L1636" i="21"/>
  <c r="L2598" i="21"/>
  <c r="L559" i="21"/>
  <c r="L1642" i="21"/>
  <c r="L1635" i="21"/>
  <c r="L1255" i="21"/>
  <c r="L1633" i="21"/>
  <c r="L2593" i="21"/>
  <c r="L2596" i="21"/>
  <c r="L1641" i="21"/>
  <c r="L1256" i="21"/>
  <c r="L1632" i="21"/>
  <c r="L561" i="21"/>
  <c r="L905" i="21"/>
  <c r="L562" i="21"/>
  <c r="L560" i="21"/>
  <c r="L2595" i="21"/>
  <c r="L1640" i="21"/>
  <c r="L903" i="21"/>
  <c r="L1647" i="21"/>
  <c r="L2594" i="21"/>
  <c r="L1630" i="21"/>
  <c r="L2591" i="21"/>
  <c r="L2590" i="21"/>
  <c r="L1634" i="21"/>
  <c r="L2592" i="21"/>
  <c r="L2600" i="21"/>
  <c r="L900" i="21"/>
  <c r="L1638" i="21"/>
  <c r="L899" i="21"/>
  <c r="L2605" i="21"/>
  <c r="L2604" i="21"/>
  <c r="L902" i="21"/>
  <c r="L1258" i="21"/>
  <c r="L1259" i="21"/>
  <c r="L898" i="21"/>
  <c r="L1652" i="21"/>
  <c r="L569" i="21"/>
  <c r="L916" i="21"/>
  <c r="L1272" i="21"/>
  <c r="L919" i="21"/>
  <c r="L2625" i="21"/>
  <c r="L2624" i="21"/>
  <c r="L570" i="21"/>
  <c r="L2620" i="21"/>
  <c r="L1261" i="21"/>
  <c r="L1264" i="21"/>
  <c r="L2616" i="21"/>
  <c r="L1659" i="21"/>
  <c r="L1651" i="21"/>
  <c r="L908" i="21"/>
  <c r="L1649" i="21"/>
  <c r="L1648" i="21"/>
  <c r="L1274" i="21"/>
  <c r="L1656" i="21"/>
  <c r="L914" i="21"/>
  <c r="L2626" i="21"/>
  <c r="L2623" i="21"/>
  <c r="L906" i="21"/>
  <c r="L2606" i="21"/>
  <c r="L2611" i="21"/>
  <c r="L1657" i="21"/>
  <c r="L2614" i="21"/>
  <c r="L2621" i="21"/>
  <c r="L1650" i="21"/>
  <c r="L566" i="21"/>
  <c r="L915" i="21"/>
  <c r="L1662" i="21"/>
  <c r="L2607" i="21"/>
  <c r="L1263" i="21"/>
  <c r="L918" i="21"/>
  <c r="L1271" i="21"/>
  <c r="L913" i="21"/>
  <c r="L2608" i="21"/>
  <c r="L563" i="21"/>
  <c r="L1268" i="21"/>
  <c r="L912" i="21"/>
  <c r="L917" i="21"/>
  <c r="L1270" i="21"/>
  <c r="L2613" i="21"/>
  <c r="L1269" i="21"/>
  <c r="L564" i="21"/>
  <c r="L907" i="21"/>
  <c r="L565" i="21"/>
  <c r="L921" i="21"/>
  <c r="L2627" i="21"/>
  <c r="L2628" i="21"/>
  <c r="L1267" i="21"/>
  <c r="L2622" i="21"/>
  <c r="L1260" i="21"/>
  <c r="L911" i="21"/>
  <c r="L910" i="21"/>
  <c r="L2615" i="21"/>
  <c r="L2618" i="21"/>
  <c r="L1658" i="21"/>
  <c r="L2609" i="21"/>
  <c r="L1266" i="21"/>
  <c r="L1273" i="21"/>
  <c r="L2617" i="21"/>
  <c r="L909" i="21"/>
  <c r="L1654" i="21"/>
  <c r="L1655" i="21"/>
  <c r="L2610" i="21"/>
  <c r="L567" i="21"/>
  <c r="L1262" i="21"/>
  <c r="L1265" i="21"/>
  <c r="L1660" i="21"/>
  <c r="L1653" i="21"/>
  <c r="L2612" i="21"/>
  <c r="L920" i="21"/>
  <c r="L2619" i="21"/>
  <c r="L568" i="21"/>
  <c r="L1661" i="21"/>
  <c r="L1673" i="21"/>
  <c r="L575" i="21"/>
  <c r="L930" i="21"/>
  <c r="L2641" i="21"/>
  <c r="L2642" i="21"/>
  <c r="L577" i="21"/>
  <c r="L1667" i="21"/>
  <c r="L1285" i="21"/>
  <c r="L1280" i="21"/>
  <c r="L1278" i="21"/>
  <c r="L1279" i="21"/>
  <c r="L1664" i="21"/>
  <c r="L2648" i="21"/>
  <c r="L935" i="21"/>
  <c r="L941" i="21"/>
  <c r="L1665" i="21"/>
  <c r="L1281" i="21"/>
  <c r="L1675" i="21"/>
  <c r="L1679" i="21"/>
  <c r="L932" i="21"/>
  <c r="L572" i="21"/>
  <c r="L2632" i="21"/>
  <c r="L574" i="21"/>
  <c r="L927" i="21"/>
  <c r="L2643" i="21"/>
  <c r="L578" i="21"/>
  <c r="L940" i="21"/>
  <c r="L1276" i="21"/>
  <c r="L2629" i="21"/>
  <c r="L576" i="21"/>
  <c r="L1666" i="21"/>
  <c r="L2631" i="21"/>
  <c r="L2637" i="21"/>
  <c r="L2639" i="21"/>
  <c r="L934" i="21"/>
  <c r="L1282" i="21"/>
  <c r="L928" i="21"/>
  <c r="L1669" i="21"/>
  <c r="L925" i="21"/>
  <c r="L1676" i="21"/>
  <c r="L1678" i="21"/>
  <c r="L2630" i="21"/>
  <c r="L1671" i="21"/>
  <c r="L1286" i="21"/>
  <c r="L1668" i="21"/>
  <c r="L931" i="21"/>
  <c r="L1275" i="21"/>
  <c r="L571" i="21"/>
  <c r="L2638" i="21"/>
  <c r="L1277" i="21"/>
  <c r="L2635" i="21"/>
  <c r="L1674" i="21"/>
  <c r="L1287" i="21"/>
  <c r="L924" i="21"/>
  <c r="L922" i="21"/>
  <c r="L923" i="21"/>
  <c r="L573" i="21"/>
  <c r="L2647" i="21"/>
  <c r="L2636" i="21"/>
  <c r="L926" i="21"/>
  <c r="L1663" i="21"/>
  <c r="L1672" i="21"/>
  <c r="L1677" i="21"/>
  <c r="L937" i="21"/>
  <c r="L2633" i="21"/>
  <c r="L1670" i="21"/>
  <c r="L2640" i="21"/>
  <c r="L1284" i="21"/>
  <c r="L1283" i="21"/>
  <c r="L938" i="21"/>
  <c r="L939" i="21"/>
  <c r="L2645" i="21"/>
  <c r="L2646" i="21"/>
  <c r="L2634" i="21"/>
  <c r="L929" i="21"/>
  <c r="L2644" i="21"/>
  <c r="L579" i="21"/>
  <c r="L933" i="21"/>
  <c r="L936" i="21"/>
  <c r="L2658" i="21"/>
  <c r="L2649" i="21"/>
  <c r="L581" i="21"/>
  <c r="L1685" i="21"/>
  <c r="L1691" i="21"/>
  <c r="L2682" i="21"/>
  <c r="L2662" i="21"/>
  <c r="L954" i="21"/>
  <c r="L2673" i="21"/>
  <c r="L592" i="21"/>
  <c r="L2672" i="21"/>
  <c r="L1684" i="21"/>
  <c r="L580" i="21"/>
  <c r="L1290" i="21"/>
  <c r="L593" i="21"/>
  <c r="L1687" i="21"/>
  <c r="L1704" i="21"/>
  <c r="L585" i="21"/>
  <c r="L1300" i="21"/>
  <c r="L1682" i="21"/>
  <c r="L2655" i="21"/>
  <c r="L2656" i="21"/>
  <c r="L1299" i="21"/>
  <c r="L1681" i="21"/>
  <c r="L1288" i="21"/>
  <c r="L2657" i="21"/>
  <c r="L582" i="21"/>
  <c r="L1296" i="21"/>
  <c r="L1705" i="21"/>
  <c r="L2654" i="21"/>
  <c r="L2653" i="21"/>
  <c r="L1686" i="21"/>
  <c r="L596" i="21"/>
  <c r="L1701" i="21"/>
  <c r="L1289" i="21"/>
  <c r="L943" i="21"/>
  <c r="L1292" i="21"/>
  <c r="L1683" i="21"/>
  <c r="L1303" i="21"/>
  <c r="L2652" i="21"/>
  <c r="L1293" i="21"/>
  <c r="L942" i="21"/>
  <c r="L2679" i="21"/>
  <c r="L595" i="21"/>
  <c r="L601" i="21"/>
  <c r="L1700" i="21"/>
  <c r="L1698" i="21"/>
  <c r="L945" i="21"/>
  <c r="L1297" i="21"/>
  <c r="L1688" i="21"/>
  <c r="L2664" i="21"/>
  <c r="L589" i="21"/>
  <c r="L2663" i="21"/>
  <c r="L1703" i="21"/>
  <c r="L1302" i="21"/>
  <c r="L2686" i="21"/>
  <c r="L2683" i="21"/>
  <c r="L599" i="21"/>
  <c r="L953" i="21"/>
  <c r="L600" i="21"/>
  <c r="L957" i="21"/>
  <c r="L1699" i="21"/>
  <c r="L583" i="21"/>
  <c r="L2651" i="21"/>
  <c r="L584" i="21"/>
  <c r="L2671" i="21"/>
  <c r="L2667" i="21"/>
  <c r="L2668" i="21"/>
  <c r="L2669" i="21"/>
  <c r="L947" i="21"/>
  <c r="L951" i="21"/>
  <c r="L2678" i="21"/>
  <c r="L2670" i="21"/>
  <c r="L2650" i="21"/>
  <c r="L944" i="21"/>
  <c r="L602" i="21"/>
  <c r="L588" i="21"/>
  <c r="L1298" i="21"/>
  <c r="L586" i="21"/>
  <c r="L955" i="21"/>
  <c r="L950" i="21"/>
  <c r="L1690" i="21"/>
  <c r="L2677" i="21"/>
  <c r="L1689" i="21"/>
  <c r="L591" i="21"/>
  <c r="L2666" i="21"/>
  <c r="L1697" i="21"/>
  <c r="L1304" i="21"/>
  <c r="L1291" i="21"/>
  <c r="L2674" i="21"/>
  <c r="L2660" i="21"/>
  <c r="L2661" i="21"/>
  <c r="L2501" i="21"/>
  <c r="L2503" i="21"/>
  <c r="L2504" i="21"/>
  <c r="L2502" i="21"/>
  <c r="L2500" i="21"/>
  <c r="L2461" i="21"/>
  <c r="L2459" i="21"/>
  <c r="L2462" i="21"/>
  <c r="L2458" i="21"/>
  <c r="L2457" i="21"/>
  <c r="L2263" i="21"/>
  <c r="L2265" i="21"/>
  <c r="L2264" i="21"/>
  <c r="L2217" i="21"/>
  <c r="L2215" i="21"/>
  <c r="L2214" i="21"/>
  <c r="L521" i="21"/>
  <c r="L2003" i="21"/>
  <c r="L1568" i="21"/>
  <c r="L1567" i="21"/>
  <c r="L2216" i="21"/>
  <c r="L2019" i="21"/>
  <c r="L2020" i="21"/>
  <c r="L2018" i="21"/>
  <c r="L2067" i="21"/>
  <c r="L2023" i="21"/>
  <c r="L2022" i="21"/>
  <c r="L2021" i="21"/>
  <c r="L2442" i="21"/>
  <c r="L2441" i="21"/>
  <c r="L2493" i="21"/>
  <c r="L2492" i="21"/>
  <c r="L2439" i="21"/>
  <c r="L2436" i="21"/>
  <c r="L2443" i="21"/>
  <c r="L2435" i="21"/>
  <c r="L2437" i="21"/>
  <c r="L2440" i="21"/>
  <c r="L2438" i="21"/>
  <c r="L2444" i="21"/>
  <c r="L526" i="21"/>
  <c r="L523" i="21"/>
  <c r="L2157" i="21"/>
  <c r="L2158" i="21"/>
  <c r="L2160" i="21"/>
  <c r="L2169" i="21"/>
  <c r="L2159" i="21"/>
  <c r="L1565" i="21"/>
  <c r="L823" i="21"/>
  <c r="L1560" i="21"/>
  <c r="L822" i="21"/>
  <c r="L819" i="21"/>
  <c r="L1205" i="21"/>
  <c r="L2512" i="21"/>
  <c r="L2513" i="21"/>
  <c r="L2468" i="21"/>
  <c r="L2515" i="21"/>
  <c r="L2514" i="21"/>
  <c r="L2170" i="21"/>
  <c r="L2516" i="21"/>
  <c r="L2511" i="21"/>
  <c r="L2509" i="21"/>
  <c r="L2508" i="21"/>
  <c r="L2507" i="21"/>
  <c r="L2510" i="21"/>
  <c r="L2469" i="21"/>
  <c r="L2466" i="21"/>
  <c r="L2464" i="21"/>
  <c r="L2467" i="21"/>
  <c r="L2465" i="21"/>
  <c r="L2463" i="21"/>
  <c r="L2223" i="21"/>
  <c r="L2267" i="21"/>
  <c r="L2218" i="21"/>
  <c r="L1571" i="21"/>
  <c r="L2266" i="21"/>
  <c r="L2219" i="21"/>
  <c r="L2220" i="21"/>
  <c r="L2175" i="21"/>
  <c r="L2174" i="21"/>
  <c r="L2173" i="21"/>
  <c r="L2171" i="21"/>
  <c r="L2222" i="21"/>
  <c r="L2221" i="21"/>
  <c r="L2072" i="21"/>
  <c r="L2025" i="21"/>
  <c r="L2031" i="21"/>
  <c r="L2029" i="21"/>
  <c r="L2030" i="21"/>
  <c r="L2109" i="21"/>
  <c r="L2033" i="21"/>
  <c r="L2026" i="21"/>
  <c r="L2024" i="21"/>
  <c r="L2028" i="21"/>
  <c r="L2027" i="21"/>
  <c r="L2075" i="21"/>
  <c r="L2110" i="21"/>
  <c r="L2032" i="21"/>
  <c r="L2111" i="21"/>
  <c r="L2074" i="21"/>
  <c r="L2073" i="21"/>
  <c r="L2034" i="21"/>
  <c r="L2108" i="21"/>
  <c r="L1562" i="21"/>
  <c r="L2071" i="21"/>
  <c r="L2068" i="21"/>
  <c r="L2069" i="21"/>
  <c r="L2070" i="21"/>
  <c r="L2006" i="21"/>
  <c r="L2449" i="21"/>
  <c r="L2453" i="21"/>
  <c r="L2452" i="21"/>
  <c r="L2494" i="21"/>
  <c r="L2446" i="21"/>
  <c r="L2445" i="21"/>
  <c r="L2447" i="21"/>
  <c r="L2451" i="21"/>
  <c r="L2448" i="21"/>
  <c r="L2450" i="21"/>
  <c r="L2242" i="21"/>
  <c r="L2240" i="21"/>
  <c r="L2243" i="21"/>
  <c r="L527" i="21"/>
  <c r="L2241" i="21"/>
  <c r="L2245" i="21"/>
  <c r="L2193" i="21"/>
  <c r="L2244" i="21"/>
  <c r="L1566" i="21"/>
  <c r="L2192" i="21"/>
  <c r="L525" i="21"/>
  <c r="L824" i="21"/>
  <c r="L2008" i="21"/>
  <c r="L514" i="21"/>
  <c r="L508" i="21"/>
  <c r="L2520" i="21"/>
  <c r="L2273" i="21"/>
  <c r="L2272" i="21"/>
  <c r="L2518" i="21"/>
  <c r="L2519" i="21"/>
  <c r="L2517" i="21"/>
  <c r="L2470" i="21"/>
  <c r="L2471" i="21"/>
  <c r="L2268" i="21"/>
  <c r="L2181" i="21"/>
  <c r="L2270" i="21"/>
  <c r="L2296" i="21"/>
  <c r="L2271" i="21"/>
  <c r="L2180" i="21"/>
  <c r="L2269" i="21"/>
  <c r="L1572" i="21"/>
  <c r="L2227" i="21"/>
  <c r="L2232" i="21"/>
  <c r="L2229" i="21"/>
  <c r="L2224" i="21"/>
  <c r="L2225" i="21"/>
  <c r="L2226" i="21"/>
  <c r="L2228" i="21"/>
  <c r="L2179" i="21"/>
  <c r="L2231" i="21"/>
  <c r="L2176" i="21"/>
  <c r="L2177" i="21"/>
  <c r="L2230" i="21"/>
  <c r="L2178" i="21"/>
  <c r="L2295" i="21"/>
  <c r="L2294" i="21"/>
  <c r="L2172" i="21"/>
  <c r="L2084" i="21"/>
  <c r="L2082" i="21"/>
  <c r="L2038" i="21"/>
  <c r="L2037" i="21"/>
  <c r="L2040" i="21"/>
  <c r="L2036" i="21"/>
  <c r="L2039" i="21"/>
  <c r="L2035" i="21"/>
  <c r="L2083" i="21"/>
  <c r="L2162" i="21"/>
  <c r="L2161" i="21"/>
  <c r="L2114" i="21"/>
  <c r="L2112" i="21"/>
  <c r="L2119" i="21"/>
  <c r="L2113" i="21"/>
  <c r="L2117" i="21"/>
  <c r="L519" i="21"/>
  <c r="L2116" i="21"/>
  <c r="L2120" i="21"/>
  <c r="L2118" i="21"/>
  <c r="L2115" i="21"/>
  <c r="L2080" i="21"/>
  <c r="L2078" i="21"/>
  <c r="L2076" i="21"/>
  <c r="L2081" i="21"/>
  <c r="L2077" i="21"/>
  <c r="L2079" i="21"/>
  <c r="L1204" i="21"/>
  <c r="L512" i="21"/>
  <c r="L2043" i="21"/>
  <c r="L2041" i="21"/>
  <c r="L2346" i="21"/>
  <c r="L2343" i="21"/>
  <c r="L2042" i="21"/>
  <c r="L2345" i="21"/>
  <c r="L2432" i="21"/>
  <c r="L2433" i="21"/>
  <c r="L2418" i="21"/>
  <c r="L2052" i="21"/>
  <c r="L2097" i="21"/>
  <c r="L2095" i="21"/>
  <c r="L2096" i="21"/>
  <c r="L2053" i="21"/>
  <c r="L2051" i="21"/>
  <c r="L518" i="21"/>
  <c r="L2141" i="21"/>
  <c r="L2140" i="21"/>
  <c r="L2142" i="21"/>
  <c r="L2094" i="21"/>
  <c r="L2092" i="21"/>
  <c r="L2143" i="21"/>
  <c r="L2093" i="21"/>
  <c r="L2054" i="21"/>
  <c r="L2055" i="21"/>
  <c r="L2056" i="21"/>
  <c r="L2137" i="21"/>
  <c r="L2139" i="21"/>
  <c r="L2138" i="21"/>
  <c r="L2057" i="21"/>
  <c r="L1561" i="21"/>
  <c r="L2350" i="21"/>
  <c r="L831" i="21"/>
  <c r="L2351" i="21"/>
  <c r="L2352" i="21"/>
  <c r="L2353" i="21"/>
  <c r="L2423" i="21"/>
  <c r="L2389" i="21"/>
  <c r="L2387" i="21"/>
  <c r="L2386" i="21"/>
  <c r="L2385" i="21"/>
  <c r="L2354" i="21"/>
  <c r="L2306" i="21"/>
  <c r="L2390" i="21"/>
  <c r="L2388" i="21"/>
  <c r="L2355" i="21"/>
  <c r="L828" i="21"/>
  <c r="L2357" i="21"/>
  <c r="L2392" i="21"/>
  <c r="L2358" i="21"/>
  <c r="L2391" i="21"/>
  <c r="L2356" i="21"/>
  <c r="L2308" i="21"/>
  <c r="L2309" i="21"/>
  <c r="L2310" i="21"/>
  <c r="L2359" i="21"/>
  <c r="L2307" i="21"/>
  <c r="L2010" i="21"/>
  <c r="L1569" i="21"/>
  <c r="L1207" i="21"/>
  <c r="L2333" i="21"/>
  <c r="L2425" i="21"/>
  <c r="L2424" i="21"/>
  <c r="L2334" i="21"/>
  <c r="L2335" i="21"/>
  <c r="L2413" i="21"/>
  <c r="L2332" i="21"/>
  <c r="L2331" i="21"/>
  <c r="L2412" i="21"/>
  <c r="L2330" i="21"/>
  <c r="L2415" i="21"/>
  <c r="L2427" i="21"/>
  <c r="L2426" i="21"/>
  <c r="L2428" i="21"/>
  <c r="L2414" i="21"/>
  <c r="L2416" i="21"/>
  <c r="L2429" i="21"/>
  <c r="L2337" i="21"/>
  <c r="L2085" i="21"/>
  <c r="L2338" i="21"/>
  <c r="L2336" i="21"/>
  <c r="L2303" i="21"/>
  <c r="L2304" i="21"/>
  <c r="L2305" i="21"/>
  <c r="L2417" i="21"/>
  <c r="L2047" i="21"/>
  <c r="L2048" i="21"/>
  <c r="L2044" i="21"/>
  <c r="L2046" i="21"/>
  <c r="L2045" i="21"/>
  <c r="L2090" i="21"/>
  <c r="L2089" i="21"/>
  <c r="L2088" i="21"/>
  <c r="L2049" i="21"/>
  <c r="L2050" i="21"/>
  <c r="L2091" i="21"/>
  <c r="L517" i="21"/>
  <c r="L2017" i="21"/>
  <c r="L2282" i="21"/>
  <c r="L2283" i="21"/>
  <c r="L2288" i="21"/>
  <c r="L2284" i="21"/>
  <c r="L2287" i="21"/>
  <c r="L2289" i="21"/>
  <c r="L2281" i="21"/>
  <c r="L2290" i="21"/>
  <c r="L2421" i="21"/>
  <c r="L2285" i="21"/>
  <c r="L2286" i="21"/>
  <c r="L2213" i="21"/>
  <c r="L2419" i="21"/>
  <c r="L2420" i="21"/>
  <c r="L2212" i="21"/>
  <c r="L2211" i="21"/>
  <c r="L2384" i="21"/>
  <c r="L2422" i="21"/>
  <c r="L2291" i="21"/>
  <c r="L2292" i="21"/>
  <c r="L2293" i="21"/>
  <c r="L513" i="21"/>
  <c r="L820" i="21"/>
  <c r="L818" i="21"/>
  <c r="L511" i="21"/>
  <c r="L821" i="21"/>
  <c r="L2131" i="21"/>
  <c r="L2132" i="21"/>
  <c r="L2128" i="21"/>
  <c r="L2130" i="21"/>
  <c r="L2129" i="21"/>
  <c r="L1208" i="21"/>
  <c r="L2407" i="21"/>
  <c r="L2408" i="21"/>
  <c r="L2405" i="21"/>
  <c r="L2406" i="21"/>
  <c r="L2329" i="21"/>
  <c r="L1559" i="21"/>
  <c r="L2182" i="21"/>
  <c r="L2185" i="21"/>
  <c r="L2186" i="21"/>
  <c r="L2393" i="21"/>
  <c r="L2394" i="21"/>
  <c r="L2184" i="21"/>
  <c r="L2187" i="21"/>
  <c r="L2396" i="21"/>
  <c r="L830" i="21"/>
  <c r="L2183" i="21"/>
  <c r="L2397" i="21"/>
  <c r="L2395" i="21"/>
  <c r="L2236" i="21"/>
  <c r="L2403" i="21"/>
  <c r="L2233" i="21"/>
  <c r="L2300" i="21"/>
  <c r="L2404" i="21"/>
  <c r="L2235" i="21"/>
  <c r="L2409" i="21"/>
  <c r="L2234" i="21"/>
  <c r="L2410" i="21"/>
  <c r="L2411" i="21"/>
  <c r="L2004" i="21"/>
  <c r="L2014" i="21"/>
  <c r="L2015" i="21"/>
  <c r="L2016" i="21"/>
  <c r="L1563" i="21"/>
  <c r="L2013" i="21"/>
  <c r="L2012" i="21"/>
  <c r="L2278" i="21"/>
  <c r="L2275" i="21"/>
  <c r="L2277" i="21"/>
  <c r="L2279" i="21"/>
  <c r="L2210" i="21"/>
  <c r="L2274" i="21"/>
  <c r="L2276" i="21"/>
  <c r="L2203" i="21"/>
  <c r="L2204" i="21"/>
  <c r="L2205" i="21"/>
  <c r="L2209" i="21"/>
  <c r="L2201" i="21"/>
  <c r="L2206" i="21"/>
  <c r="L2207" i="21"/>
  <c r="L2202" i="21"/>
  <c r="L2208" i="21"/>
  <c r="L2253" i="21"/>
  <c r="L2255" i="21"/>
  <c r="L2280" i="21"/>
  <c r="L2254" i="21"/>
  <c r="L2256" i="21"/>
  <c r="L2257" i="21"/>
  <c r="L1557" i="21"/>
  <c r="L510" i="21"/>
  <c r="L2125" i="21"/>
  <c r="L2126" i="21"/>
  <c r="L2127" i="21"/>
  <c r="L2124" i="21"/>
  <c r="L2167" i="21"/>
  <c r="L2123" i="21"/>
  <c r="L2122" i="21"/>
  <c r="L2166" i="21"/>
  <c r="L2121" i="21"/>
  <c r="L2164" i="21"/>
  <c r="L2165" i="21"/>
  <c r="L2163" i="21"/>
  <c r="L1564" i="21"/>
  <c r="L2398" i="21"/>
  <c r="L2301" i="21"/>
  <c r="L2302" i="21"/>
  <c r="L2401" i="21"/>
  <c r="L2400" i="21"/>
  <c r="L2402" i="21"/>
  <c r="L2399" i="21"/>
  <c r="L2297" i="21"/>
  <c r="L2299" i="21"/>
  <c r="L2298" i="21"/>
  <c r="L2472" i="21"/>
  <c r="L2473" i="21"/>
  <c r="L2475" i="21"/>
  <c r="L2474" i="21"/>
  <c r="L2188" i="21"/>
  <c r="L1570" i="21"/>
  <c r="L2239" i="21"/>
  <c r="L2191" i="21"/>
  <c r="L2238" i="21"/>
  <c r="L2237" i="21"/>
  <c r="L2189" i="21"/>
  <c r="L825" i="21"/>
  <c r="L2190" i="21"/>
  <c r="L516" i="21"/>
  <c r="L2011" i="21"/>
  <c r="L1209" i="21"/>
  <c r="L2198" i="21"/>
  <c r="L1212" i="21"/>
  <c r="L2250" i="21"/>
  <c r="L2199" i="21"/>
  <c r="L2200" i="21"/>
  <c r="L2251" i="21"/>
  <c r="L2196" i="21"/>
  <c r="L2252" i="21"/>
  <c r="L2195" i="21"/>
  <c r="L2197" i="21"/>
  <c r="L826" i="21"/>
  <c r="L2194" i="21"/>
  <c r="L2246" i="21"/>
  <c r="L2247" i="21"/>
  <c r="L2248" i="21"/>
  <c r="L2249" i="21"/>
  <c r="L528" i="21"/>
  <c r="L2454" i="21"/>
  <c r="L2455" i="21"/>
  <c r="L2456" i="21"/>
  <c r="L834" i="21"/>
  <c r="L515" i="21"/>
  <c r="L2344" i="21"/>
  <c r="L2377" i="21"/>
  <c r="L2379" i="21"/>
  <c r="L2378" i="21"/>
  <c r="L2376" i="21"/>
  <c r="L2431" i="21"/>
  <c r="L2374" i="21"/>
  <c r="L2375" i="21"/>
  <c r="L2341" i="21"/>
  <c r="L2340" i="21"/>
  <c r="L2342" i="21"/>
  <c r="L2339" i="21"/>
  <c r="L2086" i="21"/>
  <c r="L2430" i="21"/>
  <c r="L2087" i="21"/>
  <c r="L2373" i="21"/>
  <c r="L2258" i="21"/>
  <c r="L524" i="21"/>
  <c r="L835" i="21"/>
  <c r="L2317" i="21"/>
  <c r="L2320" i="21"/>
  <c r="L2321" i="21"/>
  <c r="L2318" i="21"/>
  <c r="L2319" i="21"/>
  <c r="L2369" i="21"/>
  <c r="L2367" i="21"/>
  <c r="L2366" i="21"/>
  <c r="L2322" i="21"/>
  <c r="L2368" i="21"/>
  <c r="L2365" i="21"/>
  <c r="L2370" i="21"/>
  <c r="L2315" i="21"/>
  <c r="L2313" i="21"/>
  <c r="L827" i="21"/>
  <c r="L2314" i="21"/>
  <c r="L2311" i="21"/>
  <c r="L2316" i="21"/>
  <c r="L2312" i="21"/>
  <c r="L2361" i="21"/>
  <c r="L2360" i="21"/>
  <c r="L2363" i="21"/>
  <c r="L2364" i="21"/>
  <c r="L2362" i="21"/>
  <c r="L522" i="21"/>
  <c r="L520" i="21"/>
  <c r="L2145" i="21"/>
  <c r="L2144" i="21"/>
  <c r="L2099" i="21"/>
  <c r="L2098" i="21"/>
  <c r="L2156" i="21"/>
  <c r="L2100" i="21"/>
  <c r="L2059" i="21"/>
  <c r="L2058" i="21"/>
  <c r="L2060" i="21"/>
  <c r="L2061" i="21"/>
  <c r="L509" i="21"/>
  <c r="L2002" i="21"/>
  <c r="L2005" i="21"/>
  <c r="L1993" i="21"/>
  <c r="L1994" i="21"/>
  <c r="L1549" i="21"/>
  <c r="L1202" i="21"/>
  <c r="L812" i="21"/>
  <c r="L1545" i="21"/>
  <c r="L1544" i="21"/>
  <c r="L1995" i="21"/>
  <c r="L1998" i="21"/>
  <c r="L1201" i="21"/>
  <c r="L1198" i="21"/>
  <c r="L1199" i="21"/>
  <c r="L1200" i="21"/>
  <c r="L1546" i="21"/>
  <c r="L505" i="21"/>
  <c r="L816" i="21"/>
  <c r="L1203" i="21"/>
  <c r="L807" i="21"/>
  <c r="L1552" i="21"/>
  <c r="L1990" i="21"/>
  <c r="L785" i="21"/>
  <c r="L798" i="21"/>
  <c r="L797" i="21"/>
  <c r="L500" i="21"/>
  <c r="L801" i="21"/>
  <c r="L1537" i="21"/>
  <c r="L802" i="21"/>
  <c r="L1988" i="21"/>
  <c r="L1989" i="21"/>
  <c r="L803" i="21"/>
  <c r="L502" i="21"/>
  <c r="L808" i="21"/>
  <c r="L809" i="21"/>
  <c r="L504" i="21"/>
  <c r="L810" i="21"/>
  <c r="L1547" i="21"/>
  <c r="L1548" i="21"/>
  <c r="L1996" i="21"/>
  <c r="L503" i="21"/>
  <c r="L1992" i="21"/>
  <c r="L1554" i="21"/>
  <c r="L507" i="21"/>
  <c r="L1555" i="21"/>
  <c r="L2000" i="21"/>
  <c r="L811" i="21"/>
  <c r="L2001" i="21"/>
  <c r="L1550" i="21"/>
  <c r="L1553" i="21"/>
  <c r="L817" i="21"/>
  <c r="L1556" i="21"/>
  <c r="L506" i="21"/>
  <c r="L815" i="21"/>
  <c r="L1551" i="21"/>
  <c r="L1999" i="21"/>
  <c r="L813" i="21"/>
  <c r="L1997" i="21"/>
  <c r="L814" i="21"/>
  <c r="L494" i="21"/>
  <c r="L490" i="21"/>
  <c r="L501" i="21"/>
  <c r="L1194" i="21"/>
  <c r="L1976" i="21"/>
  <c r="L1977" i="21"/>
  <c r="L1978" i="21"/>
  <c r="L1979" i="21"/>
  <c r="L493" i="21"/>
  <c r="L1536" i="21"/>
  <c r="L788" i="21"/>
  <c r="L1197" i="21"/>
  <c r="L792" i="21"/>
  <c r="L498" i="21"/>
  <c r="L796" i="21"/>
  <c r="L1983" i="21"/>
  <c r="L1981" i="21"/>
  <c r="L1982" i="21"/>
  <c r="L1980" i="21"/>
  <c r="L1963" i="21"/>
  <c r="L1964" i="21"/>
  <c r="L1968" i="21"/>
  <c r="L795" i="21"/>
  <c r="L1187" i="21"/>
  <c r="L1189" i="21"/>
  <c r="L1987" i="21"/>
  <c r="L1966" i="21"/>
  <c r="L787" i="21"/>
  <c r="L786" i="21"/>
  <c r="L1184" i="21"/>
  <c r="L491" i="21"/>
  <c r="L1540" i="21"/>
  <c r="L793" i="21"/>
  <c r="L1538" i="21"/>
  <c r="L496" i="21"/>
  <c r="L789" i="21"/>
  <c r="L1967" i="21"/>
  <c r="L800" i="21"/>
  <c r="L1191" i="21"/>
  <c r="L1185" i="21"/>
  <c r="L497" i="21"/>
  <c r="L1195" i="21"/>
  <c r="L499" i="21"/>
  <c r="L1193" i="21"/>
  <c r="L1542" i="21"/>
  <c r="L1192" i="21"/>
  <c r="L1985" i="21"/>
  <c r="L806" i="21"/>
  <c r="L805" i="21"/>
  <c r="L1974" i="21"/>
  <c r="L1970" i="21"/>
  <c r="L1972" i="21"/>
  <c r="L1969" i="21"/>
  <c r="L1971" i="21"/>
  <c r="L1973" i="21"/>
  <c r="L1196" i="21"/>
  <c r="L794" i="21"/>
  <c r="L804" i="21"/>
  <c r="L790" i="21"/>
  <c r="L1965" i="21"/>
  <c r="L1188" i="21"/>
  <c r="L783" i="21"/>
  <c r="L784" i="21"/>
  <c r="L492" i="21"/>
  <c r="L791" i="21"/>
  <c r="L799" i="21"/>
  <c r="L1975" i="21"/>
  <c r="L1543" i="21"/>
  <c r="L1541" i="21"/>
  <c r="L1984" i="21"/>
  <c r="L1986" i="21"/>
  <c r="L1991" i="21"/>
  <c r="L1190" i="21"/>
  <c r="L495" i="21"/>
  <c r="L1539" i="21"/>
  <c r="L1186" i="21"/>
  <c r="L1522" i="21"/>
  <c r="L1950" i="21"/>
  <c r="L1175" i="21"/>
  <c r="L484" i="21"/>
  <c r="L1962" i="21"/>
  <c r="L777" i="21"/>
  <c r="L1525" i="21"/>
  <c r="L465" i="21"/>
  <c r="L1929" i="21"/>
  <c r="L1165" i="21"/>
  <c r="L1163" i="21"/>
  <c r="L1495" i="21"/>
  <c r="L1168" i="21"/>
  <c r="L760" i="21"/>
  <c r="L1170" i="21"/>
  <c r="L1506" i="21"/>
  <c r="L1926" i="21"/>
  <c r="L1488" i="21"/>
  <c r="L1923" i="21"/>
  <c r="L1501" i="21"/>
  <c r="L1500" i="21"/>
  <c r="L467" i="21"/>
  <c r="L1940" i="21"/>
  <c r="L1917" i="21"/>
  <c r="L469" i="21"/>
  <c r="L761" i="21"/>
  <c r="L748" i="21"/>
  <c r="L1499" i="21"/>
  <c r="L751" i="21"/>
  <c r="L762" i="21"/>
  <c r="L763" i="21"/>
  <c r="L1159" i="21"/>
  <c r="L1922" i="21"/>
  <c r="L1914" i="21"/>
  <c r="L758" i="21"/>
  <c r="L1513" i="21"/>
  <c r="L1941" i="21"/>
  <c r="L749" i="21"/>
  <c r="L1916" i="21"/>
  <c r="L1925" i="21"/>
  <c r="L483" i="21"/>
  <c r="L1531" i="21"/>
  <c r="L481" i="21"/>
  <c r="L1948" i="21"/>
  <c r="L1942" i="21"/>
  <c r="L1176" i="21"/>
  <c r="L1177" i="21"/>
  <c r="L781" i="21"/>
  <c r="L1958" i="21"/>
  <c r="L1959" i="21"/>
  <c r="L1180" i="21"/>
  <c r="L1179" i="21"/>
  <c r="L1946" i="21"/>
  <c r="L1178" i="21"/>
  <c r="L476" i="21"/>
  <c r="L1519" i="21"/>
  <c r="L1949" i="21"/>
  <c r="L1534" i="21"/>
  <c r="L780" i="21"/>
  <c r="L776" i="21"/>
  <c r="L774" i="21"/>
  <c r="L1954" i="21"/>
  <c r="L1182" i="21"/>
  <c r="L778" i="21"/>
  <c r="L773" i="21"/>
  <c r="L480" i="21"/>
  <c r="L1535" i="21"/>
  <c r="L487" i="21"/>
  <c r="L477" i="21"/>
  <c r="L1944" i="21"/>
  <c r="L1953" i="21"/>
  <c r="L1952" i="21"/>
  <c r="L782" i="21"/>
  <c r="L488" i="21"/>
  <c r="L486" i="21"/>
  <c r="L1516" i="21"/>
  <c r="L1524" i="21"/>
  <c r="L1961" i="21"/>
  <c r="L1521" i="21"/>
  <c r="L1183" i="21"/>
  <c r="L1514" i="21"/>
  <c r="L1515" i="21"/>
  <c r="L1947" i="21"/>
  <c r="L1181" i="21"/>
  <c r="L1945" i="21"/>
  <c r="L772" i="21"/>
  <c r="L482" i="21"/>
  <c r="L489" i="21"/>
  <c r="L1523" i="21"/>
  <c r="L1956" i="21"/>
  <c r="L1960" i="21"/>
  <c r="L1529" i="21"/>
  <c r="L1957" i="21"/>
  <c r="L1951" i="21"/>
  <c r="L1943" i="21"/>
  <c r="L1955" i="21"/>
  <c r="L1527" i="21"/>
  <c r="L1533" i="21"/>
  <c r="L1526" i="21"/>
  <c r="L1520" i="21"/>
  <c r="L1528" i="21"/>
  <c r="L485" i="21"/>
  <c r="L779" i="21"/>
  <c r="L1530" i="21"/>
  <c r="L478" i="21"/>
  <c r="L1532" i="21"/>
  <c r="L775" i="21"/>
  <c r="L1517" i="21"/>
  <c r="L1518" i="21"/>
  <c r="L479" i="21"/>
  <c r="L1174" i="21"/>
  <c r="L1164" i="21"/>
  <c r="L464" i="21"/>
  <c r="L1171" i="21"/>
  <c r="L1939" i="21"/>
  <c r="L1935" i="21"/>
  <c r="L1172" i="21"/>
  <c r="L466" i="21"/>
  <c r="L1921" i="21"/>
  <c r="L766" i="21"/>
  <c r="L1166" i="21"/>
  <c r="L754" i="21"/>
  <c r="L768" i="21"/>
  <c r="L752" i="21"/>
  <c r="L765" i="21"/>
  <c r="L1167" i="21"/>
  <c r="L756" i="21"/>
  <c r="L1933" i="21"/>
  <c r="L471" i="21"/>
  <c r="L1919" i="21"/>
  <c r="L1491" i="21"/>
  <c r="L1920" i="21"/>
  <c r="L1918" i="21"/>
  <c r="L1932" i="21"/>
  <c r="L767" i="21"/>
  <c r="L1169" i="21"/>
  <c r="L1938" i="21"/>
  <c r="L755" i="21"/>
  <c r="L753" i="21"/>
  <c r="L468" i="21"/>
  <c r="L1510" i="21"/>
  <c r="L460" i="21"/>
  <c r="L757" i="21"/>
  <c r="L1936" i="21"/>
  <c r="L1503" i="21"/>
  <c r="L1913" i="21"/>
  <c r="L1505" i="21"/>
  <c r="L1930" i="21"/>
  <c r="L1931" i="21"/>
  <c r="L472" i="21"/>
  <c r="L473" i="21"/>
  <c r="L1504" i="21"/>
  <c r="L1508" i="21"/>
  <c r="L1507" i="21"/>
  <c r="L1937" i="21"/>
  <c r="L1509" i="21"/>
  <c r="L1161" i="21"/>
  <c r="L1160" i="21"/>
  <c r="L1173" i="21"/>
  <c r="L461" i="21"/>
  <c r="L1924" i="21"/>
  <c r="L771" i="21"/>
  <c r="L770" i="21"/>
  <c r="L769" i="21"/>
  <c r="L1497" i="21"/>
  <c r="L1934" i="21"/>
  <c r="L1496" i="21"/>
  <c r="L1492" i="21"/>
  <c r="L1912" i="21"/>
  <c r="L1511" i="21"/>
  <c r="L475" i="21"/>
  <c r="L1512" i="21"/>
  <c r="L474" i="21"/>
  <c r="L764" i="21"/>
  <c r="L750" i="21"/>
  <c r="L1927" i="21"/>
  <c r="L1915" i="21"/>
  <c r="L759" i="21"/>
  <c r="L1502" i="21"/>
  <c r="L1928" i="21"/>
  <c r="L1498" i="21"/>
  <c r="L1489" i="21"/>
  <c r="L1162" i="21"/>
  <c r="L470" i="21"/>
  <c r="L1493" i="21"/>
  <c r="L1494" i="21"/>
  <c r="L463" i="21"/>
  <c r="L1490" i="21"/>
  <c r="L462" i="21"/>
  <c r="L747" i="21"/>
  <c r="L1474" i="21"/>
  <c r="L455" i="21"/>
  <c r="L737" i="21"/>
  <c r="L1471" i="21"/>
  <c r="L730" i="21"/>
  <c r="L726" i="21"/>
  <c r="L1152" i="21"/>
  <c r="L1908" i="21"/>
  <c r="L736" i="21"/>
  <c r="L732" i="21"/>
  <c r="L454" i="21"/>
  <c r="L728" i="21"/>
  <c r="L1475" i="21"/>
  <c r="L1481" i="21"/>
  <c r="L1472" i="21"/>
  <c r="L1469" i="21"/>
  <c r="L448" i="21"/>
  <c r="L1905" i="21"/>
  <c r="L453" i="21"/>
  <c r="L738" i="21"/>
  <c r="L1476" i="21"/>
  <c r="L731" i="21"/>
  <c r="L1909" i="21"/>
  <c r="L1480" i="21"/>
  <c r="L1156" i="21"/>
  <c r="L1486" i="21"/>
  <c r="L1485" i="21"/>
  <c r="L744" i="21"/>
  <c r="L729" i="21"/>
  <c r="L733" i="21"/>
  <c r="L734" i="21"/>
  <c r="L1483" i="21"/>
  <c r="L452" i="21"/>
  <c r="L720" i="21"/>
  <c r="L451" i="21"/>
  <c r="L725" i="21"/>
  <c r="L745" i="21"/>
  <c r="L1153" i="21"/>
  <c r="L1150" i="21"/>
  <c r="L739" i="21"/>
  <c r="L1903" i="21"/>
  <c r="L735" i="21"/>
  <c r="L456" i="21"/>
  <c r="L1477" i="21"/>
  <c r="L1478" i="21"/>
  <c r="L1479" i="21"/>
  <c r="L721" i="21"/>
  <c r="L1904" i="21"/>
  <c r="L1466" i="21"/>
  <c r="L1910" i="21"/>
  <c r="L1911" i="21"/>
  <c r="L1158" i="21"/>
  <c r="L1484" i="21"/>
  <c r="L743" i="21"/>
  <c r="L1473" i="21"/>
  <c r="L1482" i="21"/>
  <c r="L459" i="21"/>
  <c r="L740" i="21"/>
  <c r="L457" i="21"/>
  <c r="L1151" i="21"/>
  <c r="L741" i="21"/>
  <c r="L1467" i="21"/>
  <c r="L723" i="21"/>
  <c r="L722" i="21"/>
  <c r="L1155" i="21"/>
  <c r="L718" i="21"/>
  <c r="L1470" i="21"/>
  <c r="L1902" i="21"/>
  <c r="L1906" i="21"/>
  <c r="L1468" i="21"/>
  <c r="L449" i="21"/>
  <c r="L724" i="21"/>
  <c r="L746" i="21"/>
  <c r="L719" i="21"/>
  <c r="L1487" i="21"/>
  <c r="L742" i="21"/>
  <c r="L727" i="21"/>
  <c r="G450" i="21"/>
  <c r="L450" i="21"/>
  <c r="G458" i="21"/>
  <c r="L458" i="21"/>
  <c r="G1157" i="21"/>
  <c r="L1157" i="21"/>
  <c r="L1154" i="21"/>
  <c r="L1907" i="21"/>
  <c r="L1889" i="21"/>
  <c r="L1892" i="21"/>
  <c r="L1898" i="21"/>
  <c r="L1897" i="21"/>
  <c r="L1893" i="21"/>
  <c r="L1149" i="21"/>
  <c r="L1895" i="21"/>
  <c r="L1896" i="21"/>
  <c r="L713" i="21"/>
  <c r="L444" i="21"/>
  <c r="L445" i="21"/>
  <c r="L715" i="21"/>
  <c r="L716" i="21"/>
  <c r="L1900" i="21"/>
  <c r="L710" i="21"/>
  <c r="L1899" i="21"/>
  <c r="L447" i="21"/>
  <c r="L1147" i="21"/>
  <c r="L1890" i="21"/>
  <c r="L709" i="21"/>
  <c r="L714" i="21"/>
  <c r="L1144" i="21"/>
  <c r="L1143" i="21"/>
  <c r="L1894" i="21"/>
  <c r="L1463" i="21"/>
  <c r="L1462" i="21"/>
  <c r="L446" i="21"/>
  <c r="L711" i="21"/>
  <c r="L1459" i="21"/>
  <c r="L1901" i="21"/>
  <c r="L1148" i="21"/>
  <c r="L1891" i="21"/>
  <c r="L1142" i="21"/>
  <c r="L1888" i="21"/>
  <c r="L712" i="21"/>
  <c r="L717" i="21"/>
  <c r="L1464" i="21"/>
  <c r="G402" i="21"/>
  <c r="I402" i="21"/>
  <c r="L402" i="21" s="1"/>
  <c r="G401" i="21"/>
  <c r="I401" i="21"/>
  <c r="L401" i="21" s="1"/>
  <c r="G400" i="21"/>
  <c r="I400" i="21"/>
  <c r="L400" i="21" s="1"/>
  <c r="G399" i="21"/>
  <c r="I399" i="21"/>
  <c r="L399" i="21" s="1"/>
  <c r="G398" i="21"/>
  <c r="I398" i="21"/>
  <c r="L398" i="21" s="1"/>
  <c r="G397" i="21"/>
  <c r="I397" i="21"/>
  <c r="L397" i="21" s="1"/>
  <c r="G396" i="21"/>
  <c r="I396" i="21"/>
  <c r="L396" i="21" s="1"/>
  <c r="G395" i="21"/>
  <c r="I395" i="21"/>
  <c r="L395" i="21" s="1"/>
  <c r="G394" i="21"/>
  <c r="I394" i="21"/>
  <c r="L394" i="21" s="1"/>
  <c r="G219" i="21"/>
  <c r="I219" i="21"/>
  <c r="L219" i="21" s="1"/>
  <c r="G218" i="21"/>
  <c r="I218" i="21"/>
  <c r="L218" i="21" s="1"/>
  <c r="G217" i="21"/>
  <c r="I217" i="21"/>
  <c r="L217" i="21" s="1"/>
  <c r="G216" i="21"/>
  <c r="I216" i="21"/>
  <c r="L216" i="21" s="1"/>
  <c r="G215" i="21"/>
  <c r="I215" i="21"/>
  <c r="L215" i="21" s="1"/>
  <c r="G335" i="21"/>
  <c r="I335" i="21"/>
  <c r="L335" i="21" s="1"/>
  <c r="G337" i="21"/>
  <c r="I337" i="21"/>
  <c r="L337" i="21" s="1"/>
  <c r="G336" i="21"/>
  <c r="I336" i="21"/>
  <c r="L336" i="21" s="1"/>
  <c r="G338" i="21"/>
  <c r="I338" i="21"/>
  <c r="L338" i="21" s="1"/>
  <c r="G385" i="21"/>
  <c r="I385" i="21"/>
  <c r="L385" i="21" s="1"/>
  <c r="I334" i="21"/>
  <c r="L334" i="21" s="1"/>
  <c r="G386" i="21"/>
  <c r="I386" i="21"/>
  <c r="L386" i="21" s="1"/>
  <c r="G329" i="21"/>
  <c r="I329" i="21"/>
  <c r="L329" i="21" s="1"/>
  <c r="G391" i="21"/>
  <c r="I391" i="21"/>
  <c r="L391" i="21" s="1"/>
  <c r="G330" i="21"/>
  <c r="I330" i="21"/>
  <c r="L330" i="21" s="1"/>
  <c r="G384" i="21"/>
  <c r="I384" i="21"/>
  <c r="L384" i="21" s="1"/>
  <c r="G361" i="21"/>
  <c r="I361" i="21"/>
  <c r="L361" i="21" s="1"/>
  <c r="G333" i="21"/>
  <c r="I333" i="21"/>
  <c r="L333" i="21" s="1"/>
  <c r="G332" i="21"/>
  <c r="I332" i="21"/>
  <c r="L332" i="21" s="1"/>
  <c r="G331" i="21"/>
  <c r="I331" i="21"/>
  <c r="L331" i="21" s="1"/>
  <c r="G321" i="21"/>
  <c r="I321" i="21"/>
  <c r="L321" i="21" s="1"/>
  <c r="G316" i="21"/>
  <c r="I316" i="21"/>
  <c r="L316" i="21" s="1"/>
  <c r="G328" i="21"/>
  <c r="I328" i="21"/>
  <c r="L328" i="21" s="1"/>
  <c r="G322" i="21"/>
  <c r="I322" i="21"/>
  <c r="L322" i="21" s="1"/>
  <c r="G390" i="21"/>
  <c r="I390" i="21"/>
  <c r="L390" i="21" s="1"/>
  <c r="G323" i="21"/>
  <c r="I323" i="21"/>
  <c r="L323" i="21" s="1"/>
  <c r="G324" i="21"/>
  <c r="I324" i="21"/>
  <c r="L324" i="21" s="1"/>
  <c r="G360" i="21"/>
  <c r="I360" i="21"/>
  <c r="L360" i="21" s="1"/>
  <c r="G359" i="21"/>
  <c r="I359" i="21"/>
  <c r="L359" i="21" s="1"/>
  <c r="G315" i="21"/>
  <c r="I315" i="21"/>
  <c r="L315" i="21" s="1"/>
  <c r="G326" i="21"/>
  <c r="I326" i="21"/>
  <c r="L326" i="21" s="1"/>
  <c r="G327" i="21"/>
  <c r="I327" i="21"/>
  <c r="L327" i="21" s="1"/>
  <c r="G325" i="21"/>
  <c r="I325" i="21"/>
  <c r="L325" i="21" s="1"/>
  <c r="G320" i="21"/>
  <c r="I320" i="21"/>
  <c r="L320" i="21" s="1"/>
  <c r="G319" i="21"/>
  <c r="I319" i="21"/>
  <c r="L319" i="21" s="1"/>
  <c r="G317" i="21"/>
  <c r="I317" i="21"/>
  <c r="L317" i="21" s="1"/>
  <c r="G318" i="21"/>
  <c r="I318" i="21"/>
  <c r="L318" i="21" s="1"/>
  <c r="G358" i="21"/>
  <c r="I358" i="21"/>
  <c r="L358" i="21" s="1"/>
  <c r="G310" i="21"/>
  <c r="I310" i="21"/>
  <c r="L310" i="21" s="1"/>
  <c r="G309" i="21"/>
  <c r="I309" i="21"/>
  <c r="L309" i="21" s="1"/>
  <c r="G311" i="21"/>
  <c r="I311" i="21"/>
  <c r="L311" i="21" s="1"/>
  <c r="G307" i="21"/>
  <c r="I307" i="21"/>
  <c r="L307" i="21" s="1"/>
  <c r="G308" i="21"/>
  <c r="I308" i="21"/>
  <c r="L308" i="21" s="1"/>
  <c r="G356" i="21"/>
  <c r="I356" i="21"/>
  <c r="L356" i="21" s="1"/>
  <c r="G306" i="21"/>
  <c r="I306" i="21"/>
  <c r="L306" i="21" s="1"/>
  <c r="G305" i="21"/>
  <c r="I305" i="21"/>
  <c r="L305" i="21" s="1"/>
  <c r="G312" i="21"/>
  <c r="I312" i="21"/>
  <c r="L312" i="21" s="1"/>
  <c r="G381" i="21"/>
  <c r="I381" i="21"/>
  <c r="L381" i="21" s="1"/>
  <c r="G355" i="21"/>
  <c r="I355" i="21"/>
  <c r="L355" i="21" s="1"/>
  <c r="G383" i="21"/>
  <c r="I383" i="21"/>
  <c r="L383" i="21" s="1"/>
  <c r="G382" i="21"/>
  <c r="I382" i="21"/>
  <c r="L382" i="21" s="1"/>
  <c r="G313" i="21"/>
  <c r="I313" i="21"/>
  <c r="L313" i="21" s="1"/>
  <c r="G314" i="21"/>
  <c r="I314" i="21"/>
  <c r="L314" i="21" s="1"/>
  <c r="G357" i="21"/>
  <c r="I357" i="21"/>
  <c r="L357" i="21" s="1"/>
  <c r="G304" i="21"/>
  <c r="I304" i="21"/>
  <c r="L304" i="21" s="1"/>
  <c r="G302" i="21"/>
  <c r="I302" i="21"/>
  <c r="L302" i="21" s="1"/>
  <c r="G380" i="21"/>
  <c r="I380" i="21"/>
  <c r="L380" i="21" s="1"/>
  <c r="G303" i="21"/>
  <c r="L303" i="21"/>
  <c r="G354" i="21"/>
  <c r="I354" i="21"/>
  <c r="L354" i="21" s="1"/>
  <c r="G353" i="21"/>
  <c r="I353" i="21"/>
  <c r="L353" i="21" s="1"/>
  <c r="G300" i="21"/>
  <c r="I300" i="21"/>
  <c r="L300" i="21" s="1"/>
  <c r="G301" i="21"/>
  <c r="I301" i="21"/>
  <c r="L301" i="21" s="1"/>
  <c r="G379" i="21"/>
  <c r="I379" i="21"/>
  <c r="L379" i="21" s="1"/>
  <c r="G298" i="21"/>
  <c r="I298" i="21"/>
  <c r="L298" i="21" s="1"/>
  <c r="G352" i="21"/>
  <c r="I352" i="21"/>
  <c r="L352" i="21" s="1"/>
  <c r="G296" i="21"/>
  <c r="I296" i="21"/>
  <c r="L296" i="21" s="1"/>
  <c r="G299" i="21"/>
  <c r="I299" i="21"/>
  <c r="L299" i="21" s="1"/>
  <c r="G297" i="21"/>
  <c r="I297" i="21"/>
  <c r="L297" i="21" s="1"/>
  <c r="G378" i="21"/>
  <c r="I378" i="21"/>
  <c r="L378" i="21" s="1"/>
  <c r="G351" i="21"/>
  <c r="I351" i="21"/>
  <c r="L351" i="21" s="1"/>
  <c r="G294" i="21"/>
  <c r="I294" i="21"/>
  <c r="L294" i="21" s="1"/>
  <c r="G295" i="21"/>
  <c r="I295" i="21"/>
  <c r="L295" i="21" s="1"/>
  <c r="G393" i="21"/>
  <c r="I393" i="21"/>
  <c r="L393" i="21" s="1"/>
  <c r="G350" i="21"/>
  <c r="I350" i="21"/>
  <c r="L350" i="21" s="1"/>
  <c r="G377" i="21"/>
  <c r="I377" i="21"/>
  <c r="L377" i="21" s="1"/>
  <c r="G349" i="21"/>
  <c r="I349" i="21"/>
  <c r="L349" i="21" s="1"/>
  <c r="G389" i="21"/>
  <c r="I389" i="21"/>
  <c r="L389" i="21" s="1"/>
  <c r="G388" i="21"/>
  <c r="I388" i="21"/>
  <c r="L388" i="21" s="1"/>
  <c r="G392" i="21"/>
  <c r="I392" i="21"/>
  <c r="L392" i="21" s="1"/>
  <c r="G293" i="21"/>
  <c r="I293" i="21"/>
  <c r="L293" i="21" s="1"/>
  <c r="G292" i="21"/>
  <c r="I292" i="21"/>
  <c r="L292" i="21" s="1"/>
  <c r="G289" i="21"/>
  <c r="I289" i="21"/>
  <c r="L289" i="21" s="1"/>
  <c r="G290" i="21"/>
  <c r="I290" i="21"/>
  <c r="L290" i="21" s="1"/>
  <c r="G348" i="21"/>
  <c r="I348" i="21"/>
  <c r="L348" i="21" s="1"/>
  <c r="G347" i="21"/>
  <c r="I347" i="21"/>
  <c r="L347" i="21" s="1"/>
  <c r="G291" i="21"/>
  <c r="I291" i="21"/>
  <c r="L291" i="21" s="1"/>
  <c r="G375" i="21"/>
  <c r="I375" i="21"/>
  <c r="L375" i="21" s="1"/>
  <c r="G287" i="21"/>
  <c r="I287" i="21"/>
  <c r="L287" i="21" s="1"/>
  <c r="G376" i="21"/>
  <c r="I376" i="21"/>
  <c r="L376" i="21" s="1"/>
  <c r="G288" i="21"/>
  <c r="I288" i="21"/>
  <c r="L288" i="21" s="1"/>
  <c r="G286" i="21"/>
  <c r="I286" i="21"/>
  <c r="L286" i="21" s="1"/>
  <c r="G281" i="21"/>
  <c r="I281" i="21"/>
  <c r="L281" i="21" s="1"/>
  <c r="G280" i="21"/>
  <c r="I280" i="21"/>
  <c r="L280" i="21" s="1"/>
  <c r="G284" i="21"/>
  <c r="I284" i="21"/>
  <c r="L284" i="21" s="1"/>
  <c r="G283" i="21"/>
  <c r="I283" i="21"/>
  <c r="L283" i="21" s="1"/>
  <c r="G285" i="21"/>
  <c r="I285" i="21"/>
  <c r="L285" i="21" s="1"/>
  <c r="G282" i="21"/>
  <c r="I282" i="21"/>
  <c r="L282" i="21" s="1"/>
  <c r="G279" i="21"/>
  <c r="I279" i="21"/>
  <c r="L279" i="21" s="1"/>
  <c r="G370" i="21"/>
  <c r="I370" i="21"/>
  <c r="L370" i="21" s="1"/>
  <c r="G345" i="21"/>
  <c r="I345" i="21"/>
  <c r="L345" i="21" s="1"/>
  <c r="G373" i="21"/>
  <c r="I373" i="21"/>
  <c r="L373" i="21" s="1"/>
  <c r="G374" i="21"/>
  <c r="I374" i="21"/>
  <c r="L374" i="21" s="1"/>
  <c r="G372" i="21"/>
  <c r="I372" i="21"/>
  <c r="L372" i="21" s="1"/>
  <c r="G346" i="21"/>
  <c r="I346" i="21"/>
  <c r="L346" i="21" s="1"/>
  <c r="G278" i="21"/>
  <c r="I278" i="21"/>
  <c r="L278" i="21" s="1"/>
  <c r="G371" i="21"/>
  <c r="I371" i="21"/>
  <c r="L371" i="21" s="1"/>
  <c r="G344" i="21"/>
  <c r="I344" i="21"/>
  <c r="L344" i="21" s="1"/>
  <c r="G367" i="21"/>
  <c r="I367" i="21"/>
  <c r="L367" i="21" s="1"/>
  <c r="G368" i="21"/>
  <c r="I368" i="21"/>
  <c r="L368" i="21" s="1"/>
  <c r="G369" i="21"/>
  <c r="I369" i="21"/>
  <c r="L369" i="21" s="1"/>
  <c r="G277" i="21"/>
  <c r="I277" i="21"/>
  <c r="L277" i="21" s="1"/>
  <c r="G366" i="21"/>
  <c r="I366" i="21"/>
  <c r="L366" i="21" s="1"/>
  <c r="G275" i="21"/>
  <c r="I275" i="21"/>
  <c r="L275" i="21" s="1"/>
  <c r="G276" i="21"/>
  <c r="I276" i="21"/>
  <c r="L276" i="21" s="1"/>
  <c r="G387" i="21"/>
  <c r="I387" i="21"/>
  <c r="L387" i="21" s="1"/>
  <c r="G270" i="21"/>
  <c r="I270" i="21"/>
  <c r="L270" i="21" s="1"/>
  <c r="G269" i="21"/>
  <c r="I269" i="21"/>
  <c r="L269" i="21" s="1"/>
  <c r="G271" i="21"/>
  <c r="I271" i="21"/>
  <c r="L271" i="21" s="1"/>
  <c r="G273" i="21"/>
  <c r="I273" i="21"/>
  <c r="L273" i="21" s="1"/>
  <c r="G274" i="21"/>
  <c r="I274" i="21"/>
  <c r="L274" i="21" s="1"/>
  <c r="G272" i="21"/>
  <c r="I272" i="21"/>
  <c r="L272" i="21" s="1"/>
  <c r="G268" i="21"/>
  <c r="I268" i="21"/>
  <c r="L268" i="21" s="1"/>
  <c r="G264" i="21"/>
  <c r="I264" i="21"/>
  <c r="L264" i="21" s="1"/>
  <c r="G265" i="21"/>
  <c r="I265" i="21"/>
  <c r="L265" i="21" s="1"/>
  <c r="G343" i="21"/>
  <c r="I343" i="21"/>
  <c r="L343" i="21" s="1"/>
  <c r="G266" i="21"/>
  <c r="I266" i="21"/>
  <c r="L266" i="21" s="1"/>
  <c r="G267" i="21"/>
  <c r="I267" i="21"/>
  <c r="L267" i="21" s="1"/>
  <c r="G258" i="21"/>
  <c r="I258" i="21"/>
  <c r="L258" i="21" s="1"/>
  <c r="G257" i="21"/>
  <c r="I257" i="21"/>
  <c r="L257" i="21" s="1"/>
  <c r="G259" i="21"/>
  <c r="I259" i="21"/>
  <c r="L259" i="21" s="1"/>
  <c r="G256" i="21"/>
  <c r="I256" i="21"/>
  <c r="L256" i="21" s="1"/>
  <c r="G255" i="21"/>
  <c r="I255" i="21"/>
  <c r="L255" i="21" s="1"/>
  <c r="G260" i="21"/>
  <c r="I260" i="21"/>
  <c r="L260" i="21" s="1"/>
  <c r="G261" i="21"/>
  <c r="I261" i="21"/>
  <c r="L261" i="21" s="1"/>
  <c r="G250" i="21"/>
  <c r="I250" i="21"/>
  <c r="L250" i="21" s="1"/>
  <c r="G262" i="21"/>
  <c r="I262" i="21"/>
  <c r="L262" i="21" s="1"/>
  <c r="G251" i="21"/>
  <c r="I251" i="21"/>
  <c r="L251" i="21" s="1"/>
  <c r="G252" i="21"/>
  <c r="I252" i="21"/>
  <c r="L252" i="21" s="1"/>
  <c r="G342" i="21"/>
  <c r="I342" i="21"/>
  <c r="L342" i="21" s="1"/>
  <c r="G253" i="21"/>
  <c r="I253" i="21"/>
  <c r="L253" i="21" s="1"/>
  <c r="G254" i="21"/>
  <c r="I254" i="21"/>
  <c r="L254" i="21" s="1"/>
  <c r="G249" i="21"/>
  <c r="I249" i="21"/>
  <c r="L249" i="21" s="1"/>
  <c r="G263" i="21"/>
  <c r="I263" i="21"/>
  <c r="L263" i="21" s="1"/>
  <c r="G248" i="21"/>
  <c r="I248" i="21"/>
  <c r="L248" i="21" s="1"/>
  <c r="G247" i="21"/>
  <c r="I247" i="21"/>
  <c r="L247" i="21" s="1"/>
  <c r="G246" i="21"/>
  <c r="I246" i="21"/>
  <c r="L246" i="21" s="1"/>
  <c r="G365" i="21"/>
  <c r="I365" i="21"/>
  <c r="L365" i="21" s="1"/>
  <c r="G245" i="21"/>
  <c r="I245" i="21"/>
  <c r="L245" i="21" s="1"/>
  <c r="G244" i="21"/>
  <c r="I244" i="21"/>
  <c r="L244" i="21" s="1"/>
  <c r="G243" i="21"/>
  <c r="I243" i="21"/>
  <c r="L243" i="21" s="1"/>
  <c r="G242" i="21"/>
  <c r="I242" i="21"/>
  <c r="L242" i="21" s="1"/>
  <c r="G238" i="21"/>
  <c r="I238" i="21"/>
  <c r="L238" i="21" s="1"/>
  <c r="G237" i="21"/>
  <c r="I237" i="21"/>
  <c r="L237" i="21" s="1"/>
  <c r="G240" i="21"/>
  <c r="I240" i="21"/>
  <c r="L240" i="21" s="1"/>
  <c r="G241" i="21"/>
  <c r="I241" i="21"/>
  <c r="L241" i="21" s="1"/>
  <c r="G239" i="21"/>
  <c r="I239" i="21"/>
  <c r="L239" i="21" s="1"/>
  <c r="G232" i="21"/>
  <c r="I232" i="21"/>
  <c r="L232" i="21" s="1"/>
  <c r="G364" i="21"/>
  <c r="I364" i="21"/>
  <c r="L364" i="21" s="1"/>
  <c r="G236" i="21"/>
  <c r="I236" i="21"/>
  <c r="L236" i="21" s="1"/>
  <c r="G341" i="21"/>
  <c r="I341" i="21"/>
  <c r="L341" i="21" s="1"/>
  <c r="G235" i="21"/>
  <c r="I235" i="21"/>
  <c r="L235" i="21" s="1"/>
  <c r="G233" i="21"/>
  <c r="I233" i="21"/>
  <c r="L233" i="21" s="1"/>
  <c r="G234" i="21"/>
  <c r="I234" i="21"/>
  <c r="L234" i="21" s="1"/>
  <c r="G231" i="21"/>
  <c r="I231" i="21"/>
  <c r="L231" i="21" s="1"/>
  <c r="G362" i="21"/>
  <c r="I362" i="21"/>
  <c r="L362" i="21" s="1"/>
  <c r="G224" i="21"/>
  <c r="I224" i="21"/>
  <c r="L224" i="21" s="1"/>
  <c r="G223" i="21"/>
  <c r="I223" i="21"/>
  <c r="L223" i="21" s="1"/>
  <c r="G225" i="21"/>
  <c r="I225" i="21"/>
  <c r="L225" i="21" s="1"/>
  <c r="G222" i="21"/>
  <c r="I222" i="21"/>
  <c r="L222" i="21" s="1"/>
  <c r="G220" i="21"/>
  <c r="I220" i="21"/>
  <c r="L220" i="21" s="1"/>
  <c r="G12" i="21"/>
  <c r="I12" i="21"/>
  <c r="P12" i="21" s="1"/>
  <c r="Q12" i="21"/>
  <c r="R12" i="21"/>
  <c r="G11" i="21"/>
  <c r="I11" i="21"/>
  <c r="P11" i="21" s="1"/>
  <c r="Q11" i="21"/>
  <c r="R11" i="21"/>
  <c r="G10" i="21"/>
  <c r="I10" i="21"/>
  <c r="P10" i="21" s="1"/>
  <c r="Q10" i="21"/>
  <c r="R10" i="21"/>
  <c r="P65" i="21" l="1"/>
  <c r="G9" i="21"/>
  <c r="I9" i="21"/>
  <c r="Q9" i="21"/>
  <c r="R9" i="21"/>
  <c r="G20" i="21"/>
  <c r="I20" i="21"/>
  <c r="P20" i="21" s="1"/>
  <c r="Q20" i="21"/>
  <c r="R20" i="21"/>
  <c r="G18" i="21"/>
  <c r="I18" i="21"/>
  <c r="P18" i="21" s="1"/>
  <c r="Q18" i="21"/>
  <c r="R18" i="21"/>
  <c r="G64" i="21"/>
  <c r="G44" i="21"/>
  <c r="I64" i="21"/>
  <c r="P64" i="21" s="1"/>
  <c r="I44" i="21"/>
  <c r="P44" i="21" s="1"/>
  <c r="Q64" i="21"/>
  <c r="Q44" i="21"/>
  <c r="R64" i="21"/>
  <c r="R44" i="21"/>
  <c r="Q65" i="21"/>
  <c r="R65" i="21"/>
  <c r="G25" i="21"/>
  <c r="I25" i="21"/>
  <c r="P25" i="21" s="1"/>
  <c r="Q25" i="21"/>
  <c r="R25" i="21"/>
  <c r="G21" i="21"/>
  <c r="I21" i="21"/>
  <c r="P21" i="21" s="1"/>
  <c r="Q21" i="21"/>
  <c r="R21" i="21"/>
  <c r="G22" i="21"/>
  <c r="I22" i="21"/>
  <c r="P22" i="21" s="1"/>
  <c r="Q22" i="21"/>
  <c r="R22" i="21"/>
  <c r="H200" i="21"/>
  <c r="K200" i="21"/>
  <c r="H199" i="21"/>
  <c r="K199" i="21"/>
  <c r="G61" i="21"/>
  <c r="I61" i="21"/>
  <c r="P61" i="21" s="1"/>
  <c r="Q61" i="21"/>
  <c r="R61" i="21"/>
  <c r="G69" i="21"/>
  <c r="I69" i="21"/>
  <c r="P69" i="21" s="1"/>
  <c r="Q69" i="21"/>
  <c r="R69" i="21"/>
  <c r="G28" i="21"/>
  <c r="I28" i="21"/>
  <c r="P28" i="21" s="1"/>
  <c r="Q28" i="21"/>
  <c r="R28" i="21"/>
  <c r="G46" i="21"/>
  <c r="I46" i="21"/>
  <c r="P46" i="21" s="1"/>
  <c r="Q46" i="21"/>
  <c r="R46" i="21"/>
  <c r="G30" i="21"/>
  <c r="I30" i="21"/>
  <c r="P30" i="21" s="1"/>
  <c r="Q30" i="21"/>
  <c r="R30" i="21"/>
  <c r="H198" i="21"/>
  <c r="K198" i="21"/>
  <c r="H192" i="21"/>
  <c r="H193" i="21"/>
  <c r="K192" i="21"/>
  <c r="K193" i="21"/>
  <c r="H194" i="21"/>
  <c r="H187" i="21"/>
  <c r="K194" i="21"/>
  <c r="K187" i="21"/>
  <c r="H189" i="21"/>
  <c r="K189" i="21"/>
  <c r="H191" i="21"/>
  <c r="K191" i="21"/>
  <c r="G32" i="21"/>
  <c r="I32" i="21"/>
  <c r="P32" i="21" s="1"/>
  <c r="Q32" i="21"/>
  <c r="R32" i="21"/>
  <c r="G31" i="21"/>
  <c r="I31" i="21"/>
  <c r="P31" i="21" s="1"/>
  <c r="Q31" i="21"/>
  <c r="R31" i="21"/>
  <c r="G45" i="21"/>
  <c r="I45" i="21"/>
  <c r="P45" i="21" s="1"/>
  <c r="Q45" i="21"/>
  <c r="R45" i="21"/>
  <c r="G33" i="21"/>
  <c r="P33" i="21"/>
  <c r="Q33" i="21"/>
  <c r="R33" i="21"/>
  <c r="H188" i="21"/>
  <c r="K188" i="21"/>
  <c r="G36" i="21"/>
  <c r="I36" i="21"/>
  <c r="P36" i="21" s="1"/>
  <c r="Q36" i="21"/>
  <c r="R36" i="21"/>
  <c r="G34" i="21"/>
  <c r="I34" i="21"/>
  <c r="P34" i="21" s="1"/>
  <c r="Q34" i="21"/>
  <c r="R34" i="21"/>
  <c r="G53" i="21"/>
  <c r="I53" i="21"/>
  <c r="P53" i="21" s="1"/>
  <c r="Q53" i="21"/>
  <c r="R53" i="21"/>
  <c r="G116" i="21"/>
  <c r="I38" i="21"/>
  <c r="P38" i="21" s="1"/>
  <c r="Q38" i="21"/>
  <c r="R38" i="21"/>
  <c r="G39" i="21"/>
  <c r="I39" i="21"/>
  <c r="P39" i="21" s="1"/>
  <c r="Q39" i="21"/>
  <c r="R39" i="21"/>
  <c r="G24" i="21"/>
  <c r="I24" i="21"/>
  <c r="P24" i="21" s="1"/>
  <c r="Q24" i="21"/>
  <c r="R24" i="21"/>
  <c r="P9" i="21" l="1"/>
  <c r="H116" i="18"/>
  <c r="J116" i="18"/>
  <c r="K116" i="18"/>
  <c r="H117" i="18"/>
  <c r="J117" i="18"/>
  <c r="K117" i="18"/>
  <c r="H118" i="18"/>
  <c r="J118" i="18"/>
  <c r="K118" i="18"/>
  <c r="G95" i="21"/>
  <c r="I95" i="21"/>
  <c r="P95" i="21" s="1"/>
  <c r="Q95" i="21"/>
  <c r="R95" i="21"/>
  <c r="G27" i="21"/>
  <c r="P27" i="21"/>
  <c r="Q27" i="21"/>
  <c r="R27" i="21"/>
  <c r="G35" i="21"/>
  <c r="I35" i="21"/>
  <c r="P35" i="21" s="1"/>
  <c r="Q35" i="21"/>
  <c r="R35" i="21"/>
  <c r="G37" i="21"/>
  <c r="I37" i="21"/>
  <c r="P37" i="21" s="1"/>
  <c r="Q37" i="21"/>
  <c r="R37" i="21"/>
  <c r="G109" i="21"/>
  <c r="I109" i="21"/>
  <c r="P109" i="21" s="1"/>
  <c r="Q109" i="21"/>
  <c r="R109" i="21"/>
  <c r="G19" i="21"/>
  <c r="I19" i="21"/>
  <c r="P19" i="21" s="1"/>
  <c r="Q19" i="21"/>
  <c r="R19" i="21"/>
  <c r="G92" i="21"/>
  <c r="I92" i="21"/>
  <c r="P92" i="21" s="1"/>
  <c r="Q92" i="21"/>
  <c r="R92" i="21"/>
  <c r="G107" i="21"/>
  <c r="I107" i="21"/>
  <c r="P107" i="21" s="1"/>
  <c r="Q107" i="21"/>
  <c r="R107" i="21"/>
  <c r="G105" i="21"/>
  <c r="I105" i="21"/>
  <c r="P105" i="21" s="1"/>
  <c r="Q105" i="21"/>
  <c r="R105" i="21"/>
  <c r="G106" i="21"/>
  <c r="I106" i="21"/>
  <c r="P106" i="21" s="1"/>
  <c r="Q106" i="21"/>
  <c r="R106" i="21"/>
  <c r="G103" i="21"/>
  <c r="I103" i="21"/>
  <c r="P103" i="21" s="1"/>
  <c r="Q103" i="21"/>
  <c r="R103" i="21"/>
  <c r="G74" i="21"/>
  <c r="I74" i="21"/>
  <c r="P74" i="21" s="1"/>
  <c r="Q74" i="21"/>
  <c r="R74" i="21"/>
  <c r="G56" i="21"/>
  <c r="I56" i="21"/>
  <c r="P56" i="21" s="1"/>
  <c r="Q56" i="21"/>
  <c r="R56" i="21"/>
  <c r="G125" i="21"/>
  <c r="I125" i="21"/>
  <c r="P125" i="21" s="1"/>
  <c r="Q125" i="21"/>
  <c r="R125" i="21"/>
  <c r="G114" i="21"/>
  <c r="I114" i="21"/>
  <c r="P114" i="21" s="1"/>
  <c r="Q114" i="21"/>
  <c r="R114" i="21"/>
  <c r="G124" i="21"/>
  <c r="G123" i="21"/>
  <c r="G122" i="21"/>
  <c r="G130" i="21"/>
  <c r="G138" i="21"/>
  <c r="G83" i="21"/>
  <c r="G41" i="21"/>
  <c r="G16" i="21"/>
  <c r="G17" i="21"/>
  <c r="G100" i="21"/>
  <c r="G152" i="21"/>
  <c r="G84" i="21"/>
  <c r="G54" i="21"/>
  <c r="G93" i="21"/>
  <c r="G94" i="21"/>
  <c r="G85" i="21"/>
  <c r="G128" i="21"/>
  <c r="G141" i="21"/>
  <c r="G86" i="21"/>
  <c r="G129" i="21"/>
  <c r="G49" i="21"/>
  <c r="G126" i="21"/>
  <c r="G127" i="21"/>
  <c r="I124" i="21"/>
  <c r="P124" i="21" s="1"/>
  <c r="I123" i="21"/>
  <c r="P123" i="21" s="1"/>
  <c r="I122" i="21"/>
  <c r="P122" i="21" s="1"/>
  <c r="P130" i="21"/>
  <c r="I138" i="21"/>
  <c r="P138" i="21" s="1"/>
  <c r="I83" i="21"/>
  <c r="P83" i="21" s="1"/>
  <c r="I16" i="21"/>
  <c r="P16" i="21" s="1"/>
  <c r="I17" i="21"/>
  <c r="P17" i="21" s="1"/>
  <c r="I100" i="21"/>
  <c r="P100" i="21" s="1"/>
  <c r="I152" i="21"/>
  <c r="P152" i="21" s="1"/>
  <c r="I84" i="21"/>
  <c r="P84" i="21" s="1"/>
  <c r="I54" i="21"/>
  <c r="P54" i="21" s="1"/>
  <c r="I93" i="21"/>
  <c r="P93" i="21" s="1"/>
  <c r="I94" i="21"/>
  <c r="P94" i="21" s="1"/>
  <c r="P85" i="21"/>
  <c r="I128" i="21"/>
  <c r="P128" i="21" s="1"/>
  <c r="I141" i="21"/>
  <c r="P141" i="21" s="1"/>
  <c r="I86" i="21"/>
  <c r="P86" i="21" s="1"/>
  <c r="I129" i="21"/>
  <c r="P129" i="21" s="1"/>
  <c r="I49" i="21"/>
  <c r="P49" i="21" s="1"/>
  <c r="I126" i="21"/>
  <c r="P126" i="21" s="1"/>
  <c r="I127" i="21"/>
  <c r="P127" i="21" s="1"/>
  <c r="P41" i="21"/>
  <c r="Q124" i="21"/>
  <c r="Q123" i="21"/>
  <c r="Q122" i="21"/>
  <c r="Q130" i="21"/>
  <c r="Q138" i="21"/>
  <c r="Q83" i="21"/>
  <c r="Q41" i="21"/>
  <c r="Q16" i="21"/>
  <c r="Q17" i="21"/>
  <c r="Q100" i="21"/>
  <c r="Q152" i="21"/>
  <c r="Q84" i="21"/>
  <c r="Q54" i="21"/>
  <c r="Q93" i="21"/>
  <c r="Q94" i="21"/>
  <c r="Q85" i="21"/>
  <c r="Q128" i="21"/>
  <c r="Q141" i="21"/>
  <c r="Q86" i="21"/>
  <c r="Q129" i="21"/>
  <c r="Q49" i="21"/>
  <c r="Q126" i="21"/>
  <c r="Q127" i="21"/>
  <c r="R124" i="21"/>
  <c r="R123" i="21"/>
  <c r="R122" i="21"/>
  <c r="R130" i="21"/>
  <c r="R138" i="21"/>
  <c r="R83" i="21"/>
  <c r="R41" i="21"/>
  <c r="R16" i="21"/>
  <c r="R17" i="21"/>
  <c r="R100" i="21"/>
  <c r="R152" i="21"/>
  <c r="R84" i="21"/>
  <c r="R54" i="21"/>
  <c r="R93" i="21"/>
  <c r="R94" i="21"/>
  <c r="R85" i="21"/>
  <c r="R128" i="21"/>
  <c r="R141" i="21"/>
  <c r="R86" i="21"/>
  <c r="R129" i="21"/>
  <c r="R49" i="21"/>
  <c r="R126" i="21"/>
  <c r="R127" i="21"/>
  <c r="G82" i="21"/>
  <c r="P82" i="21"/>
  <c r="Q82" i="21"/>
  <c r="R82" i="21"/>
  <c r="G47" i="21"/>
  <c r="I47" i="21"/>
  <c r="P47" i="21" s="1"/>
  <c r="Q47" i="21"/>
  <c r="R47" i="21"/>
  <c r="G48" i="21"/>
  <c r="I48" i="21"/>
  <c r="P48" i="21" s="1"/>
  <c r="Q48" i="21"/>
  <c r="R48" i="21"/>
  <c r="G99" i="21"/>
  <c r="I99" i="21"/>
  <c r="P99" i="21" s="1"/>
  <c r="Q99" i="21"/>
  <c r="R99" i="21"/>
  <c r="G108" i="21"/>
  <c r="I108" i="21"/>
  <c r="P108" i="21" s="1"/>
  <c r="Q108" i="21"/>
  <c r="R108" i="21"/>
  <c r="G81" i="21"/>
  <c r="P81" i="21"/>
  <c r="Q81" i="21"/>
  <c r="R81" i="21"/>
  <c r="G80" i="21"/>
  <c r="I80" i="21"/>
  <c r="P80" i="21" s="1"/>
  <c r="Q80" i="21"/>
  <c r="R80" i="21"/>
  <c r="G121" i="21"/>
  <c r="P121" i="21"/>
  <c r="Q121" i="21"/>
  <c r="R121" i="21"/>
  <c r="G78" i="21"/>
  <c r="I78" i="21"/>
  <c r="P78" i="21" s="1"/>
  <c r="Q78" i="21"/>
  <c r="R78" i="21"/>
  <c r="G140" i="21"/>
  <c r="P140" i="21"/>
  <c r="Q140" i="21"/>
  <c r="R140" i="21"/>
  <c r="G104" i="21"/>
  <c r="I104" i="21"/>
  <c r="P104" i="21" s="1"/>
  <c r="Q104" i="21"/>
  <c r="R104" i="21"/>
  <c r="G79" i="21"/>
  <c r="P79" i="21"/>
  <c r="Q79" i="21"/>
  <c r="R79" i="21"/>
  <c r="G150" i="21"/>
  <c r="I150" i="21"/>
  <c r="P150" i="21" s="1"/>
  <c r="Q150" i="21"/>
  <c r="R150" i="21"/>
  <c r="G55" i="21"/>
  <c r="I55" i="21"/>
  <c r="P55" i="21" s="1"/>
  <c r="Q55" i="21"/>
  <c r="R55" i="21"/>
  <c r="G120" i="21"/>
  <c r="I120" i="21"/>
  <c r="P120" i="21" s="1"/>
  <c r="Q120" i="21"/>
  <c r="R120" i="21"/>
  <c r="G91" i="21"/>
  <c r="I91" i="21"/>
  <c r="P91" i="21" s="1"/>
  <c r="Q91" i="21"/>
  <c r="R91" i="21"/>
  <c r="G50" i="21"/>
  <c r="I50" i="21"/>
  <c r="P50" i="21" s="1"/>
  <c r="Q50" i="21"/>
  <c r="R50" i="21"/>
  <c r="G119" i="21"/>
  <c r="I119" i="21"/>
  <c r="P119" i="21" s="1"/>
  <c r="Q119" i="21"/>
  <c r="R119" i="21"/>
  <c r="G77" i="21"/>
  <c r="I77" i="21"/>
  <c r="P77" i="21" s="1"/>
  <c r="Q77" i="21"/>
  <c r="R77" i="21"/>
  <c r="G29" i="21"/>
  <c r="I29" i="21"/>
  <c r="P29" i="21" s="1"/>
  <c r="Q29" i="21"/>
  <c r="R29" i="21"/>
  <c r="G98" i="21"/>
  <c r="I98" i="21"/>
  <c r="P98" i="21" s="1"/>
  <c r="Q98" i="21"/>
  <c r="R98" i="21"/>
  <c r="G137" i="21"/>
  <c r="I137" i="21"/>
  <c r="P137" i="21" s="1"/>
  <c r="Q137" i="21"/>
  <c r="R137" i="21"/>
  <c r="G135" i="21"/>
  <c r="I135" i="21"/>
  <c r="P135" i="21" s="1"/>
  <c r="Q135" i="21"/>
  <c r="R135" i="21"/>
  <c r="G76" i="21"/>
  <c r="P76" i="21"/>
  <c r="Q76" i="21"/>
  <c r="R76" i="21"/>
  <c r="G136" i="21"/>
  <c r="I136" i="21"/>
  <c r="P136" i="21" s="1"/>
  <c r="Q136" i="21"/>
  <c r="R136" i="21"/>
  <c r="G75" i="21"/>
  <c r="I75" i="21"/>
  <c r="P75" i="21" s="1"/>
  <c r="Q75" i="21"/>
  <c r="R75" i="21"/>
  <c r="G118" i="21"/>
  <c r="I118" i="21"/>
  <c r="P118" i="21" s="1"/>
  <c r="Q118" i="21"/>
  <c r="R118" i="21"/>
  <c r="G117" i="21"/>
  <c r="I117" i="21"/>
  <c r="P117" i="21" s="1"/>
  <c r="Q117" i="21"/>
  <c r="R117" i="21"/>
  <c r="G52" i="21"/>
  <c r="I52" i="21"/>
  <c r="P52" i="21" s="1"/>
  <c r="Q52" i="21"/>
  <c r="R52" i="21"/>
  <c r="G58" i="21"/>
  <c r="I58" i="21"/>
  <c r="G57" i="21"/>
  <c r="I57" i="21"/>
  <c r="G60" i="21"/>
  <c r="I60" i="21"/>
  <c r="G13" i="21"/>
  <c r="I13" i="21"/>
  <c r="G131" i="21"/>
  <c r="I131" i="21"/>
  <c r="G133" i="21"/>
  <c r="I133" i="21"/>
  <c r="G142" i="21"/>
  <c r="G139" i="21"/>
  <c r="I139" i="21"/>
  <c r="G132" i="21"/>
  <c r="I132" i="21"/>
  <c r="G110" i="21"/>
  <c r="I110" i="21"/>
  <c r="G15" i="21"/>
  <c r="I15" i="21"/>
  <c r="G14" i="21"/>
  <c r="I14" i="21"/>
  <c r="G134" i="21"/>
  <c r="I134" i="21"/>
  <c r="G51" i="21"/>
  <c r="I51" i="21"/>
  <c r="G143" i="21"/>
  <c r="I143" i="21"/>
  <c r="G144" i="21"/>
  <c r="I144" i="21"/>
  <c r="G42" i="21"/>
  <c r="I42" i="21"/>
  <c r="G151" i="21"/>
  <c r="I151" i="21"/>
  <c r="G96" i="21"/>
  <c r="I96" i="21"/>
  <c r="G63" i="21"/>
  <c r="I63" i="21"/>
  <c r="G62" i="21"/>
  <c r="I62" i="21"/>
  <c r="G111" i="21"/>
  <c r="I111" i="21"/>
  <c r="G23" i="21"/>
  <c r="I23" i="21"/>
  <c r="G145" i="21"/>
  <c r="G87" i="21"/>
  <c r="I87" i="21"/>
  <c r="G90" i="21"/>
  <c r="I90" i="21"/>
  <c r="G88" i="21"/>
  <c r="I88" i="21"/>
  <c r="G89" i="21"/>
  <c r="I89" i="21"/>
  <c r="G146" i="21"/>
  <c r="G113" i="21"/>
  <c r="I113" i="21"/>
  <c r="G67" i="21"/>
  <c r="I67" i="21"/>
  <c r="P67" i="21" s="1"/>
  <c r="G66" i="21"/>
  <c r="I66" i="21"/>
  <c r="P66" i="21" s="1"/>
  <c r="G112" i="21"/>
  <c r="I112" i="21"/>
  <c r="P112" i="21" s="1"/>
  <c r="G26" i="21"/>
  <c r="I26" i="21"/>
  <c r="P26" i="21" s="1"/>
  <c r="G70" i="21"/>
  <c r="G68" i="21"/>
  <c r="I68" i="21"/>
  <c r="P68" i="21" s="1"/>
  <c r="G72" i="21"/>
  <c r="I72" i="21"/>
  <c r="P72" i="21" s="1"/>
  <c r="G71" i="21"/>
  <c r="I71" i="21"/>
  <c r="P71" i="21" s="1"/>
  <c r="G115" i="21"/>
  <c r="I115" i="21"/>
  <c r="P115" i="21" s="1"/>
  <c r="G97" i="21"/>
  <c r="I97" i="21"/>
  <c r="P97" i="21" s="1"/>
  <c r="I116" i="21"/>
  <c r="P116" i="21" s="1"/>
  <c r="G73" i="21"/>
  <c r="P73" i="21"/>
  <c r="G40" i="21"/>
  <c r="G102" i="21"/>
  <c r="I102" i="21"/>
  <c r="P102" i="21" s="1"/>
  <c r="G101" i="21"/>
  <c r="I101" i="21"/>
  <c r="P101" i="21" s="1"/>
  <c r="G147" i="21"/>
  <c r="I147" i="21"/>
  <c r="P147" i="21" s="1"/>
  <c r="G149" i="21"/>
  <c r="I149" i="21"/>
  <c r="P149" i="21" s="1"/>
  <c r="G148" i="21"/>
  <c r="I148" i="21"/>
  <c r="P148" i="21" s="1"/>
  <c r="H153" i="21"/>
  <c r="J153" i="21"/>
  <c r="K153" i="21"/>
  <c r="L153" i="21"/>
  <c r="M153" i="21"/>
  <c r="H203" i="21"/>
  <c r="K203" i="21"/>
  <c r="G230" i="21"/>
  <c r="I230" i="21"/>
  <c r="L230" i="21" s="1"/>
  <c r="G229" i="21"/>
  <c r="I229" i="21"/>
  <c r="L229" i="21" s="1"/>
  <c r="G228" i="21"/>
  <c r="I228" i="21"/>
  <c r="L228" i="21" s="1"/>
  <c r="G221" i="21"/>
  <c r="I221" i="21"/>
  <c r="L221" i="21" s="1"/>
  <c r="G227" i="21"/>
  <c r="I227" i="21"/>
  <c r="L227" i="21" s="1"/>
  <c r="G340" i="21"/>
  <c r="I340" i="21"/>
  <c r="L340" i="21" s="1"/>
  <c r="G339" i="21"/>
  <c r="I339" i="21"/>
  <c r="L339" i="21" s="1"/>
  <c r="G226" i="21"/>
  <c r="I226" i="21"/>
  <c r="L226" i="21" s="1"/>
  <c r="G363" i="21"/>
  <c r="I363" i="21"/>
  <c r="L363" i="21" s="1"/>
  <c r="H403" i="21"/>
  <c r="J403" i="21"/>
  <c r="K403" i="21"/>
  <c r="M403" i="21"/>
  <c r="L1145" i="21"/>
  <c r="L1465" i="21"/>
  <c r="L1146" i="21"/>
  <c r="L1461" i="21"/>
  <c r="L1460" i="21"/>
  <c r="L1887" i="21"/>
  <c r="H3026" i="21"/>
  <c r="I3026" i="21"/>
  <c r="J3026" i="21"/>
  <c r="K3026" i="21"/>
  <c r="M3026" i="21"/>
  <c r="Q148" i="21"/>
  <c r="R148" i="21"/>
  <c r="Q149" i="21"/>
  <c r="R149" i="21"/>
  <c r="Q147" i="21"/>
  <c r="R147" i="21"/>
  <c r="Q101" i="21"/>
  <c r="R101" i="21"/>
  <c r="Q102" i="21"/>
  <c r="R102" i="21"/>
  <c r="P40" i="21"/>
  <c r="Q40" i="21"/>
  <c r="R40" i="21"/>
  <c r="Q73" i="21"/>
  <c r="R73" i="21"/>
  <c r="Q116" i="21"/>
  <c r="R116" i="21"/>
  <c r="Q97" i="21"/>
  <c r="R97" i="21"/>
  <c r="Q115" i="21"/>
  <c r="R115" i="21"/>
  <c r="Q71" i="21"/>
  <c r="R71" i="21"/>
  <c r="Q72" i="21"/>
  <c r="R72" i="21"/>
  <c r="Q68" i="21"/>
  <c r="R68" i="21"/>
  <c r="P70" i="21"/>
  <c r="Q70" i="21"/>
  <c r="R70" i="21"/>
  <c r="Q26" i="21"/>
  <c r="R26" i="21"/>
  <c r="Q112" i="21"/>
  <c r="R112" i="21"/>
  <c r="Q66" i="21"/>
  <c r="R66" i="21"/>
  <c r="Q67" i="21"/>
  <c r="R67" i="21"/>
  <c r="G3030" i="21"/>
  <c r="G3031" i="21"/>
  <c r="G3032" i="21"/>
  <c r="G3033" i="21"/>
  <c r="G3034" i="21"/>
  <c r="L3026" i="21" l="1"/>
  <c r="L403" i="21"/>
  <c r="I403" i="21"/>
  <c r="P113" i="21"/>
  <c r="Q113" i="21"/>
  <c r="R113" i="21"/>
  <c r="P146" i="21"/>
  <c r="Q146" i="21"/>
  <c r="R146" i="21"/>
  <c r="P89" i="21"/>
  <c r="Q89" i="21"/>
  <c r="R89" i="21"/>
  <c r="P88" i="21"/>
  <c r="Q88" i="21"/>
  <c r="R88" i="21"/>
  <c r="P90" i="21"/>
  <c r="Q90" i="21"/>
  <c r="R90" i="21"/>
  <c r="P87" i="21"/>
  <c r="Q87" i="21"/>
  <c r="R87" i="21"/>
  <c r="P145" i="21"/>
  <c r="Q145" i="21"/>
  <c r="R145" i="21"/>
  <c r="P23" i="21"/>
  <c r="Q23" i="21"/>
  <c r="R23" i="21"/>
  <c r="P111" i="21"/>
  <c r="Q111" i="21"/>
  <c r="R111" i="21"/>
  <c r="P62" i="21"/>
  <c r="Q62" i="21"/>
  <c r="R62" i="21"/>
  <c r="P63" i="21"/>
  <c r="Q63" i="21"/>
  <c r="R63" i="21"/>
  <c r="P96" i="21"/>
  <c r="Q96" i="21"/>
  <c r="R96" i="21"/>
  <c r="P151" i="21"/>
  <c r="Q151" i="21"/>
  <c r="R151" i="21"/>
  <c r="P42" i="21"/>
  <c r="Q42" i="21"/>
  <c r="R42" i="21"/>
  <c r="P144" i="21"/>
  <c r="Q144" i="21"/>
  <c r="R144" i="21"/>
  <c r="P143" i="21"/>
  <c r="Q143" i="21"/>
  <c r="R143" i="21"/>
  <c r="P51" i="21"/>
  <c r="Q51" i="21"/>
  <c r="R51" i="21"/>
  <c r="P134" i="21"/>
  <c r="Q134" i="21"/>
  <c r="R134" i="21"/>
  <c r="P14" i="21"/>
  <c r="Q14" i="21"/>
  <c r="R14" i="21"/>
  <c r="P15" i="21"/>
  <c r="Q15" i="21"/>
  <c r="R15" i="21"/>
  <c r="P110" i="21"/>
  <c r="Q110" i="21"/>
  <c r="R110" i="21"/>
  <c r="P132" i="21"/>
  <c r="Q132" i="21"/>
  <c r="R132" i="21"/>
  <c r="P139" i="21"/>
  <c r="Q139" i="21"/>
  <c r="R139" i="21"/>
  <c r="P142" i="21"/>
  <c r="Q142" i="21"/>
  <c r="R142" i="21"/>
  <c r="G193" i="14" l="1"/>
  <c r="G194" i="14"/>
  <c r="G195" i="14"/>
  <c r="G196" i="14"/>
  <c r="H200" i="14"/>
  <c r="I155" i="14" l="1"/>
  <c r="H139" i="14"/>
  <c r="H137" i="14"/>
  <c r="H138" i="14"/>
  <c r="G9" i="14" l="1"/>
  <c r="I9" i="14"/>
  <c r="Q9" i="14"/>
  <c r="R9" i="14"/>
  <c r="G183" i="14"/>
  <c r="I183" i="14"/>
  <c r="P183" i="14" s="1"/>
  <c r="Q183" i="14"/>
  <c r="R183" i="14"/>
  <c r="G182" i="14"/>
  <c r="I182" i="14"/>
  <c r="P182" i="14" s="1"/>
  <c r="Q182" i="14"/>
  <c r="R182" i="14"/>
  <c r="G150" i="14"/>
  <c r="I150" i="14"/>
  <c r="P150" i="14" s="1"/>
  <c r="Q150" i="14"/>
  <c r="R150" i="14"/>
  <c r="G184" i="14"/>
  <c r="I184" i="14"/>
  <c r="P184" i="14" s="1"/>
  <c r="Q184" i="14"/>
  <c r="R184" i="14"/>
  <c r="G135" i="14"/>
  <c r="I135" i="14"/>
  <c r="P135" i="14" s="1"/>
  <c r="Q135" i="14"/>
  <c r="R135" i="14"/>
  <c r="G9" i="19"/>
  <c r="I9" i="19"/>
  <c r="Q9" i="19"/>
  <c r="R9" i="19"/>
  <c r="H220" i="14"/>
  <c r="H222" i="14"/>
  <c r="H221" i="14"/>
  <c r="H210" i="14"/>
  <c r="H206" i="14"/>
  <c r="H211" i="14"/>
  <c r="H212" i="14"/>
  <c r="H213" i="14"/>
  <c r="H207" i="14"/>
  <c r="H208" i="14"/>
  <c r="K222" i="14"/>
  <c r="K221" i="14"/>
  <c r="K210" i="14"/>
  <c r="K206" i="14"/>
  <c r="K211" i="14"/>
  <c r="K212" i="14"/>
  <c r="K213" i="14"/>
  <c r="K207" i="14"/>
  <c r="H225" i="14"/>
  <c r="H226" i="14"/>
  <c r="K209" i="14"/>
  <c r="K208" i="14"/>
  <c r="K225" i="14"/>
  <c r="K226" i="14"/>
  <c r="H227" i="14"/>
  <c r="K227" i="14"/>
  <c r="H228" i="14"/>
  <c r="K228" i="14"/>
  <c r="H215" i="14"/>
  <c r="K215" i="14"/>
  <c r="H214" i="14"/>
  <c r="K214" i="14"/>
  <c r="K220" i="14"/>
  <c r="H216" i="14"/>
  <c r="K216" i="14"/>
  <c r="H218" i="14"/>
  <c r="K218" i="14"/>
  <c r="I26" i="14"/>
  <c r="G34" i="14"/>
  <c r="I34" i="14"/>
  <c r="P34" i="14" s="1"/>
  <c r="Q34" i="14"/>
  <c r="R34" i="14"/>
  <c r="G49" i="14"/>
  <c r="I49" i="14"/>
  <c r="P49" i="14" s="1"/>
  <c r="Q49" i="14"/>
  <c r="R49" i="14"/>
  <c r="G106" i="14"/>
  <c r="I106" i="14"/>
  <c r="P106" i="14" s="1"/>
  <c r="Q106" i="14"/>
  <c r="R106" i="14"/>
  <c r="G50" i="14"/>
  <c r="I50" i="14"/>
  <c r="P50" i="14" s="1"/>
  <c r="Q50" i="14"/>
  <c r="R50" i="14"/>
  <c r="G17" i="14"/>
  <c r="I17" i="14"/>
  <c r="P17" i="14" s="1"/>
  <c r="Q17" i="14"/>
  <c r="R17" i="14"/>
  <c r="G20" i="14"/>
  <c r="I20" i="14"/>
  <c r="P20" i="14" s="1"/>
  <c r="Q20" i="14"/>
  <c r="R20" i="14"/>
  <c r="G19" i="14"/>
  <c r="I19" i="14"/>
  <c r="P19" i="14" s="1"/>
  <c r="Q19" i="14"/>
  <c r="R19" i="14"/>
  <c r="G18" i="14"/>
  <c r="I18" i="14"/>
  <c r="P18" i="14" s="1"/>
  <c r="Q18" i="14"/>
  <c r="R18" i="14"/>
  <c r="G52" i="14"/>
  <c r="I52" i="14"/>
  <c r="P52" i="14" s="1"/>
  <c r="Q52" i="14"/>
  <c r="R52" i="14"/>
  <c r="P9" i="19" l="1"/>
  <c r="P9" i="14"/>
  <c r="G14" i="14"/>
  <c r="I14" i="14"/>
  <c r="P14" i="14" s="1"/>
  <c r="Q14" i="14"/>
  <c r="R14" i="14"/>
  <c r="G28" i="14"/>
  <c r="I28" i="14"/>
  <c r="P28" i="14" s="1"/>
  <c r="Q28" i="14"/>
  <c r="R28" i="14"/>
  <c r="G51" i="14"/>
  <c r="I51" i="14"/>
  <c r="P51" i="14" s="1"/>
  <c r="Q51" i="14"/>
  <c r="R51" i="14"/>
  <c r="G105" i="14"/>
  <c r="I105" i="14"/>
  <c r="P105" i="14" s="1"/>
  <c r="Q105" i="14"/>
  <c r="R105" i="14"/>
  <c r="G116" i="14"/>
  <c r="I116" i="14"/>
  <c r="P116" i="14" s="1"/>
  <c r="Q116" i="14"/>
  <c r="R116" i="14"/>
  <c r="G112" i="14"/>
  <c r="I112" i="14"/>
  <c r="P112" i="14" s="1"/>
  <c r="Q112" i="14"/>
  <c r="R112" i="14"/>
  <c r="G27" i="14"/>
  <c r="I27" i="14"/>
  <c r="P27" i="14" s="1"/>
  <c r="Q27" i="14"/>
  <c r="R27" i="14"/>
  <c r="G26" i="14"/>
  <c r="P26" i="14"/>
  <c r="Q26" i="14"/>
  <c r="R26" i="14"/>
  <c r="G43" i="14"/>
  <c r="I43" i="14"/>
  <c r="P43" i="14" s="1"/>
  <c r="Q43" i="14"/>
  <c r="R43" i="14"/>
  <c r="G42" i="14"/>
  <c r="I42" i="14"/>
  <c r="P42" i="14" s="1"/>
  <c r="Q42" i="14"/>
  <c r="R42" i="14"/>
  <c r="G41" i="14"/>
  <c r="I41" i="14"/>
  <c r="P41" i="14" s="1"/>
  <c r="Q41" i="14"/>
  <c r="R41" i="14"/>
  <c r="G25" i="14"/>
  <c r="I25" i="14"/>
  <c r="P25" i="14" s="1"/>
  <c r="Q25" i="14"/>
  <c r="R25" i="14"/>
  <c r="G23" i="14"/>
  <c r="I23" i="14"/>
  <c r="P23" i="14" s="1"/>
  <c r="Q23" i="14"/>
  <c r="R23" i="14"/>
  <c r="G24" i="14"/>
  <c r="I24" i="14"/>
  <c r="P24" i="14" s="1"/>
  <c r="Q24" i="14"/>
  <c r="R24" i="14"/>
  <c r="G40" i="14"/>
  <c r="I40" i="14"/>
  <c r="P40" i="14" s="1"/>
  <c r="Q40" i="14"/>
  <c r="R40" i="14"/>
  <c r="G22" i="14"/>
  <c r="I22" i="14"/>
  <c r="P22" i="14" s="1"/>
  <c r="Q22" i="14"/>
  <c r="R22" i="14"/>
  <c r="G35" i="14"/>
  <c r="I35" i="14"/>
  <c r="P35" i="14" s="1"/>
  <c r="Q35" i="14"/>
  <c r="R35" i="14"/>
  <c r="G39" i="14"/>
  <c r="I39" i="14"/>
  <c r="P39" i="14" s="1"/>
  <c r="Q39" i="14"/>
  <c r="R39" i="14"/>
  <c r="G21" i="14"/>
  <c r="I21" i="14"/>
  <c r="P21" i="14" s="1"/>
  <c r="Q21" i="14"/>
  <c r="R21" i="14"/>
  <c r="G36" i="14"/>
  <c r="I36" i="14"/>
  <c r="P36" i="14" s="1"/>
  <c r="Q36" i="14"/>
  <c r="R36" i="14"/>
  <c r="G38" i="14"/>
  <c r="I38" i="14"/>
  <c r="P38" i="14" s="1"/>
  <c r="Q38" i="14"/>
  <c r="R38" i="14"/>
  <c r="G37" i="14"/>
  <c r="I37" i="14"/>
  <c r="P37" i="14" s="1"/>
  <c r="Q37" i="14"/>
  <c r="R37" i="14"/>
  <c r="G110" i="14"/>
  <c r="I110" i="14"/>
  <c r="P110" i="14" s="1"/>
  <c r="Q110" i="14"/>
  <c r="R110" i="14"/>
  <c r="G169" i="14"/>
  <c r="I169" i="14"/>
  <c r="P169" i="14" s="1"/>
  <c r="Q169" i="14"/>
  <c r="R169" i="14"/>
  <c r="G33" i="14"/>
  <c r="I33" i="14"/>
  <c r="P33" i="14" s="1"/>
  <c r="Q33" i="14"/>
  <c r="R33" i="14"/>
  <c r="G13" i="14"/>
  <c r="I13" i="14"/>
  <c r="P13" i="14" s="1"/>
  <c r="Q13" i="14"/>
  <c r="R13" i="14"/>
  <c r="G16" i="14"/>
  <c r="I16" i="14"/>
  <c r="P16" i="14" s="1"/>
  <c r="Q16" i="14"/>
  <c r="R16" i="14"/>
  <c r="G90" i="14"/>
  <c r="I90" i="14"/>
  <c r="P90" i="14" s="1"/>
  <c r="Q90" i="14"/>
  <c r="R90" i="14"/>
  <c r="G67" i="14"/>
  <c r="I67" i="14"/>
  <c r="P67" i="14" s="1"/>
  <c r="Q67" i="14"/>
  <c r="R67" i="14"/>
  <c r="G117" i="14"/>
  <c r="I117" i="14"/>
  <c r="P117" i="14" s="1"/>
  <c r="Q117" i="14"/>
  <c r="R117" i="14"/>
  <c r="G101" i="14"/>
  <c r="I101" i="14"/>
  <c r="P101" i="14" s="1"/>
  <c r="Q101" i="14"/>
  <c r="R101" i="14"/>
  <c r="G99" i="14"/>
  <c r="I99" i="14"/>
  <c r="P99" i="14" s="1"/>
  <c r="Q99" i="14"/>
  <c r="R99" i="14"/>
  <c r="G100" i="14"/>
  <c r="I100" i="14"/>
  <c r="P100" i="14" s="1"/>
  <c r="Q100" i="14"/>
  <c r="R100" i="14"/>
  <c r="G88" i="14"/>
  <c r="P88" i="14"/>
  <c r="Q88" i="14"/>
  <c r="R88" i="14"/>
  <c r="G154" i="14"/>
  <c r="I154" i="14"/>
  <c r="P154" i="14" s="1"/>
  <c r="Q154" i="14"/>
  <c r="R154" i="14"/>
  <c r="G102" i="14"/>
  <c r="I102" i="14"/>
  <c r="P102" i="14" s="1"/>
  <c r="Q102" i="14"/>
  <c r="R102" i="14"/>
  <c r="G104" i="14"/>
  <c r="I104" i="14"/>
  <c r="P104" i="14" s="1"/>
  <c r="Q104" i="14"/>
  <c r="R104" i="14"/>
  <c r="G103" i="14"/>
  <c r="I103" i="14"/>
  <c r="P103" i="14" s="1"/>
  <c r="Q103" i="14"/>
  <c r="R103" i="14"/>
  <c r="G98" i="14"/>
  <c r="I98" i="14"/>
  <c r="P98" i="14" s="1"/>
  <c r="Q98" i="14"/>
  <c r="R98" i="14"/>
  <c r="G91" i="14"/>
  <c r="I91" i="14"/>
  <c r="P91" i="14" s="1"/>
  <c r="Q91" i="14"/>
  <c r="R91" i="14"/>
  <c r="G120" i="14"/>
  <c r="I120" i="14"/>
  <c r="P120" i="14" s="1"/>
  <c r="Q120" i="14"/>
  <c r="R120" i="14"/>
  <c r="G47" i="14"/>
  <c r="P47" i="14"/>
  <c r="Q47" i="14"/>
  <c r="R47" i="14"/>
  <c r="G159" i="14"/>
  <c r="P159" i="14"/>
  <c r="Q159" i="14"/>
  <c r="R159" i="14"/>
  <c r="G170" i="14"/>
  <c r="I170" i="14"/>
  <c r="P170" i="14" s="1"/>
  <c r="Q170" i="14"/>
  <c r="R170" i="14"/>
  <c r="G61" i="14"/>
  <c r="P61" i="14"/>
  <c r="Q61" i="14"/>
  <c r="R61" i="14"/>
  <c r="G66" i="14"/>
  <c r="I66" i="14"/>
  <c r="P66" i="14" s="1"/>
  <c r="Q66" i="14"/>
  <c r="R66" i="14"/>
  <c r="G158" i="14"/>
  <c r="I158" i="14"/>
  <c r="P158" i="14" s="1"/>
  <c r="Q158" i="14"/>
  <c r="R158" i="14"/>
  <c r="G107" i="14"/>
  <c r="I107" i="14"/>
  <c r="P107" i="14" s="1"/>
  <c r="Q107" i="14"/>
  <c r="R107" i="14"/>
  <c r="G32" i="14"/>
  <c r="I32" i="14"/>
  <c r="P32" i="14" s="1"/>
  <c r="Q32" i="14"/>
  <c r="R32" i="14"/>
  <c r="G79" i="14"/>
  <c r="I79" i="14"/>
  <c r="P79" i="14" s="1"/>
  <c r="Q79" i="14"/>
  <c r="R79" i="14"/>
  <c r="G94" i="14"/>
  <c r="I94" i="14"/>
  <c r="P94" i="14" s="1"/>
  <c r="Q94" i="14"/>
  <c r="R94" i="14"/>
  <c r="G132" i="14"/>
  <c r="I132" i="14"/>
  <c r="P132" i="14" s="1"/>
  <c r="Q132" i="14"/>
  <c r="R132" i="14"/>
  <c r="G129" i="14"/>
  <c r="I129" i="14"/>
  <c r="P129" i="14" s="1"/>
  <c r="Q129" i="14"/>
  <c r="R129" i="14"/>
  <c r="G165" i="14"/>
  <c r="I165" i="14"/>
  <c r="P165" i="14" s="1"/>
  <c r="Q165" i="14"/>
  <c r="R165" i="14"/>
  <c r="G128" i="14"/>
  <c r="I128" i="14"/>
  <c r="P128" i="14" s="1"/>
  <c r="Q128" i="14"/>
  <c r="R128" i="14"/>
  <c r="G134" i="14"/>
  <c r="P134" i="14"/>
  <c r="Q134" i="14"/>
  <c r="R134" i="14"/>
  <c r="G145" i="14"/>
  <c r="I145" i="14"/>
  <c r="P145" i="14" s="1"/>
  <c r="Q145" i="14"/>
  <c r="R145" i="14"/>
  <c r="G168" i="14"/>
  <c r="I168" i="14"/>
  <c r="P168" i="14" s="1"/>
  <c r="Q168" i="14"/>
  <c r="R168" i="14"/>
  <c r="G87" i="14"/>
  <c r="P87" i="14"/>
  <c r="Q87" i="14"/>
  <c r="R87" i="14"/>
  <c r="G119" i="14"/>
  <c r="I119" i="14"/>
  <c r="P119" i="14" s="1"/>
  <c r="Q119" i="14"/>
  <c r="R119" i="14"/>
  <c r="G86" i="14"/>
  <c r="P86" i="14"/>
  <c r="Q86" i="14"/>
  <c r="R86" i="14"/>
  <c r="G143" i="14"/>
  <c r="I143" i="14"/>
  <c r="P143" i="14" s="1"/>
  <c r="Q143" i="14"/>
  <c r="R143" i="14"/>
  <c r="G53" i="14"/>
  <c r="I53" i="14"/>
  <c r="P53" i="14" s="1"/>
  <c r="Q53" i="14"/>
  <c r="R53" i="14"/>
  <c r="G77" i="14"/>
  <c r="I77" i="14"/>
  <c r="P77" i="14" s="1"/>
  <c r="Q77" i="14"/>
  <c r="R77" i="14"/>
  <c r="G95" i="14"/>
  <c r="P95" i="14"/>
  <c r="Q95" i="14"/>
  <c r="R95" i="14"/>
  <c r="G172" i="14"/>
  <c r="I172" i="14"/>
  <c r="P172" i="14" s="1"/>
  <c r="Q172" i="14"/>
  <c r="R172" i="14"/>
  <c r="G173" i="14"/>
  <c r="I173" i="14"/>
  <c r="P173" i="14" s="1"/>
  <c r="Q173" i="14"/>
  <c r="R173" i="14"/>
  <c r="G78" i="14"/>
  <c r="I78" i="14"/>
  <c r="P78" i="14" s="1"/>
  <c r="Q78" i="14"/>
  <c r="R78" i="14"/>
  <c r="G29" i="14"/>
  <c r="I29" i="14"/>
  <c r="P29" i="14" s="1"/>
  <c r="Q29" i="14"/>
  <c r="R29" i="14"/>
  <c r="G89" i="14"/>
  <c r="I89" i="14"/>
  <c r="P89" i="14" s="1"/>
  <c r="Q89" i="14"/>
  <c r="R89" i="14"/>
  <c r="G126" i="14"/>
  <c r="I126" i="14"/>
  <c r="P126" i="14" s="1"/>
  <c r="Q126" i="14"/>
  <c r="R126" i="14"/>
  <c r="G93" i="14"/>
  <c r="I93" i="14"/>
  <c r="P93" i="14" s="1"/>
  <c r="Q93" i="14"/>
  <c r="R93" i="14"/>
  <c r="G74" i="14"/>
  <c r="I74" i="14"/>
  <c r="P74" i="14" s="1"/>
  <c r="Q74" i="14"/>
  <c r="R74" i="14"/>
  <c r="G63" i="14"/>
  <c r="I63" i="14"/>
  <c r="P63" i="14" s="1"/>
  <c r="Q63" i="14"/>
  <c r="R63" i="14"/>
  <c r="G64" i="14"/>
  <c r="I64" i="14"/>
  <c r="P64" i="14" s="1"/>
  <c r="Q64" i="14"/>
  <c r="R64" i="14"/>
  <c r="G59" i="14"/>
  <c r="I59" i="14"/>
  <c r="P59" i="14" s="1"/>
  <c r="Q59" i="14"/>
  <c r="R59" i="14"/>
  <c r="G48" i="14"/>
  <c r="I48" i="14"/>
  <c r="P48" i="14" s="1"/>
  <c r="Q48" i="14"/>
  <c r="R48" i="14"/>
  <c r="G92" i="14"/>
  <c r="I92" i="14"/>
  <c r="P92" i="14" s="1"/>
  <c r="Q92" i="14"/>
  <c r="R92" i="14"/>
  <c r="G157" i="14"/>
  <c r="I157" i="14"/>
  <c r="P157" i="14" s="1"/>
  <c r="Q157" i="14"/>
  <c r="R157" i="14"/>
  <c r="G15" i="14"/>
  <c r="I15" i="14"/>
  <c r="P15" i="14" s="1"/>
  <c r="Q15" i="14"/>
  <c r="R15" i="14"/>
  <c r="G31" i="14"/>
  <c r="I31" i="14"/>
  <c r="P31" i="14" s="1"/>
  <c r="Q31" i="14"/>
  <c r="R31" i="14"/>
  <c r="G72" i="14"/>
  <c r="I72" i="14"/>
  <c r="P72" i="14" s="1"/>
  <c r="Q72" i="14"/>
  <c r="R72" i="14"/>
  <c r="G71" i="14"/>
  <c r="I71" i="14"/>
  <c r="P71" i="14" s="1"/>
  <c r="Q71" i="14"/>
  <c r="R71" i="14"/>
  <c r="G131" i="14"/>
  <c r="I131" i="14"/>
  <c r="P131" i="14" s="1"/>
  <c r="Q131" i="14"/>
  <c r="R131" i="14"/>
  <c r="G125" i="14"/>
  <c r="I125" i="14"/>
  <c r="P125" i="14" s="1"/>
  <c r="Q125" i="14"/>
  <c r="R125" i="14"/>
  <c r="G114" i="14"/>
  <c r="I114" i="14"/>
  <c r="P114" i="14" s="1"/>
  <c r="Q114" i="14"/>
  <c r="R114" i="14"/>
  <c r="G46" i="14"/>
  <c r="P46" i="14"/>
  <c r="Q46" i="14"/>
  <c r="R46" i="14"/>
  <c r="G108" i="14"/>
  <c r="I108" i="14"/>
  <c r="P108" i="14" s="1"/>
  <c r="Q108" i="14"/>
  <c r="R108" i="14"/>
  <c r="G113" i="14"/>
  <c r="I113" i="14"/>
  <c r="P113" i="14" s="1"/>
  <c r="Q113" i="14"/>
  <c r="R113" i="14"/>
  <c r="G164" i="14"/>
  <c r="I164" i="14"/>
  <c r="P164" i="14" s="1"/>
  <c r="Q164" i="14"/>
  <c r="R164" i="14"/>
  <c r="G127" i="14"/>
  <c r="I127" i="14"/>
  <c r="P127" i="14" s="1"/>
  <c r="Q127" i="14"/>
  <c r="R127" i="14"/>
  <c r="G167" i="14"/>
  <c r="I167" i="14"/>
  <c r="P167" i="14" s="1"/>
  <c r="Q167" i="14"/>
  <c r="R167" i="14"/>
  <c r="G162" i="14"/>
  <c r="I162" i="14"/>
  <c r="P162" i="14" s="1"/>
  <c r="Q162" i="14"/>
  <c r="R162" i="14"/>
  <c r="G73" i="14"/>
  <c r="P73" i="14"/>
  <c r="Q73" i="14"/>
  <c r="R73" i="14"/>
  <c r="G85" i="14"/>
  <c r="I85" i="14"/>
  <c r="P85" i="14" s="1"/>
  <c r="Q85" i="14"/>
  <c r="R85" i="14"/>
  <c r="G84" i="14"/>
  <c r="P84" i="14"/>
  <c r="Q84" i="14"/>
  <c r="R84" i="14"/>
  <c r="G83" i="14"/>
  <c r="P83" i="14"/>
  <c r="Q83" i="14"/>
  <c r="R83" i="14"/>
  <c r="G115" i="14"/>
  <c r="I115" i="14"/>
  <c r="P115" i="14" s="1"/>
  <c r="Q115" i="14"/>
  <c r="R115" i="14"/>
  <c r="G153" i="14"/>
  <c r="I153" i="14"/>
  <c r="P153" i="14" s="1"/>
  <c r="Q153" i="14"/>
  <c r="R153" i="14"/>
  <c r="G179" i="14"/>
  <c r="I179" i="14"/>
  <c r="P179" i="14" s="1"/>
  <c r="Q179" i="14"/>
  <c r="R179" i="14"/>
  <c r="G118" i="14"/>
  <c r="I118" i="14"/>
  <c r="P118" i="14" s="1"/>
  <c r="Q118" i="14"/>
  <c r="R118" i="14"/>
  <c r="G141" i="14"/>
  <c r="I141" i="14"/>
  <c r="P141" i="14" s="1"/>
  <c r="Q141" i="14"/>
  <c r="R141" i="14"/>
  <c r="G177" i="14"/>
  <c r="I177" i="14"/>
  <c r="P177" i="14" s="1"/>
  <c r="Q177" i="14"/>
  <c r="R177" i="14"/>
  <c r="G130" i="14"/>
  <c r="I130" i="14"/>
  <c r="P130" i="14" s="1"/>
  <c r="Q130" i="14"/>
  <c r="R130" i="14"/>
  <c r="G156" i="14"/>
  <c r="I156" i="14"/>
  <c r="P156" i="14" s="1"/>
  <c r="Q156" i="14"/>
  <c r="R156" i="14"/>
  <c r="G62" i="14"/>
  <c r="P62" i="14"/>
  <c r="Q62" i="14"/>
  <c r="R62" i="14"/>
  <c r="G55" i="14"/>
  <c r="P55" i="14"/>
  <c r="Q55" i="14"/>
  <c r="R55" i="14"/>
  <c r="G151" i="14"/>
  <c r="I151" i="14"/>
  <c r="P151" i="14" s="1"/>
  <c r="Q151" i="14"/>
  <c r="R151" i="14"/>
  <c r="G178" i="14"/>
  <c r="I178" i="14"/>
  <c r="P178" i="14" s="1"/>
  <c r="Q178" i="14"/>
  <c r="R178" i="14"/>
  <c r="G171" i="14"/>
  <c r="I171" i="14"/>
  <c r="P171" i="14" s="1"/>
  <c r="Q171" i="14"/>
  <c r="R171" i="14"/>
  <c r="G142" i="14"/>
  <c r="I142" i="14"/>
  <c r="P142" i="14" s="1"/>
  <c r="Q142" i="14"/>
  <c r="R142" i="14"/>
  <c r="G76" i="14"/>
  <c r="I76" i="14"/>
  <c r="P76" i="14" s="1"/>
  <c r="Q76" i="14"/>
  <c r="R76" i="14"/>
  <c r="G65" i="14"/>
  <c r="I65" i="14"/>
  <c r="P65" i="14" s="1"/>
  <c r="Q65" i="14"/>
  <c r="R65" i="14"/>
  <c r="G58" i="14"/>
  <c r="I58" i="14"/>
  <c r="P58" i="14" s="1"/>
  <c r="Q58" i="14"/>
  <c r="R58" i="14"/>
  <c r="G144" i="14"/>
  <c r="I144" i="14"/>
  <c r="P144" i="14" s="1"/>
  <c r="Q144" i="14"/>
  <c r="R144" i="14"/>
  <c r="G97" i="14"/>
  <c r="I97" i="14"/>
  <c r="P97" i="14" s="1"/>
  <c r="Q97" i="14"/>
  <c r="R97" i="14"/>
  <c r="G136" i="14"/>
  <c r="I136" i="14"/>
  <c r="P136" i="14" s="1"/>
  <c r="Q136" i="14"/>
  <c r="R136" i="14"/>
  <c r="G56" i="14"/>
  <c r="I56" i="14"/>
  <c r="P56" i="14" s="1"/>
  <c r="Q56" i="14"/>
  <c r="R56" i="14"/>
  <c r="G139" i="14"/>
  <c r="I139" i="14"/>
  <c r="P139" i="14" s="1"/>
  <c r="Q139" i="14"/>
  <c r="R139" i="14"/>
  <c r="G149" i="14"/>
  <c r="I149" i="14"/>
  <c r="P149" i="14" s="1"/>
  <c r="Q149" i="14"/>
  <c r="R149" i="14"/>
  <c r="G30" i="14"/>
  <c r="I30" i="14"/>
  <c r="P30" i="14" s="1"/>
  <c r="Q30" i="14"/>
  <c r="R30" i="14"/>
  <c r="G60" i="14"/>
  <c r="I60" i="14"/>
  <c r="P60" i="14" s="1"/>
  <c r="Q60" i="14"/>
  <c r="R60" i="14"/>
  <c r="G44" i="14"/>
  <c r="P44" i="14"/>
  <c r="Q44" i="14"/>
  <c r="R44" i="14"/>
  <c r="G45" i="14"/>
  <c r="P45" i="14"/>
  <c r="Q45" i="14"/>
  <c r="R45" i="14"/>
  <c r="G124" i="14"/>
  <c r="I124" i="14"/>
  <c r="P124" i="14" s="1"/>
  <c r="Q124" i="14"/>
  <c r="R124" i="14"/>
  <c r="G123" i="14"/>
  <c r="I123" i="14"/>
  <c r="P123" i="14" s="1"/>
  <c r="Q123" i="14"/>
  <c r="R123" i="14"/>
  <c r="G122" i="14"/>
  <c r="I122" i="14"/>
  <c r="P122" i="14" s="1"/>
  <c r="Q122" i="14"/>
  <c r="R122" i="14"/>
  <c r="G121" i="14"/>
  <c r="I121" i="14"/>
  <c r="P121" i="14" s="1"/>
  <c r="Q121" i="14"/>
  <c r="R121" i="14"/>
  <c r="G133" i="14"/>
  <c r="I133" i="14"/>
  <c r="P133" i="14" s="1"/>
  <c r="Q133" i="14"/>
  <c r="R133" i="14"/>
  <c r="G96" i="14"/>
  <c r="I96" i="14"/>
  <c r="P96" i="14" s="1"/>
  <c r="Q96" i="14"/>
  <c r="R96" i="14"/>
  <c r="G176" i="14"/>
  <c r="P176" i="14"/>
  <c r="Q176" i="14"/>
  <c r="R176" i="14"/>
  <c r="G138" i="14"/>
  <c r="I138" i="14"/>
  <c r="P138" i="14" s="1"/>
  <c r="R138" i="14"/>
  <c r="G68" i="14"/>
  <c r="I68" i="14"/>
  <c r="P68" i="14" s="1"/>
  <c r="Q68" i="14"/>
  <c r="R68" i="14"/>
  <c r="G57" i="14"/>
  <c r="P57" i="14"/>
  <c r="Q57" i="14"/>
  <c r="R57" i="14"/>
  <c r="G181" i="14"/>
  <c r="P181" i="14"/>
  <c r="Q181" i="14"/>
  <c r="R181" i="14"/>
  <c r="G155" i="14"/>
  <c r="P155" i="14"/>
  <c r="Q155" i="14"/>
  <c r="R155" i="14"/>
  <c r="G109" i="14"/>
  <c r="I109" i="14"/>
  <c r="P109" i="14" s="1"/>
  <c r="Q109" i="14"/>
  <c r="R109" i="14"/>
  <c r="G81" i="14"/>
  <c r="P81" i="14"/>
  <c r="Q81" i="14"/>
  <c r="R81" i="14"/>
  <c r="G82" i="14"/>
  <c r="P82" i="14"/>
  <c r="Q82" i="14"/>
  <c r="R82" i="14"/>
  <c r="G137" i="14"/>
  <c r="I137" i="14"/>
  <c r="P137" i="14" s="1"/>
  <c r="R137" i="14"/>
  <c r="G148" i="14"/>
  <c r="I148" i="14"/>
  <c r="P148" i="14" s="1"/>
  <c r="Q148" i="14"/>
  <c r="R148" i="14"/>
  <c r="G70" i="14"/>
  <c r="I70" i="14"/>
  <c r="P70" i="14" s="1"/>
  <c r="Q70" i="14"/>
  <c r="R70" i="14"/>
  <c r="G10" i="14"/>
  <c r="I10" i="14"/>
  <c r="P10" i="14" s="1"/>
  <c r="Q10" i="14"/>
  <c r="R10" i="14"/>
  <c r="G147" i="14"/>
  <c r="I147" i="14"/>
  <c r="P147" i="14" s="1"/>
  <c r="Q147" i="14"/>
  <c r="R147" i="14"/>
  <c r="G146" i="14"/>
  <c r="I146" i="14"/>
  <c r="P146" i="14" s="1"/>
  <c r="Q146" i="14"/>
  <c r="R146" i="14"/>
  <c r="G185" i="14"/>
  <c r="I185" i="14"/>
  <c r="P185" i="14" s="1"/>
  <c r="Q185" i="14"/>
  <c r="R185" i="14"/>
  <c r="G174" i="14"/>
  <c r="I174" i="14"/>
  <c r="P174" i="14" s="1"/>
  <c r="Q174" i="14"/>
  <c r="R174" i="14"/>
  <c r="G163" i="14"/>
  <c r="I163" i="14"/>
  <c r="P163" i="14" s="1"/>
  <c r="Q163" i="14"/>
  <c r="R163" i="14"/>
  <c r="G175" i="14"/>
  <c r="I175" i="14"/>
  <c r="P175" i="14" s="1"/>
  <c r="Q175" i="14"/>
  <c r="R175" i="14"/>
  <c r="G180" i="14"/>
  <c r="P180" i="14"/>
  <c r="Q180" i="14"/>
  <c r="R180" i="14"/>
  <c r="G160" i="14"/>
  <c r="I160" i="14"/>
  <c r="P160" i="14" s="1"/>
  <c r="Q160" i="14"/>
  <c r="R160" i="14"/>
  <c r="G80" i="14"/>
  <c r="P80" i="14"/>
  <c r="Q80" i="14"/>
  <c r="R80" i="14"/>
  <c r="G75" i="14"/>
  <c r="I75" i="14"/>
  <c r="P75" i="14" s="1"/>
  <c r="Q75" i="14"/>
  <c r="R75" i="14"/>
  <c r="G166" i="14"/>
  <c r="I166" i="14"/>
  <c r="P166" i="14" s="1"/>
  <c r="Q166" i="14"/>
  <c r="R166" i="14"/>
  <c r="G142" i="10"/>
  <c r="G143" i="10"/>
  <c r="G144" i="10"/>
  <c r="G145" i="10"/>
  <c r="G146" i="10"/>
  <c r="G2527" i="20" l="1"/>
  <c r="G2528" i="20"/>
  <c r="G2529" i="20"/>
  <c r="G2530" i="20"/>
  <c r="G2531" i="20"/>
  <c r="G269" i="14"/>
  <c r="G270" i="14"/>
  <c r="G271" i="14"/>
  <c r="G272" i="14"/>
  <c r="G273" i="14"/>
  <c r="G1873" i="19"/>
  <c r="G1874" i="19"/>
  <c r="G1875" i="19"/>
  <c r="G1876" i="19"/>
  <c r="G1877" i="19"/>
  <c r="G160" i="18"/>
  <c r="G161" i="18"/>
  <c r="G162" i="18"/>
  <c r="G163" i="18"/>
  <c r="G164" i="18"/>
  <c r="G173" i="15"/>
  <c r="G174" i="15"/>
  <c r="G175" i="15"/>
  <c r="G176" i="15"/>
  <c r="G177" i="15"/>
  <c r="G153" i="13"/>
  <c r="G154" i="13"/>
  <c r="G155" i="13"/>
  <c r="G156" i="13"/>
  <c r="G157" i="13"/>
  <c r="G149" i="16"/>
  <c r="G150" i="16"/>
  <c r="G151" i="16"/>
  <c r="G152" i="16"/>
  <c r="G153" i="16"/>
  <c r="G165" i="12"/>
  <c r="G166" i="12"/>
  <c r="G167" i="12"/>
  <c r="G168" i="12"/>
  <c r="G169" i="12"/>
  <c r="G162" i="2"/>
  <c r="G163" i="2"/>
  <c r="G164" i="2"/>
  <c r="G165" i="2"/>
  <c r="G161" i="2"/>
  <c r="G127" i="10"/>
  <c r="G128" i="10"/>
  <c r="G129" i="10"/>
  <c r="G130" i="10"/>
  <c r="G131" i="10"/>
  <c r="M192" i="3"/>
  <c r="L192" i="3"/>
  <c r="L191" i="3"/>
  <c r="L190" i="3"/>
  <c r="L189" i="3"/>
  <c r="L188" i="3"/>
  <c r="L187" i="3"/>
  <c r="L186" i="3"/>
  <c r="L179" i="3"/>
  <c r="L178" i="3"/>
  <c r="L177" i="3"/>
  <c r="L176" i="3"/>
  <c r="L175" i="3"/>
  <c r="L150" i="3"/>
  <c r="L149" i="3"/>
  <c r="L146" i="3"/>
  <c r="H192" i="3"/>
  <c r="G192" i="3"/>
  <c r="G191" i="3"/>
  <c r="G190" i="3"/>
  <c r="G189" i="3"/>
  <c r="G188" i="3"/>
  <c r="G187" i="3"/>
  <c r="G186" i="3"/>
  <c r="G179" i="3"/>
  <c r="G178" i="3"/>
  <c r="G177" i="3"/>
  <c r="G176" i="3"/>
  <c r="G175" i="3"/>
  <c r="G150" i="3"/>
  <c r="G149" i="3"/>
  <c r="G146" i="3"/>
  <c r="C192" i="3"/>
  <c r="B192" i="3"/>
  <c r="B190" i="3"/>
  <c r="B189" i="3"/>
  <c r="B188" i="3"/>
  <c r="B187" i="3"/>
  <c r="B186" i="3"/>
  <c r="B179" i="3"/>
  <c r="B178" i="3"/>
  <c r="B177" i="3"/>
  <c r="B176" i="3"/>
  <c r="B175" i="3"/>
  <c r="B150" i="3"/>
  <c r="B149" i="3"/>
  <c r="B146" i="3"/>
  <c r="M142" i="3"/>
  <c r="L142" i="3"/>
  <c r="L140" i="3"/>
  <c r="L139" i="3"/>
  <c r="L138" i="3"/>
  <c r="L134" i="3"/>
  <c r="L133" i="3"/>
  <c r="L131" i="3"/>
  <c r="L130" i="3"/>
  <c r="L122" i="3"/>
  <c r="L119" i="3"/>
  <c r="L107" i="3"/>
  <c r="L106" i="3"/>
  <c r="L104" i="3"/>
  <c r="L103" i="3"/>
  <c r="L102" i="3"/>
  <c r="L99" i="3"/>
  <c r="H142" i="3"/>
  <c r="G142" i="3"/>
  <c r="G140" i="3"/>
  <c r="G139" i="3"/>
  <c r="G138" i="3"/>
  <c r="G134" i="3"/>
  <c r="G133" i="3"/>
  <c r="G131" i="3"/>
  <c r="G130" i="3"/>
  <c r="G122" i="3"/>
  <c r="G119" i="3"/>
  <c r="G107" i="3"/>
  <c r="G104" i="3"/>
  <c r="G103" i="3"/>
  <c r="G102" i="3"/>
  <c r="G99" i="3"/>
  <c r="C142" i="3"/>
  <c r="B142" i="3"/>
  <c r="C141" i="3"/>
  <c r="C140" i="3"/>
  <c r="B140" i="3"/>
  <c r="C139" i="3"/>
  <c r="B139" i="3"/>
  <c r="C138" i="3"/>
  <c r="B138" i="3"/>
  <c r="B134" i="3"/>
  <c r="B133" i="3"/>
  <c r="B131" i="3"/>
  <c r="B130" i="3"/>
  <c r="B122" i="3"/>
  <c r="B119" i="3"/>
  <c r="B107" i="3"/>
  <c r="B106" i="3"/>
  <c r="B104" i="3"/>
  <c r="B103" i="3"/>
  <c r="M95" i="3"/>
  <c r="L95" i="3"/>
  <c r="M94" i="3"/>
  <c r="M93" i="3"/>
  <c r="L93" i="3"/>
  <c r="M92" i="3"/>
  <c r="L92" i="3"/>
  <c r="M91" i="3"/>
  <c r="L91" i="3"/>
  <c r="M90" i="3"/>
  <c r="L90" i="3"/>
  <c r="M89" i="3"/>
  <c r="L89" i="3"/>
  <c r="L87" i="3"/>
  <c r="L77" i="3"/>
  <c r="L75" i="3"/>
  <c r="L52" i="3"/>
  <c r="H95" i="3"/>
  <c r="G95" i="3"/>
  <c r="H94" i="3"/>
  <c r="H93" i="3"/>
  <c r="G93" i="3"/>
  <c r="H92" i="3"/>
  <c r="G92" i="3"/>
  <c r="H91" i="3"/>
  <c r="G91" i="3"/>
  <c r="H90" i="3"/>
  <c r="G90" i="3"/>
  <c r="H89" i="3"/>
  <c r="G89" i="3"/>
  <c r="H88" i="3"/>
  <c r="G87" i="3"/>
  <c r="G77" i="3"/>
  <c r="G75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L16" i="3"/>
  <c r="L14" i="3"/>
  <c r="L12" i="3"/>
  <c r="L11" i="3"/>
  <c r="L10" i="3"/>
  <c r="L9" i="3"/>
  <c r="L8" i="3"/>
  <c r="L7" i="3"/>
  <c r="L6" i="3"/>
  <c r="L5" i="3"/>
  <c r="B4" i="4"/>
  <c r="G25" i="4" s="1"/>
  <c r="K207" i="20"/>
  <c r="N1" i="21"/>
  <c r="K211" i="21" s="1"/>
  <c r="K235" i="14"/>
  <c r="K216" i="19"/>
  <c r="N1" i="18"/>
  <c r="K126" i="18" s="1"/>
  <c r="N1" i="15"/>
  <c r="K139" i="15" s="1"/>
  <c r="N1" i="13"/>
  <c r="K119" i="13" s="1"/>
  <c r="N1" i="16"/>
  <c r="K115" i="16" s="1"/>
  <c r="K131" i="12"/>
  <c r="G1" i="21"/>
  <c r="G1" i="14"/>
  <c r="G1" i="19"/>
  <c r="G1" i="18"/>
  <c r="G1" i="15"/>
  <c r="G1" i="13"/>
  <c r="G1" i="16"/>
  <c r="G1" i="12"/>
  <c r="O153" i="21"/>
  <c r="N153" i="21"/>
  <c r="R133" i="21"/>
  <c r="Q133" i="21"/>
  <c r="P133" i="21"/>
  <c r="R131" i="21"/>
  <c r="Q131" i="21"/>
  <c r="P131" i="21"/>
  <c r="R13" i="21"/>
  <c r="Q13" i="21"/>
  <c r="P13" i="21"/>
  <c r="R60" i="21"/>
  <c r="Q60" i="21"/>
  <c r="P60" i="21"/>
  <c r="R57" i="21"/>
  <c r="Q57" i="21"/>
  <c r="P57" i="21"/>
  <c r="R58" i="21"/>
  <c r="Q58" i="21"/>
  <c r="P58" i="21"/>
  <c r="R59" i="21"/>
  <c r="Q59" i="21"/>
  <c r="P59" i="21"/>
  <c r="G59" i="21"/>
  <c r="R43" i="21"/>
  <c r="Q43" i="21"/>
  <c r="I43" i="21"/>
  <c r="G43" i="21"/>
  <c r="M2523" i="20"/>
  <c r="K2523" i="20"/>
  <c r="I2523" i="20"/>
  <c r="H2523" i="20"/>
  <c r="M398" i="20"/>
  <c r="K398" i="20"/>
  <c r="J398" i="20"/>
  <c r="H398" i="20"/>
  <c r="I219" i="20"/>
  <c r="L219" i="20" s="1"/>
  <c r="G219" i="20"/>
  <c r="I218" i="20"/>
  <c r="L218" i="20" s="1"/>
  <c r="G218" i="20"/>
  <c r="I217" i="20"/>
  <c r="L217" i="20" s="1"/>
  <c r="G217" i="20"/>
  <c r="I216" i="20"/>
  <c r="L216" i="20" s="1"/>
  <c r="G216" i="20"/>
  <c r="I215" i="20"/>
  <c r="L215" i="20" s="1"/>
  <c r="G215" i="20"/>
  <c r="I214" i="20"/>
  <c r="L214" i="20" s="1"/>
  <c r="G214" i="20"/>
  <c r="I213" i="20"/>
  <c r="L213" i="20" s="1"/>
  <c r="G213" i="20"/>
  <c r="I212" i="20"/>
  <c r="L212" i="20" s="1"/>
  <c r="G212" i="20"/>
  <c r="I211" i="20"/>
  <c r="G211" i="20"/>
  <c r="I202" i="20"/>
  <c r="K185" i="20"/>
  <c r="J185" i="20"/>
  <c r="H185" i="20"/>
  <c r="K199" i="20"/>
  <c r="J199" i="20"/>
  <c r="H199" i="20"/>
  <c r="K196" i="20"/>
  <c r="J196" i="20"/>
  <c r="H196" i="20"/>
  <c r="L177" i="20"/>
  <c r="K177" i="20"/>
  <c r="J177" i="20"/>
  <c r="I177" i="20"/>
  <c r="H177" i="20"/>
  <c r="G177" i="20"/>
  <c r="R45" i="20"/>
  <c r="Q45" i="20"/>
  <c r="I45" i="20"/>
  <c r="G45" i="20"/>
  <c r="R53" i="20"/>
  <c r="Q53" i="20"/>
  <c r="I53" i="20"/>
  <c r="P53" i="20" s="1"/>
  <c r="G53" i="20"/>
  <c r="R52" i="20"/>
  <c r="Q52" i="20"/>
  <c r="I52" i="20"/>
  <c r="G52" i="20"/>
  <c r="M1863" i="19"/>
  <c r="K1863" i="19"/>
  <c r="J1863" i="19"/>
  <c r="M341" i="19"/>
  <c r="K341" i="19"/>
  <c r="J341" i="19"/>
  <c r="H341" i="19"/>
  <c r="I228" i="19"/>
  <c r="L228" i="19" s="1"/>
  <c r="G228" i="19"/>
  <c r="I227" i="19"/>
  <c r="L227" i="19" s="1"/>
  <c r="G227" i="19"/>
  <c r="I226" i="19"/>
  <c r="L226" i="19" s="1"/>
  <c r="G226" i="19"/>
  <c r="I225" i="19"/>
  <c r="L225" i="19" s="1"/>
  <c r="G225" i="19"/>
  <c r="I224" i="19"/>
  <c r="L224" i="19" s="1"/>
  <c r="G224" i="19"/>
  <c r="I223" i="19"/>
  <c r="L223" i="19" s="1"/>
  <c r="G223" i="19"/>
  <c r="I222" i="19"/>
  <c r="L222" i="19" s="1"/>
  <c r="G222" i="19"/>
  <c r="I221" i="19"/>
  <c r="L221" i="19" s="1"/>
  <c r="G221" i="19"/>
  <c r="I220" i="19"/>
  <c r="G220" i="19"/>
  <c r="I210" i="19"/>
  <c r="K209" i="19"/>
  <c r="J209" i="19"/>
  <c r="H209" i="19"/>
  <c r="K208" i="19"/>
  <c r="J208" i="19"/>
  <c r="H208" i="19"/>
  <c r="K207" i="19"/>
  <c r="J207" i="19"/>
  <c r="H207" i="19"/>
  <c r="K206" i="19"/>
  <c r="J206" i="19"/>
  <c r="H206" i="19"/>
  <c r="L182" i="19"/>
  <c r="K182" i="19"/>
  <c r="J182" i="19"/>
  <c r="I182" i="19"/>
  <c r="H182" i="19"/>
  <c r="G182" i="19"/>
  <c r="O168" i="19"/>
  <c r="N168" i="19"/>
  <c r="M168" i="19"/>
  <c r="L168" i="19"/>
  <c r="K168" i="19"/>
  <c r="J168" i="19"/>
  <c r="H168" i="19"/>
  <c r="R14" i="19"/>
  <c r="Q14" i="19"/>
  <c r="I14" i="19"/>
  <c r="P14" i="19" s="1"/>
  <c r="G14" i="19"/>
  <c r="R13" i="19"/>
  <c r="Q13" i="19"/>
  <c r="I13" i="19"/>
  <c r="P13" i="19" s="1"/>
  <c r="G13" i="19"/>
  <c r="R12" i="19"/>
  <c r="Q12" i="19"/>
  <c r="I12" i="19"/>
  <c r="P12" i="19" s="1"/>
  <c r="G12" i="19"/>
  <c r="R11" i="19"/>
  <c r="Q11" i="19"/>
  <c r="I11" i="19"/>
  <c r="P11" i="19" s="1"/>
  <c r="G11" i="19"/>
  <c r="R10" i="19"/>
  <c r="Q10" i="19"/>
  <c r="I10" i="19"/>
  <c r="G10" i="19"/>
  <c r="R23" i="19"/>
  <c r="Q23" i="19"/>
  <c r="I23" i="19"/>
  <c r="P23" i="19" s="1"/>
  <c r="G23" i="19"/>
  <c r="R118" i="19"/>
  <c r="Q118" i="19"/>
  <c r="I118" i="19"/>
  <c r="P118" i="19" s="1"/>
  <c r="G118" i="19"/>
  <c r="M150" i="18"/>
  <c r="K150" i="18"/>
  <c r="J150" i="18"/>
  <c r="I150" i="18"/>
  <c r="H150" i="18"/>
  <c r="L149" i="18"/>
  <c r="L148" i="18"/>
  <c r="L147" i="18"/>
  <c r="L146" i="18"/>
  <c r="L145" i="18"/>
  <c r="L144" i="18"/>
  <c r="G144" i="18"/>
  <c r="M139" i="18"/>
  <c r="K139" i="18"/>
  <c r="J139" i="18"/>
  <c r="H139" i="18"/>
  <c r="I138" i="18"/>
  <c r="L138" i="18" s="1"/>
  <c r="G138" i="18"/>
  <c r="I137" i="18"/>
  <c r="L137" i="18" s="1"/>
  <c r="G137" i="18"/>
  <c r="I136" i="18"/>
  <c r="L136" i="18" s="1"/>
  <c r="G136" i="18"/>
  <c r="I135" i="18"/>
  <c r="L135" i="18" s="1"/>
  <c r="G135" i="18"/>
  <c r="I134" i="18"/>
  <c r="L134" i="18" s="1"/>
  <c r="G134" i="18"/>
  <c r="I133" i="18"/>
  <c r="L133" i="18" s="1"/>
  <c r="G133" i="18"/>
  <c r="I132" i="18"/>
  <c r="L132" i="18" s="1"/>
  <c r="G132" i="18"/>
  <c r="I131" i="18"/>
  <c r="L131" i="18" s="1"/>
  <c r="G131" i="18"/>
  <c r="I130" i="18"/>
  <c r="G130" i="18"/>
  <c r="I124" i="18"/>
  <c r="K119" i="18"/>
  <c r="J119" i="18"/>
  <c r="H119" i="18"/>
  <c r="O91" i="18"/>
  <c r="N91" i="18"/>
  <c r="M91" i="18"/>
  <c r="L91" i="18"/>
  <c r="K91" i="18"/>
  <c r="J91" i="18"/>
  <c r="H91" i="18"/>
  <c r="B4" i="18" s="1"/>
  <c r="R16" i="18"/>
  <c r="Q16" i="18"/>
  <c r="R15" i="18"/>
  <c r="Q15" i="18"/>
  <c r="R14" i="18"/>
  <c r="Q14" i="18"/>
  <c r="R13" i="18"/>
  <c r="Q13" i="18"/>
  <c r="R12" i="18"/>
  <c r="Q12" i="18"/>
  <c r="R11" i="18"/>
  <c r="Q11" i="18"/>
  <c r="R10" i="18"/>
  <c r="Q10" i="18"/>
  <c r="R9" i="18"/>
  <c r="Q9" i="18"/>
  <c r="M139" i="16"/>
  <c r="K139" i="16"/>
  <c r="J139" i="16"/>
  <c r="I139" i="16"/>
  <c r="H139" i="16"/>
  <c r="L138" i="16"/>
  <c r="L137" i="16"/>
  <c r="L136" i="16"/>
  <c r="L135" i="16"/>
  <c r="L134" i="16"/>
  <c r="L133" i="16"/>
  <c r="G133" i="16"/>
  <c r="M128" i="16"/>
  <c r="K128" i="16"/>
  <c r="J128" i="16"/>
  <c r="H128" i="16"/>
  <c r="I127" i="16"/>
  <c r="L127" i="16" s="1"/>
  <c r="G127" i="16"/>
  <c r="I126" i="16"/>
  <c r="L126" i="16" s="1"/>
  <c r="G126" i="16"/>
  <c r="I125" i="16"/>
  <c r="L125" i="16" s="1"/>
  <c r="G125" i="16"/>
  <c r="I124" i="16"/>
  <c r="L124" i="16" s="1"/>
  <c r="G124" i="16"/>
  <c r="I123" i="16"/>
  <c r="L123" i="16" s="1"/>
  <c r="G123" i="16"/>
  <c r="I122" i="16"/>
  <c r="L122" i="16" s="1"/>
  <c r="G122" i="16"/>
  <c r="I121" i="16"/>
  <c r="L121" i="16" s="1"/>
  <c r="G121" i="16"/>
  <c r="I120" i="16"/>
  <c r="L120" i="16" s="1"/>
  <c r="G120" i="16"/>
  <c r="I119" i="16"/>
  <c r="G119" i="16"/>
  <c r="I111" i="16"/>
  <c r="K108" i="16"/>
  <c r="J108" i="16"/>
  <c r="H108" i="16"/>
  <c r="K107" i="16"/>
  <c r="J107" i="16"/>
  <c r="H107" i="16"/>
  <c r="K106" i="16"/>
  <c r="J106" i="16"/>
  <c r="H106" i="16"/>
  <c r="K105" i="16"/>
  <c r="J105" i="16"/>
  <c r="H105" i="16"/>
  <c r="O81" i="16"/>
  <c r="N81" i="16"/>
  <c r="M81" i="16"/>
  <c r="L81" i="16"/>
  <c r="K81" i="16"/>
  <c r="J81" i="16"/>
  <c r="H81" i="16"/>
  <c r="R16" i="16"/>
  <c r="Q16" i="16"/>
  <c r="R15" i="16"/>
  <c r="Q15" i="16"/>
  <c r="R14" i="16"/>
  <c r="Q14" i="16"/>
  <c r="R13" i="16"/>
  <c r="Q13" i="16"/>
  <c r="R12" i="16"/>
  <c r="Q12" i="16"/>
  <c r="R11" i="16"/>
  <c r="Q11" i="16"/>
  <c r="R10" i="16"/>
  <c r="Q10" i="16"/>
  <c r="R9" i="16"/>
  <c r="Q9" i="16"/>
  <c r="M163" i="15"/>
  <c r="K163" i="15"/>
  <c r="J163" i="15"/>
  <c r="I163" i="15"/>
  <c r="H163" i="15"/>
  <c r="L162" i="15"/>
  <c r="L161" i="15"/>
  <c r="L160" i="15"/>
  <c r="L159" i="15"/>
  <c r="L158" i="15"/>
  <c r="L157" i="15"/>
  <c r="G157" i="15"/>
  <c r="M152" i="15"/>
  <c r="K152" i="15"/>
  <c r="J152" i="15"/>
  <c r="H152" i="15"/>
  <c r="I151" i="15"/>
  <c r="L151" i="15" s="1"/>
  <c r="G151" i="15"/>
  <c r="I150" i="15"/>
  <c r="L150" i="15" s="1"/>
  <c r="G150" i="15"/>
  <c r="I149" i="15"/>
  <c r="L149" i="15" s="1"/>
  <c r="G149" i="15"/>
  <c r="I148" i="15"/>
  <c r="L148" i="15" s="1"/>
  <c r="G148" i="15"/>
  <c r="I147" i="15"/>
  <c r="L147" i="15" s="1"/>
  <c r="G147" i="15"/>
  <c r="I146" i="15"/>
  <c r="L146" i="15" s="1"/>
  <c r="G146" i="15"/>
  <c r="I145" i="15"/>
  <c r="L145" i="15" s="1"/>
  <c r="G145" i="15"/>
  <c r="I144" i="15"/>
  <c r="L144" i="15" s="1"/>
  <c r="G144" i="15"/>
  <c r="I143" i="15"/>
  <c r="G143" i="15"/>
  <c r="I133" i="15"/>
  <c r="K132" i="15"/>
  <c r="J132" i="15"/>
  <c r="H132" i="15"/>
  <c r="K131" i="15"/>
  <c r="J131" i="15"/>
  <c r="H131" i="15"/>
  <c r="K130" i="15"/>
  <c r="J130" i="15"/>
  <c r="H130" i="15"/>
  <c r="K129" i="15"/>
  <c r="J129" i="15"/>
  <c r="H129" i="15"/>
  <c r="O104" i="15"/>
  <c r="N104" i="15"/>
  <c r="M104" i="15"/>
  <c r="L104" i="15"/>
  <c r="K104" i="15"/>
  <c r="J104" i="15"/>
  <c r="H104" i="15"/>
  <c r="R16" i="15"/>
  <c r="Q16" i="15"/>
  <c r="R15" i="15"/>
  <c r="Q15" i="15"/>
  <c r="R14" i="15"/>
  <c r="Q14" i="15"/>
  <c r="R13" i="15"/>
  <c r="Q13" i="15"/>
  <c r="R12" i="15"/>
  <c r="Q12" i="15"/>
  <c r="R11" i="15"/>
  <c r="Q11" i="15"/>
  <c r="R10" i="15"/>
  <c r="Q10" i="15"/>
  <c r="R9" i="15"/>
  <c r="Q9" i="15"/>
  <c r="M259" i="14"/>
  <c r="K259" i="14"/>
  <c r="J259" i="14"/>
  <c r="I259" i="14"/>
  <c r="H259" i="14"/>
  <c r="L258" i="14"/>
  <c r="L257" i="14"/>
  <c r="L256" i="14"/>
  <c r="L255" i="14"/>
  <c r="L254" i="14"/>
  <c r="L253" i="14"/>
  <c r="G253" i="14"/>
  <c r="M248" i="14"/>
  <c r="K248" i="14"/>
  <c r="J248" i="14"/>
  <c r="H248" i="14"/>
  <c r="I247" i="14"/>
  <c r="L247" i="14" s="1"/>
  <c r="G247" i="14"/>
  <c r="I246" i="14"/>
  <c r="L246" i="14" s="1"/>
  <c r="G246" i="14"/>
  <c r="I245" i="14"/>
  <c r="L245" i="14" s="1"/>
  <c r="G245" i="14"/>
  <c r="I244" i="14"/>
  <c r="L244" i="14" s="1"/>
  <c r="G244" i="14"/>
  <c r="I243" i="14"/>
  <c r="L243" i="14" s="1"/>
  <c r="G243" i="14"/>
  <c r="I242" i="14"/>
  <c r="L242" i="14" s="1"/>
  <c r="G242" i="14"/>
  <c r="I241" i="14"/>
  <c r="L241" i="14" s="1"/>
  <c r="G241" i="14"/>
  <c r="I240" i="14"/>
  <c r="L240" i="14" s="1"/>
  <c r="G240" i="14"/>
  <c r="I239" i="14"/>
  <c r="G239" i="14"/>
  <c r="I229" i="14"/>
  <c r="K224" i="14"/>
  <c r="H224" i="14"/>
  <c r="K223" i="14"/>
  <c r="H223" i="14"/>
  <c r="K217" i="14"/>
  <c r="H217" i="14"/>
  <c r="K219" i="14"/>
  <c r="H219" i="14"/>
  <c r="L200" i="14"/>
  <c r="K200" i="14"/>
  <c r="J200" i="14"/>
  <c r="I200" i="14"/>
  <c r="G200" i="14"/>
  <c r="O186" i="14"/>
  <c r="N186" i="14"/>
  <c r="M186" i="14"/>
  <c r="L186" i="14"/>
  <c r="K186" i="14"/>
  <c r="J186" i="14"/>
  <c r="H186" i="14"/>
  <c r="R161" i="14"/>
  <c r="Q161" i="14"/>
  <c r="I161" i="14"/>
  <c r="P161" i="14" s="1"/>
  <c r="G161" i="14"/>
  <c r="R69" i="14"/>
  <c r="Q69" i="14"/>
  <c r="I69" i="14"/>
  <c r="P69" i="14" s="1"/>
  <c r="G69" i="14"/>
  <c r="R111" i="14"/>
  <c r="Q111" i="14"/>
  <c r="I111" i="14"/>
  <c r="P111" i="14" s="1"/>
  <c r="G111" i="14"/>
  <c r="R152" i="14"/>
  <c r="Q152" i="14"/>
  <c r="I152" i="14"/>
  <c r="P152" i="14" s="1"/>
  <c r="G152" i="14"/>
  <c r="R12" i="14"/>
  <c r="Q12" i="14"/>
  <c r="I12" i="14"/>
  <c r="P12" i="14" s="1"/>
  <c r="G12" i="14"/>
  <c r="R11" i="14"/>
  <c r="Q11" i="14"/>
  <c r="I11" i="14"/>
  <c r="P11" i="14" s="1"/>
  <c r="G11" i="14"/>
  <c r="R54" i="14"/>
  <c r="Q54" i="14"/>
  <c r="I54" i="14"/>
  <c r="P54" i="14" s="1"/>
  <c r="G54" i="14"/>
  <c r="R140" i="14"/>
  <c r="Q140" i="14"/>
  <c r="I140" i="14"/>
  <c r="P140" i="14" s="1"/>
  <c r="G140" i="14"/>
  <c r="M143" i="13"/>
  <c r="K143" i="13"/>
  <c r="J143" i="13"/>
  <c r="I143" i="13"/>
  <c r="H143" i="13"/>
  <c r="L142" i="13"/>
  <c r="L141" i="13"/>
  <c r="L140" i="13"/>
  <c r="L139" i="13"/>
  <c r="L138" i="13"/>
  <c r="L137" i="13"/>
  <c r="G137" i="13"/>
  <c r="M132" i="13"/>
  <c r="K132" i="13"/>
  <c r="J132" i="13"/>
  <c r="H132" i="13"/>
  <c r="I131" i="13"/>
  <c r="L131" i="13" s="1"/>
  <c r="G131" i="13"/>
  <c r="I130" i="13"/>
  <c r="L130" i="13" s="1"/>
  <c r="G130" i="13"/>
  <c r="I129" i="13"/>
  <c r="L129" i="13" s="1"/>
  <c r="G129" i="13"/>
  <c r="I128" i="13"/>
  <c r="L128" i="13" s="1"/>
  <c r="G128" i="13"/>
  <c r="I127" i="13"/>
  <c r="L127" i="13" s="1"/>
  <c r="G127" i="13"/>
  <c r="I126" i="13"/>
  <c r="L126" i="13" s="1"/>
  <c r="G126" i="13"/>
  <c r="I125" i="13"/>
  <c r="L125" i="13" s="1"/>
  <c r="G125" i="13"/>
  <c r="I124" i="13"/>
  <c r="L124" i="13" s="1"/>
  <c r="G124" i="13"/>
  <c r="I123" i="13"/>
  <c r="G123" i="13"/>
  <c r="I113" i="13"/>
  <c r="K112" i="13"/>
  <c r="J112" i="13"/>
  <c r="H112" i="13"/>
  <c r="K111" i="13"/>
  <c r="J111" i="13"/>
  <c r="H111" i="13"/>
  <c r="K110" i="13"/>
  <c r="J110" i="13"/>
  <c r="H110" i="13"/>
  <c r="K109" i="13"/>
  <c r="J109" i="13"/>
  <c r="H109" i="13"/>
  <c r="O84" i="13"/>
  <c r="N84" i="13"/>
  <c r="M84" i="13"/>
  <c r="L84" i="13"/>
  <c r="K84" i="13"/>
  <c r="J84" i="13"/>
  <c r="H84" i="13"/>
  <c r="R16" i="13"/>
  <c r="Q16" i="13"/>
  <c r="R15" i="13"/>
  <c r="Q15" i="13"/>
  <c r="R14" i="13"/>
  <c r="Q14" i="13"/>
  <c r="R13" i="13"/>
  <c r="Q13" i="13"/>
  <c r="R12" i="13"/>
  <c r="Q12" i="13"/>
  <c r="R11" i="13"/>
  <c r="Q11" i="13"/>
  <c r="R10" i="13"/>
  <c r="Q10" i="13"/>
  <c r="R9" i="13"/>
  <c r="Q9" i="13"/>
  <c r="M155" i="12"/>
  <c r="K155" i="12"/>
  <c r="J155" i="12"/>
  <c r="I155" i="12"/>
  <c r="H155" i="12"/>
  <c r="L154" i="12"/>
  <c r="L153" i="12"/>
  <c r="L152" i="12"/>
  <c r="L151" i="12"/>
  <c r="L150" i="12"/>
  <c r="L149" i="12"/>
  <c r="G149" i="12"/>
  <c r="M144" i="12"/>
  <c r="K144" i="12"/>
  <c r="J144" i="12"/>
  <c r="H144" i="12"/>
  <c r="I143" i="12"/>
  <c r="L143" i="12" s="1"/>
  <c r="G143" i="12"/>
  <c r="I142" i="12"/>
  <c r="L142" i="12" s="1"/>
  <c r="G142" i="12"/>
  <c r="I141" i="12"/>
  <c r="L141" i="12" s="1"/>
  <c r="G141" i="12"/>
  <c r="I140" i="12"/>
  <c r="L140" i="12" s="1"/>
  <c r="G140" i="12"/>
  <c r="I139" i="12"/>
  <c r="L139" i="12" s="1"/>
  <c r="G139" i="12"/>
  <c r="I138" i="12"/>
  <c r="L138" i="12" s="1"/>
  <c r="G138" i="12"/>
  <c r="I137" i="12"/>
  <c r="L137" i="12" s="1"/>
  <c r="G137" i="12"/>
  <c r="I136" i="12"/>
  <c r="L136" i="12" s="1"/>
  <c r="G136" i="12"/>
  <c r="I135" i="12"/>
  <c r="G135" i="12"/>
  <c r="I125" i="12"/>
  <c r="K124" i="12"/>
  <c r="J124" i="12"/>
  <c r="H124" i="12"/>
  <c r="K123" i="12"/>
  <c r="J123" i="12"/>
  <c r="H123" i="12"/>
  <c r="K122" i="12"/>
  <c r="J122" i="12"/>
  <c r="H122" i="12"/>
  <c r="K121" i="12"/>
  <c r="J121" i="12"/>
  <c r="H121" i="12"/>
  <c r="O96" i="12"/>
  <c r="N96" i="12"/>
  <c r="M96" i="12"/>
  <c r="L96" i="12"/>
  <c r="K96" i="12"/>
  <c r="J96" i="12"/>
  <c r="H96" i="12"/>
  <c r="R16" i="12"/>
  <c r="Q16" i="12"/>
  <c r="R15" i="12"/>
  <c r="Q15" i="12"/>
  <c r="R14" i="12"/>
  <c r="Q14" i="12"/>
  <c r="R13" i="12"/>
  <c r="Q13" i="12"/>
  <c r="R12" i="12"/>
  <c r="Q12" i="12"/>
  <c r="R11" i="12"/>
  <c r="Q11" i="12"/>
  <c r="R10" i="12"/>
  <c r="Q10" i="12"/>
  <c r="R9" i="12"/>
  <c r="N1" i="10"/>
  <c r="K108" i="10" s="1"/>
  <c r="M132" i="10"/>
  <c r="K132" i="10"/>
  <c r="J132" i="10"/>
  <c r="I132" i="10"/>
  <c r="H132" i="10"/>
  <c r="L131" i="10"/>
  <c r="L130" i="10"/>
  <c r="L129" i="10"/>
  <c r="L128" i="10"/>
  <c r="L127" i="10"/>
  <c r="L126" i="10"/>
  <c r="G126" i="10"/>
  <c r="M121" i="10"/>
  <c r="K121" i="10"/>
  <c r="J121" i="10"/>
  <c r="H121" i="10"/>
  <c r="I120" i="10"/>
  <c r="L120" i="10" s="1"/>
  <c r="G120" i="10"/>
  <c r="I119" i="10"/>
  <c r="L119" i="10" s="1"/>
  <c r="G119" i="10"/>
  <c r="I118" i="10"/>
  <c r="L118" i="10" s="1"/>
  <c r="G118" i="10"/>
  <c r="I117" i="10"/>
  <c r="L117" i="10" s="1"/>
  <c r="G117" i="10"/>
  <c r="I116" i="10"/>
  <c r="L116" i="10" s="1"/>
  <c r="G116" i="10"/>
  <c r="I115" i="10"/>
  <c r="L115" i="10" s="1"/>
  <c r="G115" i="10"/>
  <c r="I114" i="10"/>
  <c r="L114" i="10" s="1"/>
  <c r="G114" i="10"/>
  <c r="I113" i="10"/>
  <c r="L113" i="10" s="1"/>
  <c r="G113" i="10"/>
  <c r="I112" i="10"/>
  <c r="G112" i="10"/>
  <c r="I102" i="10"/>
  <c r="K101" i="10"/>
  <c r="J101" i="10"/>
  <c r="H101" i="10"/>
  <c r="K100" i="10"/>
  <c r="J100" i="10"/>
  <c r="H100" i="10"/>
  <c r="K99" i="10"/>
  <c r="J99" i="10"/>
  <c r="H99" i="10"/>
  <c r="K98" i="10"/>
  <c r="J98" i="10"/>
  <c r="H98" i="10"/>
  <c r="L92" i="10"/>
  <c r="K92" i="10"/>
  <c r="J92" i="10"/>
  <c r="I92" i="10"/>
  <c r="H92" i="10"/>
  <c r="G92" i="10"/>
  <c r="O73" i="10"/>
  <c r="N73" i="10"/>
  <c r="M73" i="10"/>
  <c r="L73" i="10"/>
  <c r="K73" i="10"/>
  <c r="J73" i="10"/>
  <c r="H73" i="10"/>
  <c r="R71" i="10"/>
  <c r="Q71" i="10"/>
  <c r="P71" i="10"/>
  <c r="G71" i="10"/>
  <c r="R36" i="10"/>
  <c r="Q36" i="10"/>
  <c r="I36" i="10"/>
  <c r="P36" i="10" s="1"/>
  <c r="G36" i="10"/>
  <c r="R35" i="10"/>
  <c r="Q35" i="10"/>
  <c r="I35" i="10"/>
  <c r="P35" i="10" s="1"/>
  <c r="G35" i="10"/>
  <c r="R34" i="10"/>
  <c r="Q34" i="10"/>
  <c r="I34" i="10"/>
  <c r="P34" i="10" s="1"/>
  <c r="G34" i="10"/>
  <c r="R33" i="10"/>
  <c r="Q33" i="10"/>
  <c r="I33" i="10"/>
  <c r="G33" i="10"/>
  <c r="R67" i="10"/>
  <c r="Q67" i="10"/>
  <c r="I67" i="10"/>
  <c r="P67" i="10" s="1"/>
  <c r="G67" i="10"/>
  <c r="R45" i="10"/>
  <c r="Q45" i="10"/>
  <c r="I45" i="10"/>
  <c r="P45" i="10" s="1"/>
  <c r="G45" i="10"/>
  <c r="I131" i="2"/>
  <c r="L131" i="2" s="1"/>
  <c r="I132" i="2"/>
  <c r="L132" i="2" s="1"/>
  <c r="I133" i="2"/>
  <c r="L133" i="2" s="1"/>
  <c r="I134" i="2"/>
  <c r="L134" i="2" s="1"/>
  <c r="I135" i="2"/>
  <c r="L135" i="2" s="1"/>
  <c r="I136" i="2"/>
  <c r="L136" i="2" s="1"/>
  <c r="I137" i="2"/>
  <c r="L137" i="2" s="1"/>
  <c r="I138" i="2"/>
  <c r="L138" i="2" s="1"/>
  <c r="I139" i="2"/>
  <c r="L139" i="2" s="1"/>
  <c r="G138" i="2"/>
  <c r="G139" i="2"/>
  <c r="G133" i="2"/>
  <c r="G134" i="2"/>
  <c r="G135" i="2"/>
  <c r="G136" i="2"/>
  <c r="G137" i="2"/>
  <c r="G132" i="2"/>
  <c r="K118" i="2"/>
  <c r="K119" i="2"/>
  <c r="K120" i="2"/>
  <c r="J118" i="2"/>
  <c r="J119" i="2"/>
  <c r="J120" i="2"/>
  <c r="H118" i="2"/>
  <c r="H119" i="2"/>
  <c r="H120" i="2"/>
  <c r="L147" i="2"/>
  <c r="L148" i="2"/>
  <c r="L150" i="2"/>
  <c r="L146" i="2"/>
  <c r="L149" i="2"/>
  <c r="G145" i="2"/>
  <c r="L145" i="2"/>
  <c r="G48" i="2"/>
  <c r="I48" i="2"/>
  <c r="Q48" i="2"/>
  <c r="R48" i="2"/>
  <c r="I43" i="2"/>
  <c r="P43" i="2" s="1"/>
  <c r="I121" i="2"/>
  <c r="K112" i="2"/>
  <c r="J112" i="2"/>
  <c r="I112" i="2"/>
  <c r="H112" i="2"/>
  <c r="G112" i="2"/>
  <c r="L112" i="2"/>
  <c r="K151" i="2"/>
  <c r="J151" i="2"/>
  <c r="I151" i="2"/>
  <c r="H151" i="2"/>
  <c r="M151" i="2"/>
  <c r="K127" i="2"/>
  <c r="K140" i="2"/>
  <c r="J140" i="2"/>
  <c r="H140" i="2"/>
  <c r="M140" i="2"/>
  <c r="G131" i="2"/>
  <c r="K117" i="2"/>
  <c r="R43" i="2"/>
  <c r="J117" i="2"/>
  <c r="H117" i="2"/>
  <c r="O93" i="2"/>
  <c r="N93" i="2"/>
  <c r="L93" i="2"/>
  <c r="K93" i="2"/>
  <c r="H93" i="2"/>
  <c r="Q43" i="2"/>
  <c r="N183" i="3" l="1"/>
  <c r="N184" i="3"/>
  <c r="I161" i="20"/>
  <c r="D162" i="3"/>
  <c r="I162" i="3"/>
  <c r="N162" i="3"/>
  <c r="N148" i="3"/>
  <c r="N164" i="3"/>
  <c r="N180" i="3"/>
  <c r="N160" i="3"/>
  <c r="N177" i="3"/>
  <c r="N157" i="3"/>
  <c r="N174" i="3"/>
  <c r="N154" i="3"/>
  <c r="N171" i="3"/>
  <c r="N168" i="3"/>
  <c r="N149" i="3"/>
  <c r="N165" i="3"/>
  <c r="N181" i="3"/>
  <c r="N161" i="3"/>
  <c r="N178" i="3"/>
  <c r="N158" i="3"/>
  <c r="N175" i="3"/>
  <c r="N155" i="3"/>
  <c r="N172" i="3"/>
  <c r="N152" i="3"/>
  <c r="N169" i="3"/>
  <c r="N150" i="3"/>
  <c r="N166" i="3"/>
  <c r="N182" i="3"/>
  <c r="N163" i="3"/>
  <c r="N179" i="3"/>
  <c r="N159" i="3"/>
  <c r="N176" i="3"/>
  <c r="N156" i="3"/>
  <c r="N173" i="3"/>
  <c r="N153" i="3"/>
  <c r="N170" i="3"/>
  <c r="N151" i="3"/>
  <c r="N167" i="3"/>
  <c r="D155" i="3"/>
  <c r="I149" i="3"/>
  <c r="I167" i="3"/>
  <c r="I177" i="3"/>
  <c r="I179" i="3"/>
  <c r="I150" i="3"/>
  <c r="I155" i="3"/>
  <c r="I161" i="3"/>
  <c r="I147" i="3"/>
  <c r="I154" i="3"/>
  <c r="I165" i="3"/>
  <c r="I180" i="3"/>
  <c r="I151" i="3"/>
  <c r="I160" i="3"/>
  <c r="I163" i="3"/>
  <c r="I173" i="3"/>
  <c r="I175" i="3"/>
  <c r="I148" i="3"/>
  <c r="I168" i="3"/>
  <c r="I174" i="3"/>
  <c r="I164" i="3"/>
  <c r="I170" i="3"/>
  <c r="I176" i="3"/>
  <c r="I182" i="3"/>
  <c r="I156" i="3"/>
  <c r="I158" i="3"/>
  <c r="I169" i="3"/>
  <c r="I157" i="3"/>
  <c r="I183" i="3"/>
  <c r="I153" i="3"/>
  <c r="I159" i="3"/>
  <c r="I166" i="3"/>
  <c r="I172" i="3"/>
  <c r="I178" i="3"/>
  <c r="I152" i="3"/>
  <c r="I171" i="3"/>
  <c r="I181" i="3"/>
  <c r="D147" i="3"/>
  <c r="D164" i="3"/>
  <c r="D180" i="3"/>
  <c r="D160" i="3"/>
  <c r="D177" i="3"/>
  <c r="D157" i="3"/>
  <c r="D174" i="3"/>
  <c r="D153" i="3"/>
  <c r="D171" i="3"/>
  <c r="D151" i="3"/>
  <c r="D168" i="3"/>
  <c r="D148" i="3"/>
  <c r="D165" i="3"/>
  <c r="D181" i="3"/>
  <c r="D161" i="3"/>
  <c r="D178" i="3"/>
  <c r="D158" i="3"/>
  <c r="D175" i="3"/>
  <c r="D154" i="3"/>
  <c r="D172" i="3"/>
  <c r="D169" i="3"/>
  <c r="D149" i="3"/>
  <c r="D166" i="3"/>
  <c r="D182" i="3"/>
  <c r="D163" i="3"/>
  <c r="D179" i="3"/>
  <c r="D159" i="3"/>
  <c r="D176" i="3"/>
  <c r="D156" i="3"/>
  <c r="D173" i="3"/>
  <c r="D152" i="3"/>
  <c r="D170" i="3"/>
  <c r="D150" i="3"/>
  <c r="D167" i="3"/>
  <c r="D183" i="3"/>
  <c r="N102" i="3"/>
  <c r="N103" i="3"/>
  <c r="N112" i="3"/>
  <c r="N121" i="3"/>
  <c r="N127" i="3"/>
  <c r="N119" i="3"/>
  <c r="N110" i="3"/>
  <c r="N120" i="3"/>
  <c r="N118" i="3"/>
  <c r="N128" i="3"/>
  <c r="N106" i="3"/>
  <c r="N116" i="3"/>
  <c r="N108" i="3"/>
  <c r="N126" i="3"/>
  <c r="N129" i="3"/>
  <c r="N107" i="3"/>
  <c r="N114" i="3"/>
  <c r="N122" i="3"/>
  <c r="N113" i="3"/>
  <c r="N109" i="3"/>
  <c r="N115" i="3"/>
  <c r="N124" i="3"/>
  <c r="N117" i="3"/>
  <c r="N123" i="3"/>
  <c r="N105" i="3"/>
  <c r="N111" i="3"/>
  <c r="N104" i="3"/>
  <c r="N125" i="3"/>
  <c r="P45" i="20"/>
  <c r="I185" i="3"/>
  <c r="P10" i="19"/>
  <c r="N185" i="3"/>
  <c r="D41" i="3"/>
  <c r="I153" i="21"/>
  <c r="G4" i="21" s="1"/>
  <c r="D185" i="3"/>
  <c r="N135" i="3"/>
  <c r="I61" i="3"/>
  <c r="I65" i="3"/>
  <c r="I69" i="3"/>
  <c r="I73" i="3"/>
  <c r="I77" i="3"/>
  <c r="I81" i="3"/>
  <c r="I85" i="3"/>
  <c r="I55" i="3"/>
  <c r="I58" i="3"/>
  <c r="I62" i="3"/>
  <c r="I66" i="3"/>
  <c r="I70" i="3"/>
  <c r="I74" i="3"/>
  <c r="I78" i="3"/>
  <c r="I82" i="3"/>
  <c r="I86" i="3"/>
  <c r="I56" i="3"/>
  <c r="I59" i="3"/>
  <c r="I63" i="3"/>
  <c r="I67" i="3"/>
  <c r="I71" i="3"/>
  <c r="I75" i="3"/>
  <c r="I79" i="3"/>
  <c r="I83" i="3"/>
  <c r="I87" i="3"/>
  <c r="I57" i="3"/>
  <c r="I60" i="3"/>
  <c r="I64" i="3"/>
  <c r="I68" i="3"/>
  <c r="I72" i="3"/>
  <c r="I76" i="3"/>
  <c r="I80" i="3"/>
  <c r="I84" i="3"/>
  <c r="I54" i="3"/>
  <c r="N54" i="3"/>
  <c r="N61" i="3"/>
  <c r="N65" i="3"/>
  <c r="N69" i="3"/>
  <c r="N73" i="3"/>
  <c r="N55" i="3"/>
  <c r="N58" i="3"/>
  <c r="N62" i="3"/>
  <c r="N66" i="3"/>
  <c r="N70" i="3"/>
  <c r="N56" i="3"/>
  <c r="N59" i="3"/>
  <c r="N63" i="3"/>
  <c r="N67" i="3"/>
  <c r="N71" i="3"/>
  <c r="N57" i="3"/>
  <c r="N60" i="3"/>
  <c r="N64" i="3"/>
  <c r="N68" i="3"/>
  <c r="N72" i="3"/>
  <c r="I102" i="3"/>
  <c r="I117" i="3"/>
  <c r="I133" i="3"/>
  <c r="I114" i="3"/>
  <c r="I130" i="3"/>
  <c r="I111" i="3"/>
  <c r="I127" i="3"/>
  <c r="I112" i="3"/>
  <c r="I105" i="3"/>
  <c r="I121" i="3"/>
  <c r="I103" i="3"/>
  <c r="I118" i="3"/>
  <c r="I134" i="3"/>
  <c r="I115" i="3"/>
  <c r="I131" i="3"/>
  <c r="I116" i="3"/>
  <c r="I109" i="3"/>
  <c r="I125" i="3"/>
  <c r="I106" i="3"/>
  <c r="I122" i="3"/>
  <c r="I104" i="3"/>
  <c r="I119" i="3"/>
  <c r="I120" i="3"/>
  <c r="I132" i="3"/>
  <c r="I113" i="3"/>
  <c r="I129" i="3"/>
  <c r="I110" i="3"/>
  <c r="I126" i="3"/>
  <c r="I107" i="3"/>
  <c r="I123" i="3"/>
  <c r="I108" i="3"/>
  <c r="I124" i="3"/>
  <c r="I128" i="3"/>
  <c r="D102" i="3"/>
  <c r="D105" i="3"/>
  <c r="D109" i="3"/>
  <c r="D113" i="3"/>
  <c r="D117" i="3"/>
  <c r="D121" i="3"/>
  <c r="D125" i="3"/>
  <c r="D129" i="3"/>
  <c r="D133" i="3"/>
  <c r="D103" i="3"/>
  <c r="D106" i="3"/>
  <c r="D110" i="3"/>
  <c r="D114" i="3"/>
  <c r="D118" i="3"/>
  <c r="D122" i="3"/>
  <c r="D126" i="3"/>
  <c r="D130" i="3"/>
  <c r="D134" i="3"/>
  <c r="D104" i="3"/>
  <c r="D107" i="3"/>
  <c r="D111" i="3"/>
  <c r="D115" i="3"/>
  <c r="D119" i="3"/>
  <c r="D123" i="3"/>
  <c r="D127" i="3"/>
  <c r="D131" i="3"/>
  <c r="D108" i="3"/>
  <c r="D112" i="3"/>
  <c r="D116" i="3"/>
  <c r="D120" i="3"/>
  <c r="D124" i="3"/>
  <c r="D128" i="3"/>
  <c r="D132" i="3"/>
  <c r="D55" i="3"/>
  <c r="D58" i="3"/>
  <c r="D62" i="3"/>
  <c r="D66" i="3"/>
  <c r="D70" i="3"/>
  <c r="D74" i="3"/>
  <c r="D78" i="3"/>
  <c r="D82" i="3"/>
  <c r="D86" i="3"/>
  <c r="D56" i="3"/>
  <c r="D59" i="3"/>
  <c r="D63" i="3"/>
  <c r="D67" i="3"/>
  <c r="D71" i="3"/>
  <c r="D75" i="3"/>
  <c r="D79" i="3"/>
  <c r="D83" i="3"/>
  <c r="D87" i="3"/>
  <c r="D53" i="3"/>
  <c r="D57" i="3"/>
  <c r="D60" i="3"/>
  <c r="D64" i="3"/>
  <c r="D68" i="3"/>
  <c r="D72" i="3"/>
  <c r="D76" i="3"/>
  <c r="D80" i="3"/>
  <c r="D84" i="3"/>
  <c r="D54" i="3"/>
  <c r="D61" i="3"/>
  <c r="D65" i="3"/>
  <c r="D69" i="3"/>
  <c r="D73" i="3"/>
  <c r="D77" i="3"/>
  <c r="D81" i="3"/>
  <c r="D85" i="3"/>
  <c r="I19" i="3"/>
  <c r="D19" i="3"/>
  <c r="I6" i="3"/>
  <c r="I22" i="3"/>
  <c r="I38" i="3"/>
  <c r="I18" i="3"/>
  <c r="I35" i="3"/>
  <c r="I15" i="3"/>
  <c r="I32" i="3"/>
  <c r="I12" i="3"/>
  <c r="I29" i="3"/>
  <c r="I13" i="3"/>
  <c r="I30" i="3"/>
  <c r="I27" i="3"/>
  <c r="I8" i="3"/>
  <c r="I21" i="3"/>
  <c r="I37" i="3"/>
  <c r="I10" i="3"/>
  <c r="I26" i="3"/>
  <c r="I7" i="3"/>
  <c r="I23" i="3"/>
  <c r="I39" i="3"/>
  <c r="I20" i="3"/>
  <c r="I36" i="3"/>
  <c r="I16" i="3"/>
  <c r="I33" i="3"/>
  <c r="I24" i="3"/>
  <c r="I40" i="3"/>
  <c r="I17" i="3"/>
  <c r="I34" i="3"/>
  <c r="I14" i="3"/>
  <c r="I31" i="3"/>
  <c r="I11" i="3"/>
  <c r="I28" i="3"/>
  <c r="I9" i="3"/>
  <c r="I25" i="3"/>
  <c r="D29" i="3"/>
  <c r="D30" i="3"/>
  <c r="D31" i="3"/>
  <c r="D28" i="3"/>
  <c r="D38" i="3"/>
  <c r="D36" i="3"/>
  <c r="D33" i="3"/>
  <c r="D34" i="3"/>
  <c r="D35" i="3"/>
  <c r="D32" i="3"/>
  <c r="D37" i="3"/>
  <c r="D39" i="3"/>
  <c r="D25" i="3"/>
  <c r="D26" i="3"/>
  <c r="D24" i="3"/>
  <c r="D40" i="3"/>
  <c r="N146" i="3"/>
  <c r="N147" i="3"/>
  <c r="I146" i="3"/>
  <c r="N101" i="3"/>
  <c r="D146" i="3"/>
  <c r="N130" i="3"/>
  <c r="N132" i="3"/>
  <c r="N134" i="3"/>
  <c r="N99" i="3"/>
  <c r="N100" i="3"/>
  <c r="D101" i="3"/>
  <c r="D99" i="3"/>
  <c r="D100" i="3"/>
  <c r="N131" i="3"/>
  <c r="N133" i="3"/>
  <c r="N76" i="3"/>
  <c r="N84" i="3"/>
  <c r="N81" i="3"/>
  <c r="N80" i="3"/>
  <c r="N74" i="3"/>
  <c r="N83" i="3"/>
  <c r="N86" i="3"/>
  <c r="N75" i="3"/>
  <c r="N53" i="3"/>
  <c r="N79" i="3"/>
  <c r="N78" i="3"/>
  <c r="N85" i="3"/>
  <c r="N52" i="3"/>
  <c r="N77" i="3"/>
  <c r="N82" i="3"/>
  <c r="I99" i="3"/>
  <c r="I100" i="3"/>
  <c r="I101" i="3"/>
  <c r="D15" i="3"/>
  <c r="I5" i="3"/>
  <c r="D52" i="3"/>
  <c r="I52" i="3"/>
  <c r="I53" i="3"/>
  <c r="D21" i="3"/>
  <c r="D13" i="3"/>
  <c r="D22" i="3"/>
  <c r="P48" i="2"/>
  <c r="P93" i="2" s="1"/>
  <c r="D5" i="3"/>
  <c r="D16" i="3"/>
  <c r="D8" i="3"/>
  <c r="D11" i="3"/>
  <c r="D23" i="3"/>
  <c r="D20" i="3"/>
  <c r="D12" i="3"/>
  <c r="D14" i="3"/>
  <c r="D6" i="3"/>
  <c r="D7" i="3"/>
  <c r="D9" i="3"/>
  <c r="D10" i="3"/>
  <c r="D17" i="3"/>
  <c r="D18" i="3"/>
  <c r="P33" i="10"/>
  <c r="P73" i="10" s="1"/>
  <c r="I41" i="3"/>
  <c r="G4" i="3"/>
  <c r="J4" i="16"/>
  <c r="N94" i="10"/>
  <c r="B4" i="10"/>
  <c r="J4" i="12"/>
  <c r="J4" i="20"/>
  <c r="I341" i="19"/>
  <c r="J4" i="13"/>
  <c r="I139" i="18"/>
  <c r="M4" i="18" s="1"/>
  <c r="I81" i="16"/>
  <c r="I132" i="13"/>
  <c r="M4" i="13" s="1"/>
  <c r="I152" i="15"/>
  <c r="M4" i="15" s="1"/>
  <c r="P52" i="20"/>
  <c r="P161" i="20" s="1"/>
  <c r="I144" i="12"/>
  <c r="M4" i="12" s="1"/>
  <c r="L163" i="15"/>
  <c r="I398" i="20"/>
  <c r="M4" i="20" s="1"/>
  <c r="J4" i="15"/>
  <c r="B4" i="20"/>
  <c r="P43" i="21"/>
  <c r="P153" i="21" s="1"/>
  <c r="I128" i="16"/>
  <c r="M4" i="16" s="1"/>
  <c r="L139" i="16"/>
  <c r="J4" i="18"/>
  <c r="B4" i="21"/>
  <c r="I121" i="10"/>
  <c r="M4" i="10" s="1"/>
  <c r="J4" i="10"/>
  <c r="J4" i="21"/>
  <c r="I248" i="14"/>
  <c r="M4" i="14" s="1"/>
  <c r="B4" i="19"/>
  <c r="B4" i="14"/>
  <c r="J4" i="14"/>
  <c r="L155" i="12"/>
  <c r="I186" i="14"/>
  <c r="G4" i="14" s="1"/>
  <c r="L259" i="14"/>
  <c r="I104" i="15"/>
  <c r="P81" i="16"/>
  <c r="L150" i="18"/>
  <c r="I168" i="19"/>
  <c r="G4" i="19" s="1"/>
  <c r="L220" i="19"/>
  <c r="L341" i="19" s="1"/>
  <c r="M4" i="21"/>
  <c r="G4" i="4"/>
  <c r="B11" i="4"/>
  <c r="L11" i="4"/>
  <c r="G18" i="4"/>
  <c r="B25" i="4"/>
  <c r="L25" i="4"/>
  <c r="L4" i="4"/>
  <c r="G11" i="4"/>
  <c r="B18" i="4"/>
  <c r="L18" i="4"/>
  <c r="P168" i="19"/>
  <c r="L143" i="13"/>
  <c r="L2523" i="20"/>
  <c r="L132" i="10"/>
  <c r="L211" i="20"/>
  <c r="L398" i="20" s="1"/>
  <c r="P91" i="18"/>
  <c r="L130" i="18"/>
  <c r="L139" i="18" s="1"/>
  <c r="I91" i="18"/>
  <c r="G4" i="18" s="1"/>
  <c r="L119" i="16"/>
  <c r="L128" i="16" s="1"/>
  <c r="P104" i="15"/>
  <c r="L143" i="15"/>
  <c r="L152" i="15" s="1"/>
  <c r="P186" i="14"/>
  <c r="L239" i="14"/>
  <c r="L248" i="14" s="1"/>
  <c r="P84" i="13"/>
  <c r="L123" i="13"/>
  <c r="L132" i="13" s="1"/>
  <c r="I84" i="13"/>
  <c r="P96" i="12"/>
  <c r="L135" i="12"/>
  <c r="L144" i="12" s="1"/>
  <c r="I96" i="12"/>
  <c r="L112" i="10"/>
  <c r="L121" i="10" s="1"/>
  <c r="I73" i="10"/>
  <c r="G4" i="10" s="1"/>
  <c r="I140" i="2"/>
  <c r="M4" i="2" s="1"/>
  <c r="I93" i="2"/>
  <c r="G4" i="2" s="1"/>
  <c r="J4" i="2"/>
  <c r="L151" i="2"/>
  <c r="L140" i="2"/>
  <c r="P4" i="13" l="1"/>
  <c r="O193" i="3"/>
  <c r="J193" i="3"/>
  <c r="E193" i="3"/>
  <c r="J143" i="3"/>
  <c r="E143" i="3"/>
  <c r="O143" i="3"/>
  <c r="O96" i="3"/>
  <c r="J96" i="3"/>
  <c r="E96" i="3"/>
  <c r="L4" i="3"/>
  <c r="E49" i="3"/>
  <c r="J49" i="3"/>
  <c r="P4" i="18"/>
  <c r="P4" i="16"/>
  <c r="P4" i="12"/>
  <c r="G4" i="20"/>
  <c r="P4" i="20" s="1"/>
  <c r="P4" i="15"/>
  <c r="P4" i="21"/>
  <c r="P4" i="10"/>
  <c r="P4" i="14"/>
  <c r="G43" i="2"/>
  <c r="P4" i="2"/>
  <c r="B51" i="3" l="1"/>
  <c r="G51" i="3" s="1"/>
  <c r="L51" i="3" s="1"/>
  <c r="B98" i="3" s="1"/>
  <c r="G98" i="3" s="1"/>
  <c r="L98" i="3" s="1"/>
  <c r="B145" i="3" s="1"/>
  <c r="G145" i="3" s="1"/>
  <c r="L145" i="3" s="1"/>
  <c r="H363" i="19"/>
  <c r="I363" i="19" s="1"/>
  <c r="H1815" i="19"/>
  <c r="I1815" i="19" s="1"/>
  <c r="H523" i="19"/>
  <c r="I523" i="19" s="1"/>
  <c r="H368" i="19"/>
  <c r="I368" i="19" s="1"/>
  <c r="H458" i="19"/>
  <c r="I458" i="19" s="1"/>
  <c r="H1560" i="19"/>
  <c r="I1560" i="19" s="1"/>
  <c r="H1672" i="19"/>
  <c r="I1672" i="19" s="1"/>
  <c r="H550" i="19"/>
  <c r="I550" i="19" s="1"/>
  <c r="H374" i="19"/>
  <c r="I374" i="19" s="1"/>
  <c r="H1552" i="19"/>
  <c r="I1552" i="19" s="1"/>
  <c r="H573" i="19"/>
  <c r="I573" i="19" s="1"/>
  <c r="H1612" i="19"/>
  <c r="I1612" i="19" s="1"/>
  <c r="H1837" i="19"/>
  <c r="I1837" i="19" s="1"/>
  <c r="H1807" i="19"/>
  <c r="I1807" i="19" s="1"/>
  <c r="H357" i="19"/>
  <c r="I357" i="19" s="1"/>
  <c r="H416" i="19"/>
  <c r="I416" i="19" s="1"/>
  <c r="H347" i="19"/>
  <c r="I347" i="19" s="1"/>
  <c r="H500" i="19"/>
  <c r="I500" i="19" s="1"/>
  <c r="H1688" i="19"/>
  <c r="I1688" i="19" s="1"/>
  <c r="H391" i="19"/>
  <c r="I391" i="19" s="1"/>
  <c r="H1801" i="19"/>
  <c r="I1801" i="19" s="1"/>
  <c r="H477" i="19"/>
  <c r="I477" i="19" s="1"/>
  <c r="H1793" i="19"/>
  <c r="I1793" i="19" s="1"/>
  <c r="H435" i="19"/>
  <c r="I435" i="19" s="1"/>
  <c r="H1714" i="19"/>
  <c r="I1714" i="19" s="1"/>
  <c r="H1804" i="19"/>
  <c r="I1804" i="19" s="1"/>
  <c r="H508" i="19"/>
  <c r="I508" i="19" s="1"/>
  <c r="H380" i="19"/>
  <c r="I380" i="19" s="1"/>
  <c r="H804" i="19"/>
  <c r="I804" i="19" s="1"/>
  <c r="H1621" i="19"/>
  <c r="I1621" i="19" s="1"/>
  <c r="H646" i="19"/>
  <c r="I646" i="19" s="1"/>
  <c r="H426" i="19"/>
  <c r="I426" i="19" s="1"/>
  <c r="H838" i="19"/>
  <c r="I838" i="19" s="1"/>
  <c r="H1682" i="19"/>
  <c r="I1682" i="19" s="1"/>
  <c r="H555" i="19"/>
  <c r="I555" i="19" s="1"/>
  <c r="H1841" i="19"/>
  <c r="I1841" i="19" s="1"/>
  <c r="H1544" i="19"/>
  <c r="I1544" i="19" s="1"/>
  <c r="H830" i="19"/>
  <c r="I830" i="19" s="1"/>
  <c r="H825" i="19"/>
  <c r="I825" i="19" s="1"/>
  <c r="H1018" i="19"/>
  <c r="I1018" i="19" s="1"/>
  <c r="H1402" i="19"/>
  <c r="I1402" i="19" s="1"/>
  <c r="H1756" i="19"/>
  <c r="I1756" i="19" s="1"/>
  <c r="H1076" i="19"/>
  <c r="I1076" i="19" s="1"/>
  <c r="H1145" i="19"/>
  <c r="I1145" i="19" s="1"/>
  <c r="H1221" i="19"/>
  <c r="I1221" i="19" s="1"/>
  <c r="H1281" i="19"/>
  <c r="I1281" i="19" s="1"/>
  <c r="H1633" i="19"/>
  <c r="I1633" i="19" s="1"/>
  <c r="H390" i="19"/>
  <c r="I390" i="19" s="1"/>
  <c r="H439" i="19"/>
  <c r="I439" i="19" s="1"/>
  <c r="H1724" i="19"/>
  <c r="I1724" i="19" s="1"/>
  <c r="H689" i="19"/>
  <c r="I689" i="19" s="1"/>
  <c r="H1609" i="19"/>
  <c r="I1609" i="19" s="1"/>
  <c r="H956" i="19"/>
  <c r="I956" i="19" s="1"/>
  <c r="H1386" i="19"/>
  <c r="I1386" i="19" s="1"/>
  <c r="H1490" i="19"/>
  <c r="I1490" i="19" s="1"/>
  <c r="H1062" i="19"/>
  <c r="I1062" i="19" s="1"/>
  <c r="H1133" i="19"/>
  <c r="I1133" i="19" s="1"/>
  <c r="H1205" i="19"/>
  <c r="I1205" i="19" s="1"/>
  <c r="H1271" i="19"/>
  <c r="I1271" i="19" s="1"/>
  <c r="H1541" i="19"/>
  <c r="I1541" i="19" s="1"/>
  <c r="H1673" i="19"/>
  <c r="I1673" i="19" s="1"/>
  <c r="H413" i="19"/>
  <c r="I413" i="19" s="1"/>
  <c r="H1616" i="19"/>
  <c r="I1616" i="19" s="1"/>
  <c r="H774" i="19"/>
  <c r="I774" i="19" s="1"/>
  <c r="H1450" i="19"/>
  <c r="I1450" i="19" s="1"/>
  <c r="H1119" i="19"/>
  <c r="I1119" i="19" s="1"/>
  <c r="H1261" i="19"/>
  <c r="I1261" i="19" s="1"/>
  <c r="H1653" i="19"/>
  <c r="I1653" i="19" s="1"/>
  <c r="H543" i="19"/>
  <c r="I543" i="19" s="1"/>
  <c r="H644" i="19"/>
  <c r="I644" i="19" s="1"/>
  <c r="H725" i="19"/>
  <c r="I725" i="19" s="1"/>
  <c r="H822" i="19"/>
  <c r="I822" i="19" s="1"/>
  <c r="H893" i="19"/>
  <c r="I893" i="19" s="1"/>
  <c r="H958" i="19"/>
  <c r="I958" i="19" s="1"/>
  <c r="H1324" i="19"/>
  <c r="I1324" i="19" s="1"/>
  <c r="H1396" i="19"/>
  <c r="I1396" i="19" s="1"/>
  <c r="H1468" i="19"/>
  <c r="I1468" i="19" s="1"/>
  <c r="H1774" i="19"/>
  <c r="I1774" i="19" s="1"/>
  <c r="H1078" i="19"/>
  <c r="I1078" i="19" s="1"/>
  <c r="H1207" i="19"/>
  <c r="I1207" i="19" s="1"/>
  <c r="H1615" i="19"/>
  <c r="I1615" i="19" s="1"/>
  <c r="H645" i="19"/>
  <c r="I645" i="19" s="1"/>
  <c r="H978" i="19"/>
  <c r="I978" i="19" s="1"/>
  <c r="H522" i="19"/>
  <c r="I522" i="19" s="1"/>
  <c r="H1586" i="19"/>
  <c r="I1586" i="19" s="1"/>
  <c r="H1354" i="19"/>
  <c r="I1354" i="19" s="1"/>
  <c r="H1030" i="19"/>
  <c r="I1030" i="19" s="1"/>
  <c r="H1169" i="19"/>
  <c r="I1169" i="19" s="1"/>
  <c r="H1729" i="19"/>
  <c r="I1729" i="19" s="1"/>
  <c r="H588" i="19"/>
  <c r="I588" i="19" s="1"/>
  <c r="H675" i="19"/>
  <c r="I675" i="19" s="1"/>
  <c r="H761" i="19"/>
  <c r="I761" i="19" s="1"/>
  <c r="H852" i="19"/>
  <c r="I852" i="19" s="1"/>
  <c r="H916" i="19"/>
  <c r="I916" i="19" s="1"/>
  <c r="H981" i="19"/>
  <c r="I981" i="19" s="1"/>
  <c r="H1352" i="19"/>
  <c r="I1352" i="19" s="1"/>
  <c r="H1424" i="19"/>
  <c r="I1424" i="19" s="1"/>
  <c r="H1492" i="19"/>
  <c r="I1492" i="19" s="1"/>
  <c r="H1038" i="19"/>
  <c r="I1038" i="19" s="1"/>
  <c r="H1121" i="19"/>
  <c r="I1121" i="19" s="1"/>
  <c r="H1257" i="19"/>
  <c r="I1257" i="19" s="1"/>
  <c r="H1559" i="19"/>
  <c r="I1559" i="19" s="1"/>
  <c r="H1820" i="19"/>
  <c r="I1820" i="19" s="1"/>
  <c r="H1628" i="19"/>
  <c r="I1628" i="19" s="1"/>
  <c r="H1668" i="19"/>
  <c r="I1668" i="19" s="1"/>
  <c r="H1684" i="19"/>
  <c r="I1684" i="19" s="1"/>
  <c r="H491" i="19"/>
  <c r="I491" i="19" s="1"/>
  <c r="H620" i="19"/>
  <c r="I620" i="19" s="1"/>
  <c r="H746" i="19"/>
  <c r="I746" i="19" s="1"/>
  <c r="H1829" i="19"/>
  <c r="I1829" i="19" s="1"/>
  <c r="H1746" i="19"/>
  <c r="I1746" i="19" s="1"/>
  <c r="H452" i="19"/>
  <c r="I452" i="19" s="1"/>
  <c r="H517" i="19"/>
  <c r="I517" i="19" s="1"/>
  <c r="H582" i="19"/>
  <c r="I582" i="19" s="1"/>
  <c r="H643" i="19"/>
  <c r="I643" i="19" s="1"/>
  <c r="H708" i="19"/>
  <c r="I708" i="19" s="1"/>
  <c r="H769" i="19"/>
  <c r="I769" i="19" s="1"/>
  <c r="H1537" i="19"/>
  <c r="I1537" i="19" s="1"/>
  <c r="H387" i="19"/>
  <c r="I387" i="19" s="1"/>
  <c r="H1516" i="19"/>
  <c r="I1516" i="19" s="1"/>
  <c r="H1588" i="19"/>
  <c r="I1588" i="19" s="1"/>
  <c r="H376" i="19"/>
  <c r="I376" i="19" s="1"/>
  <c r="H506" i="19"/>
  <c r="I506" i="19" s="1"/>
  <c r="H636" i="19"/>
  <c r="I636" i="19" s="1"/>
  <c r="H762" i="19"/>
  <c r="I762" i="19" s="1"/>
  <c r="H1538" i="19"/>
  <c r="I1538" i="19" s="1"/>
  <c r="H1617" i="19"/>
  <c r="I1617" i="19" s="1"/>
  <c r="H516" i="19"/>
  <c r="I516" i="19" s="1"/>
  <c r="H687" i="19"/>
  <c r="I687" i="19" s="1"/>
  <c r="H1660" i="19"/>
  <c r="I1660" i="19" s="1"/>
  <c r="H437" i="19"/>
  <c r="I437" i="19" s="1"/>
  <c r="H666" i="19"/>
  <c r="I666" i="19" s="1"/>
  <c r="H501" i="19"/>
  <c r="I501" i="19" s="1"/>
  <c r="H718" i="19"/>
  <c r="I718" i="19" s="1"/>
  <c r="H895" i="19"/>
  <c r="I895" i="19" s="1"/>
  <c r="H1520" i="19"/>
  <c r="I1520" i="19" s="1"/>
  <c r="H535" i="19"/>
  <c r="I535" i="19" s="1"/>
  <c r="H792" i="19"/>
  <c r="I792" i="19" s="1"/>
  <c r="H1525" i="19"/>
  <c r="I1525" i="19" s="1"/>
  <c r="H667" i="19"/>
  <c r="I667" i="19" s="1"/>
  <c r="H880" i="19"/>
  <c r="I880" i="19" s="1"/>
  <c r="H395" i="19"/>
  <c r="I395" i="19" s="1"/>
  <c r="H731" i="19"/>
  <c r="I731" i="19" s="1"/>
  <c r="H1517" i="19"/>
  <c r="I1517" i="19" s="1"/>
  <c r="H425" i="19"/>
  <c r="I425" i="19" s="1"/>
  <c r="H759" i="19"/>
  <c r="I759" i="19" s="1"/>
  <c r="H934" i="19"/>
  <c r="I934" i="19" s="1"/>
  <c r="H578" i="19"/>
  <c r="I578" i="19" s="1"/>
  <c r="H1811" i="19"/>
  <c r="I1811" i="19" s="1"/>
  <c r="H641" i="19"/>
  <c r="I641" i="19" s="1"/>
  <c r="H805" i="19"/>
  <c r="I805" i="19" s="1"/>
  <c r="H914" i="19"/>
  <c r="I914" i="19" s="1"/>
  <c r="H1193" i="19"/>
  <c r="I1193" i="19" s="1"/>
  <c r="H1674" i="19"/>
  <c r="I1674" i="19" s="1"/>
  <c r="H359" i="19"/>
  <c r="I359" i="19" s="1"/>
  <c r="H754" i="19"/>
  <c r="I754" i="19" s="1"/>
  <c r="H1709" i="19"/>
  <c r="I1709" i="19" s="1"/>
  <c r="H991" i="19"/>
  <c r="I991" i="19" s="1"/>
  <c r="H1752" i="19"/>
  <c r="I1752" i="19" s="1"/>
  <c r="H1824" i="19"/>
  <c r="I1824" i="19" s="1"/>
  <c r="H475" i="19"/>
  <c r="I475" i="19" s="1"/>
  <c r="H738" i="19"/>
  <c r="I738" i="19" s="1"/>
  <c r="H1342" i="19"/>
  <c r="I1342" i="19" s="1"/>
  <c r="H393" i="19"/>
  <c r="I393" i="19" s="1"/>
  <c r="H1548" i="19"/>
  <c r="I1548" i="19" s="1"/>
  <c r="H405" i="19"/>
  <c r="I405" i="19" s="1"/>
  <c r="H1849" i="19"/>
  <c r="I1849" i="19" s="1"/>
  <c r="H472" i="19"/>
  <c r="I472" i="19" s="1"/>
  <c r="H601" i="19"/>
  <c r="I601" i="19" s="1"/>
  <c r="H727" i="19"/>
  <c r="I727" i="19" s="1"/>
  <c r="H1618" i="19"/>
  <c r="I1618" i="19" s="1"/>
  <c r="H355" i="19"/>
  <c r="I355" i="19" s="1"/>
  <c r="H1708" i="19"/>
  <c r="I1708" i="19" s="1"/>
  <c r="H403" i="19"/>
  <c r="I403" i="19" s="1"/>
  <c r="H655" i="19"/>
  <c r="I655" i="19" s="1"/>
  <c r="H1650" i="19"/>
  <c r="I1650" i="19" s="1"/>
  <c r="H1696" i="19"/>
  <c r="I1696" i="19" s="1"/>
  <c r="H1604" i="19"/>
  <c r="I1604" i="19" s="1"/>
  <c r="H846" i="19"/>
  <c r="I846" i="19" s="1"/>
  <c r="H361" i="19"/>
  <c r="I361" i="19" s="1"/>
  <c r="H1680" i="19"/>
  <c r="I1680" i="19" s="1"/>
  <c r="H1382" i="19"/>
  <c r="I1382" i="19" s="1"/>
  <c r="H1058" i="19"/>
  <c r="I1058" i="19" s="1"/>
  <c r="H1201" i="19"/>
  <c r="I1201" i="19" s="1"/>
  <c r="H1533" i="19"/>
  <c r="I1533" i="19" s="1"/>
  <c r="H467" i="19"/>
  <c r="I467" i="19" s="1"/>
  <c r="H1149" i="19"/>
  <c r="I1149" i="19" s="1"/>
  <c r="H1799" i="19"/>
  <c r="I1799" i="19" s="1"/>
  <c r="H941" i="19"/>
  <c r="I941" i="19" s="1"/>
  <c r="H1084" i="19"/>
  <c r="I1084" i="19" s="1"/>
  <c r="H623" i="19"/>
  <c r="I623" i="19" s="1"/>
  <c r="H802" i="19"/>
  <c r="I802" i="19" s="1"/>
  <c r="H939" i="19"/>
  <c r="I939" i="19" s="1"/>
  <c r="H1376" i="19"/>
  <c r="I1376" i="19" s="1"/>
  <c r="H1754" i="19"/>
  <c r="I1754" i="19" s="1"/>
  <c r="H466" i="19"/>
  <c r="I466" i="19" s="1"/>
  <c r="H1066" i="19"/>
  <c r="I1066" i="19" s="1"/>
  <c r="H1553" i="19"/>
  <c r="I1553" i="19" s="1"/>
  <c r="H614" i="19"/>
  <c r="I614" i="19" s="1"/>
  <c r="H787" i="19"/>
  <c r="I787" i="19" s="1"/>
  <c r="H932" i="19"/>
  <c r="I932" i="19" s="1"/>
  <c r="H1368" i="19"/>
  <c r="I1368" i="19" s="1"/>
  <c r="H1508" i="19"/>
  <c r="I1508" i="19" s="1"/>
  <c r="H1159" i="19"/>
  <c r="I1159" i="19" s="1"/>
  <c r="H691" i="19"/>
  <c r="I691" i="19" s="1"/>
  <c r="H1683" i="19"/>
  <c r="I1683" i="19" s="1"/>
  <c r="H995" i="19"/>
  <c r="I995" i="19" s="1"/>
  <c r="H1123" i="19"/>
  <c r="I1123" i="19" s="1"/>
  <c r="H1657" i="19"/>
  <c r="I1657" i="19" s="1"/>
  <c r="H1155" i="19"/>
  <c r="I1155" i="19" s="1"/>
  <c r="H1297" i="19"/>
  <c r="I1297" i="19" s="1"/>
  <c r="H963" i="19"/>
  <c r="I963" i="19" s="1"/>
  <c r="H1595" i="19"/>
  <c r="I1595" i="19" s="1"/>
  <c r="H1444" i="19"/>
  <c r="I1444" i="19" s="1"/>
  <c r="H1518" i="19"/>
  <c r="I1518" i="19" s="1"/>
  <c r="H394" i="19"/>
  <c r="I394" i="19" s="1"/>
  <c r="H1330" i="19"/>
  <c r="I1330" i="19" s="1"/>
  <c r="H1654" i="19"/>
  <c r="I1654" i="19" s="1"/>
  <c r="H577" i="19"/>
  <c r="I577" i="19" s="1"/>
  <c r="H1629" i="19"/>
  <c r="I1629" i="19" s="1"/>
  <c r="H1764" i="19"/>
  <c r="I1764" i="19" s="1"/>
  <c r="H1572" i="19"/>
  <c r="I1572" i="19" s="1"/>
  <c r="H1584" i="19"/>
  <c r="I1584" i="19" s="1"/>
  <c r="H1528" i="19"/>
  <c r="I1528" i="19" s="1"/>
  <c r="H1536" i="19"/>
  <c r="I1536" i="19" s="1"/>
  <c r="H470" i="19"/>
  <c r="I470" i="19" s="1"/>
  <c r="H389" i="19"/>
  <c r="I389" i="19" s="1"/>
  <c r="H1564" i="19"/>
  <c r="I1564" i="19" s="1"/>
  <c r="H1701" i="19"/>
  <c r="I1701" i="19" s="1"/>
  <c r="H609" i="19"/>
  <c r="I609" i="19" s="1"/>
  <c r="H789" i="19"/>
  <c r="I789" i="19" s="1"/>
  <c r="H510" i="19"/>
  <c r="I510" i="19" s="1"/>
  <c r="H799" i="19"/>
  <c r="I799" i="19" s="1"/>
  <c r="H1720" i="19"/>
  <c r="I1720" i="19" s="1"/>
  <c r="H872" i="19"/>
  <c r="I872" i="19" s="1"/>
  <c r="H533" i="19"/>
  <c r="I533" i="19" s="1"/>
  <c r="H823" i="19"/>
  <c r="I823" i="19" s="1"/>
  <c r="H964" i="19"/>
  <c r="I964" i="19" s="1"/>
  <c r="H515" i="19"/>
  <c r="I515" i="19" s="1"/>
  <c r="H1740" i="19"/>
  <c r="I1740" i="19" s="1"/>
  <c r="H557" i="19"/>
  <c r="I557" i="19" s="1"/>
  <c r="H1716" i="19"/>
  <c r="I1716" i="19" s="1"/>
  <c r="H662" i="19"/>
  <c r="I662" i="19" s="1"/>
  <c r="H1540" i="19"/>
  <c r="I1540" i="19" s="1"/>
  <c r="H565" i="19"/>
  <c r="I565" i="19" s="1"/>
  <c r="H559" i="19"/>
  <c r="I559" i="19" s="1"/>
  <c r="H1080" i="19"/>
  <c r="I1080" i="19" s="1"/>
  <c r="H703" i="19"/>
  <c r="I703" i="19" s="1"/>
  <c r="H1064" i="19"/>
  <c r="I1064" i="19" s="1"/>
  <c r="H586" i="19"/>
  <c r="I586" i="19" s="1"/>
  <c r="H695" i="19"/>
  <c r="I695" i="19" s="1"/>
  <c r="H1056" i="19"/>
  <c r="I1056" i="19" s="1"/>
  <c r="H1813" i="19"/>
  <c r="I1813" i="19" s="1"/>
  <c r="H607" i="19"/>
  <c r="I607" i="19" s="1"/>
  <c r="H459" i="19"/>
  <c r="I459" i="19" s="1"/>
  <c r="H864" i="19"/>
  <c r="I864" i="19" s="1"/>
  <c r="H365" i="19"/>
  <c r="I365" i="19" s="1"/>
  <c r="L1863" i="19"/>
  <c r="H1422" i="19"/>
  <c r="I1422" i="19" s="1"/>
  <c r="H925" i="19"/>
  <c r="I925" i="19" s="1"/>
  <c r="H1089" i="19"/>
  <c r="I1089" i="19" s="1"/>
  <c r="H1555" i="19"/>
  <c r="I1555" i="19" s="1"/>
  <c r="H1241" i="19"/>
  <c r="I1241" i="19" s="1"/>
  <c r="H1591" i="19"/>
  <c r="I1591" i="19" s="1"/>
  <c r="H844" i="19"/>
  <c r="I844" i="19" s="1"/>
  <c r="H1704" i="19"/>
  <c r="I1704" i="19" s="1"/>
  <c r="H580" i="19"/>
  <c r="I580" i="19" s="1"/>
  <c r="H401" i="19"/>
  <c r="I401" i="19" s="1"/>
  <c r="H378" i="19"/>
  <c r="I378" i="19" s="1"/>
  <c r="H584" i="19"/>
  <c r="I584" i="19" s="1"/>
  <c r="H567" i="19"/>
  <c r="I567" i="19" s="1"/>
  <c r="H420" i="19"/>
  <c r="I420" i="19" s="1"/>
  <c r="H546" i="19"/>
  <c r="I546" i="19" s="1"/>
  <c r="H464" i="19"/>
  <c r="I464" i="19" s="1"/>
  <c r="H448" i="19"/>
  <c r="I448" i="19" s="1"/>
  <c r="H1426" i="19"/>
  <c r="I1426" i="19" s="1"/>
  <c r="H1725" i="19"/>
  <c r="I1725" i="19" s="1"/>
  <c r="H743" i="19"/>
  <c r="I743" i="19" s="1"/>
  <c r="H764" i="19"/>
  <c r="I764" i="19" s="1"/>
  <c r="H1185" i="19"/>
  <c r="I1185" i="19" s="1"/>
  <c r="H375" i="19"/>
  <c r="I375" i="19" s="1"/>
  <c r="H352" i="19"/>
  <c r="I352" i="19" s="1"/>
  <c r="H843" i="19"/>
  <c r="I843" i="19" s="1"/>
  <c r="H1484" i="19"/>
  <c r="I1484" i="19" s="1"/>
  <c r="H1239" i="19"/>
  <c r="I1239" i="19" s="1"/>
  <c r="H443" i="19"/>
  <c r="I443" i="19" s="1"/>
  <c r="H460" i="19"/>
  <c r="I460" i="19" s="1"/>
  <c r="H716" i="19"/>
  <c r="I716" i="19" s="1"/>
  <c r="H1664" i="19"/>
  <c r="I1664" i="19" s="1"/>
  <c r="H455" i="19"/>
  <c r="I455" i="19" s="1"/>
  <c r="H1636" i="19"/>
  <c r="I1636" i="19" s="1"/>
  <c r="H570" i="19"/>
  <c r="I570" i="19" s="1"/>
  <c r="H414" i="19"/>
  <c r="I414" i="19" s="1"/>
  <c r="H539" i="19"/>
  <c r="I539" i="19" s="1"/>
  <c r="H865" i="19"/>
  <c r="I865" i="19" s="1"/>
  <c r="H481" i="19"/>
  <c r="I481" i="19" s="1"/>
  <c r="H815" i="19"/>
  <c r="I815" i="19" s="1"/>
  <c r="H1842" i="19"/>
  <c r="I1842" i="19" s="1"/>
  <c r="H621" i="19"/>
  <c r="I621" i="19" s="1"/>
  <c r="H911" i="19"/>
  <c r="I911" i="19" s="1"/>
  <c r="H785" i="19"/>
  <c r="I785" i="19" s="1"/>
  <c r="H637" i="19"/>
  <c r="I637" i="19" s="1"/>
  <c r="H1002" i="19"/>
  <c r="I1002" i="19" s="1"/>
  <c r="H1806" i="19"/>
  <c r="I1806" i="19" s="1"/>
  <c r="H407" i="19"/>
  <c r="I407" i="19" s="1"/>
  <c r="H440" i="19"/>
  <c r="I440" i="19" s="1"/>
  <c r="H937" i="19"/>
  <c r="I937" i="19" s="1"/>
  <c r="H1610" i="19"/>
  <c r="I1610" i="19" s="1"/>
  <c r="H625" i="19"/>
  <c r="I625" i="19" s="1"/>
  <c r="H705" i="19"/>
  <c r="I705" i="19" s="1"/>
  <c r="H842" i="19"/>
  <c r="I842" i="19" s="1"/>
  <c r="H1843" i="19"/>
  <c r="I1843" i="19" s="1"/>
  <c r="H1583" i="19"/>
  <c r="I1583" i="19" s="1"/>
  <c r="H1237" i="19"/>
  <c r="I1237" i="19" s="1"/>
  <c r="H1830" i="19"/>
  <c r="I1830" i="19" s="1"/>
  <c r="H1648" i="19"/>
  <c r="I1648" i="19" s="1"/>
  <c r="H431" i="19"/>
  <c r="I431" i="19" s="1"/>
  <c r="H1821" i="19"/>
  <c r="I1821" i="19" s="1"/>
  <c r="H384" i="19"/>
  <c r="I384" i="19" s="1"/>
  <c r="H367" i="19"/>
  <c r="I367" i="19" s="1"/>
  <c r="H1592" i="19"/>
  <c r="I1592" i="19" s="1"/>
  <c r="H1644" i="19"/>
  <c r="I1644" i="19" s="1"/>
  <c r="H397" i="19"/>
  <c r="I397" i="19" s="1"/>
  <c r="H494" i="19"/>
  <c r="I494" i="19" s="1"/>
  <c r="H1733" i="19"/>
  <c r="I1733" i="19" s="1"/>
  <c r="H624" i="19"/>
  <c r="I624" i="19" s="1"/>
  <c r="H348" i="19"/>
  <c r="I348" i="19" s="1"/>
  <c r="H519" i="19"/>
  <c r="I519" i="19" s="1"/>
  <c r="H677" i="19"/>
  <c r="I677" i="19" s="1"/>
  <c r="H1366" i="19"/>
  <c r="I1366" i="19" s="1"/>
  <c r="H1040" i="19"/>
  <c r="I1040" i="19" s="1"/>
  <c r="H1181" i="19"/>
  <c r="I1181" i="19" s="1"/>
  <c r="H1789" i="19"/>
  <c r="I1789" i="19" s="1"/>
  <c r="H1697" i="19"/>
  <c r="I1697" i="19" s="1"/>
  <c r="H1834" i="19"/>
  <c r="I1834" i="19" s="1"/>
  <c r="H1554" i="19"/>
  <c r="I1554" i="19" s="1"/>
  <c r="H1350" i="19"/>
  <c r="I1350" i="19" s="1"/>
  <c r="H1026" i="19"/>
  <c r="I1026" i="19" s="1"/>
  <c r="H1165" i="19"/>
  <c r="I1165" i="19" s="1"/>
  <c r="H1850" i="19"/>
  <c r="I1850" i="19" s="1"/>
  <c r="H1745" i="19"/>
  <c r="I1745" i="19" s="1"/>
  <c r="H611" i="19"/>
  <c r="I611" i="19" s="1"/>
  <c r="H1048" i="19"/>
  <c r="I1048" i="19" s="1"/>
  <c r="H1521" i="19"/>
  <c r="I1521" i="19" s="1"/>
  <c r="H603" i="19"/>
  <c r="I603" i="19" s="1"/>
  <c r="H776" i="19"/>
  <c r="I776" i="19" s="1"/>
  <c r="H924" i="19"/>
  <c r="I924" i="19" s="1"/>
  <c r="H1360" i="19"/>
  <c r="I1360" i="19" s="1"/>
  <c r="H1500" i="19"/>
  <c r="I1500" i="19" s="1"/>
  <c r="H1143" i="19"/>
  <c r="I1143" i="19" s="1"/>
  <c r="H450" i="19"/>
  <c r="I450" i="19" s="1"/>
  <c r="H1619" i="19"/>
  <c r="I1619" i="19" s="1"/>
  <c r="H876" i="19"/>
  <c r="I876" i="19" s="1"/>
  <c r="H1102" i="19"/>
  <c r="I1102" i="19" s="1"/>
  <c r="H1613" i="19"/>
  <c r="I1613" i="19" s="1"/>
  <c r="H634" i="19"/>
  <c r="I634" i="19" s="1"/>
  <c r="H812" i="19"/>
  <c r="I812" i="19" s="1"/>
  <c r="H951" i="19"/>
  <c r="I951" i="19" s="1"/>
  <c r="H1388" i="19"/>
  <c r="I1388" i="19" s="1"/>
  <c r="H1762" i="19"/>
  <c r="I1762" i="19" s="1"/>
  <c r="H1191" i="19"/>
  <c r="I1191" i="19" s="1"/>
  <c r="H392" i="19"/>
  <c r="I392" i="19" s="1"/>
  <c r="H569" i="19"/>
  <c r="I569" i="19" s="1"/>
  <c r="H430" i="19"/>
  <c r="I430" i="19" s="1"/>
  <c r="H682" i="19"/>
  <c r="I682" i="19" s="1"/>
  <c r="H1732" i="19"/>
  <c r="I1732" i="19" s="1"/>
  <c r="H483" i="19"/>
  <c r="I483" i="19" s="1"/>
  <c r="H613" i="19"/>
  <c r="I613" i="19" s="1"/>
  <c r="H739" i="19"/>
  <c r="I739" i="19" s="1"/>
  <c r="H1661" i="19"/>
  <c r="I1661" i="19" s="1"/>
  <c r="H382" i="19"/>
  <c r="I382" i="19" s="1"/>
  <c r="H445" i="19"/>
  <c r="I445" i="19" s="1"/>
  <c r="H701" i="19"/>
  <c r="I701" i="19" s="1"/>
  <c r="H1858" i="19"/>
  <c r="I1858" i="19" s="1"/>
  <c r="H1532" i="19"/>
  <c r="I1532" i="19" s="1"/>
  <c r="H585" i="19"/>
  <c r="I585" i="19" s="1"/>
  <c r="H1802" i="19"/>
  <c r="I1802" i="19" s="1"/>
  <c r="H563" i="19"/>
  <c r="I563" i="19" s="1"/>
  <c r="H1637" i="19"/>
  <c r="I1637" i="19" s="1"/>
  <c r="H1666" i="19"/>
  <c r="I1666" i="19" s="1"/>
  <c r="H1466" i="19"/>
  <c r="I1466" i="19" s="1"/>
  <c r="H733" i="19"/>
  <c r="I733" i="19" s="1"/>
  <c r="H1816" i="19"/>
  <c r="I1816" i="19" s="1"/>
  <c r="H1498" i="19"/>
  <c r="I1498" i="19" s="1"/>
  <c r="H547" i="19"/>
  <c r="I547" i="19" s="1"/>
  <c r="H1624" i="19"/>
  <c r="I1624" i="19" s="1"/>
  <c r="H1738" i="19"/>
  <c r="I1738" i="19" s="1"/>
  <c r="H536" i="19"/>
  <c r="I536" i="19" s="1"/>
  <c r="H462" i="19"/>
  <c r="I462" i="19" s="1"/>
  <c r="H1557" i="19"/>
  <c r="I1557" i="19" s="1"/>
  <c r="H678" i="19"/>
  <c r="I678" i="19" s="1"/>
  <c r="H1127" i="19"/>
  <c r="I1127" i="19" s="1"/>
  <c r="H1410" i="19"/>
  <c r="I1410" i="19" s="1"/>
  <c r="H444" i="19"/>
  <c r="I444" i="19" s="1"/>
  <c r="H497" i="19"/>
  <c r="I497" i="19" s="1"/>
  <c r="H1452" i="19"/>
  <c r="I1452" i="19" s="1"/>
  <c r="H1175" i="19"/>
  <c r="I1175" i="19" s="1"/>
  <c r="H1848" i="19"/>
  <c r="I1848" i="19" s="1"/>
  <c r="H1833" i="19"/>
  <c r="I1833" i="19" s="1"/>
  <c r="H421" i="19"/>
  <c r="I421" i="19" s="1"/>
  <c r="H1440" i="19"/>
  <c r="I1440" i="19" s="1"/>
  <c r="H879" i="19"/>
  <c r="I879" i="19" s="1"/>
  <c r="H1713" i="19"/>
  <c r="I1713" i="19" s="1"/>
  <c r="H1265" i="19"/>
  <c r="I1265" i="19" s="1"/>
  <c r="H492" i="19"/>
  <c r="I492" i="19" s="1"/>
  <c r="H1748" i="19"/>
  <c r="I1748" i="19" s="1"/>
  <c r="H1279" i="19"/>
  <c r="I1279" i="19" s="1"/>
  <c r="H482" i="19"/>
  <c r="I482" i="19" s="1"/>
  <c r="H1203" i="19"/>
  <c r="I1203" i="19" s="1"/>
  <c r="H478" i="19"/>
  <c r="I478" i="19" s="1"/>
  <c r="H1338" i="19"/>
  <c r="I1338" i="19" s="1"/>
  <c r="H1157" i="19"/>
  <c r="I1157" i="19" s="1"/>
  <c r="H1717" i="19"/>
  <c r="I1717" i="19" s="1"/>
  <c r="H1167" i="19"/>
  <c r="I1167" i="19" s="1"/>
  <c r="H1313" i="19"/>
  <c r="I1313" i="19" s="1"/>
  <c r="H1836" i="19"/>
  <c r="I1836" i="19" s="1"/>
  <c r="H534" i="19"/>
  <c r="I534" i="19" s="1"/>
  <c r="H894" i="19"/>
  <c r="I894" i="19" s="1"/>
  <c r="H1574" i="19"/>
  <c r="I1574" i="19" s="1"/>
  <c r="H968" i="19"/>
  <c r="I968" i="19" s="1"/>
  <c r="H562" i="19"/>
  <c r="I562" i="19" s="1"/>
  <c r="H1406" i="19"/>
  <c r="I1406" i="19" s="1"/>
  <c r="H721" i="19"/>
  <c r="I721" i="19" s="1"/>
  <c r="H890" i="19"/>
  <c r="I890" i="19" s="1"/>
  <c r="H1016" i="19"/>
  <c r="I1016" i="19" s="1"/>
  <c r="H1464" i="19"/>
  <c r="I1464" i="19" s="1"/>
  <c r="H1074" i="19"/>
  <c r="I1074" i="19" s="1"/>
  <c r="H1263" i="19"/>
  <c r="I1263" i="19" s="1"/>
  <c r="H408" i="19"/>
  <c r="I408" i="19" s="1"/>
  <c r="H638" i="19"/>
  <c r="I638" i="19" s="1"/>
  <c r="H1585" i="19"/>
  <c r="I1585" i="19" s="1"/>
  <c r="H1577" i="19"/>
  <c r="I1577" i="19" s="1"/>
  <c r="H1809" i="19"/>
  <c r="I1809" i="19" s="1"/>
  <c r="H1705" i="19"/>
  <c r="I1705" i="19" s="1"/>
  <c r="H402" i="19"/>
  <c r="I402" i="19" s="1"/>
  <c r="H1794" i="19"/>
  <c r="I1794" i="19" s="1"/>
  <c r="H888" i="19"/>
  <c r="I888" i="19" s="1"/>
  <c r="H1546" i="19"/>
  <c r="I1546" i="19" s="1"/>
  <c r="H704" i="19"/>
  <c r="I704" i="19" s="1"/>
  <c r="H538" i="19"/>
  <c r="I538" i="19" s="1"/>
  <c r="H1853" i="19"/>
  <c r="I1853" i="19" s="1"/>
  <c r="H692" i="19"/>
  <c r="I692" i="19" s="1"/>
  <c r="H1229" i="19"/>
  <c r="I1229" i="19" s="1"/>
  <c r="H560" i="19"/>
  <c r="I560" i="19" s="1"/>
  <c r="H997" i="19"/>
  <c r="I997" i="19" s="1"/>
  <c r="H1458" i="19"/>
  <c r="I1458" i="19" s="1"/>
  <c r="H589" i="19"/>
  <c r="I589" i="19" s="1"/>
  <c r="H889" i="19"/>
  <c r="I889" i="19" s="1"/>
  <c r="H1395" i="19"/>
  <c r="I1395" i="19" s="1"/>
  <c r="H1206" i="19"/>
  <c r="I1206" i="19" s="1"/>
  <c r="H1357" i="19"/>
  <c r="I1357" i="19" s="1"/>
  <c r="H1077" i="19"/>
  <c r="I1077" i="19" s="1"/>
  <c r="H688" i="19"/>
  <c r="I688" i="19" s="1"/>
  <c r="H1359" i="19"/>
  <c r="I1359" i="19" s="1"/>
  <c r="H1316" i="19"/>
  <c r="I1316" i="19" s="1"/>
  <c r="H752" i="19"/>
  <c r="I752" i="19" s="1"/>
  <c r="H642" i="19"/>
  <c r="I642" i="19" s="1"/>
  <c r="H1164" i="19"/>
  <c r="I1164" i="19" s="1"/>
  <c r="H1667" i="19"/>
  <c r="I1667" i="19" s="1"/>
  <c r="H1385" i="19"/>
  <c r="I1385" i="19" s="1"/>
  <c r="H1101" i="19"/>
  <c r="I1101" i="19" s="1"/>
  <c r="H1291" i="19"/>
  <c r="I1291" i="19" s="1"/>
  <c r="H873" i="19"/>
  <c r="I873" i="19" s="1"/>
  <c r="H726" i="19"/>
  <c r="I726" i="19" s="1"/>
  <c r="H1178" i="19"/>
  <c r="I1178" i="19" s="1"/>
  <c r="H1825" i="19"/>
  <c r="I1825" i="19" s="1"/>
  <c r="H1262" i="19"/>
  <c r="I1262" i="19" s="1"/>
  <c r="H469" i="19"/>
  <c r="I469" i="19" s="1"/>
  <c r="H1501" i="19"/>
  <c r="I1501" i="19" s="1"/>
  <c r="H1218" i="19"/>
  <c r="I1218" i="19" s="1"/>
  <c r="H610" i="19"/>
  <c r="I610" i="19" s="1"/>
  <c r="H1353" i="19"/>
  <c r="I1353" i="19" s="1"/>
  <c r="H1242" i="19"/>
  <c r="I1242" i="19" s="1"/>
  <c r="H1236" i="19"/>
  <c r="I1236" i="19" s="1"/>
  <c r="H906" i="19"/>
  <c r="I906" i="19" s="1"/>
  <c r="H1819" i="19"/>
  <c r="I1819" i="19" s="1"/>
  <c r="H512" i="19"/>
  <c r="I512" i="19" s="1"/>
  <c r="H1826" i="19"/>
  <c r="I1826" i="19" s="1"/>
  <c r="H1094" i="19"/>
  <c r="I1094" i="19" s="1"/>
  <c r="H1446" i="19"/>
  <c r="I1446" i="19" s="1"/>
  <c r="H1340" i="19"/>
  <c r="I1340" i="19" s="1"/>
  <c r="H590" i="19"/>
  <c r="I590" i="19" s="1"/>
  <c r="H504" i="19"/>
  <c r="I504" i="19" s="1"/>
  <c r="H371" i="19"/>
  <c r="I371" i="19" s="1"/>
  <c r="H1602" i="19"/>
  <c r="I1602" i="19" s="1"/>
  <c r="H1741" i="19"/>
  <c r="I1741" i="19" s="1"/>
  <c r="H628" i="19"/>
  <c r="I628" i="19" s="1"/>
  <c r="H647" i="19"/>
  <c r="I647" i="19" s="1"/>
  <c r="H1626" i="19"/>
  <c r="I1626" i="19" s="1"/>
  <c r="H918" i="19"/>
  <c r="I918" i="19" s="1"/>
  <c r="H486" i="19"/>
  <c r="I486" i="19" s="1"/>
  <c r="H1652" i="19"/>
  <c r="I1652" i="19" s="1"/>
  <c r="H690" i="19"/>
  <c r="I690" i="19" s="1"/>
  <c r="H867" i="19"/>
  <c r="I867" i="19" s="1"/>
  <c r="H993" i="19"/>
  <c r="I993" i="19" s="1"/>
  <c r="H1050" i="19"/>
  <c r="I1050" i="19" s="1"/>
  <c r="H1243" i="19"/>
  <c r="I1243" i="19" s="1"/>
  <c r="H742" i="19"/>
  <c r="I742" i="19" s="1"/>
  <c r="H381" i="19"/>
  <c r="I381" i="19" s="1"/>
  <c r="H780" i="19"/>
  <c r="I780" i="19" s="1"/>
  <c r="H942" i="19"/>
  <c r="I942" i="19" s="1"/>
  <c r="H1499" i="19"/>
  <c r="I1499" i="19" s="1"/>
  <c r="H1107" i="19"/>
  <c r="I1107" i="19" s="1"/>
  <c r="H1258" i="19"/>
  <c r="I1258" i="19" s="1"/>
  <c r="H457" i="19"/>
  <c r="I457" i="19" s="1"/>
  <c r="H1389" i="19"/>
  <c r="I1389" i="19" s="1"/>
  <c r="H1224" i="19"/>
  <c r="I1224" i="19" s="1"/>
  <c r="H757" i="19"/>
  <c r="I757" i="19" s="1"/>
  <c r="H1753" i="19"/>
  <c r="I1753" i="19" s="1"/>
  <c r="H1791" i="19"/>
  <c r="I1791" i="19" s="1"/>
  <c r="H862" i="19"/>
  <c r="I862" i="19" s="1"/>
  <c r="H827" i="19"/>
  <c r="I827" i="19" s="1"/>
  <c r="H1859" i="19"/>
  <c r="I1859" i="19" s="1"/>
  <c r="H700" i="19"/>
  <c r="I700" i="19" s="1"/>
  <c r="H874" i="19"/>
  <c r="I874" i="19" s="1"/>
  <c r="H1000" i="19"/>
  <c r="I1000" i="19" s="1"/>
  <c r="H1060" i="19"/>
  <c r="I1060" i="19" s="1"/>
  <c r="H861" i="19"/>
  <c r="I861" i="19" s="1"/>
  <c r="H505" i="19"/>
  <c r="I505" i="19" s="1"/>
  <c r="H710" i="19"/>
  <c r="I710" i="19" s="1"/>
  <c r="H882" i="19"/>
  <c r="I882" i="19" s="1"/>
  <c r="H1008" i="19"/>
  <c r="I1008" i="19" s="1"/>
  <c r="H1068" i="19"/>
  <c r="I1068" i="19" s="1"/>
  <c r="H1622" i="19"/>
  <c r="I1622" i="19" s="1"/>
  <c r="H656" i="19"/>
  <c r="I656" i="19" s="1"/>
  <c r="H1470" i="19"/>
  <c r="I1470" i="19" s="1"/>
  <c r="H1627" i="19"/>
  <c r="I1627" i="19" s="1"/>
  <c r="H714" i="19"/>
  <c r="I714" i="19" s="1"/>
  <c r="H881" i="19"/>
  <c r="I881" i="19" s="1"/>
  <c r="H1323" i="19"/>
  <c r="I1323" i="19" s="1"/>
  <c r="H1451" i="19"/>
  <c r="I1451" i="19" s="1"/>
  <c r="H1055" i="19"/>
  <c r="I1055" i="19" s="1"/>
  <c r="H1190" i="19"/>
  <c r="I1190" i="19" s="1"/>
  <c r="H1312" i="19"/>
  <c r="I1312" i="19" s="1"/>
  <c r="H612" i="19"/>
  <c r="I612" i="19" s="1"/>
  <c r="H1431" i="19"/>
  <c r="I1431" i="19" s="1"/>
  <c r="H1266" i="19"/>
  <c r="I1266" i="19" s="1"/>
  <c r="H841" i="19"/>
  <c r="I841" i="19" s="1"/>
  <c r="H1065" i="19"/>
  <c r="I1065" i="19" s="1"/>
  <c r="H602" i="19"/>
  <c r="I602" i="19" s="1"/>
  <c r="H1438" i="19"/>
  <c r="I1438" i="19" s="1"/>
  <c r="H1251" i="19"/>
  <c r="I1251" i="19" s="1"/>
  <c r="H1100" i="19"/>
  <c r="I1100" i="19" s="1"/>
  <c r="H1235" i="19"/>
  <c r="I1235" i="19" s="1"/>
  <c r="H1727" i="19"/>
  <c r="I1727" i="19" s="1"/>
  <c r="H722" i="19"/>
  <c r="I722" i="19" s="1"/>
  <c r="H1739" i="19"/>
  <c r="I1739" i="19" s="1"/>
  <c r="H1358" i="19"/>
  <c r="I1358" i="19" s="1"/>
  <c r="H442" i="19"/>
  <c r="I442" i="19" s="1"/>
  <c r="H1377" i="19"/>
  <c r="I1377" i="19" s="1"/>
  <c r="H1212" i="19"/>
  <c r="I1212" i="19" s="1"/>
  <c r="H1607" i="19"/>
  <c r="I1607" i="19" s="1"/>
  <c r="H1327" i="19"/>
  <c r="I1327" i="19" s="1"/>
  <c r="H1299" i="19"/>
  <c r="I1299" i="19" s="1"/>
  <c r="H1606" i="19"/>
  <c r="I1606" i="19" s="1"/>
  <c r="H855" i="19"/>
  <c r="I855" i="19" s="1"/>
  <c r="H1421" i="19"/>
  <c r="I1421" i="19" s="1"/>
  <c r="H400" i="19"/>
  <c r="I400" i="19" s="1"/>
  <c r="H396" i="19"/>
  <c r="I396" i="19" s="1"/>
  <c r="H495" i="19"/>
  <c r="I495" i="19" s="1"/>
  <c r="H366" i="19"/>
  <c r="I366" i="19" s="1"/>
  <c r="H1510" i="19"/>
  <c r="I1510" i="19" s="1"/>
  <c r="H1543" i="19"/>
  <c r="I1543" i="19" s="1"/>
  <c r="H681" i="19"/>
  <c r="I681" i="19" s="1"/>
  <c r="H839" i="19"/>
  <c r="I839" i="19" s="1"/>
  <c r="H1150" i="19"/>
  <c r="I1150" i="19" s="1"/>
  <c r="H1367" i="19"/>
  <c r="I1367" i="19" s="1"/>
  <c r="H1587" i="19"/>
  <c r="I1587" i="19" s="1"/>
  <c r="H1288" i="19"/>
  <c r="I1288" i="19" s="1"/>
  <c r="H709" i="19"/>
  <c r="I709" i="19" s="1"/>
  <c r="H1469" i="19"/>
  <c r="I1469" i="19" s="1"/>
  <c r="H1109" i="19"/>
  <c r="I1109" i="19" s="1"/>
  <c r="H1278" i="19"/>
  <c r="I1278" i="19" s="1"/>
  <c r="H1695" i="19"/>
  <c r="I1695" i="19" s="1"/>
  <c r="H717" i="19"/>
  <c r="I717" i="19" s="1"/>
  <c r="H1017" i="19"/>
  <c r="I1017" i="19" s="1"/>
  <c r="H1493" i="19"/>
  <c r="I1493" i="19" s="1"/>
  <c r="H1122" i="19"/>
  <c r="I1122" i="19" s="1"/>
  <c r="H1295" i="19"/>
  <c r="I1295" i="19" s="1"/>
  <c r="H1184" i="19"/>
  <c r="I1184" i="19" s="1"/>
  <c r="H1852" i="19"/>
  <c r="I1852" i="19" s="1"/>
  <c r="H885" i="19"/>
  <c r="I885" i="19" s="1"/>
  <c r="H1675" i="19"/>
  <c r="I1675" i="19" s="1"/>
  <c r="H1069" i="19"/>
  <c r="I1069" i="19" s="1"/>
  <c r="H1322" i="19"/>
  <c r="I1322" i="19" s="1"/>
  <c r="H816" i="19"/>
  <c r="I816" i="19" s="1"/>
  <c r="H1779" i="19"/>
  <c r="I1779" i="19" s="1"/>
  <c r="H1304" i="19"/>
  <c r="I1304" i="19" s="1"/>
  <c r="H454" i="19"/>
  <c r="I454" i="19" s="1"/>
  <c r="H1861" i="19"/>
  <c r="I1861" i="19" s="1"/>
  <c r="H1656" i="19"/>
  <c r="I1656" i="19" s="1"/>
  <c r="H502" i="19"/>
  <c r="I502" i="19" s="1"/>
  <c r="H758" i="19"/>
  <c r="I758" i="19" s="1"/>
  <c r="H409" i="19"/>
  <c r="I409" i="19" s="1"/>
  <c r="H594" i="19"/>
  <c r="I594" i="19" s="1"/>
  <c r="H1730" i="19"/>
  <c r="I1730" i="19" s="1"/>
  <c r="H1589" i="19"/>
  <c r="I1589" i="19" s="1"/>
  <c r="H1780" i="19"/>
  <c r="I1780" i="19" s="1"/>
  <c r="H1601" i="19"/>
  <c r="I1601" i="19" s="1"/>
  <c r="H1698" i="19"/>
  <c r="I1698" i="19" s="1"/>
  <c r="H892" i="19"/>
  <c r="I892" i="19" s="1"/>
  <c r="H1044" i="19"/>
  <c r="I1044" i="19" s="1"/>
  <c r="H1259" i="19"/>
  <c r="I1259" i="19" s="1"/>
  <c r="H513" i="19"/>
  <c r="I513" i="19" s="1"/>
  <c r="H1153" i="19"/>
  <c r="I1153" i="19" s="1"/>
  <c r="H574" i="19"/>
  <c r="I574" i="19" s="1"/>
  <c r="H909" i="19"/>
  <c r="I909" i="19" s="1"/>
  <c r="H1416" i="19"/>
  <c r="I1416" i="19" s="1"/>
  <c r="H777" i="19"/>
  <c r="I777" i="19" s="1"/>
  <c r="H1641" i="19"/>
  <c r="I1641" i="19" s="1"/>
  <c r="H598" i="19"/>
  <c r="I598" i="19" s="1"/>
  <c r="H983" i="19"/>
  <c r="I983" i="19" s="1"/>
  <c r="H869" i="19"/>
  <c r="I869" i="19" s="1"/>
  <c r="H853" i="19"/>
  <c r="I853" i="19" s="1"/>
  <c r="H354" i="19"/>
  <c r="I354" i="19" s="1"/>
  <c r="H1506" i="19"/>
  <c r="I1506" i="19" s="1"/>
  <c r="H832" i="19"/>
  <c r="I832" i="19" s="1"/>
  <c r="H1404" i="19"/>
  <c r="I1404" i="19" s="1"/>
  <c r="H1223" i="19"/>
  <c r="I1223" i="19" s="1"/>
  <c r="H778" i="19"/>
  <c r="I778" i="19" s="1"/>
  <c r="H1378" i="19"/>
  <c r="I1378" i="19" s="1"/>
  <c r="H1529" i="19"/>
  <c r="I1529" i="19" s="1"/>
  <c r="H419" i="19"/>
  <c r="I419" i="19" s="1"/>
  <c r="H1659" i="19"/>
  <c r="I1659" i="19" s="1"/>
  <c r="H1478" i="19"/>
  <c r="I1478" i="19" s="1"/>
  <c r="H1070" i="19"/>
  <c r="I1070" i="19" s="1"/>
  <c r="H1135" i="19"/>
  <c r="I1135" i="19" s="1"/>
  <c r="H1088" i="19"/>
  <c r="I1088" i="19" s="1"/>
  <c r="H1231" i="19"/>
  <c r="I1231" i="19" s="1"/>
  <c r="H1846" i="19"/>
  <c r="I1846" i="19" s="1"/>
  <c r="H597" i="19"/>
  <c r="I597" i="19" s="1"/>
  <c r="H1273" i="19"/>
  <c r="I1273" i="19" s="1"/>
  <c r="H593" i="19"/>
  <c r="I593" i="19" s="1"/>
  <c r="H920" i="19"/>
  <c r="I920" i="19" s="1"/>
  <c r="H1496" i="19"/>
  <c r="I1496" i="19" s="1"/>
  <c r="H1494" i="19"/>
  <c r="I1494" i="19" s="1"/>
  <c r="H948" i="19"/>
  <c r="I948" i="19" s="1"/>
  <c r="H676" i="19"/>
  <c r="I676" i="19" s="1"/>
  <c r="H996" i="19"/>
  <c r="I996" i="19" s="1"/>
  <c r="H1035" i="19"/>
  <c r="I1035" i="19" s="1"/>
  <c r="H1298" i="19"/>
  <c r="I1298" i="19" s="1"/>
  <c r="H938" i="19"/>
  <c r="I938" i="19" s="1"/>
  <c r="H1103" i="19"/>
  <c r="I1103" i="19" s="1"/>
  <c r="H1455" i="19"/>
  <c r="I1455" i="19" s="1"/>
  <c r="H1227" i="19"/>
  <c r="I1227" i="19" s="1"/>
  <c r="H1531" i="19"/>
  <c r="I1531" i="19" s="1"/>
  <c r="H749" i="19"/>
  <c r="I749" i="19" s="1"/>
  <c r="H959" i="19"/>
  <c r="I959" i="19" s="1"/>
  <c r="H1120" i="19"/>
  <c r="I1120" i="19" s="1"/>
  <c r="H1731" i="19"/>
  <c r="I1731" i="19" s="1"/>
  <c r="H1343" i="19"/>
  <c r="I1343" i="19" s="1"/>
  <c r="H1146" i="19"/>
  <c r="I1146" i="19" s="1"/>
  <c r="H1226" i="19"/>
  <c r="I1226" i="19" s="1"/>
  <c r="H1443" i="19"/>
  <c r="I1443" i="19" s="1"/>
  <c r="H453" i="19"/>
  <c r="I453" i="19" s="1"/>
  <c r="H1264" i="19"/>
  <c r="I1264" i="19" s="1"/>
  <c r="H1379" i="19"/>
  <c r="I1379" i="19" s="1"/>
  <c r="H775" i="19"/>
  <c r="I775" i="19" s="1"/>
  <c r="H891" i="19"/>
  <c r="I891" i="19" s="1"/>
  <c r="H1556" i="19"/>
  <c r="I1556" i="19" s="1"/>
  <c r="H1823" i="19"/>
  <c r="I1823" i="19" s="1"/>
  <c r="H850" i="19"/>
  <c r="I850" i="19" s="1"/>
  <c r="H1832" i="19"/>
  <c r="I1832" i="19" s="1"/>
  <c r="H1620" i="19"/>
  <c r="I1620" i="19" s="1"/>
  <c r="H707" i="19"/>
  <c r="I707" i="19" s="1"/>
  <c r="H509" i="19"/>
  <c r="I509" i="19" s="1"/>
  <c r="H1742" i="19"/>
  <c r="I1742" i="19" s="1"/>
  <c r="H685" i="19"/>
  <c r="I685" i="19" s="1"/>
  <c r="H1010" i="19"/>
  <c r="I1010" i="19" s="1"/>
  <c r="H558" i="19"/>
  <c r="I558" i="19" s="1"/>
  <c r="H901" i="19"/>
  <c r="I901" i="19" s="1"/>
  <c r="H1476" i="19"/>
  <c r="I1476" i="19" s="1"/>
  <c r="H604" i="19"/>
  <c r="I604" i="19" s="1"/>
  <c r="H1563" i="19"/>
  <c r="I1563" i="19" s="1"/>
  <c r="H1131" i="19"/>
  <c r="I1131" i="19" s="1"/>
  <c r="H1671" i="19"/>
  <c r="I1671" i="19" s="1"/>
  <c r="H1001" i="19"/>
  <c r="I1001" i="19" s="1"/>
  <c r="H542" i="19"/>
  <c r="I542" i="19" s="1"/>
  <c r="H1217" i="19"/>
  <c r="I1217" i="19" s="1"/>
  <c r="H1183" i="19"/>
  <c r="I1183" i="19" s="1"/>
  <c r="H1233" i="19"/>
  <c r="I1233" i="19" s="1"/>
  <c r="H1092" i="19"/>
  <c r="I1092" i="19" s="1"/>
  <c r="H1535" i="19"/>
  <c r="I1535" i="19" s="1"/>
  <c r="H933" i="19"/>
  <c r="I933" i="19" s="1"/>
  <c r="H1715" i="19"/>
  <c r="I1715" i="19" s="1"/>
  <c r="H1728" i="19"/>
  <c r="I1728" i="19" s="1"/>
  <c r="H972" i="19"/>
  <c r="I972" i="19" s="1"/>
  <c r="H436" i="19"/>
  <c r="I436" i="19" s="1"/>
  <c r="H858" i="19"/>
  <c r="I858" i="19" s="1"/>
  <c r="H1428" i="19"/>
  <c r="I1428" i="19" s="1"/>
  <c r="H1571" i="19"/>
  <c r="I1571" i="19" s="1"/>
  <c r="H927" i="19"/>
  <c r="I927" i="19" s="1"/>
  <c r="H1491" i="19"/>
  <c r="I1491" i="19" s="1"/>
  <c r="H633" i="19"/>
  <c r="I633" i="19" s="1"/>
  <c r="H1441" i="19"/>
  <c r="I1441" i="19" s="1"/>
  <c r="H1272" i="19"/>
  <c r="I1272" i="19" s="1"/>
  <c r="H944" i="19"/>
  <c r="I944" i="19" s="1"/>
  <c r="H1194" i="19"/>
  <c r="I1194" i="19" s="1"/>
  <c r="H1760" i="19"/>
  <c r="I1760" i="19" s="1"/>
  <c r="H1222" i="19"/>
  <c r="I1222" i="19" s="1"/>
  <c r="H1148" i="19"/>
  <c r="I1148" i="19" s="1"/>
  <c r="H1611" i="19"/>
  <c r="I1611" i="19" s="1"/>
  <c r="H1041" i="19"/>
  <c r="I1041" i="19" s="1"/>
  <c r="H923" i="19"/>
  <c r="I923" i="19" s="1"/>
  <c r="H1061" i="19"/>
  <c r="I1061" i="19" s="1"/>
  <c r="H1049" i="19"/>
  <c r="I1049" i="19" s="1"/>
  <c r="H1310" i="19"/>
  <c r="I1310" i="19" s="1"/>
  <c r="H1105" i="19"/>
  <c r="I1105" i="19" s="1"/>
  <c r="H1110" i="19"/>
  <c r="I1110" i="19" s="1"/>
  <c r="H1053" i="19"/>
  <c r="I1053" i="19" s="1"/>
  <c r="H657" i="19"/>
  <c r="I657" i="19" s="1"/>
  <c r="H790" i="19"/>
  <c r="I790" i="19" s="1"/>
  <c r="H653" i="19"/>
  <c r="I653" i="19" s="1"/>
  <c r="H1413" i="19"/>
  <c r="I1413" i="19" s="1"/>
  <c r="H1361" i="19"/>
  <c r="I1361" i="19" s="1"/>
  <c r="H1176" i="19"/>
  <c r="I1176" i="19" s="1"/>
  <c r="H499" i="19"/>
  <c r="I499" i="19" s="1"/>
  <c r="H1397" i="19"/>
  <c r="I1397" i="19" s="1"/>
  <c r="H1200" i="19"/>
  <c r="I1200" i="19" s="1"/>
  <c r="H1301" i="19"/>
  <c r="I1301" i="19" s="1"/>
  <c r="H1542" i="19"/>
  <c r="I1542" i="19" s="1"/>
  <c r="H1550" i="19"/>
  <c r="I1550" i="19" s="1"/>
  <c r="H1465" i="19"/>
  <c r="I1465" i="19" s="1"/>
  <c r="H651" i="19"/>
  <c r="I651" i="19" s="1"/>
  <c r="H596" i="19"/>
  <c r="I596" i="19" s="1"/>
  <c r="H468" i="19"/>
  <c r="I468" i="19" s="1"/>
  <c r="H930" i="19"/>
  <c r="I930" i="19" s="1"/>
  <c r="H835" i="19"/>
  <c r="I835" i="19" s="1"/>
  <c r="H723" i="19"/>
  <c r="I723" i="19" s="1"/>
  <c r="H418" i="19"/>
  <c r="I418" i="19" s="1"/>
  <c r="H353" i="19"/>
  <c r="I353" i="19" s="1"/>
  <c r="H1827" i="19"/>
  <c r="I1827" i="19" s="1"/>
  <c r="H903" i="19"/>
  <c r="I903" i="19" s="1"/>
  <c r="H360" i="19"/>
  <c r="I360" i="19" s="1"/>
  <c r="H828" i="19"/>
  <c r="I828" i="19" s="1"/>
  <c r="H1400" i="19"/>
  <c r="I1400" i="19" s="1"/>
  <c r="H1785" i="19"/>
  <c r="I1785" i="19" s="1"/>
  <c r="H576" i="19"/>
  <c r="I576" i="19" s="1"/>
  <c r="H766" i="19"/>
  <c r="I766" i="19" s="1"/>
  <c r="H544" i="19"/>
  <c r="I544" i="19" s="1"/>
  <c r="H821" i="19"/>
  <c r="I821" i="19" s="1"/>
  <c r="H568" i="19"/>
  <c r="I568" i="19" s="1"/>
  <c r="H660" i="19"/>
  <c r="I660" i="19" s="1"/>
  <c r="H1024" i="19"/>
  <c r="I1024" i="19" s="1"/>
  <c r="H1642" i="19"/>
  <c r="I1642" i="19" s="1"/>
  <c r="H977" i="19"/>
  <c r="I977" i="19" s="1"/>
  <c r="H947" i="19"/>
  <c r="I947" i="19" s="1"/>
  <c r="H919" i="19"/>
  <c r="I919" i="19" s="1"/>
  <c r="H1238" i="19"/>
  <c r="I1238" i="19" s="1"/>
  <c r="H1180" i="19"/>
  <c r="I1180" i="19" s="1"/>
  <c r="H373" i="19"/>
  <c r="I373" i="19" s="1"/>
  <c r="H1034" i="19"/>
  <c r="I1034" i="19" s="1"/>
  <c r="H1317" i="19"/>
  <c r="I1317" i="19" s="1"/>
  <c r="H967" i="19"/>
  <c r="I967" i="19" s="1"/>
  <c r="H1128" i="19"/>
  <c r="I1128" i="19" s="1"/>
  <c r="H829" i="19"/>
  <c r="I829" i="19" s="1"/>
  <c r="H635" i="19"/>
  <c r="I635" i="19" s="1"/>
  <c r="H1481" i="19"/>
  <c r="I1481" i="19" s="1"/>
  <c r="H658" i="19"/>
  <c r="I658" i="19" s="1"/>
  <c r="H1031" i="19"/>
  <c r="I1031" i="19" s="1"/>
  <c r="H1015" i="19"/>
  <c r="I1015" i="19" s="1"/>
  <c r="H952" i="19"/>
  <c r="I952" i="19" s="1"/>
  <c r="H1095" i="19"/>
  <c r="I1095" i="19" s="1"/>
  <c r="H1154" i="19"/>
  <c r="I1154" i="19" s="1"/>
  <c r="H1220" i="19"/>
  <c r="I1220" i="19" s="1"/>
  <c r="H848" i="19"/>
  <c r="I848" i="19" s="1"/>
  <c r="H1355" i="19"/>
  <c r="I1355" i="19" s="1"/>
  <c r="H1351" i="19"/>
  <c r="I1351" i="19" s="1"/>
  <c r="H545" i="19"/>
  <c r="I545" i="19" s="1"/>
  <c r="H1019" i="19"/>
  <c r="I1019" i="19" s="1"/>
  <c r="H1505" i="19"/>
  <c r="I1505" i="19" s="1"/>
  <c r="H1699" i="19"/>
  <c r="I1699" i="19" s="1"/>
  <c r="H975" i="19"/>
  <c r="I975" i="19" s="1"/>
  <c r="H1284" i="19"/>
  <c r="I1284" i="19" s="1"/>
  <c r="H583" i="19"/>
  <c r="I583" i="19" s="1"/>
  <c r="H1808" i="19"/>
  <c r="I1808" i="19" s="1"/>
  <c r="H518" i="19"/>
  <c r="I518" i="19" s="1"/>
  <c r="H1085" i="19"/>
  <c r="I1085" i="19" s="1"/>
  <c r="H897" i="19"/>
  <c r="I897" i="19" s="1"/>
  <c r="H672" i="19"/>
  <c r="I672" i="19" s="1"/>
  <c r="H1480" i="19"/>
  <c r="I1480" i="19" s="1"/>
  <c r="H581" i="19"/>
  <c r="I581" i="19" s="1"/>
  <c r="H1462" i="19"/>
  <c r="I1462" i="19" s="1"/>
  <c r="H1158" i="19"/>
  <c r="I1158" i="19" s="1"/>
  <c r="H1362" i="19"/>
  <c r="I1362" i="19" s="1"/>
  <c r="H1463" i="19"/>
  <c r="I1463" i="19" s="1"/>
  <c r="H537" i="19"/>
  <c r="I537" i="19" s="1"/>
  <c r="H1112" i="19"/>
  <c r="I1112" i="19" s="1"/>
  <c r="H898" i="19"/>
  <c r="I898" i="19" s="1"/>
  <c r="H813" i="19"/>
  <c r="I813" i="19" s="1"/>
  <c r="H385" i="19"/>
  <c r="I385" i="19" s="1"/>
  <c r="H1639" i="19"/>
  <c r="I1639" i="19" s="1"/>
  <c r="H463" i="19"/>
  <c r="I463" i="19" s="1"/>
  <c r="H1209" i="19"/>
  <c r="I1209" i="19" s="1"/>
  <c r="H896" i="19"/>
  <c r="I896" i="19" s="1"/>
  <c r="H1214" i="19"/>
  <c r="I1214" i="19" s="1"/>
  <c r="H1138" i="19"/>
  <c r="I1138" i="19" s="1"/>
  <c r="H1643" i="19"/>
  <c r="I1643" i="19" s="1"/>
  <c r="H741" i="19"/>
  <c r="I741" i="19" s="1"/>
  <c r="H1090" i="19"/>
  <c r="I1090" i="19" s="1"/>
  <c r="H756" i="19"/>
  <c r="I756" i="19" s="1"/>
  <c r="H1287" i="19"/>
  <c r="I1287" i="19" s="1"/>
  <c r="H988" i="19"/>
  <c r="I988" i="19" s="1"/>
  <c r="H1292" i="19"/>
  <c r="I1292" i="19" s="1"/>
  <c r="H783" i="19"/>
  <c r="I783" i="19" s="1"/>
  <c r="H520" i="19"/>
  <c r="I520" i="19" s="1"/>
  <c r="H902" i="19"/>
  <c r="I902" i="19" s="1"/>
  <c r="H1638" i="19"/>
  <c r="I1638" i="19" s="1"/>
  <c r="H1296" i="19"/>
  <c r="I1296" i="19" s="1"/>
  <c r="H1515" i="19"/>
  <c r="I1515" i="19" s="1"/>
  <c r="H1260" i="19"/>
  <c r="I1260" i="19" s="1"/>
  <c r="H1170" i="19"/>
  <c r="I1170" i="19" s="1"/>
  <c r="H1486" i="19"/>
  <c r="I1486" i="19" s="1"/>
  <c r="H1162" i="19"/>
  <c r="I1162" i="19" s="1"/>
  <c r="H1290" i="19"/>
  <c r="I1290" i="19" s="1"/>
  <c r="H1057" i="19"/>
  <c r="I1057" i="19" s="1"/>
  <c r="H630" i="19"/>
  <c r="I630" i="19" s="1"/>
  <c r="H1256" i="19"/>
  <c r="I1256" i="19" s="1"/>
  <c r="H694" i="19"/>
  <c r="I694" i="19" s="1"/>
  <c r="H1329" i="19"/>
  <c r="I1329" i="19" s="1"/>
  <c r="H399" i="19"/>
  <c r="I399" i="19" s="1"/>
  <c r="H1722" i="19"/>
  <c r="I1722" i="19" s="1"/>
  <c r="H1526" i="19"/>
  <c r="I1526" i="19" s="1"/>
  <c r="H1502" i="19"/>
  <c r="I1502" i="19" s="1"/>
  <c r="H1082" i="19"/>
  <c r="I1082" i="19" s="1"/>
  <c r="H1566" i="19"/>
  <c r="I1566" i="19" s="1"/>
  <c r="H973" i="19"/>
  <c r="I973" i="19" s="1"/>
  <c r="H686" i="19"/>
  <c r="I686" i="19" s="1"/>
  <c r="H837" i="19"/>
  <c r="I837" i="19" s="1"/>
  <c r="H1569" i="19"/>
  <c r="I1569" i="19" s="1"/>
  <c r="H847" i="19"/>
  <c r="I847" i="19" s="1"/>
  <c r="H1087" i="19"/>
  <c r="I1087" i="19" s="1"/>
  <c r="H1248" i="19"/>
  <c r="I1248" i="19" s="1"/>
  <c r="H994" i="19"/>
  <c r="I994" i="19" s="1"/>
  <c r="H900" i="19"/>
  <c r="I900" i="19" s="1"/>
  <c r="H1341" i="19"/>
  <c r="I1341" i="19" s="1"/>
  <c r="H1582" i="19"/>
  <c r="I1582" i="19" s="1"/>
  <c r="H803" i="19"/>
  <c r="I803" i="19" s="1"/>
  <c r="H1182" i="19"/>
  <c r="I1182" i="19" s="1"/>
  <c r="H1817" i="19"/>
  <c r="I1817" i="19" s="1"/>
  <c r="H1482" i="19"/>
  <c r="I1482" i="19" s="1"/>
  <c r="H1067" i="19"/>
  <c r="I1067" i="19" s="1"/>
  <c r="H1005" i="19"/>
  <c r="I1005" i="19" s="1"/>
  <c r="H913" i="19"/>
  <c r="I913" i="19" s="1"/>
  <c r="H1419" i="19"/>
  <c r="I1419" i="19" s="1"/>
  <c r="H487" i="19"/>
  <c r="I487" i="19" s="1"/>
  <c r="H1844" i="19"/>
  <c r="I1844" i="19" s="1"/>
  <c r="H1383" i="19"/>
  <c r="I1383" i="19" s="1"/>
  <c r="H1527" i="19"/>
  <c r="I1527" i="19" s="1"/>
  <c r="H1202" i="19"/>
  <c r="I1202" i="19" s="1"/>
  <c r="H1168" i="19"/>
  <c r="I1168" i="19" s="1"/>
  <c r="H755" i="19"/>
  <c r="I755" i="19" s="1"/>
  <c r="H961" i="19"/>
  <c r="I961" i="19" s="1"/>
  <c r="H615" i="19"/>
  <c r="I615" i="19" s="1"/>
  <c r="H910" i="19"/>
  <c r="I910" i="19" s="1"/>
  <c r="H1326" i="19"/>
  <c r="I1326" i="19" s="1"/>
  <c r="H1795" i="19"/>
  <c r="I1795" i="19" s="1"/>
  <c r="H1523" i="19"/>
  <c r="I1523" i="19" s="1"/>
  <c r="H1677" i="19"/>
  <c r="I1677" i="19" s="1"/>
  <c r="H1800" i="19"/>
  <c r="I1800" i="19" s="1"/>
  <c r="H1246" i="19"/>
  <c r="I1246" i="19" s="1"/>
  <c r="H1854" i="19"/>
  <c r="I1854" i="19" s="1"/>
  <c r="H1669" i="19"/>
  <c r="I1669" i="19" s="1"/>
  <c r="H551" i="19"/>
  <c r="I551" i="19" s="1"/>
  <c r="H1142" i="19"/>
  <c r="I1142" i="19" s="1"/>
  <c r="H1632" i="19"/>
  <c r="I1632" i="19" s="1"/>
  <c r="H527" i="19"/>
  <c r="I527" i="19" s="1"/>
  <c r="H1736" i="19"/>
  <c r="I1736" i="19" s="1"/>
  <c r="H489" i="19"/>
  <c r="I489" i="19" s="1"/>
  <c r="H1676" i="19"/>
  <c r="I1676" i="19" s="1"/>
  <c r="H1692" i="19"/>
  <c r="I1692" i="19" s="1"/>
  <c r="H744" i="19"/>
  <c r="I744" i="19" s="1"/>
  <c r="H976" i="19"/>
  <c r="I976" i="19" s="1"/>
  <c r="H1111" i="19"/>
  <c r="I1111" i="19" s="1"/>
  <c r="H1573" i="19"/>
  <c r="I1573" i="19" s="1"/>
  <c r="H456" i="19"/>
  <c r="I456" i="19" s="1"/>
  <c r="H1430" i="19"/>
  <c r="I1430" i="19" s="1"/>
  <c r="H1245" i="19"/>
  <c r="I1245" i="19" s="1"/>
  <c r="H490" i="19"/>
  <c r="I490" i="19" s="1"/>
  <c r="H1189" i="19"/>
  <c r="I1189" i="19" s="1"/>
  <c r="H684" i="19"/>
  <c r="I684" i="19" s="1"/>
  <c r="H989" i="19"/>
  <c r="I989" i="19" s="1"/>
  <c r="H1046" i="19"/>
  <c r="I1046" i="19" s="1"/>
  <c r="H836" i="19"/>
  <c r="I836" i="19" s="1"/>
  <c r="H1434" i="19"/>
  <c r="I1434" i="19" s="1"/>
  <c r="H474" i="19"/>
  <c r="I474" i="19" s="1"/>
  <c r="H886" i="19"/>
  <c r="I886" i="19" s="1"/>
  <c r="H1460" i="19"/>
  <c r="I1460" i="19" s="1"/>
  <c r="H1855" i="19"/>
  <c r="I1855" i="19" s="1"/>
  <c r="H808" i="19"/>
  <c r="I808" i="19" s="1"/>
  <c r="H548" i="19"/>
  <c r="I548" i="19" s="1"/>
  <c r="H800" i="19"/>
  <c r="I800" i="19" s="1"/>
  <c r="H1828" i="19"/>
  <c r="I1828" i="19" s="1"/>
  <c r="H819" i="19"/>
  <c r="I819" i="19" s="1"/>
  <c r="H616" i="19"/>
  <c r="I616" i="19" s="1"/>
  <c r="H960" i="19"/>
  <c r="I960" i="19" s="1"/>
  <c r="H945" i="19"/>
  <c r="I945" i="19" s="1"/>
  <c r="H796" i="19"/>
  <c r="I796" i="19" s="1"/>
  <c r="H1726" i="19"/>
  <c r="I1726" i="19" s="1"/>
  <c r="H1690" i="19"/>
  <c r="I1690" i="19" s="1"/>
  <c r="H1580" i="19"/>
  <c r="I1580" i="19" s="1"/>
  <c r="H529" i="19"/>
  <c r="I529" i="19" s="1"/>
  <c r="H907" i="19"/>
  <c r="I907" i="19" s="1"/>
  <c r="H1269" i="19"/>
  <c r="I1269" i="19" s="1"/>
  <c r="H1225" i="19"/>
  <c r="I1225" i="19" s="1"/>
  <c r="H878" i="19"/>
  <c r="I878" i="19" s="1"/>
  <c r="H1394" i="19"/>
  <c r="I1394" i="19" s="1"/>
  <c r="H1303" i="19"/>
  <c r="I1303" i="19" s="1"/>
  <c r="H1199" i="19"/>
  <c r="I1199" i="19" s="1"/>
  <c r="H1014" i="19"/>
  <c r="I1014" i="19" s="1"/>
  <c r="H1685" i="19"/>
  <c r="I1685" i="19" s="1"/>
  <c r="H433" i="19"/>
  <c r="I433" i="19" s="1"/>
  <c r="H1772" i="19"/>
  <c r="I1772" i="19" s="1"/>
  <c r="H1117" i="19"/>
  <c r="I1117" i="19" s="1"/>
  <c r="H926" i="19"/>
  <c r="I926" i="19" s="1"/>
  <c r="H767" i="19"/>
  <c r="I767" i="19" s="1"/>
  <c r="H1798" i="19"/>
  <c r="I1798" i="19" s="1"/>
  <c r="H884" i="19"/>
  <c r="I884" i="19" s="1"/>
  <c r="H817" i="19"/>
  <c r="I817" i="19" s="1"/>
  <c r="H1392" i="19"/>
  <c r="I1392" i="19" s="1"/>
  <c r="H1125" i="19"/>
  <c r="I1125" i="19" s="1"/>
  <c r="H798" i="19"/>
  <c r="I798" i="19" s="1"/>
  <c r="H734" i="19"/>
  <c r="I734" i="19" s="1"/>
  <c r="H965" i="19"/>
  <c r="I965" i="19" s="1"/>
  <c r="H1059" i="19"/>
  <c r="I1059" i="19" s="1"/>
  <c r="H1274" i="19"/>
  <c r="I1274" i="19" s="1"/>
  <c r="H806" i="19"/>
  <c r="I806" i="19" s="1"/>
  <c r="H1409" i="19"/>
  <c r="I1409" i="19" s="1"/>
  <c r="H1575" i="19"/>
  <c r="I1575" i="19" s="1"/>
  <c r="H793" i="19"/>
  <c r="I793" i="19" s="1"/>
  <c r="H1268" i="19"/>
  <c r="I1268" i="19" s="1"/>
  <c r="H1547" i="19"/>
  <c r="I1547" i="19" s="1"/>
  <c r="H1009" i="19"/>
  <c r="I1009" i="19" s="1"/>
  <c r="H706" i="19"/>
  <c r="I706" i="19" s="1"/>
  <c r="H1767" i="19"/>
  <c r="I1767" i="19" s="1"/>
  <c r="H1250" i="19"/>
  <c r="I1250" i="19" s="1"/>
  <c r="H831" i="19"/>
  <c r="I831" i="19" s="1"/>
  <c r="H1471" i="19"/>
  <c r="I1471" i="19" s="1"/>
  <c r="H1349" i="19"/>
  <c r="I1349" i="19" s="1"/>
  <c r="H1033" i="19"/>
  <c r="I1033" i="19" s="1"/>
  <c r="H1333" i="19"/>
  <c r="I1333" i="19" s="1"/>
  <c r="H950" i="19"/>
  <c r="I950" i="19" s="1"/>
  <c r="H870" i="19"/>
  <c r="I870" i="19" s="1"/>
  <c r="H795" i="19"/>
  <c r="I795" i="19" s="1"/>
  <c r="H1051" i="19"/>
  <c r="I1051" i="19" s="1"/>
  <c r="H1797" i="19"/>
  <c r="I1797" i="19" s="1"/>
  <c r="H786" i="19"/>
  <c r="I786" i="19" s="1"/>
  <c r="H1071" i="19"/>
  <c r="I1071" i="19" s="1"/>
  <c r="H1782" i="19"/>
  <c r="I1782" i="19" s="1"/>
  <c r="H826" i="19"/>
  <c r="I826" i="19" s="1"/>
  <c r="H1640" i="19"/>
  <c r="I1640" i="19" s="1"/>
  <c r="H1790" i="19"/>
  <c r="I1790" i="19" s="1"/>
  <c r="H1689" i="19"/>
  <c r="I1689" i="19" s="1"/>
  <c r="H664" i="19"/>
  <c r="I664" i="19" s="1"/>
  <c r="H1818" i="19"/>
  <c r="I1818" i="19" s="1"/>
  <c r="H1597" i="19"/>
  <c r="I1597" i="19" s="1"/>
  <c r="H693" i="19"/>
  <c r="I693" i="19" s="1"/>
  <c r="H540" i="19"/>
  <c r="I540" i="19" s="1"/>
  <c r="H412" i="19"/>
  <c r="I412" i="19" s="1"/>
  <c r="H554" i="19"/>
  <c r="I554" i="19" s="1"/>
  <c r="H571" i="19"/>
  <c r="I571" i="19" s="1"/>
  <c r="H1594" i="19"/>
  <c r="I1594" i="19" s="1"/>
  <c r="H1436" i="19"/>
  <c r="I1436" i="19" s="1"/>
  <c r="H1412" i="19"/>
  <c r="I1412" i="19" s="1"/>
  <c r="H1786" i="19"/>
  <c r="I1786" i="19" s="1"/>
  <c r="H424" i="19"/>
  <c r="I424" i="19" s="1"/>
  <c r="H1568" i="19"/>
  <c r="I1568" i="19" s="1"/>
  <c r="H428" i="19"/>
  <c r="I428" i="19" s="1"/>
  <c r="H364" i="19"/>
  <c r="I364" i="19" s="1"/>
  <c r="H1847" i="19"/>
  <c r="I1847" i="19" s="1"/>
  <c r="H781" i="19"/>
  <c r="I781" i="19" s="1"/>
  <c r="H1581" i="19"/>
  <c r="I1581" i="19" s="1"/>
  <c r="H1213" i="19"/>
  <c r="I1213" i="19" s="1"/>
  <c r="H1558" i="19"/>
  <c r="I1558" i="19" s="1"/>
  <c r="H810" i="19"/>
  <c r="I810" i="19" s="1"/>
  <c r="H1459" i="19"/>
  <c r="I1459" i="19" s="1"/>
  <c r="H883" i="19"/>
  <c r="I883" i="19" s="1"/>
  <c r="H1192" i="19"/>
  <c r="I1192" i="19" s="1"/>
  <c r="H1129" i="19"/>
  <c r="I1129" i="19" s="1"/>
  <c r="H1347" i="19"/>
  <c r="I1347" i="19" s="1"/>
  <c r="H1083" i="19"/>
  <c r="I1083" i="19" s="1"/>
  <c r="H484" i="19"/>
  <c r="I484" i="19" s="1"/>
  <c r="H1140" i="19"/>
  <c r="I1140" i="19" s="1"/>
  <c r="H1047" i="19"/>
  <c r="I1047" i="19" s="1"/>
  <c r="H1503" i="19"/>
  <c r="I1503" i="19" s="1"/>
  <c r="H1390" i="19"/>
  <c r="I1390" i="19" s="1"/>
  <c r="H1415" i="19"/>
  <c r="I1415" i="19" s="1"/>
  <c r="H1294" i="19"/>
  <c r="I1294" i="19" s="1"/>
  <c r="H1156" i="19"/>
  <c r="I1156" i="19" s="1"/>
  <c r="H1750" i="19"/>
  <c r="I1750" i="19" s="1"/>
  <c r="H1712" i="19"/>
  <c r="I1712" i="19" s="1"/>
  <c r="H750" i="19"/>
  <c r="I750" i="19" s="1"/>
  <c r="H1768" i="19"/>
  <c r="I1768" i="19" s="1"/>
  <c r="H473" i="19"/>
  <c r="I473" i="19" s="1"/>
  <c r="H998" i="19"/>
  <c r="I998" i="19" s="1"/>
  <c r="H1530" i="19"/>
  <c r="I1530" i="19" s="1"/>
  <c r="H652" i="19"/>
  <c r="I652" i="19" s="1"/>
  <c r="H1766" i="19"/>
  <c r="I1766" i="19" s="1"/>
  <c r="H608" i="19"/>
  <c r="I608" i="19" s="1"/>
  <c r="H928" i="19"/>
  <c r="I928" i="19" s="1"/>
  <c r="H1504" i="19"/>
  <c r="I1504" i="19" s="1"/>
  <c r="H429" i="19"/>
  <c r="I429" i="19" s="1"/>
  <c r="H1744" i="19"/>
  <c r="I1744" i="19" s="1"/>
  <c r="H866" i="19"/>
  <c r="I866" i="19" s="1"/>
  <c r="H1435" i="19"/>
  <c r="I1435" i="19" s="1"/>
  <c r="H1174" i="19"/>
  <c r="I1174" i="19" s="1"/>
  <c r="H851" i="19"/>
  <c r="I851" i="19" s="1"/>
  <c r="H1631" i="19"/>
  <c r="I1631" i="19" s="1"/>
  <c r="H1308" i="19"/>
  <c r="I1308" i="19" s="1"/>
  <c r="H1393" i="19"/>
  <c r="I1393" i="19" s="1"/>
  <c r="H619" i="19"/>
  <c r="I619" i="19" s="1"/>
  <c r="H935" i="19"/>
  <c r="I935" i="19" s="1"/>
  <c r="H1512" i="19"/>
  <c r="I1512" i="19" s="1"/>
  <c r="H979" i="19"/>
  <c r="I979" i="19" s="1"/>
  <c r="H807" i="19"/>
  <c r="I807" i="19" s="1"/>
  <c r="H1384" i="19"/>
  <c r="I1384" i="19" s="1"/>
  <c r="H1211" i="19"/>
  <c r="I1211" i="19" s="1"/>
  <c r="H986" i="19"/>
  <c r="I986" i="19" s="1"/>
  <c r="H627" i="19"/>
  <c r="I627" i="19" s="1"/>
  <c r="H957" i="19"/>
  <c r="I957" i="19" s="1"/>
  <c r="H1749" i="19"/>
  <c r="I1749" i="19" s="1"/>
  <c r="H1270" i="19"/>
  <c r="I1270" i="19" s="1"/>
  <c r="H929" i="19"/>
  <c r="I929" i="19" s="1"/>
  <c r="H415" i="19"/>
  <c r="I415" i="19" s="1"/>
  <c r="H1579" i="19"/>
  <c r="I1579" i="19" s="1"/>
  <c r="H712" i="19"/>
  <c r="I712" i="19" s="1"/>
  <c r="H1625" i="19"/>
  <c r="I1625" i="19" s="1"/>
  <c r="H1293" i="19"/>
  <c r="I1293" i="19" s="1"/>
  <c r="H854" i="19"/>
  <c r="I854" i="19" s="1"/>
  <c r="H1835" i="19"/>
  <c r="I1835" i="19" s="1"/>
  <c r="H1045" i="19"/>
  <c r="I1045" i="19" s="1"/>
  <c r="H740" i="19"/>
  <c r="I740" i="19" s="1"/>
  <c r="H1139" i="19"/>
  <c r="I1139" i="19" s="1"/>
  <c r="H507" i="19"/>
  <c r="I507" i="19" s="1"/>
  <c r="H765" i="19"/>
  <c r="I765" i="19" s="1"/>
  <c r="H661" i="19"/>
  <c r="I661" i="19" s="1"/>
  <c r="H1603" i="19"/>
  <c r="I1603" i="19" s="1"/>
  <c r="H1216" i="19"/>
  <c r="I1216" i="19" s="1"/>
  <c r="H1707" i="19"/>
  <c r="I1707" i="19" s="1"/>
  <c r="H719" i="19"/>
  <c r="I719" i="19" s="1"/>
  <c r="H1445" i="19"/>
  <c r="I1445" i="19" s="1"/>
  <c r="H1373" i="19"/>
  <c r="I1373" i="19" s="1"/>
  <c r="H1186" i="19"/>
  <c r="I1186" i="19" s="1"/>
  <c r="H530" i="19"/>
  <c r="I530" i="19" s="1"/>
  <c r="H1407" i="19"/>
  <c r="I1407" i="19" s="1"/>
  <c r="H1210" i="19"/>
  <c r="I1210" i="19" s="1"/>
  <c r="H1311" i="19"/>
  <c r="I1311" i="19" s="1"/>
  <c r="H1399" i="19"/>
  <c r="I1399" i="19" s="1"/>
  <c r="H1437" i="19"/>
  <c r="I1437" i="19" s="1"/>
  <c r="H553" i="19"/>
  <c r="I553" i="19" s="1"/>
  <c r="H1136" i="19"/>
  <c r="I1136" i="19" s="1"/>
  <c r="H496" i="19"/>
  <c r="I496" i="19" s="1"/>
  <c r="H441" i="19"/>
  <c r="I441" i="19" s="1"/>
  <c r="H561" i="19"/>
  <c r="I561" i="19" s="1"/>
  <c r="H451" i="19"/>
  <c r="I451" i="19" s="1"/>
  <c r="H1346" i="19"/>
  <c r="I1346" i="19" s="1"/>
  <c r="H1600" i="19"/>
  <c r="I1600" i="19" s="1"/>
  <c r="H1370" i="19"/>
  <c r="I1370" i="19" s="1"/>
  <c r="H1645" i="19"/>
  <c r="I1645" i="19" s="1"/>
  <c r="H1805" i="19"/>
  <c r="I1805" i="19" s="1"/>
  <c r="H974" i="19"/>
  <c r="I974" i="19" s="1"/>
  <c r="H834" i="19"/>
  <c r="I834" i="19" s="1"/>
  <c r="H1565" i="19"/>
  <c r="I1565" i="19" s="1"/>
  <c r="H1022" i="19"/>
  <c r="I1022" i="19" s="1"/>
  <c r="H811" i="19"/>
  <c r="I811" i="19" s="1"/>
  <c r="H654" i="19"/>
  <c r="I654" i="19" s="1"/>
  <c r="H1020" i="19"/>
  <c r="I1020" i="19" s="1"/>
  <c r="H438" i="19"/>
  <c r="I438" i="19" s="1"/>
  <c r="H1267" i="19"/>
  <c r="I1267" i="19" s="1"/>
  <c r="H1702" i="19"/>
  <c r="I1702" i="19" s="1"/>
  <c r="H922" i="19"/>
  <c r="I922" i="19" s="1"/>
  <c r="H1596" i="19"/>
  <c r="I1596" i="19" s="1"/>
  <c r="H1539" i="19"/>
  <c r="I1539" i="19" s="1"/>
  <c r="H771" i="19"/>
  <c r="I771" i="19" s="1"/>
  <c r="H1195" i="19"/>
  <c r="I1195" i="19" s="1"/>
  <c r="H1694" i="19"/>
  <c r="I1694" i="19" s="1"/>
  <c r="H1427" i="19"/>
  <c r="I1427" i="19" s="1"/>
  <c r="H737" i="19"/>
  <c r="I737" i="19" s="1"/>
  <c r="H1091" i="19"/>
  <c r="I1091" i="19" s="1"/>
  <c r="H931" i="19"/>
  <c r="I931" i="19" s="1"/>
  <c r="H1489" i="19"/>
  <c r="I1489" i="19" s="1"/>
  <c r="H747" i="19"/>
  <c r="I747" i="19" s="1"/>
  <c r="H1315" i="19"/>
  <c r="I1315" i="19" s="1"/>
  <c r="H954" i="19"/>
  <c r="I954" i="19" s="1"/>
  <c r="H1417" i="19"/>
  <c r="I1417" i="19" s="1"/>
  <c r="H1286" i="19"/>
  <c r="I1286" i="19" s="1"/>
  <c r="H1457" i="19"/>
  <c r="I1457" i="19" s="1"/>
  <c r="H1721" i="19"/>
  <c r="I1721" i="19" s="1"/>
  <c r="H753" i="19"/>
  <c r="I753" i="19" s="1"/>
  <c r="H449" i="19"/>
  <c r="I449" i="19" s="1"/>
  <c r="H845" i="19"/>
  <c r="I845" i="19" s="1"/>
  <c r="H1137" i="19"/>
  <c r="I1137" i="19" s="1"/>
  <c r="H1332" i="19"/>
  <c r="I1332" i="19" s="1"/>
  <c r="H940" i="19"/>
  <c r="I940" i="19" s="1"/>
  <c r="H1052" i="19"/>
  <c r="I1052" i="19" s="1"/>
  <c r="H818" i="19"/>
  <c r="I818" i="19" s="1"/>
  <c r="H1398" i="19"/>
  <c r="I1398" i="19" s="1"/>
  <c r="H980" i="19"/>
  <c r="I980" i="19" s="1"/>
  <c r="H1700" i="19"/>
  <c r="I1700" i="19" s="1"/>
  <c r="H1433" i="19"/>
  <c r="I1433" i="19" s="1"/>
  <c r="H1608" i="19"/>
  <c r="I1608" i="19" s="1"/>
  <c r="H768" i="19"/>
  <c r="I768" i="19" s="1"/>
  <c r="H498" i="19"/>
  <c r="I498" i="19" s="1"/>
  <c r="H899" i="19"/>
  <c r="I899" i="19" s="1"/>
  <c r="H410" i="19"/>
  <c r="I410" i="19" s="1"/>
  <c r="H1474" i="19"/>
  <c r="I1474" i="19" s="1"/>
  <c r="H1004" i="19"/>
  <c r="I1004" i="19" s="1"/>
  <c r="H503" i="19"/>
  <c r="I503" i="19" s="1"/>
  <c r="H1134" i="19"/>
  <c r="I1134" i="19" s="1"/>
  <c r="H1743" i="19"/>
  <c r="I1743" i="19" s="1"/>
  <c r="H369" i="19"/>
  <c r="I369" i="19" s="1"/>
  <c r="H1487" i="19"/>
  <c r="I1487" i="19" s="1"/>
  <c r="H1029" i="19"/>
  <c r="I1029" i="19" s="1"/>
  <c r="H875" i="19"/>
  <c r="I875" i="19" s="1"/>
  <c r="H992" i="19"/>
  <c r="I992" i="19" s="1"/>
  <c r="H1188" i="19"/>
  <c r="I1188" i="19" s="1"/>
  <c r="H1670" i="19"/>
  <c r="I1670" i="19" s="1"/>
  <c r="H1655" i="19"/>
  <c r="I1655" i="19" s="1"/>
  <c r="H1507" i="19"/>
  <c r="I1507" i="19" s="1"/>
  <c r="H1763" i="19"/>
  <c r="I1763" i="19" s="1"/>
  <c r="H362" i="19"/>
  <c r="I362" i="19" s="1"/>
  <c r="H1439" i="19"/>
  <c r="I1439" i="19" s="1"/>
  <c r="H760" i="19"/>
  <c r="I760" i="19" s="1"/>
  <c r="H697" i="19"/>
  <c r="I697" i="19" s="1"/>
  <c r="H1576" i="19"/>
  <c r="I1576" i="19" s="1"/>
  <c r="H1796" i="19"/>
  <c r="I1796" i="19" s="1"/>
  <c r="H728" i="19"/>
  <c r="I728" i="19" s="1"/>
  <c r="H779" i="19"/>
  <c r="I779" i="19" s="1"/>
  <c r="H840" i="19"/>
  <c r="I840" i="19" s="1"/>
  <c r="H1549" i="19"/>
  <c r="I1549" i="19" s="1"/>
  <c r="H1562" i="19"/>
  <c r="I1562" i="19" s="1"/>
  <c r="H773" i="19"/>
  <c r="I773" i="19" s="1"/>
  <c r="H782" i="19"/>
  <c r="I782" i="19" s="1"/>
  <c r="H1364" i="19"/>
  <c r="I1364" i="19" s="1"/>
  <c r="H1108" i="19"/>
  <c r="I1108" i="19" s="1"/>
  <c r="H350" i="19"/>
  <c r="I350" i="19" s="1"/>
  <c r="H683" i="19"/>
  <c r="I683" i="19" s="1"/>
  <c r="H1003" i="19"/>
  <c r="I1003" i="19" s="1"/>
  <c r="H1039" i="19"/>
  <c r="I1039" i="19" s="1"/>
  <c r="H1305" i="19"/>
  <c r="I1305" i="19" s="1"/>
  <c r="H1063" i="19"/>
  <c r="I1063" i="19" s="1"/>
  <c r="H1337" i="19"/>
  <c r="I1337" i="19" s="1"/>
  <c r="H526" i="19"/>
  <c r="I526" i="19" s="1"/>
  <c r="H820" i="19"/>
  <c r="I820" i="19" s="1"/>
  <c r="H797" i="19"/>
  <c r="I797" i="19" s="1"/>
  <c r="H1372" i="19"/>
  <c r="I1372" i="19" s="1"/>
  <c r="H1163" i="19"/>
  <c r="I1163" i="19" s="1"/>
  <c r="H629" i="19"/>
  <c r="I629" i="19" s="1"/>
  <c r="H943" i="19"/>
  <c r="I943" i="19" s="1"/>
  <c r="H1758" i="19"/>
  <c r="I1758" i="19" s="1"/>
  <c r="H1623" i="19"/>
  <c r="I1623" i="19" s="1"/>
  <c r="H1851" i="19"/>
  <c r="I1851" i="19" s="1"/>
  <c r="H801" i="19"/>
  <c r="I801" i="19" s="1"/>
  <c r="H1387" i="19"/>
  <c r="I1387" i="19" s="1"/>
  <c r="H1124" i="19"/>
  <c r="I1124" i="19" s="1"/>
  <c r="H1860" i="19"/>
  <c r="I1860" i="19" s="1"/>
  <c r="H1093" i="19"/>
  <c r="I1093" i="19" s="1"/>
  <c r="H1381" i="19"/>
  <c r="I1381" i="19" s="1"/>
  <c r="H921" i="19"/>
  <c r="I921" i="19" s="1"/>
  <c r="H1106" i="19"/>
  <c r="I1106" i="19" s="1"/>
  <c r="H1151" i="19"/>
  <c r="I1151" i="19" s="1"/>
  <c r="H476" i="19"/>
  <c r="I476" i="19" s="1"/>
  <c r="H564" i="19"/>
  <c r="I564" i="19" s="1"/>
  <c r="H833" i="19"/>
  <c r="I833" i="19" s="1"/>
  <c r="H1840" i="19"/>
  <c r="I1840" i="19" s="1"/>
  <c r="H1509" i="19"/>
  <c r="I1509" i="19" s="1"/>
  <c r="H587" i="19"/>
  <c r="I587" i="19" s="1"/>
  <c r="H1198" i="19"/>
  <c r="I1198" i="19" s="1"/>
  <c r="H1862" i="19"/>
  <c r="I1862" i="19" s="1"/>
  <c r="H1614" i="19"/>
  <c r="I1614" i="19" s="1"/>
  <c r="H1335" i="19"/>
  <c r="I1335" i="19" s="1"/>
  <c r="H990" i="19"/>
  <c r="I990" i="19" s="1"/>
  <c r="H1411" i="19"/>
  <c r="I1411" i="19" s="1"/>
  <c r="H1783" i="19"/>
  <c r="I1783" i="19" s="1"/>
  <c r="H427" i="19"/>
  <c r="I427" i="19" s="1"/>
  <c r="H1023" i="19"/>
  <c r="I1023" i="19" s="1"/>
  <c r="H1320" i="19"/>
  <c r="I1320" i="19" s="1"/>
  <c r="H877" i="19"/>
  <c r="I877" i="19" s="1"/>
  <c r="H1043" i="19"/>
  <c r="I1043" i="19" s="1"/>
  <c r="H1401" i="19"/>
  <c r="I1401" i="19" s="1"/>
  <c r="H1011" i="19"/>
  <c r="I1011" i="19" s="1"/>
  <c r="H1319" i="19"/>
  <c r="I1319" i="19" s="1"/>
  <c r="H1240" i="19"/>
  <c r="I1240" i="19" s="1"/>
  <c r="H1375" i="19"/>
  <c r="I1375" i="19" s="1"/>
  <c r="H1204" i="19"/>
  <c r="I1204" i="19" s="1"/>
  <c r="H1857" i="19"/>
  <c r="I1857" i="19" s="1"/>
  <c r="H447" i="19"/>
  <c r="I447" i="19" s="1"/>
  <c r="H632" i="19"/>
  <c r="I632" i="19" s="1"/>
  <c r="H349" i="19"/>
  <c r="I349" i="19" s="1"/>
  <c r="H370" i="19"/>
  <c r="I370" i="19" s="1"/>
  <c r="H1161" i="19"/>
  <c r="I1161" i="19" s="1"/>
  <c r="H600" i="19"/>
  <c r="I600" i="19" s="1"/>
  <c r="H1115" i="19"/>
  <c r="I1115" i="19" s="1"/>
  <c r="H1334" i="19"/>
  <c r="I1334" i="19" s="1"/>
  <c r="H751" i="19"/>
  <c r="I751" i="19" s="1"/>
  <c r="H1104" i="19"/>
  <c r="I1104" i="19" s="1"/>
  <c r="H640" i="19"/>
  <c r="I640" i="19" s="1"/>
  <c r="H514" i="19"/>
  <c r="I514" i="19" s="1"/>
  <c r="H732" i="19"/>
  <c r="I732" i="19" s="1"/>
  <c r="H1275" i="19"/>
  <c r="I1275" i="19" s="1"/>
  <c r="H966" i="19"/>
  <c r="I966" i="19" s="1"/>
  <c r="H1679" i="19"/>
  <c r="I1679" i="19" s="1"/>
  <c r="H1197" i="19"/>
  <c r="I1197" i="19" s="1"/>
  <c r="H673" i="19"/>
  <c r="I673" i="19" s="1"/>
  <c r="H493" i="19"/>
  <c r="I493" i="19" s="1"/>
  <c r="H383" i="19"/>
  <c r="I383" i="19" s="1"/>
  <c r="H406" i="19"/>
  <c r="I406" i="19" s="1"/>
  <c r="H1711" i="19"/>
  <c r="I1711" i="19" s="1"/>
  <c r="H748" i="19"/>
  <c r="I748" i="19" s="1"/>
  <c r="H1356" i="19"/>
  <c r="I1356" i="19" s="1"/>
  <c r="H1567" i="19"/>
  <c r="I1567" i="19" s="1"/>
  <c r="H856" i="19"/>
  <c r="I856" i="19" s="1"/>
  <c r="H1166" i="19"/>
  <c r="I1166" i="19" s="1"/>
  <c r="H1495" i="19"/>
  <c r="I1495" i="19" s="1"/>
  <c r="H859" i="19"/>
  <c r="I859" i="19" s="1"/>
  <c r="H1475" i="19"/>
  <c r="I1475" i="19" s="1"/>
  <c r="H541" i="19"/>
  <c r="I541" i="19" s="1"/>
  <c r="H1289" i="19"/>
  <c r="I1289" i="19" s="1"/>
  <c r="H1747" i="19"/>
  <c r="I1747" i="19" s="1"/>
  <c r="H1282" i="19"/>
  <c r="I1282" i="19" s="1"/>
  <c r="H404" i="19"/>
  <c r="I404" i="19" s="1"/>
  <c r="H525" i="19"/>
  <c r="I525" i="19" s="1"/>
  <c r="H631" i="19"/>
  <c r="I631" i="19" s="1"/>
  <c r="H857" i="19"/>
  <c r="I857" i="19" s="1"/>
  <c r="H987" i="19"/>
  <c r="I987" i="19" s="1"/>
  <c r="H1735" i="19"/>
  <c r="I1735" i="19" s="1"/>
  <c r="H736" i="19"/>
  <c r="I736" i="19" s="1"/>
  <c r="H1086" i="19"/>
  <c r="I1086" i="19" s="1"/>
  <c r="H386" i="19"/>
  <c r="I386" i="19" s="1"/>
  <c r="H1219" i="19"/>
  <c r="I1219" i="19" s="1"/>
  <c r="H480" i="19"/>
  <c r="I480" i="19" s="1"/>
  <c r="H1561" i="19"/>
  <c r="I1561" i="19" s="1"/>
  <c r="H1593" i="19"/>
  <c r="I1593" i="19" s="1"/>
  <c r="H711" i="19"/>
  <c r="I711" i="19" s="1"/>
  <c r="H1792" i="19"/>
  <c r="I1792" i="19" s="1"/>
  <c r="H1706" i="19"/>
  <c r="I1706" i="19" s="1"/>
  <c r="H985" i="19"/>
  <c r="I985" i="19" s="1"/>
  <c r="H770" i="19"/>
  <c r="I770" i="19" s="1"/>
  <c r="H1099" i="19"/>
  <c r="I1099" i="19" s="1"/>
  <c r="H1325" i="19"/>
  <c r="I1325" i="19" s="1"/>
  <c r="H1454" i="19"/>
  <c r="I1454" i="19" s="1"/>
  <c r="H1391" i="19"/>
  <c r="I1391" i="19" s="1"/>
  <c r="H912" i="19"/>
  <c r="I912" i="19" s="1"/>
  <c r="H1497" i="19"/>
  <c r="I1497" i="19" s="1"/>
  <c r="H1208" i="19"/>
  <c r="I1208" i="19" s="1"/>
  <c r="H1429" i="19"/>
  <c r="I1429" i="19" s="1"/>
  <c r="H1784" i="19"/>
  <c r="I1784" i="19" s="1"/>
  <c r="H946" i="19"/>
  <c r="I946" i="19" s="1"/>
  <c r="H1118" i="19"/>
  <c r="I1118" i="19" s="1"/>
  <c r="H1116" i="19"/>
  <c r="I1116" i="19" s="1"/>
  <c r="H1803" i="19"/>
  <c r="I1803" i="19" s="1"/>
  <c r="H868" i="19"/>
  <c r="I868" i="19" s="1"/>
  <c r="H592" i="19"/>
  <c r="I592" i="19" s="1"/>
  <c r="H809" i="19"/>
  <c r="I809" i="19" s="1"/>
  <c r="H521" i="19"/>
  <c r="I521" i="19" s="1"/>
  <c r="H1514" i="19"/>
  <c r="I1514" i="19" s="1"/>
  <c r="H1718" i="19"/>
  <c r="I1718" i="19" s="1"/>
  <c r="H1403" i="19"/>
  <c r="I1403" i="19" s="1"/>
  <c r="H949" i="19"/>
  <c r="I949" i="19" s="1"/>
  <c r="H1483" i="19"/>
  <c r="I1483" i="19" s="1"/>
  <c r="H1737" i="19"/>
  <c r="I1737" i="19" s="1"/>
  <c r="H1369" i="19"/>
  <c r="I1369" i="19" s="1"/>
  <c r="H1663" i="19"/>
  <c r="I1663" i="19" s="1"/>
  <c r="H1719" i="19"/>
  <c r="I1719" i="19" s="1"/>
  <c r="H1215" i="19"/>
  <c r="I1215" i="19" s="1"/>
  <c r="H1230" i="19"/>
  <c r="I1230" i="19" s="1"/>
  <c r="H1787" i="19"/>
  <c r="I1787" i="19" s="1"/>
  <c r="H1152" i="19"/>
  <c r="I1152" i="19" s="1"/>
  <c r="H849" i="19"/>
  <c r="I849" i="19" s="1"/>
  <c r="H358" i="19"/>
  <c r="I358" i="19" s="1"/>
  <c r="H1511" i="19"/>
  <c r="I1511" i="19" s="1"/>
  <c r="H1472" i="19"/>
  <c r="I1472" i="19" s="1"/>
  <c r="H915" i="19"/>
  <c r="I915" i="19" s="1"/>
  <c r="H1344" i="19"/>
  <c r="I1344" i="19" s="1"/>
  <c r="H1477" i="19"/>
  <c r="I1477" i="19" s="1"/>
  <c r="H671" i="19"/>
  <c r="I671" i="19" s="1"/>
  <c r="H1254" i="19"/>
  <c r="I1254" i="19" s="1"/>
  <c r="H1300" i="19"/>
  <c r="I1300" i="19" s="1"/>
  <c r="H1302" i="19"/>
  <c r="I1302" i="19" s="1"/>
  <c r="H814" i="19"/>
  <c r="I814" i="19" s="1"/>
  <c r="H1765" i="19"/>
  <c r="I1765" i="19" s="1"/>
  <c r="H1420" i="19"/>
  <c r="I1420" i="19" s="1"/>
  <c r="H904" i="19"/>
  <c r="I904" i="19" s="1"/>
  <c r="H1425" i="19"/>
  <c r="I1425" i="19" s="1"/>
  <c r="H1524" i="19"/>
  <c r="I1524" i="19" s="1"/>
  <c r="H905" i="19"/>
  <c r="I905" i="19" s="1"/>
  <c r="H1534" i="19"/>
  <c r="I1534" i="19" s="1"/>
  <c r="H1371" i="19"/>
  <c r="I1371" i="19" s="1"/>
  <c r="H599" i="19"/>
  <c r="I599" i="19" s="1"/>
  <c r="H1479" i="19"/>
  <c r="I1479" i="19" s="1"/>
  <c r="H485" i="19"/>
  <c r="I485" i="19" s="1"/>
  <c r="H417" i="19"/>
  <c r="I417" i="19" s="1"/>
  <c r="H1442" i="19"/>
  <c r="I1442" i="19" s="1"/>
  <c r="H1098" i="19"/>
  <c r="I1098" i="19" s="1"/>
  <c r="H863" i="19"/>
  <c r="I863" i="19" s="1"/>
  <c r="H1249" i="19"/>
  <c r="I1249" i="19" s="1"/>
  <c r="H1788" i="19"/>
  <c r="I1788" i="19" s="1"/>
  <c r="H532" i="19"/>
  <c r="I532" i="19" s="1"/>
  <c r="H724" i="19"/>
  <c r="I724" i="19" s="1"/>
  <c r="H1630" i="19"/>
  <c r="I1630" i="19" s="1"/>
  <c r="H1665" i="19"/>
  <c r="I1665" i="19" s="1"/>
  <c r="H784" i="19"/>
  <c r="I784" i="19" s="1"/>
  <c r="H1822" i="19"/>
  <c r="I1822" i="19" s="1"/>
  <c r="H346" i="19"/>
  <c r="I346" i="19" s="1"/>
  <c r="H1096" i="19"/>
  <c r="I1096" i="19" s="1"/>
  <c r="H1757" i="19"/>
  <c r="I1757" i="19" s="1"/>
  <c r="H999" i="19"/>
  <c r="I999" i="19" s="1"/>
  <c r="H1079" i="19"/>
  <c r="I1079" i="19" s="1"/>
  <c r="H1025" i="19"/>
  <c r="I1025" i="19" s="1"/>
  <c r="H488" i="19"/>
  <c r="I488" i="19" s="1"/>
  <c r="H1453" i="19"/>
  <c r="I1453" i="19" s="1"/>
  <c r="H1130" i="19"/>
  <c r="I1130" i="19" s="1"/>
  <c r="H372" i="19"/>
  <c r="I372" i="19" s="1"/>
  <c r="H1028" i="19"/>
  <c r="I1028" i="19" s="1"/>
  <c r="H1681" i="19"/>
  <c r="I1681" i="19" s="1"/>
  <c r="H1456" i="19"/>
  <c r="I1456" i="19" s="1"/>
  <c r="H1662" i="19"/>
  <c r="I1662" i="19" s="1"/>
  <c r="H1032" i="19"/>
  <c r="I1032" i="19" s="1"/>
  <c r="H446" i="19"/>
  <c r="I446" i="19" s="1"/>
  <c r="H595" i="19"/>
  <c r="I595" i="19" s="1"/>
  <c r="H887" i="19"/>
  <c r="I887" i="19" s="1"/>
  <c r="H1314" i="19"/>
  <c r="I1314" i="19" s="1"/>
  <c r="H1845" i="19"/>
  <c r="I1845" i="19" s="1"/>
  <c r="H1177" i="19"/>
  <c r="I1177" i="19" s="1"/>
  <c r="H1380" i="19"/>
  <c r="I1380" i="19" s="1"/>
  <c r="H953" i="19"/>
  <c r="I953" i="19" s="1"/>
  <c r="H669" i="19"/>
  <c r="I669" i="19" s="1"/>
  <c r="H549" i="19"/>
  <c r="I549" i="19" s="1"/>
  <c r="H1831" i="19"/>
  <c r="I1831" i="19" s="1"/>
  <c r="H1228" i="19"/>
  <c r="I1228" i="19" s="1"/>
  <c r="H1307" i="19"/>
  <c r="I1307" i="19" s="1"/>
  <c r="H579" i="19"/>
  <c r="I579" i="19" s="1"/>
  <c r="H1755" i="19"/>
  <c r="I1755" i="19" s="1"/>
  <c r="H745" i="19"/>
  <c r="I745" i="19" s="1"/>
  <c r="H663" i="19"/>
  <c r="I663" i="19" s="1"/>
  <c r="H1449" i="19"/>
  <c r="I1449" i="19" s="1"/>
  <c r="H626" i="19"/>
  <c r="I626" i="19" s="1"/>
  <c r="H1336" i="19"/>
  <c r="I1336" i="19" s="1"/>
  <c r="H1173" i="19"/>
  <c r="I1173" i="19" s="1"/>
  <c r="H1651" i="19"/>
  <c r="I1651" i="19" s="1"/>
  <c r="H702" i="19"/>
  <c r="I702" i="19" s="1"/>
  <c r="H1021" i="19"/>
  <c r="I1021" i="19" s="1"/>
  <c r="H1658" i="19"/>
  <c r="I1658" i="19" s="1"/>
  <c r="H696" i="19"/>
  <c r="I696" i="19" s="1"/>
  <c r="H1814" i="19"/>
  <c r="I1814" i="19" s="1"/>
  <c r="H1097" i="19"/>
  <c r="I1097" i="19" s="1"/>
  <c r="H1339" i="19"/>
  <c r="I1339" i="19" s="1"/>
  <c r="H1687" i="19"/>
  <c r="I1687" i="19" s="1"/>
  <c r="H432" i="19"/>
  <c r="I432" i="19" s="1"/>
  <c r="H605" i="19"/>
  <c r="I605" i="19" s="1"/>
  <c r="H1485" i="19"/>
  <c r="I1485" i="19" s="1"/>
  <c r="H1461" i="19"/>
  <c r="I1461" i="19" s="1"/>
  <c r="H524" i="19"/>
  <c r="I524" i="19" s="1"/>
  <c r="H1839" i="19"/>
  <c r="I1839" i="19" s="1"/>
  <c r="H674" i="19"/>
  <c r="I674" i="19" s="1"/>
  <c r="H735" i="19"/>
  <c r="I735" i="19" s="1"/>
  <c r="H388" i="19"/>
  <c r="I388" i="19" s="1"/>
  <c r="H1348" i="19"/>
  <c r="I1348" i="19" s="1"/>
  <c r="H423" i="19"/>
  <c r="I423" i="19" s="1"/>
  <c r="H1770" i="19"/>
  <c r="I1770" i="19" s="1"/>
  <c r="H511" i="19"/>
  <c r="I511" i="19" s="1"/>
  <c r="H1703" i="19"/>
  <c r="I1703" i="19" s="1"/>
  <c r="H650" i="19"/>
  <c r="I650" i="19" s="1"/>
  <c r="H1759" i="19"/>
  <c r="I1759" i="19" s="1"/>
  <c r="H720" i="19"/>
  <c r="I720" i="19" s="1"/>
  <c r="H794" i="19"/>
  <c r="I794" i="19" s="1"/>
  <c r="H1649" i="19"/>
  <c r="I1649" i="19" s="1"/>
  <c r="H1856" i="19"/>
  <c r="I1856" i="19" s="1"/>
  <c r="H1073" i="19"/>
  <c r="I1073" i="19" s="1"/>
  <c r="H670" i="19"/>
  <c r="I670" i="19" s="1"/>
  <c r="H1473" i="19"/>
  <c r="I1473" i="19" s="1"/>
  <c r="H969" i="19"/>
  <c r="I969" i="19" s="1"/>
  <c r="H1144" i="19"/>
  <c r="I1144" i="19" s="1"/>
  <c r="H713" i="19"/>
  <c r="I713" i="19" s="1"/>
  <c r="H1635" i="19"/>
  <c r="I1635" i="19" s="1"/>
  <c r="H1013" i="19"/>
  <c r="I1013" i="19" s="1"/>
  <c r="H1467" i="19"/>
  <c r="I1467" i="19" s="1"/>
  <c r="H665" i="19"/>
  <c r="I665" i="19" s="1"/>
  <c r="H1114" i="19"/>
  <c r="I1114" i="19" s="1"/>
  <c r="H763" i="19"/>
  <c r="I763" i="19" s="1"/>
  <c r="H1321" i="19"/>
  <c r="I1321" i="19" s="1"/>
  <c r="H962" i="19"/>
  <c r="I962" i="19" s="1"/>
  <c r="H1570" i="19"/>
  <c r="I1570" i="19" s="1"/>
  <c r="H1255" i="19"/>
  <c r="I1255" i="19" s="1"/>
  <c r="H1605" i="19"/>
  <c r="I1605" i="19" s="1"/>
  <c r="H1432" i="19"/>
  <c r="I1432" i="19" s="1"/>
  <c r="H715" i="19"/>
  <c r="I715" i="19" s="1"/>
  <c r="H556" i="19"/>
  <c r="I556" i="19" s="1"/>
  <c r="H575" i="19"/>
  <c r="I575" i="19" s="1"/>
  <c r="H1006" i="19"/>
  <c r="I1006" i="19" s="1"/>
  <c r="H552" i="19"/>
  <c r="I552" i="19" s="1"/>
  <c r="H871" i="19"/>
  <c r="I871" i="19" s="1"/>
  <c r="H1141" i="19"/>
  <c r="I1141" i="19" s="1"/>
  <c r="H1253" i="19"/>
  <c r="I1253" i="19" s="1"/>
  <c r="H639" i="19"/>
  <c r="I639" i="19" s="1"/>
  <c r="H465" i="19"/>
  <c r="I465" i="19" s="1"/>
  <c r="H1761" i="19"/>
  <c r="I1761" i="19" s="1"/>
  <c r="H1775" i="19"/>
  <c r="I1775" i="19" s="1"/>
  <c r="H1309" i="19"/>
  <c r="I1309" i="19" s="1"/>
  <c r="H1280" i="19"/>
  <c r="I1280" i="19" s="1"/>
  <c r="H1276" i="19"/>
  <c r="I1276" i="19" s="1"/>
  <c r="H572" i="19"/>
  <c r="I572" i="19" s="1"/>
  <c r="H1081" i="19"/>
  <c r="I1081" i="19" s="1"/>
  <c r="H351" i="19"/>
  <c r="I351" i="19" s="1"/>
  <c r="H1513" i="19"/>
  <c r="I1513" i="19" s="1"/>
  <c r="H698" i="19"/>
  <c r="I698" i="19" s="1"/>
  <c r="H1448" i="19"/>
  <c r="I1448" i="19" s="1"/>
  <c r="H1734" i="19"/>
  <c r="I1734" i="19" s="1"/>
  <c r="H1187" i="19"/>
  <c r="I1187" i="19" s="1"/>
  <c r="H1042" i="19"/>
  <c r="I1042" i="19" s="1"/>
  <c r="H1160" i="19"/>
  <c r="I1160" i="19" s="1"/>
  <c r="H1405" i="19"/>
  <c r="I1405" i="19" s="1"/>
  <c r="H908" i="19"/>
  <c r="I908" i="19" s="1"/>
  <c r="H1037" i="19"/>
  <c r="I1037" i="19" s="1"/>
  <c r="H1277" i="19"/>
  <c r="I1277" i="19" s="1"/>
  <c r="H479" i="19"/>
  <c r="I479" i="19" s="1"/>
  <c r="H649" i="19"/>
  <c r="I649" i="19" s="1"/>
  <c r="H1778" i="19"/>
  <c r="I1778" i="19" s="1"/>
  <c r="H1578" i="19"/>
  <c r="I1578" i="19" s="1"/>
  <c r="H1723" i="19"/>
  <c r="I1723" i="19" s="1"/>
  <c r="H1634" i="19"/>
  <c r="I1634" i="19" s="1"/>
  <c r="H1285" i="19"/>
  <c r="I1285" i="19" s="1"/>
  <c r="H1551" i="19"/>
  <c r="I1551" i="19" s="1"/>
  <c r="H411" i="19"/>
  <c r="I411" i="19" s="1"/>
  <c r="H566" i="19"/>
  <c r="I566" i="19" s="1"/>
  <c r="H1488" i="19"/>
  <c r="I1488" i="19" s="1"/>
  <c r="H1598" i="19"/>
  <c r="I1598" i="19" s="1"/>
  <c r="H917" i="19"/>
  <c r="I917" i="19" s="1"/>
  <c r="H1519" i="19"/>
  <c r="I1519" i="19" s="1"/>
  <c r="H1027" i="19"/>
  <c r="I1027" i="19" s="1"/>
  <c r="H1423" i="19"/>
  <c r="I1423" i="19" s="1"/>
  <c r="H791" i="19"/>
  <c r="I791" i="19" s="1"/>
  <c r="H1252" i="19"/>
  <c r="I1252" i="19" s="1"/>
  <c r="H730" i="19"/>
  <c r="I730" i="19" s="1"/>
  <c r="H648" i="19"/>
  <c r="I648" i="19" s="1"/>
  <c r="H1345" i="19"/>
  <c r="I1345" i="19" s="1"/>
  <c r="H1075" i="19"/>
  <c r="I1075" i="19" s="1"/>
  <c r="H729" i="19"/>
  <c r="I729" i="19" s="1"/>
  <c r="H679" i="19"/>
  <c r="I679" i="19" s="1"/>
  <c r="H622" i="19"/>
  <c r="I622" i="19" s="1"/>
  <c r="H1522" i="19"/>
  <c r="I1522" i="19" s="1"/>
  <c r="H528" i="19"/>
  <c r="I528" i="19" s="1"/>
  <c r="H1374" i="19"/>
  <c r="I1374" i="19" s="1"/>
  <c r="H1283" i="19"/>
  <c r="I1283" i="19" s="1"/>
  <c r="H1012" i="19"/>
  <c r="I1012" i="19" s="1"/>
  <c r="H422" i="19"/>
  <c r="I422" i="19" s="1"/>
  <c r="H591" i="19"/>
  <c r="I591" i="19" s="1"/>
  <c r="H788" i="19"/>
  <c r="I788" i="19" s="1"/>
  <c r="H1781" i="19"/>
  <c r="I1781" i="19" s="1"/>
  <c r="H1113" i="19"/>
  <c r="I1113" i="19" s="1"/>
  <c r="H377" i="19"/>
  <c r="I377" i="19" s="1"/>
  <c r="H955" i="19"/>
  <c r="I955" i="19" s="1"/>
  <c r="H1318" i="19"/>
  <c r="I1318" i="19" s="1"/>
  <c r="H1244" i="19"/>
  <c r="I1244" i="19" s="1"/>
  <c r="H1172" i="19"/>
  <c r="I1172" i="19" s="1"/>
  <c r="H668" i="19"/>
  <c r="I668" i="19" s="1"/>
  <c r="H1196" i="19"/>
  <c r="I1196" i="19" s="1"/>
  <c r="H618" i="19"/>
  <c r="I618" i="19" s="1"/>
  <c r="H936" i="19"/>
  <c r="I936" i="19" s="1"/>
  <c r="H1776" i="19"/>
  <c r="I1776" i="19" s="1"/>
  <c r="H1838" i="19"/>
  <c r="I1838" i="19" s="1"/>
  <c r="H356" i="19"/>
  <c r="I356" i="19" s="1"/>
  <c r="H1545" i="19"/>
  <c r="I1545" i="19" s="1"/>
  <c r="H1418" i="19"/>
  <c r="I1418" i="19" s="1"/>
  <c r="H680" i="19"/>
  <c r="I680" i="19" s="1"/>
  <c r="H1691" i="19"/>
  <c r="I1691" i="19" s="1"/>
  <c r="H824" i="19"/>
  <c r="I824" i="19" s="1"/>
  <c r="H1234" i="19"/>
  <c r="I1234" i="19" s="1"/>
  <c r="H1777" i="19"/>
  <c r="I1777" i="19" s="1"/>
  <c r="H971" i="19"/>
  <c r="I971" i="19" s="1"/>
  <c r="H379" i="19"/>
  <c r="I379" i="19" s="1"/>
  <c r="H1812" i="19"/>
  <c r="I1812" i="19" s="1"/>
  <c r="H1328" i="19"/>
  <c r="I1328" i="19" s="1"/>
  <c r="H1036" i="19"/>
  <c r="I1036" i="19" s="1"/>
  <c r="H1647" i="19"/>
  <c r="I1647" i="19" s="1"/>
  <c r="H1771" i="19"/>
  <c r="I1771" i="19" s="1"/>
  <c r="H1769" i="19"/>
  <c r="I1769" i="19" s="1"/>
  <c r="H1126" i="19"/>
  <c r="I1126" i="19" s="1"/>
  <c r="H1247" i="19"/>
  <c r="I1247" i="19" s="1"/>
  <c r="H471" i="19"/>
  <c r="I471" i="19" s="1"/>
  <c r="H1751" i="19"/>
  <c r="I1751" i="19" s="1"/>
  <c r="H1646" i="19"/>
  <c r="I1646" i="19" s="1"/>
  <c r="H659" i="19"/>
  <c r="I659" i="19" s="1"/>
  <c r="H1171" i="19"/>
  <c r="I1171" i="19" s="1"/>
  <c r="H1007" i="19"/>
  <c r="I1007" i="19" s="1"/>
  <c r="H606" i="19"/>
  <c r="I606" i="19" s="1"/>
  <c r="H1306" i="19"/>
  <c r="I1306" i="19" s="1"/>
  <c r="H1408" i="19"/>
  <c r="I1408" i="19" s="1"/>
  <c r="H1678" i="19"/>
  <c r="I1678" i="19" s="1"/>
  <c r="H1179" i="19"/>
  <c r="I1179" i="19" s="1"/>
  <c r="H982" i="19"/>
  <c r="I982" i="19" s="1"/>
  <c r="H1773" i="19"/>
  <c r="I1773" i="19" s="1"/>
  <c r="H531" i="19"/>
  <c r="I531" i="19" s="1"/>
  <c r="H617" i="19"/>
  <c r="I617" i="19" s="1"/>
  <c r="H398" i="19"/>
  <c r="I398" i="19" s="1"/>
  <c r="H1072" i="19"/>
  <c r="I1072" i="19" s="1"/>
  <c r="H1414" i="19"/>
  <c r="I1414" i="19" s="1"/>
  <c r="H860" i="19"/>
  <c r="I860" i="19" s="1"/>
  <c r="H1331" i="19"/>
  <c r="I1331" i="19" s="1"/>
  <c r="H1447" i="19"/>
  <c r="I1447" i="19" s="1"/>
  <c r="H1590" i="19"/>
  <c r="I1590" i="19" s="1"/>
  <c r="H1132" i="19"/>
  <c r="I1132" i="19" s="1"/>
  <c r="H434" i="19"/>
  <c r="I434" i="19" s="1"/>
  <c r="H1810" i="19"/>
  <c r="I1810" i="19" s="1"/>
  <c r="H1363" i="19"/>
  <c r="I1363" i="19" s="1"/>
  <c r="H1232" i="19"/>
  <c r="I1232" i="19" s="1"/>
  <c r="H1693" i="19"/>
  <c r="I1693" i="19" s="1"/>
  <c r="H970" i="19"/>
  <c r="I970" i="19" s="1"/>
  <c r="H984" i="19"/>
  <c r="I984" i="19" s="1"/>
  <c r="H1710" i="19"/>
  <c r="I1710" i="19" s="1"/>
  <c r="H1147" i="19"/>
  <c r="I1147" i="19" s="1"/>
  <c r="H699" i="19"/>
  <c r="I699" i="19" s="1"/>
  <c r="H772" i="19"/>
  <c r="I772" i="19" s="1"/>
  <c r="H1054" i="19"/>
  <c r="I1054" i="19" s="1"/>
  <c r="H1365" i="19"/>
  <c r="I1365" i="19" s="1"/>
  <c r="H1686" i="19"/>
  <c r="I1686" i="19" s="1"/>
  <c r="H1599" i="19"/>
  <c r="I1599" i="19" s="1"/>
  <c r="H461" i="19"/>
  <c r="I461" i="19" s="1"/>
  <c r="I1863" i="19" l="1"/>
  <c r="M4" i="19" s="1"/>
  <c r="P4" i="19" s="1"/>
  <c r="H1863" i="19"/>
  <c r="J4" i="19" s="1"/>
  <c r="N5" i="3"/>
  <c r="O49" i="3" l="1"/>
</calcChain>
</file>

<file path=xl/sharedStrings.xml><?xml version="1.0" encoding="utf-8"?>
<sst xmlns="http://schemas.openxmlformats.org/spreadsheetml/2006/main" count="10282" uniqueCount="2968">
  <si>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</si>
  <si>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</si>
  <si>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</si>
  <si>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</si>
  <si>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</si>
  <si>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</si>
  <si>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</si>
  <si>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</si>
  <si>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</si>
  <si>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</si>
  <si>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</si>
  <si>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</si>
  <si>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</si>
  <si>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</si>
  <si>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</si>
  <si>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</si>
  <si>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</si>
  <si>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</si>
  <si>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</si>
  <si>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</si>
  <si>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</si>
  <si>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</si>
  <si>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</si>
  <si>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</si>
  <si>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</si>
  <si>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</si>
  <si>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</si>
  <si>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</si>
  <si>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</si>
  <si>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</si>
  <si>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</si>
  <si>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</si>
  <si>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</si>
  <si>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</si>
  <si>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</si>
  <si>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</si>
  <si>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</si>
  <si>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</si>
  <si>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</si>
  <si>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PERC IIBB BS AS</t>
  </si>
  <si>
    <t>PERC IIBB CABA</t>
  </si>
  <si>
    <t>PROVEEDORES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</si>
  <si>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</si>
  <si>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</si>
  <si>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</si>
  <si>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</si>
  <si>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</si>
  <si>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</si>
  <si>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</si>
  <si>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</si>
  <si>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</si>
  <si>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</si>
  <si>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</si>
  <si>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</si>
  <si>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</si>
  <si>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</si>
  <si>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</si>
  <si>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</si>
  <si>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 xml:space="preserve">Gastos mantenimiento </t>
  </si>
  <si>
    <t>Gastos Varios</t>
  </si>
  <si>
    <t>Servicios Gas, Luz, etc.</t>
  </si>
  <si>
    <t>Insumo</t>
  </si>
  <si>
    <t>Flete</t>
  </si>
  <si>
    <t>Mercaderia</t>
  </si>
  <si>
    <t>Combustibe</t>
  </si>
  <si>
    <t>Extracto</t>
  </si>
  <si>
    <t>Otros</t>
  </si>
  <si>
    <t>Alquiler</t>
  </si>
  <si>
    <t>Telefonia</t>
  </si>
  <si>
    <t>IFM ELECTRONIC  SRL</t>
  </si>
  <si>
    <t>Librería</t>
  </si>
  <si>
    <t>MAKRO SA</t>
  </si>
  <si>
    <t>MEGAH SRL</t>
  </si>
  <si>
    <t>MOLINOS RIO DE LA PLATA SA</t>
  </si>
  <si>
    <t>MR CAVALIERI SA</t>
  </si>
  <si>
    <t>OPER. DE EST. DE SERV. SA</t>
  </si>
  <si>
    <t>PAN AMERICAN ENERGY LLC</t>
  </si>
  <si>
    <t>PEUGEOT CITROEN ARG SA</t>
  </si>
  <si>
    <t>PINTURERIAS PRESTIGIO SA</t>
  </si>
  <si>
    <t>ROLLS Y EMPANADAS SA</t>
  </si>
  <si>
    <t>SUTIL SILVIA EDITH</t>
  </si>
  <si>
    <t>TELECENTRO SA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</si>
  <si>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</si>
  <si>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</si>
  <si>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</si>
  <si>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</si>
  <si>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</si>
  <si>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</si>
  <si>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</si>
  <si>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</si>
  <si>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</si>
  <si>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</si>
  <si>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</si>
  <si>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</si>
  <si>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>NSS SA</t>
  </si>
  <si>
    <t>BBVA - EXTRACTO</t>
  </si>
  <si>
    <t>BBVA - CABAL</t>
  </si>
  <si>
    <t>BBVA - MAESTRO</t>
  </si>
  <si>
    <t>BBVA - MASTERCARD</t>
  </si>
  <si>
    <t>BBVA - VISA</t>
  </si>
  <si>
    <t>GALICIA - EXTRACTO</t>
  </si>
  <si>
    <t>AMERICAN EXPRESS</t>
  </si>
  <si>
    <t>05/10/2022</t>
  </si>
  <si>
    <t>30-69613100-3</t>
  </si>
  <si>
    <t>NO ESTA EN AFIP</t>
  </si>
  <si>
    <t>SERVICIOS</t>
  </si>
  <si>
    <t>SERAFINO ROSA LILIANA</t>
  </si>
  <si>
    <t>SE AGREGO A AFIP</t>
  </si>
  <si>
    <t>06/10/2022</t>
  </si>
  <si>
    <t>11/10/2022</t>
  </si>
  <si>
    <t>12/10/2022</t>
  </si>
  <si>
    <t>13/10/2022</t>
  </si>
  <si>
    <t>19/10/2022</t>
  </si>
  <si>
    <t>CORNEJO MARGARITA ELIZABETH</t>
  </si>
  <si>
    <t>25/10/2022</t>
  </si>
  <si>
    <t>28/10/2022</t>
  </si>
  <si>
    <t>23-95160579-4</t>
  </si>
  <si>
    <t>27-16497402-8</t>
  </si>
  <si>
    <t>27-26962539-8</t>
  </si>
  <si>
    <t> 27-10969522-5</t>
  </si>
  <si>
    <t>20-37339028-4</t>
  </si>
  <si>
    <t>27-16497402-8 </t>
  </si>
  <si>
    <t>27-10969522-5</t>
  </si>
  <si>
    <t>27-12479252-0</t>
  </si>
  <si>
    <t>27-30594091-2</t>
  </si>
  <si>
    <t>CORREA DA SILVA CLEIDE REGINA</t>
  </si>
  <si>
    <t>DOMINGUEZ CLAUDIA MYRIAM</t>
  </si>
  <si>
    <t>VILCA LILIANA PATRICIA</t>
  </si>
  <si>
    <t>GOMEZ ADA LIDIA</t>
  </si>
  <si>
    <t>CARRASCO YESICA SOLEDAD</t>
  </si>
  <si>
    <t>BRENA PATRICIA NORA</t>
  </si>
  <si>
    <t>DIAZ ERICA VANESA</t>
  </si>
  <si>
    <t>LLANO ANES LIDIA ANGELICA</t>
  </si>
  <si>
    <t>ALDEA FERNANDO ENRIQUE</t>
  </si>
  <si>
    <t>MISA CRISTINA BEATRIZ</t>
  </si>
  <si>
    <t>AVILA NORMA ALICIA</t>
  </si>
  <si>
    <t>ARIAS NOELIA ELISABETH</t>
  </si>
  <si>
    <t>SINICO STELLA MARIS</t>
  </si>
  <si>
    <t>TAPIA HERNANDEZ RINA</t>
  </si>
  <si>
    <t>VELIZ ROSA NOEMI</t>
  </si>
  <si>
    <t>EZQUIAGA BARBARA</t>
  </si>
  <si>
    <t>PIRRA KARINA LORENA</t>
  </si>
  <si>
    <t>DELPIERO CLAUDIA MARISA</t>
  </si>
  <si>
    <t>CAROLINI CLAUDIA ANDREA</t>
  </si>
  <si>
    <t>BACCHELLA MICAELA BELEN</t>
  </si>
  <si>
    <t>PARISI ANTONELLA PAOLA</t>
  </si>
  <si>
    <t>DIAZ GRACIELA ADRIANA</t>
  </si>
  <si>
    <t>FUSARO ANGELA TERESA</t>
  </si>
  <si>
    <t>LINARES CHANAME DAISY ROCIO</t>
  </si>
  <si>
    <t>VILCHERREZ COVEÑAS JENNY MARLENE</t>
  </si>
  <si>
    <t>VEGA ANABELA ESTRELLA</t>
  </si>
  <si>
    <t>FUKUDA SEKI ROMINA ERINA</t>
  </si>
  <si>
    <t>URODA KARINA BEATRIZ</t>
  </si>
  <si>
    <t>GONZALEZ BEATRIZ ALICIA</t>
  </si>
  <si>
    <t>DE LA ROSA YULI ALTAGRACIA ERIDANIA</t>
  </si>
  <si>
    <t>LOVERA AIXA BERENICE</t>
  </si>
  <si>
    <t>PEREYRA ANDREA IVANA</t>
  </si>
  <si>
    <t>BRITOS NORA ANA MARIA</t>
  </si>
  <si>
    <t>ROMERO SANDRA ANALIA</t>
  </si>
  <si>
    <t>SILVA STELLA MARIS</t>
  </si>
  <si>
    <t>TACCO LORENA</t>
  </si>
  <si>
    <t>PILE LUCERO MARIELA BRITANIA</t>
  </si>
  <si>
    <t>LOPEZ SIERRA SOFIA</t>
  </si>
  <si>
    <t>GARCIA GISELA ALEJANDRA</t>
  </si>
  <si>
    <t>MOLL ROMINA PAULA</t>
  </si>
  <si>
    <t>SALAZAR ANDRADE DANIELA</t>
  </si>
  <si>
    <t>SOSA FLORENCIA NATIVIDAD</t>
  </si>
  <si>
    <t>GENES GONZALO DANIEL</t>
  </si>
  <si>
    <t>BRITES CEJAS DOLORES TAMARA EILEEN</t>
  </si>
  <si>
    <t>RAFAEL MARIA SOL</t>
  </si>
  <si>
    <t>SALVIONI AYALA DIANA FERNANDA</t>
  </si>
  <si>
    <t>NAVARRO USECHE MARIA ISABEL</t>
  </si>
  <si>
    <t>FERNANDEZ MONICA GRACIELA</t>
  </si>
  <si>
    <t>GARCIA GONZALEZ MARTA BEATRIZ</t>
  </si>
  <si>
    <t>ZAWADSKI NANCY ESTELA</t>
  </si>
  <si>
    <t>GIGENA MARIA ELENA</t>
  </si>
  <si>
    <t>DELUCCHI SILVINA HILDA</t>
  </si>
  <si>
    <t>MONENTE SILVIA MIRTA</t>
  </si>
  <si>
    <t>PINTO OCAMPO DIANA PATRICIA</t>
  </si>
  <si>
    <t>BALDEZ LUCIA ENRIQUETA</t>
  </si>
  <si>
    <t>SGROMO MARIA VANESA</t>
  </si>
  <si>
    <t>FALCONE CECILIA MARIEL</t>
  </si>
  <si>
    <t>VILLALBA ARGUELLO ZUNILDA GERTRUDIS</t>
  </si>
  <si>
    <t>LISTA GABRIELA</t>
  </si>
  <si>
    <t>PELAYTAY MARIA DEL CARMEN</t>
  </si>
  <si>
    <t>HIDALGO MARIA LUZ</t>
  </si>
  <si>
    <t>MARTINEZ DIANA MARIA</t>
  </si>
  <si>
    <t>DE BATTISTA CARLA</t>
  </si>
  <si>
    <t>PEDREROS MARTINEZ NORMA CONSTANZA</t>
  </si>
  <si>
    <t>FUNK PAULA LEONOR</t>
  </si>
  <si>
    <t>ROSA ESTER DEL VALLE</t>
  </si>
  <si>
    <t>LAREZ BAÑEZ CARLOS RAFAEL</t>
  </si>
  <si>
    <t>COPELLO VIVIANA MARIA GABRIELA</t>
  </si>
  <si>
    <t>MENESES GARCES JUAN PABL</t>
  </si>
  <si>
    <t>DOMINGUEZ SILVINA INES</t>
  </si>
  <si>
    <t>BERTOZZI LUNA MARIA</t>
  </si>
  <si>
    <t>FARAMIA ANDREA SOLEDAD</t>
  </si>
  <si>
    <t>RODRIGUEZ ALEGRE SOLEDAD ELIANA</t>
  </si>
  <si>
    <t>PAJA CORNEJO ROSA ELIZABETH</t>
  </si>
  <si>
    <t>DE MARCHI ANDREA LAURA</t>
  </si>
  <si>
    <t>MONTENEGRO LEONOR DEL VALLE</t>
  </si>
  <si>
    <t>JACOBO MONICA PATRICIA</t>
  </si>
  <si>
    <t>JIMENEZ ELSA YOLANDA</t>
  </si>
  <si>
    <t>GARCIA ROXANA MARIEL</t>
  </si>
  <si>
    <t>GALVAN NORMA GRACIELA</t>
  </si>
  <si>
    <t>TOMAS CLAUDIA BEATRIZ</t>
  </si>
  <si>
    <t>MUSSIO NERINA</t>
  </si>
  <si>
    <t>MARTINEZ ALVAREZ MARIA SOLEDAD</t>
  </si>
  <si>
    <t>ACEVEDO GLADYS ESTHER</t>
  </si>
  <si>
    <t>MAURO MARIA ALEJANDRA</t>
  </si>
  <si>
    <t>MONTAÑA STELLA MARIS</t>
  </si>
  <si>
    <t>GONZALEZ OLGA MABEL</t>
  </si>
  <si>
    <t>VARIGLIA Y PONS MARIANA</t>
  </si>
  <si>
    <t>VAZQUEZ ELBA</t>
  </si>
  <si>
    <t>RONCORONI DANIELA VERONICA</t>
  </si>
  <si>
    <t>NUÑEZ MARIA JULIETA</t>
  </si>
  <si>
    <t>QUEVEDO MARIA DEL PILAR</t>
  </si>
  <si>
    <t>D  ANGELO JUAN PABLO ANDRES</t>
  </si>
  <si>
    <t>VILLA MONICA DELICIA</t>
  </si>
  <si>
    <t>BRAGONI CAMILA AILEN</t>
  </si>
  <si>
    <t>TOLOSA PAOLA VIRGINIA</t>
  </si>
  <si>
    <t>SANDOVAL QUINTANA SONIA ELCIRA</t>
  </si>
  <si>
    <t>AGUIÑAGALDE SILVINA</t>
  </si>
  <si>
    <t>PASTORINO BEATRIZ MABEL</t>
  </si>
  <si>
    <t>TORRES EVANGELINA SOFIA</t>
  </si>
  <si>
    <t>ARAYA LILA VERONICA</t>
  </si>
  <si>
    <t>RIVERO LORENA CECILIA</t>
  </si>
  <si>
    <t>MOLINA LILIA GRACIELA</t>
  </si>
  <si>
    <t>ACOSTA MERCEDES ISABEL</t>
  </si>
  <si>
    <t>RIVAS GRISELDA VERONICA</t>
  </si>
  <si>
    <t>PAGANO ANDREA</t>
  </si>
  <si>
    <t>FESTA JULIETA VERONICA</t>
  </si>
  <si>
    <t>GALLARDO ANA LORENA</t>
  </si>
  <si>
    <t>LAVIGNA LORENA VANESA</t>
  </si>
  <si>
    <t>MORENO PICARDO SOFIA BELEN</t>
  </si>
  <si>
    <t>CERGNEUX MONICA ALEJANDRA</t>
  </si>
  <si>
    <t>GALINDEZ ANGELA DEL VALLE</t>
  </si>
  <si>
    <t>HERNANDEZ OTAÑO VERONICA ALEJANDRA</t>
  </si>
  <si>
    <t>VALLES MIRIAM INES</t>
  </si>
  <si>
    <t>LUNA VIVIANA BEATRIZ</t>
  </si>
  <si>
    <t>MORA PEDREROS DANNA MARCELA</t>
  </si>
  <si>
    <t>PETRELLI LAURA AIDA</t>
  </si>
  <si>
    <t>BOLIVAR BENITEZ NAIRUVI DEL CARMEN</t>
  </si>
  <si>
    <t>ROMANO ROSANA LAURA</t>
  </si>
  <si>
    <t>GOMEZ VILLASBOA NATALIA ISABEL</t>
  </si>
  <si>
    <t>AGUILA MONICA LILIANA</t>
  </si>
  <si>
    <t>SALAZAR MARIANA LUJAN</t>
  </si>
  <si>
    <t>ISI MARCELA FABIANA</t>
  </si>
  <si>
    <t>GARCIA NILDA MARIA</t>
  </si>
  <si>
    <t>MARTINI RIPOLL ANA PAULA</t>
  </si>
  <si>
    <t>BARRIOS JOSE</t>
  </si>
  <si>
    <t>GONZALEZ LEONARDO ALEXIS</t>
  </si>
  <si>
    <t>GUZZETTI ALICIA</t>
  </si>
  <si>
    <t>CABRAL ELIZABETH NOEMI</t>
  </si>
  <si>
    <t>PARRA JUSTA ANTONIA</t>
  </si>
  <si>
    <t>FONSECA ELBA GRISELDA</t>
  </si>
  <si>
    <t>TAZZOLI ANDREA MARCELA RITA</t>
  </si>
  <si>
    <t>BADARACCO AGOSTINA FLORENCIA</t>
  </si>
  <si>
    <t>MAURO ANDREA LILIANA</t>
  </si>
  <si>
    <t>VALENZUELA DANIEL ALEJANDRO</t>
  </si>
  <si>
    <t>CASTILLO MARCELA SUSANA</t>
  </si>
  <si>
    <t>ABAL CLAUDIA BEATRIZ</t>
  </si>
  <si>
    <t>DUARTE MARIA SOLEDAD</t>
  </si>
  <si>
    <t>MANSILLA MARIA LAURA</t>
  </si>
  <si>
    <t>PALMA LARREA MARIELA ANDREA</t>
  </si>
  <si>
    <t>NOSEDA SANDRA NOEMI</t>
  </si>
  <si>
    <t>VILLALBA SONIA MABEL</t>
  </si>
  <si>
    <t>MENNA AGUSTINA CAROLINA</t>
  </si>
  <si>
    <t>CENTURION LILIANA NOEMI</t>
  </si>
  <si>
    <t>ALVARENGA CORONEL FRANCISCA AURELIANA</t>
  </si>
  <si>
    <t>CORDOVA PIMENTEL DIALEGNI CHIQUINQUIRA</t>
  </si>
  <si>
    <t>MODESTO NUNES MARIA RITA</t>
  </si>
  <si>
    <t>DELBENE ROSANA MARGARITA</t>
  </si>
  <si>
    <t>VERGARA FLORENCIA DENISE</t>
  </si>
  <si>
    <t>NAVARRO ERIK GASPAR</t>
  </si>
  <si>
    <t>TEJADA MARISA DEL VALLE</t>
  </si>
  <si>
    <t>MARQUEZ MAYRA ESTEFANIA</t>
  </si>
  <si>
    <t>DE ESTRADA MARIA DE FATIMA</t>
  </si>
  <si>
    <t>PEREYRA AMALIA CRISTINA</t>
  </si>
  <si>
    <t>MENENDEZ MARIA</t>
  </si>
  <si>
    <t>SANCHEZ MAGALI JAZMIN</t>
  </si>
  <si>
    <t>QUEZADA PINEDA KAREN STEPHANY</t>
  </si>
  <si>
    <t>QUIROGA MARILINA DANIELA</t>
  </si>
  <si>
    <t>ROMERO DAIANA SOLANGE</t>
  </si>
  <si>
    <t>ILL CRISTINA MONICA</t>
  </si>
  <si>
    <t>VARGAS FABIOLA VERONICA</t>
  </si>
  <si>
    <t>NUÑEZ MARIA DEL CARMEN LUJAN</t>
  </si>
  <si>
    <t>GRABORICKI PATRICIA ROXANA</t>
  </si>
  <si>
    <t>ESQUIVEL INES SOLANGE</t>
  </si>
  <si>
    <t>SEQUEIRA VERONICA LORENA</t>
  </si>
  <si>
    <t>MINERVINI VANESA ALEJANDRA</t>
  </si>
  <si>
    <t>BALMACEDA NATALIA LORENA</t>
  </si>
  <si>
    <t>MAZZA LORENA VERONICA</t>
  </si>
  <si>
    <t>VILLALBA VARGAS YISEDTH ANDREA</t>
  </si>
  <si>
    <t>SANTUCHO MARCOS RAMON</t>
  </si>
  <si>
    <t>BENITEZ DAVID ALBERTO</t>
  </si>
  <si>
    <t>GIORGETTI CRACA LUISANNA MARIA</t>
  </si>
  <si>
    <t>DEL VALLE MAGALI TAMARA</t>
  </si>
  <si>
    <t>ESCAMES BORGIA JOAQUIN NAHUEL</t>
  </si>
  <si>
    <t>VIEGAS LORENA GABRIELA</t>
  </si>
  <si>
    <t>ANTONELLI CANDELA CELESTE</t>
  </si>
  <si>
    <t>ANALUBERT ANA MARIA</t>
  </si>
  <si>
    <t>AYALA MANUEL</t>
  </si>
  <si>
    <t>MARTINEZ ANDREA GABRIELA</t>
  </si>
  <si>
    <t>PEÑA RODRIGUEZ MARILYN</t>
  </si>
  <si>
    <t>FAISAL ZAIMAKIS CHIARA</t>
  </si>
  <si>
    <t>BRUNETTI ANDREA BELEN</t>
  </si>
  <si>
    <t>VARGAS ARIADNA AYLEN</t>
  </si>
  <si>
    <t>FLORES NOELIA MAILIN</t>
  </si>
  <si>
    <t>GEREMIAS SILVIA FERNANDA</t>
  </si>
  <si>
    <t>PRADA MARCIA EDITH</t>
  </si>
  <si>
    <t>UEZEN ALEJANDRA EDITH</t>
  </si>
  <si>
    <t>DI CARLO MARCELA FABIANA</t>
  </si>
  <si>
    <t>LARRA|AGA SILVINA ADRIANA</t>
  </si>
  <si>
    <t>PEREZ CLAUDIA DEL VALLE</t>
  </si>
  <si>
    <t>LOYOLA RUBEN ANTONIO</t>
  </si>
  <si>
    <t>MARQUEZ PATRICIA ALEJANDRA</t>
  </si>
  <si>
    <t>BARRIENTOS GIMENA JAQUELINA</t>
  </si>
  <si>
    <t>PICALLO JORGELINA VERONICA</t>
  </si>
  <si>
    <t>MARTINEZ NORA MYRIAM</t>
  </si>
  <si>
    <t>MASSARO SILVIA VIVIANA</t>
  </si>
  <si>
    <t>CANDUSSI LAUTARO</t>
  </si>
  <si>
    <t>PEDRAZZINI GEORGINA</t>
  </si>
  <si>
    <t>GUERRERO KATHERINE MACARENA</t>
  </si>
  <si>
    <t>CARRIL LILIANA CRISTINA</t>
  </si>
  <si>
    <t>PRESTES SUSANA</t>
  </si>
  <si>
    <t>GACETUA MARIA SALOME</t>
  </si>
  <si>
    <t>FRANCO BENITEZ CARINA ROSALIA</t>
  </si>
  <si>
    <t>ESCOUBOUE MONICA BEATRIZ</t>
  </si>
  <si>
    <t>GONZALEZ JAVIER</t>
  </si>
  <si>
    <t>ARANDA LEONARDO IGNACIO</t>
  </si>
  <si>
    <t>CATANEO CARLOS ANDRES</t>
  </si>
  <si>
    <t>COSTA SAMANTA CAROLINA</t>
  </si>
  <si>
    <t>COLOMBINI KARINA ANDREA</t>
  </si>
  <si>
    <t>LOPEZ LILIANA ALEJANDRA</t>
  </si>
  <si>
    <t>PELLIZA DAIANA MICAELA</t>
  </si>
  <si>
    <t>ARTUSO FERNANDA GABRIELA</t>
  </si>
  <si>
    <t>FARIAS YANINA EDITH</t>
  </si>
  <si>
    <t>PINO ROMINA ESTRELLA</t>
  </si>
  <si>
    <t>PORCEL DE PERALTA FLORENCIA INES</t>
  </si>
  <si>
    <t>RAPISARDI PATRICIA</t>
  </si>
  <si>
    <t>BALDIVIESO CRISTIAN JOSE</t>
  </si>
  <si>
    <t>HERRERA AGUSTINA MARIANA</t>
  </si>
  <si>
    <t>BIOBELLUS SRL</t>
  </si>
  <si>
    <t>REY KARINA ELIZABETH</t>
  </si>
  <si>
    <t>MEZZOPARENTE IARA BELEN</t>
  </si>
  <si>
    <t>SAUER CAROLINA ANDREA</t>
  </si>
  <si>
    <t>SOSA KARINA ERICA</t>
  </si>
  <si>
    <t>RAMOS GABRIELA STELLA MARIS</t>
  </si>
  <si>
    <t>URIOL UCEDA DINA HAYDEE</t>
  </si>
  <si>
    <t>BUSTOS MIRIAM ROXANA</t>
  </si>
  <si>
    <t>ZORZENON MARIA VALERIA</t>
  </si>
  <si>
    <t>VEGA RAMIREZ MELINA MIRELLA</t>
  </si>
  <si>
    <t>GAYOSO VIVIANA CRISTINA</t>
  </si>
  <si>
    <t>ROMERO MARIA DEL ROSARIO</t>
  </si>
  <si>
    <t>ALEGRE OLGA ROSA</t>
  </si>
  <si>
    <t>MULLER PATRICIO</t>
  </si>
  <si>
    <t>CASTIGLIA PAULINA</t>
  </si>
  <si>
    <t>BOLUMBURU CEREIJO MARIA FERNANDA</t>
  </si>
  <si>
    <t>MACIEL VIVEROS NELIDA CONCEPCION</t>
  </si>
  <si>
    <t>TARICCO MONICA GUADALUPE</t>
  </si>
  <si>
    <t>DI FABRIZIO CAROLINA BELEN</t>
  </si>
  <si>
    <t>ENRIQUE OSCAR EDUARDO</t>
  </si>
  <si>
    <t>SANCHEZ GABRIELA LETICIA</t>
  </si>
  <si>
    <t>FEMIA FERNANDA</t>
  </si>
  <si>
    <t>ESPINOSA LUIS ALFREDO</t>
  </si>
  <si>
    <t>CAMPO CECILIA FERNANDA</t>
  </si>
  <si>
    <t>GUDIÑO SABRINA ELIZABETH</t>
  </si>
  <si>
    <t>SIERRA OLIVIERI LUCIA</t>
  </si>
  <si>
    <t>ARCEIZ NOELIA MAGALI</t>
  </si>
  <si>
    <t>ROMERO NOEMI ELIZABETH</t>
  </si>
  <si>
    <t>ARTERO AZUL AILEN</t>
  </si>
  <si>
    <t>SUCESION DE CUFFINI NELIDA EDITH</t>
  </si>
  <si>
    <t>SUCESION DE SAN MARTIN ESTEBAN ALBERTO</t>
  </si>
  <si>
    <t>ASIS SILVIA PATRICIA</t>
  </si>
  <si>
    <t>RODRIGUEZ PABLO ALEJANDRO</t>
  </si>
  <si>
    <t>BALDINI VICTORIA NAZARENA</t>
  </si>
  <si>
    <t>CAJAL TANIA ELEONORA</t>
  </si>
  <si>
    <t>DE LOS SANTOS MARINA ESTHER</t>
  </si>
  <si>
    <t>RODRIGUEZ ALEJANDRA MARCELA</t>
  </si>
  <si>
    <t>RIVAS ROCIO</t>
  </si>
  <si>
    <t>SUCESION DE CHILOTE DANIELA EULOGIA</t>
  </si>
  <si>
    <t>GONZALEZ ROXANA ANDREA</t>
  </si>
  <si>
    <t>RODRIGUEZ SUSANA DEL VALLE</t>
  </si>
  <si>
    <t>CAJAL PAVON JIMENA CAROLINA</t>
  </si>
  <si>
    <t>BRICEÑO LAMAS MARIA ISABEL</t>
  </si>
  <si>
    <t>LEDESMA FERRARO ROMINA GISELLE</t>
  </si>
  <si>
    <t>FIGUEREDO SAMUDIO VIRGINIA</t>
  </si>
  <si>
    <t>DUVIDOVICH LAURA PATRICIA</t>
  </si>
  <si>
    <t>PEÑALVER VILCA BENITA MILAGROS</t>
  </si>
  <si>
    <t>CECCATO MARIA LUCIA</t>
  </si>
  <si>
    <t>PEREZ ANA MARIA</t>
  </si>
  <si>
    <t>DOMINGUEZ SILVIA ALEJANDRA</t>
  </si>
  <si>
    <t>GABOTTI ROCIO BELEN</t>
  </si>
  <si>
    <t>BARCOS GUILLERMO JAVIER</t>
  </si>
  <si>
    <t>MENDEZ MARILINA</t>
  </si>
  <si>
    <t>ARRIAGADA ALEJANDRA PATRICIA</t>
  </si>
  <si>
    <t>PEREZ MARTA EUGENIA</t>
  </si>
  <si>
    <t>DA RUDA LAURA BEATRIZ</t>
  </si>
  <si>
    <t>FERNANDEZ YSELLA MACARENA</t>
  </si>
  <si>
    <t>SILVA LORENA ESTER</t>
  </si>
  <si>
    <t>MONACO NORMA DOMINGA</t>
  </si>
  <si>
    <t>BAYSSE HEREDIA SOL AGOSTINA</t>
  </si>
  <si>
    <t>ALMADA SONIA RAQUEL</t>
  </si>
  <si>
    <t>MALINOWSKI JEZABEL ROMINA</t>
  </si>
  <si>
    <t>MINGORANCE DAIANA MAGALI</t>
  </si>
  <si>
    <t>MAFFIOLI LAURA BEATRIZ</t>
  </si>
  <si>
    <t>FELICETTI DANIELA PAULA</t>
  </si>
  <si>
    <t>NOSDEO MARISA LORENA</t>
  </si>
  <si>
    <t>MARTINEZ MARIA CAROLINA</t>
  </si>
  <si>
    <t>BURSIK NORMA ESTELA</t>
  </si>
  <si>
    <t>FABRIS ELIZABETH LORENA</t>
  </si>
  <si>
    <t>RIGNOLA VANESA VERONICA</t>
  </si>
  <si>
    <t>RICCARDI VICTORIA</t>
  </si>
  <si>
    <t>MODOLA MIRIAM VERONICA</t>
  </si>
  <si>
    <t>SCALA ROSANA MABEL</t>
  </si>
  <si>
    <t>FERNANDEZ MARTA CRISTINA</t>
  </si>
  <si>
    <t>NICOLIN PAULA</t>
  </si>
  <si>
    <t>YACIOFANI MARIA ELIA N</t>
  </si>
  <si>
    <t>GARCIA MARCELA ALEJANDRA</t>
  </si>
  <si>
    <t>VILLAVERDE ZUNILDA LILIANA</t>
  </si>
  <si>
    <t>AGUERO CLAUDIA PATRICIA</t>
  </si>
  <si>
    <t>PALMA MIRTA SUSANA</t>
  </si>
  <si>
    <t>CHIARITO JESSICA DANIELA</t>
  </si>
  <si>
    <t>SOLIS ROSA ELVIRA</t>
  </si>
  <si>
    <t>BALMACEDA VALERIA BETIANA</t>
  </si>
  <si>
    <t>IGLESIAS OLGA LILIANA</t>
  </si>
  <si>
    <t>VEGA ANALIA VERONICA</t>
  </si>
  <si>
    <t>KONSIMAL JESSIE SOLANGE</t>
  </si>
  <si>
    <t>CASADIO FLAVIA</t>
  </si>
  <si>
    <t>FERNANDEZ MONICA BEATRIZ</t>
  </si>
  <si>
    <t>TAURO MARCELA CLAUDIA</t>
  </si>
  <si>
    <t>FERNANDEZ MARIA DE LAS MERCEDES EUGENIA</t>
  </si>
  <si>
    <t>MICHUNOVICH PABLO ALBERTO</t>
  </si>
  <si>
    <t>BIASI SILVIA CRISTINA</t>
  </si>
  <si>
    <t>BUSCAGLIA LILIANA BEATRIZ</t>
  </si>
  <si>
    <t>URBINA GABRIELA STEFANI</t>
  </si>
  <si>
    <t>GALEANO GABRIELA SOLEDAD</t>
  </si>
  <si>
    <t>MUIÑOS SILVIA MONICA</t>
  </si>
  <si>
    <t>GARCIA JOHANA AYLEN</t>
  </si>
  <si>
    <t>OLIVA LILIANA MABEL</t>
  </si>
  <si>
    <t>ZUFIA BUSTAMANTE ANDREA NOEMI</t>
  </si>
  <si>
    <t>CARRIZO NATALIA MERCEDES</t>
  </si>
  <si>
    <t>PAYE FLAVIA CAROLINA</t>
  </si>
  <si>
    <t>PEREZ DEMARCHI ALEJANDRA SUSANA</t>
  </si>
  <si>
    <t>PERCAZ MARIA JOSEFINA</t>
  </si>
  <si>
    <t>FERRANDO CAMILA AYLEN</t>
  </si>
  <si>
    <t>ALBARRACIN ROSA MABE</t>
  </si>
  <si>
    <t>SALERNO SABRINA SOLEDAD</t>
  </si>
  <si>
    <t>CAPUTO JULIETA</t>
  </si>
  <si>
    <t>LULUAGA LORENA</t>
  </si>
  <si>
    <t>GOMEZ SILVANA ELISABET</t>
  </si>
  <si>
    <t>OTERO SANDRA VIVIANA</t>
  </si>
  <si>
    <t>ROJAS PATRICIA BEATRIZ</t>
  </si>
  <si>
    <t>HAPONIUK CAROLINA PAOLA</t>
  </si>
  <si>
    <t>IZAGUIRRE MARIA LAURA</t>
  </si>
  <si>
    <t>PERRELLA MARIA ROSA</t>
  </si>
  <si>
    <t>VERDUN LUCIA MABEL</t>
  </si>
  <si>
    <t>APAS MARIA EUGENIA</t>
  </si>
  <si>
    <t>GAMARRA LIDIA MARINA</t>
  </si>
  <si>
    <t>GABBIN RICARDO OSCAR</t>
  </si>
  <si>
    <t>ROJAS BAEZ TERESA</t>
  </si>
  <si>
    <t>POLDI MONICA BEATRIZ</t>
  </si>
  <si>
    <t>PAIVA SOTELO MILENA ENRIQUETA</t>
  </si>
  <si>
    <t>AGNOLETTO ANABELLA NATALIA</t>
  </si>
  <si>
    <t>REPETTO JULIETA JORGELINA</t>
  </si>
  <si>
    <t>PARDO ELIZABET ANABELLA</t>
  </si>
  <si>
    <t>RODRIGUEZ VALERIA ELIZABET</t>
  </si>
  <si>
    <t>BIONDI CRISTINA EDIT</t>
  </si>
  <si>
    <t>PADILLA TORREZ MIREYA</t>
  </si>
  <si>
    <t>RAMOS ELIANA BELEN</t>
  </si>
  <si>
    <t>LUCCHESI CLAUDIA LEONOR</t>
  </si>
  <si>
    <t>PEREZ RAMON ANTONIO</t>
  </si>
  <si>
    <t>MARTINEZ MARIA BEATRIZ</t>
  </si>
  <si>
    <t>FONSECA GISELA DANIELA</t>
  </si>
  <si>
    <t>VAN DE VELDE LUCIA</t>
  </si>
  <si>
    <t>MACERA PATRICIA RAQUEL</t>
  </si>
  <si>
    <t>MACCIO ANDREA SILVANA</t>
  </si>
  <si>
    <t>NADAJA IVANA DANIELA</t>
  </si>
  <si>
    <t>PECORA CANDELA ROCIO</t>
  </si>
  <si>
    <t>MICHIENZI EDITH MARIA SUSANA</t>
  </si>
  <si>
    <t>RAMOS LUDMILA BELEN</t>
  </si>
  <si>
    <t>DONADIO MONICA ELISABETH</t>
  </si>
  <si>
    <t>ROBERTI LUCIA ESTER</t>
  </si>
  <si>
    <t>VAQUERO KAREN</t>
  </si>
  <si>
    <t>GINES ELISABET ESTRELLA</t>
  </si>
  <si>
    <t>BEVILACUA CAROLINA HILDA</t>
  </si>
  <si>
    <t>FERREYRA PAOLA LUCIANA</t>
  </si>
  <si>
    <t>PERALTA MONICA GRACIELA</t>
  </si>
  <si>
    <t>MONZON PAULA ANDREA</t>
  </si>
  <si>
    <t>SORIA AYLEN CAMILA</t>
  </si>
  <si>
    <t>VIENNA CAROLINA</t>
  </si>
  <si>
    <t>FLORE DANIELA ALEJANDRA</t>
  </si>
  <si>
    <t>LEONELLI SILVIA KARINA</t>
  </si>
  <si>
    <t>BORLENGHI ANTONELA</t>
  </si>
  <si>
    <t>OVANDO CALLEJAS BEATRIZ</t>
  </si>
  <si>
    <t>CARLETTI MARIELA ANDREA</t>
  </si>
  <si>
    <t>BALBASTRO BISIGNANI GABRIELA</t>
  </si>
  <si>
    <t>FARIAS KARINA VANESA</t>
  </si>
  <si>
    <t>ROSSO ALEJANDRA CLAUDIA</t>
  </si>
  <si>
    <t>ARIAS CAROLINA ALEJANDRA</t>
  </si>
  <si>
    <t>ALVAREZ NATALIA VERONICA</t>
  </si>
  <si>
    <t>PEREZ PECHE MARIBEL LILI</t>
  </si>
  <si>
    <t>DIAZ NATALIA</t>
  </si>
  <si>
    <t>COSENTINO MALENA MILAGROS MAGDALENA</t>
  </si>
  <si>
    <t>DA PIEVE DANIELA PAULA</t>
  </si>
  <si>
    <t>GUAQUEL ALVAREZ SHADDAY VALEZKA</t>
  </si>
  <si>
    <t>MANDUCA SILVIA VERONICA</t>
  </si>
  <si>
    <t>PINTOS ESTELA VIVIANA</t>
  </si>
  <si>
    <t>PRESTER ELIANA YANEL</t>
  </si>
  <si>
    <t>SARAPURA MARTIN</t>
  </si>
  <si>
    <t>GRIMALDI MIRIAM ELIZABETH</t>
  </si>
  <si>
    <t>VERA SANDRA EDITH</t>
  </si>
  <si>
    <t>MAKAREWICZ CRISTINA VIVIAN</t>
  </si>
  <si>
    <t>GALEAZZI LILIANA GRACIELA</t>
  </si>
  <si>
    <t>FRATI GRACIELA MARTA</t>
  </si>
  <si>
    <t>ZAPATA SILVIA FERNANDA</t>
  </si>
  <si>
    <t>AL CINTIA DANIELA</t>
  </si>
  <si>
    <t>OVIEDO ADRIANA BEATRIZ</t>
  </si>
  <si>
    <t>URRUTIA NAZARENA LUNA</t>
  </si>
  <si>
    <t>GOMEZ IZA MAGDALENA</t>
  </si>
  <si>
    <t>NUÑEZ HUGO DARIO</t>
  </si>
  <si>
    <t>FERRANTE MARIELA BARBARA</t>
  </si>
  <si>
    <t>TEBES ROSARIO EDITH</t>
  </si>
  <si>
    <t>ABIUSO NOELIA SUSANA</t>
  </si>
  <si>
    <t>DE LA CRUZ VILLANUEVA CAROL GISELLE</t>
  </si>
  <si>
    <t>GIMENEZ LORENA DEL VALLE</t>
  </si>
  <si>
    <t>PEREYRA PAULA DE LOS ANGELES</t>
  </si>
  <si>
    <t>LUSTGARTEN CLAUDIA SANDRA</t>
  </si>
  <si>
    <t>MERIDA GALINDO ILSE BEATRIZ</t>
  </si>
  <si>
    <t>ZASLAVSKY DEBORA RUTH</t>
  </si>
  <si>
    <t>FERNANDEZ GLADYS EDITH</t>
  </si>
  <si>
    <t>MORE ANALIA VERONICA</t>
  </si>
  <si>
    <t>BRITOS PATRICIA OFELIA</t>
  </si>
  <si>
    <t>ARCE ALICIA NOEMI</t>
  </si>
  <si>
    <t>ADON ROXANA MARIA JOSE</t>
  </si>
  <si>
    <t>VARGAS SOFIA BELEN</t>
  </si>
  <si>
    <t>CALDERONI VIRGINIA MONICA</t>
  </si>
  <si>
    <t>QUICHAN OLGA BEATRIZ</t>
  </si>
  <si>
    <t>ABREGU DELIA SUSANA</t>
  </si>
  <si>
    <t>BRUNKE PATRICIA EDITH</t>
  </si>
  <si>
    <t>TRIVIÑO MONICA ALEJANDRA</t>
  </si>
  <si>
    <t>FUSCO PAOLA LORENA</t>
  </si>
  <si>
    <t>MANEYRO LUPO MARIA FLORENCIA</t>
  </si>
  <si>
    <t>FRAGELLI DANIELA PAOLA</t>
  </si>
  <si>
    <t>GONZALEZ FLORENCIA BELEN</t>
  </si>
  <si>
    <t>VARGAS STELLA MARIS</t>
  </si>
  <si>
    <t>DELEU ANDREA PAOLA</t>
  </si>
  <si>
    <t>VELAZQUEZ SOFIA MELINA</t>
  </si>
  <si>
    <t>RIOJA MARCELA ALICIA</t>
  </si>
  <si>
    <t>MARTINEZ ANALIA ROSA</t>
  </si>
  <si>
    <t>BASILE MARIA EUGENIA</t>
  </si>
  <si>
    <t>BOLAÑOS HEREDIA SABRINA MAYRA</t>
  </si>
  <si>
    <t>MAYER ROMINA CECILIA DANIELA</t>
  </si>
  <si>
    <t>DAVID SILVINA CLARA</t>
  </si>
  <si>
    <t>MALDONADO CARINA VANESA</t>
  </si>
  <si>
    <t>BORBA NANCY BEATRIZ</t>
  </si>
  <si>
    <t>TROXLER CASTILLO LINDA MARIA DE LOS ANG</t>
  </si>
  <si>
    <t>IZAURRALDE STELLA MARIS</t>
  </si>
  <si>
    <t>SOTO CLAUDIA NOEMI</t>
  </si>
  <si>
    <t>CHAMORRO NILDA ELISA</t>
  </si>
  <si>
    <t>CASTILLA CELIA BEATRIZ DEL MILAGRO</t>
  </si>
  <si>
    <t>FERNANDEZ MARIA VIVIANA</t>
  </si>
  <si>
    <t>ARZUA MARCELA SONIA</t>
  </si>
  <si>
    <t>AGUILERA GISELA NATALI</t>
  </si>
  <si>
    <t>CERIANI ANGELA BEATRIZ</t>
  </si>
  <si>
    <t>LUMBARDINI MARIA FERNANDA</t>
  </si>
  <si>
    <t>LOBERSE LEILA VANINA</t>
  </si>
  <si>
    <t>GOBIERNO DE LA CIUDAD DE BUENOS AIRES</t>
  </si>
  <si>
    <t>LUJAN ALEJANDRA LAURA</t>
  </si>
  <si>
    <t>MUTI GUSTAVO FRANCISCO</t>
  </si>
  <si>
    <t>SUDROT MONICA SANDRA</t>
  </si>
  <si>
    <t>BLOECK VIVIANA MARIEL</t>
  </si>
  <si>
    <t>CARRILLO VILLEGAS DEBRA DANIELLE</t>
  </si>
  <si>
    <t>ORREGO MIRIAN NOEMI</t>
  </si>
  <si>
    <t>MARTIN PAOLA VALERIA</t>
  </si>
  <si>
    <t>RUBIO IRINA LAURA</t>
  </si>
  <si>
    <t>LAZZARINI LAZARTE PAULA DE LOS ANGELES</t>
  </si>
  <si>
    <t>EPPEL ANALIA VANINA</t>
  </si>
  <si>
    <t>ALQUATI MARIANA ANABEL</t>
  </si>
  <si>
    <t>REFOJOS SILVIA CRISTINA</t>
  </si>
  <si>
    <t>GOMEZ NATALIA EDITH</t>
  </si>
  <si>
    <t>GALEANO IRIS GLADIS</t>
  </si>
  <si>
    <t>ESPINOZA BELEN SOLEDAD</t>
  </si>
  <si>
    <t>PAZ MATEA</t>
  </si>
  <si>
    <t>LOPEZ SANDRA KARINA</t>
  </si>
  <si>
    <t>SAJAMA EVANGELINA PATRICIA</t>
  </si>
  <si>
    <t>LEE PATRICIA</t>
  </si>
  <si>
    <t>LUNA MARIA ALEJANDRA</t>
  </si>
  <si>
    <t>RODRIGUEZ VERONICA SOL</t>
  </si>
  <si>
    <t>DOMINGUEZ JIMENA SOLEDAD</t>
  </si>
  <si>
    <t>BELLIDO LEIVA FANNY</t>
  </si>
  <si>
    <t>BAENA ELBA NOEMI</t>
  </si>
  <si>
    <t>ZARZA VILMA ALICIA</t>
  </si>
  <si>
    <t>BITSCHKO LETICIA CELINA</t>
  </si>
  <si>
    <t>VONDER HEIDE MARIBEL ROSANA</t>
  </si>
  <si>
    <t>SUCESION DE BRAVO GLADYS INES</t>
  </si>
  <si>
    <t>ROMO CAVERO VIRGIE SHARMELY</t>
  </si>
  <si>
    <t>CASELLA MARIA FERNANDA</t>
  </si>
  <si>
    <t>SERRIZUELA MARIA JOSE</t>
  </si>
  <si>
    <t>AGUIRRE ARGENTINA BEATRIZ</t>
  </si>
  <si>
    <t>RUBOLINO GIMENA NOELIA</t>
  </si>
  <si>
    <t>CANO LUCIA PAOLA</t>
  </si>
  <si>
    <t>ZARLENGA AGUSTINA</t>
  </si>
  <si>
    <t>CAMPANA MONICA RAQUEL</t>
  </si>
  <si>
    <t>OVIEDO MARIA DE LAS MERCEDES</t>
  </si>
  <si>
    <t>PIRIZ SANDRA LUCIA</t>
  </si>
  <si>
    <t>GIL Y RODRIGUEZ SARA</t>
  </si>
  <si>
    <t>DANESE GABRIELA ALEJANDRA</t>
  </si>
  <si>
    <t>GONZALVEZ MARIA EMILIA</t>
  </si>
  <si>
    <t>BOGADO LAURA</t>
  </si>
  <si>
    <t>CORNEJO PATRICIA CARMEN</t>
  </si>
  <si>
    <t>VALENZUELA PAREDES ERIKA ISABEL</t>
  </si>
  <si>
    <t>SOTO ANDREA FABIANA</t>
  </si>
  <si>
    <t>MORENO MONICA GRACIELA</t>
  </si>
  <si>
    <t>LOPEZ ELSA ELENA</t>
  </si>
  <si>
    <t>LANDRIEL ORTIZ SALOME YAEL</t>
  </si>
  <si>
    <t>SOLIS ROBERTO ALEJANDRO</t>
  </si>
  <si>
    <t>SORAGNI ALEJANDRA MARTA</t>
  </si>
  <si>
    <t>CHIARELLI GISELA CECILIA</t>
  </si>
  <si>
    <t>RUIZ DIAZ YESICA MARA</t>
  </si>
  <si>
    <t>GRAS MARIA GRACIELA DE LAS MERCEDES</t>
  </si>
  <si>
    <t>HYLAND CLARA</t>
  </si>
  <si>
    <t>BASUALDO PRISCILIA MELANIE</t>
  </si>
  <si>
    <t>BLANCO PATRICIA ELDA</t>
  </si>
  <si>
    <t>RUSSO MARIA PAULA</t>
  </si>
  <si>
    <t>GIOVAZZINI MARIANA PAOLA</t>
  </si>
  <si>
    <t>GOMEZ SANDRA</t>
  </si>
  <si>
    <t>CIFRE MIRNA SUSANA</t>
  </si>
  <si>
    <t>FERNANDEZ PATRICIA ALEJANDRA</t>
  </si>
  <si>
    <t>FERNANDEZ MARIA SOLEDAD</t>
  </si>
  <si>
    <t>LOPEZ JIMENA BELEN</t>
  </si>
  <si>
    <t>CHIAVARINO VILMA MONICA</t>
  </si>
  <si>
    <t>CASTIGLIONI NILDA ALEJANDRA</t>
  </si>
  <si>
    <t>QUIROGA ROMINA MERCEDES</t>
  </si>
  <si>
    <t>BULGARELLI LAURA CECILIA</t>
  </si>
  <si>
    <t>SUCESION DE INSAURRALDE LUIS ENRIQUE</t>
  </si>
  <si>
    <t>FERRER DELIA NANCY</t>
  </si>
  <si>
    <t>SUCESION DE BRUNO MIRTA SUSANA</t>
  </si>
  <si>
    <t>VALESIO MARINA JULIETA</t>
  </si>
  <si>
    <t>ESCALANTE ANAHI SABRINA ELISABET</t>
  </si>
  <si>
    <t>MEDINA MARIA ITALIA</t>
  </si>
  <si>
    <t>SUCESION DE NUÑEZ TORRES LIDIA DEL CARMEN</t>
  </si>
  <si>
    <t>CABANA MARISOL</t>
  </si>
  <si>
    <t>AGOSTINI SILVIA NOEMI</t>
  </si>
  <si>
    <t>DA SILVA ALCIDES MILCIADES</t>
  </si>
  <si>
    <t>FIANINI ELEONORA</t>
  </si>
  <si>
    <t>SIGALE VERONICA GRACIELA</t>
  </si>
  <si>
    <t>OVEJERO NOEMI AZUCENA</t>
  </si>
  <si>
    <t>BERSIA PATRICIA MONICA</t>
  </si>
  <si>
    <t>BERNARDONI ROSANA BEATRIZ</t>
  </si>
  <si>
    <t>COLL PAULA ELIZABETH</t>
  </si>
  <si>
    <t>SANCHEZ DANIELA ESTEFANIA</t>
  </si>
  <si>
    <t>SILVA NORMA BEATRIZ</t>
  </si>
  <si>
    <t>SABATE ANALIA VERONICA</t>
  </si>
  <si>
    <t>CANNIZZO FIORELLA VANINA</t>
  </si>
  <si>
    <t>MERCHAN QUICENO MAYRA FERNANDA</t>
  </si>
  <si>
    <t>RIGLOS MARIA FERNANDA</t>
  </si>
  <si>
    <t>MOSCARITOLO SANDRA GLADIS</t>
  </si>
  <si>
    <t>CASTAÑO CINTIA TATIANA</t>
  </si>
  <si>
    <t>CEJAS FELIX ORLANDO</t>
  </si>
  <si>
    <t>LIZZA DAMIANA</t>
  </si>
  <si>
    <t>DELGADO BLANCA CAROLINA</t>
  </si>
  <si>
    <t>BENITEZ LIMPIA CONCEPCION</t>
  </si>
  <si>
    <t>MANCEBO DOÑE RUTH ESTHER</t>
  </si>
  <si>
    <t>GONZALEZ LUDMILA MILAGROS</t>
  </si>
  <si>
    <t>IGLESIAS MARIA MERCEDES</t>
  </si>
  <si>
    <t>AMARILLO SUSANA ZULMA</t>
  </si>
  <si>
    <t>ORTIZ KAREN ANHALIAS</t>
  </si>
  <si>
    <t>MONTE SILVINA ESTHER</t>
  </si>
  <si>
    <t>ARIAS ODRIOZOLA AMELIA</t>
  </si>
  <si>
    <t>ESCOBAR ANA MARIA</t>
  </si>
  <si>
    <t>DI MEMMO LORELEY DAIANA</t>
  </si>
  <si>
    <t>JOFRE YETMAN PAOLA</t>
  </si>
  <si>
    <t>ARTIGAS ULLOA JENINFER DAIANA ISABEL</t>
  </si>
  <si>
    <t>DEMARCHI GUSTAVO LUIS</t>
  </si>
  <si>
    <t>RIVEIRA MARGARITA INES</t>
  </si>
  <si>
    <t>FERNANDEZ MARIA SUSANA</t>
  </si>
  <si>
    <t>CHAVEZ BOGADO EUSTACIA</t>
  </si>
  <si>
    <t>CONDORI RODRIGUEZ CLAUDIA MARIA</t>
  </si>
  <si>
    <t>GIRALDEZ PAULA MARIEL</t>
  </si>
  <si>
    <t>WEBER MIRTHA CAROLINA</t>
  </si>
  <si>
    <t>LARES SILVANA CRISTINA</t>
  </si>
  <si>
    <t>JUAREZ ANA GUADALUPE</t>
  </si>
  <si>
    <t>PAREDES NURY MAR DEL VALLE</t>
  </si>
  <si>
    <t>MACEN MARIA DE LOS ANGELES</t>
  </si>
  <si>
    <t>PONCE LETICIA EDITH</t>
  </si>
  <si>
    <t>DIAZ CAVERO MIRELLA JULYBETH</t>
  </si>
  <si>
    <t>SANDOVAL JUANA BIRGILIA</t>
  </si>
  <si>
    <t>SEGOVIA ELEANA TAMARA</t>
  </si>
  <si>
    <t>FERNANDEZ ALICIA MABEL</t>
  </si>
  <si>
    <t>CASTRO ALBA MARIA PATRICIA</t>
  </si>
  <si>
    <t>SANZ MARIELA LIDIA MABEL</t>
  </si>
  <si>
    <t>MONTIEL ANA CLAUDIA</t>
  </si>
  <si>
    <t>FEBRES ZERPA LEOMARYS DE LOS ANGELES</t>
  </si>
  <si>
    <t>ZARATE DEBORA ANABELLA</t>
  </si>
  <si>
    <t>LANUQUE MARIELA</t>
  </si>
  <si>
    <t>ROJAS CRISTINA ARACELI</t>
  </si>
  <si>
    <t>ALVAREZ OJEDA GLADYS CRISTINA</t>
  </si>
  <si>
    <t>LOPEZ MIRTHA MABEL</t>
  </si>
  <si>
    <t>ROSSI MARIA LUZ</t>
  </si>
  <si>
    <t>RONDON LETIDEL MARLENIS ALEXANDRA</t>
  </si>
  <si>
    <t>CABRAL MICAELA GIULIANA</t>
  </si>
  <si>
    <t>ROSAS RODRIGUEZ ANA GABRIELA</t>
  </si>
  <si>
    <t>RIVERO FLORENCIA NATALIA</t>
  </si>
  <si>
    <t>MARIÑO MARTA GRACIELA</t>
  </si>
  <si>
    <t>SUAREZ DOMINGA SUSANA</t>
  </si>
  <si>
    <t>BENTANCOURT SARA SOLEDAD</t>
  </si>
  <si>
    <t>BRITOS DEL VALLE DALMI LIDIA</t>
  </si>
  <si>
    <t>SISTI LUCIA FLORENCIA</t>
  </si>
  <si>
    <t>NAVARRETTE SALAZAR ALIANNYS NOHEMI</t>
  </si>
  <si>
    <t>ARCHIDAMO CARLA MARCELA</t>
  </si>
  <si>
    <t>GRIGERA EUGENIA MARIA</t>
  </si>
  <si>
    <t>DOBROSOLSKY PATRICIA ALEJANDRA</t>
  </si>
  <si>
    <t>BASTIA VERONICA ROMINA</t>
  </si>
  <si>
    <t>FERNANDEZ GONZALO JAVIER</t>
  </si>
  <si>
    <t>PARISI BARBARA LUCILA</t>
  </si>
  <si>
    <t>MALAVE VILLEGAS JEYSA MILAGROS</t>
  </si>
  <si>
    <t>MACIEL PEREIRA ELENA FABIANA</t>
  </si>
  <si>
    <t>CAZACHKOFF CELESTINE</t>
  </si>
  <si>
    <t>CELLI MARIA FLORENCIA</t>
  </si>
  <si>
    <t>GIMENEZ MARIA ANA</t>
  </si>
  <si>
    <t>LOPEZ MARIA FLORENCIA BELEN</t>
  </si>
  <si>
    <t>ROMERO MONICA FABIANA</t>
  </si>
  <si>
    <t>VERON ROSA CELIA</t>
  </si>
  <si>
    <t>GIULIANI KARINA ALEJANDRA</t>
  </si>
  <si>
    <t>RATTI MARIA BELEN</t>
  </si>
  <si>
    <t>ALMIRON ANALIA VERONICA</t>
  </si>
  <si>
    <t>DESVARD AGUSTINA VICTORIA</t>
  </si>
  <si>
    <t>MELO KIARA AYLEN</t>
  </si>
  <si>
    <t>SICILIANO AGOSTINA</t>
  </si>
  <si>
    <t>FARIAS BRIAN MICHEL</t>
  </si>
  <si>
    <t>BENZAQUEN MARIA BELEN</t>
  </si>
  <si>
    <t>ROSEL LAURA RITA</t>
  </si>
  <si>
    <t>PRESCHER LUCIA MARIELA NATALIA</t>
  </si>
  <si>
    <t>ROMERO VEGA LOLA LUISA</t>
  </si>
  <si>
    <t>GIRON ANA VANESA</t>
  </si>
  <si>
    <t>SALABERRY TERESA DEL CARMEN</t>
  </si>
  <si>
    <t>CROPANESE MARIA CECILIA</t>
  </si>
  <si>
    <t>CABRAL JULIA BEATRIZ</t>
  </si>
  <si>
    <t>MARTORELL MARIA LAURA</t>
  </si>
  <si>
    <t>FANS MARTITA GRACIELA</t>
  </si>
  <si>
    <t>DEBAT MAURICIO</t>
  </si>
  <si>
    <t>GARCIA MEZA GISELLE ANALIA</t>
  </si>
  <si>
    <t>MADEO GABRIELA FERNANDA</t>
  </si>
  <si>
    <t>ESPINOLA SANCHEZ MARTA NOELIA</t>
  </si>
  <si>
    <t>GIOVALE CAROLINA SOLEDAD</t>
  </si>
  <si>
    <t>RODRIGUEZ BEATRIZ ANA</t>
  </si>
  <si>
    <t>VEGA SANDOVAL PERLA EUGENIA</t>
  </si>
  <si>
    <t>BENITEZ SILVINA PAOLA</t>
  </si>
  <si>
    <t>ARIAS CABELLO MARIA MARTINA</t>
  </si>
  <si>
    <t>LOPEZ COLQUE JOBANA</t>
  </si>
  <si>
    <t>TRAVERSO ALEJANDRA</t>
  </si>
  <si>
    <t>NICOLINI SANDRA ISABEL</t>
  </si>
  <si>
    <t>ONORATO ANA MARIA CENESINA</t>
  </si>
  <si>
    <t>RUIZ DIAZ SILVANA</t>
  </si>
  <si>
    <t>CIANCIO ROSANA EVA</t>
  </si>
  <si>
    <t>CASAS MARA ANDREA</t>
  </si>
  <si>
    <t>FERNANDEZ FIGUEREDO BLANCA MIRIAN</t>
  </si>
  <si>
    <t>ROMERO DIANA GRISELDA</t>
  </si>
  <si>
    <t>MONTIEL MARIA MAGDALENA</t>
  </si>
  <si>
    <t>VELEZ MERCEDES ANDREA</t>
  </si>
  <si>
    <t>MONTENEGRO CLAUDIA LILIANA</t>
  </si>
  <si>
    <t>DIAMANTI GRACIELA ADRIANA</t>
  </si>
  <si>
    <t>GARCIA FRISZ BRENDA MICAELA</t>
  </si>
  <si>
    <t>HENRIQUEZ ANA LUISA</t>
  </si>
  <si>
    <t>DONATO ROSANA ALEJANDRA</t>
  </si>
  <si>
    <t>GODOY MARIA EUGENIA</t>
  </si>
  <si>
    <t>ROJAS DAIRA</t>
  </si>
  <si>
    <t>CASTROMIL MARIA ALEJANDRA</t>
  </si>
  <si>
    <t>CASOETTO NATALIA MARIA</t>
  </si>
  <si>
    <t>DARMUN MONICA ADRIANA</t>
  </si>
  <si>
    <t>CARDOZO EDGARDO RAUL</t>
  </si>
  <si>
    <t>CISTERNA MARIA RAQUEL</t>
  </si>
  <si>
    <t>PARODI MARIANA</t>
  </si>
  <si>
    <t>GARCIA URIOL GENESIS DESSIRE</t>
  </si>
  <si>
    <t>MAIDANA CLAUDIA TERESITA</t>
  </si>
  <si>
    <t>LEANZA VIVIANA BEATRIZ</t>
  </si>
  <si>
    <t>MENSI ANA MARIA</t>
  </si>
  <si>
    <t>SANGUINO MARCELA ALEJANDRA</t>
  </si>
  <si>
    <t>RODRIGUEZ CRISTINA MABEL</t>
  </si>
  <si>
    <t>MALAGUEÑO NORMA PATRICIA</t>
  </si>
  <si>
    <t>RODRIGUEZ SABINA RAQUEL</t>
  </si>
  <si>
    <t>URDAPILLETA PILAR</t>
  </si>
  <si>
    <t>ACCETTA RAQUEL EDITH</t>
  </si>
  <si>
    <t>ROBLES DOLORES DEL CARMEN</t>
  </si>
  <si>
    <t>BENEDETTI DEBORA CAROLINA</t>
  </si>
  <si>
    <t>GIL ANDREA CECILIA</t>
  </si>
  <si>
    <t>CURIA MIRTA SILVIA</t>
  </si>
  <si>
    <t>MARNOTES DENISE YANETT</t>
  </si>
  <si>
    <t>FERNANDEZ NELIDA BEATRIZ</t>
  </si>
  <si>
    <t>ZURDO STELLA MARIS</t>
  </si>
  <si>
    <t>URQUIZA POLANCO MARIA EUGENIA</t>
  </si>
  <si>
    <t>ORTIZ NELDA INES</t>
  </si>
  <si>
    <t>OSTERMAN FABIANA DE LAS NIEVES</t>
  </si>
  <si>
    <t>AMBESI NORA PATRICIA</t>
  </si>
  <si>
    <t>GOMEZ GRISELDA GRACIELA</t>
  </si>
  <si>
    <t>D'AMBROSIO JUANA GRACIELA</t>
  </si>
  <si>
    <t>NATALE FIORELLA LUJAN</t>
  </si>
  <si>
    <t>DEZA GABRIELA MERCEDES</t>
  </si>
  <si>
    <t>BAZAN ROXANA</t>
  </si>
  <si>
    <t>CARTO MARIA ISABEL</t>
  </si>
  <si>
    <t>GONGORA ALICIA CRISTINA</t>
  </si>
  <si>
    <t>CITZIA HUGO ALBERTO</t>
  </si>
  <si>
    <t>DOPAZO MARIA BELEN</t>
  </si>
  <si>
    <t>MONZON GALLARDO DENISE SOLEDAD</t>
  </si>
  <si>
    <t>MAERS JUANA</t>
  </si>
  <si>
    <t>AGOSTINI LORENA ROSANA</t>
  </si>
  <si>
    <t>SALVUCCI ANAHI BEATRIZ</t>
  </si>
  <si>
    <t>VARGAS MARIA VICTORIA</t>
  </si>
  <si>
    <t>SANCHEZ MOSQUEA YUDELKYS DEL CARMEN</t>
  </si>
  <si>
    <t>RAMIREZ NELLY</t>
  </si>
  <si>
    <t>CESATO MARISA ALEJANDRA</t>
  </si>
  <si>
    <t>COFRE FABIANA GISELA</t>
  </si>
  <si>
    <t>LARRAZ GILDA BELEN</t>
  </si>
  <si>
    <t>GONZALEZ NORMA BEATRIZ</t>
  </si>
  <si>
    <t>DATO ORIANA MAGALI</t>
  </si>
  <si>
    <t>SUAREZ ANA JULIA</t>
  </si>
  <si>
    <t>KRIZAK MIRTA EDITH</t>
  </si>
  <si>
    <t>BELLOCCHIO ADELINA SUSANA</t>
  </si>
  <si>
    <t>AMARILLA RUMILDA JOSEFINA</t>
  </si>
  <si>
    <t>QUIBEN ADRIANA JULIA</t>
  </si>
  <si>
    <t>SANCHEZ GOMEZ SONIA MABEL</t>
  </si>
  <si>
    <t>PIZARRO CRISTINA CLAUDIA</t>
  </si>
  <si>
    <t>GONZALEZ MARIA ELENA</t>
  </si>
  <si>
    <t>SERVENTI SONIA EDITH</t>
  </si>
  <si>
    <t>GAIDO SILVIA EDITH</t>
  </si>
  <si>
    <t>PAHL MARIA VICTORIA</t>
  </si>
  <si>
    <t>ROLDAN EUGENIA SOLEDAD</t>
  </si>
  <si>
    <t>GARCIA ANDREA FABIANA</t>
  </si>
  <si>
    <t>ALDAY TAMARA SOLANGE</t>
  </si>
  <si>
    <t>SUCESION DE RIVAS ANTONIA</t>
  </si>
  <si>
    <t>SUAREZ LAURA VERONICA</t>
  </si>
  <si>
    <t>MONTIEL PRIETO SOFIA LORENA</t>
  </si>
  <si>
    <t>LOUREIRO GUERRERO NADIA BELEN</t>
  </si>
  <si>
    <t>FOGAR NORMA ARMANDA</t>
  </si>
  <si>
    <t>CANO ABIGAIL MELINA</t>
  </si>
  <si>
    <t>PARODI MIRTA INES</t>
  </si>
  <si>
    <t>ANDRADA MIRTHA NOEMI</t>
  </si>
  <si>
    <t>SUCESION DE HERNANDEZ MARIA HAYDEE</t>
  </si>
  <si>
    <t>PEREZ SIMOES MARIANA ALEJANDRA</t>
  </si>
  <si>
    <t>ALTAMIRANO ANALIA BEATRIZ</t>
  </si>
  <si>
    <t>ZELIKOWICZ ADRIANA CLAUDIA</t>
  </si>
  <si>
    <t>SAN ROMAN SILVIA MABEL</t>
  </si>
  <si>
    <t>DIACONO MARINA ALEJANDRA</t>
  </si>
  <si>
    <t>CANTERO NIDIA ESTHER</t>
  </si>
  <si>
    <t>DE ANGELIS AYELEN GIULIANA</t>
  </si>
  <si>
    <t>MENDEZ MOREZAPIRI MARIA ELENA</t>
  </si>
  <si>
    <t>BARRIONUEVO NATALIA MARISA</t>
  </si>
  <si>
    <t>SABADINI ADRIANA LETICIA</t>
  </si>
  <si>
    <t>GASTALDI ELIANA MARIEL</t>
  </si>
  <si>
    <t>IBERRA CAROLINA BEATRIZ</t>
  </si>
  <si>
    <t>ORTIZ WALTER HORACIO</t>
  </si>
  <si>
    <t>ALEGRE MICAELA JULIANA</t>
  </si>
  <si>
    <t>MIGUEZ VANINA ALEJANDRA</t>
  </si>
  <si>
    <t>FONTANA MARIA FABIANA</t>
  </si>
  <si>
    <t>COLELLA FLAVIA GUADALUPE</t>
  </si>
  <si>
    <t>SQUILLACE GISELA CARINA</t>
  </si>
  <si>
    <t>ANDREALLO ANAN ALICIA</t>
  </si>
  <si>
    <t>CELIZ PATRICIA MARCELA</t>
  </si>
  <si>
    <t>ALMIRON FERNANDEZ DELICIA DE LA PAZ</t>
  </si>
  <si>
    <t>SARMIENTO JOSE ANTONIO</t>
  </si>
  <si>
    <t>MEDINA BRIAN IVAN</t>
  </si>
  <si>
    <t>VIVAS NILDA ROSANA</t>
  </si>
  <si>
    <t>AIME ELIZABETH ROXANA VICTORIA</t>
  </si>
  <si>
    <t>PUSSETTO ARIELA</t>
  </si>
  <si>
    <t>ROJAS ORTIZ RAMONA ISABEL</t>
  </si>
  <si>
    <t>CORTES ROSANA ELISABET</t>
  </si>
  <si>
    <t>RIVEYRO KARINA ALEJANDRA</t>
  </si>
  <si>
    <t>CAPON GRACIELA ALICIA</t>
  </si>
  <si>
    <t>MENDOZA JAQUELIN</t>
  </si>
  <si>
    <t>QUIROZ MARIA VALERIA</t>
  </si>
  <si>
    <t>BERTHELEMY IRIS MERCEDES</t>
  </si>
  <si>
    <t>TEJERA NOEMI ROMINA</t>
  </si>
  <si>
    <t>FERNANDEZ CASTAÑEDA ROSANNA ESTHER</t>
  </si>
  <si>
    <t>COARASA AYELEN NATALI</t>
  </si>
  <si>
    <t>SASSO GRACIELA NOEMI</t>
  </si>
  <si>
    <t>PIRIS DIEGO ALEJANDRO</t>
  </si>
  <si>
    <t>SEDI JANNET REGINA</t>
  </si>
  <si>
    <t>BERTIN ROXANA ALEJANDRA</t>
  </si>
  <si>
    <t>NIGRO CLAUDIO EXPEDITO</t>
  </si>
  <si>
    <t>GONZALEZ CARLA NOEMI</t>
  </si>
  <si>
    <t>PEREZ GARCIA MARIA ROSALINDA</t>
  </si>
  <si>
    <t>GOMEZ PAULA ALEJANDRA</t>
  </si>
  <si>
    <t>AYALA RODRIGUEZ LISETH MARCELA</t>
  </si>
  <si>
    <t>ALDAZ ALLEGRA MAILEN</t>
  </si>
  <si>
    <t>CRUZ SIERRA SANDRA YANETH</t>
  </si>
  <si>
    <t>PEREZ DE LOPEZ ZULAY MARGARITA</t>
  </si>
  <si>
    <t>SCHVARTZ KARINA PAOLA</t>
  </si>
  <si>
    <t>AVALOS SOFIA</t>
  </si>
  <si>
    <t>DI STEFANO MARIA GRACIELA</t>
  </si>
  <si>
    <t>EXPOSITO MICAELA MAILEN</t>
  </si>
  <si>
    <t>MUMBACH IRMA ZULEMA</t>
  </si>
  <si>
    <t>MAMANI MARIA EMILIA</t>
  </si>
  <si>
    <t>GOMEZ NORMA BEATRIZ</t>
  </si>
  <si>
    <t>RIESCO DANIELA VIVIANA</t>
  </si>
  <si>
    <t>ROMAN BLANCA NOEMI</t>
  </si>
  <si>
    <t>PRIETO LUCIA ODILIA</t>
  </si>
  <si>
    <t>DE MARCO MARTINEZ VALENTINA IRIEL</t>
  </si>
  <si>
    <t>ALTIMARO MONICA GRACIELA</t>
  </si>
  <si>
    <t>CARRERAS NILDA MARCELA</t>
  </si>
  <si>
    <t>FINZI CANDELA VERONICA</t>
  </si>
  <si>
    <t>SOTO MAYOR RAQUEL MARCELA</t>
  </si>
  <si>
    <t>ARZAMENDIA OVIEDO CONCEPCION</t>
  </si>
  <si>
    <t>GARAVENTA ANA VICTORIA</t>
  </si>
  <si>
    <t>BRUNO ALMA RITA</t>
  </si>
  <si>
    <t>ANDRADA ADRIAN ROBERTO</t>
  </si>
  <si>
    <t>CHIESA MONICA</t>
  </si>
  <si>
    <t>TRAMANZOLI MARIA MARTA</t>
  </si>
  <si>
    <t>MILEO IVANNA LUCIA</t>
  </si>
  <si>
    <t>CAMACHO MARTA GRACIELA</t>
  </si>
  <si>
    <t>ARRIOLA JACQUELINE MARIANA</t>
  </si>
  <si>
    <t>DIAZ ADRIANA AZUCENA</t>
  </si>
  <si>
    <t>ARRUETA SANDRA ELIZABETH</t>
  </si>
  <si>
    <t>SUCESION DE LEYES VICTOR HUGO</t>
  </si>
  <si>
    <t>ZERPA OLGA</t>
  </si>
  <si>
    <t>VEIZAGA RAMOS LAURA MARIBEL</t>
  </si>
  <si>
    <t>POMARINI MIÑO MAGALI AYELEN</t>
  </si>
  <si>
    <t>AGUIAR MARISA INES</t>
  </si>
  <si>
    <t>ROSSO MARCELA MYRIAM</t>
  </si>
  <si>
    <t>BECCIA MONICA BEATRIZ</t>
  </si>
  <si>
    <t>MENESES MARTINEZ CRISTHY ALEXANDRA</t>
  </si>
  <si>
    <t>PAOLINI MARIA FERNANDA</t>
  </si>
  <si>
    <t>BRUNO CECILIA DEL VALLE</t>
  </si>
  <si>
    <t>OVIT ALICIA ALEJANDRA</t>
  </si>
  <si>
    <t>GONZALEZ BIANCHI MARIA GABRIELA</t>
  </si>
  <si>
    <t>TOMATIS MARIA FLORENCIA</t>
  </si>
  <si>
    <t>OLSEN MARIA LUCIANA</t>
  </si>
  <si>
    <t>SUCESION DE CASTRO OLGA ANGELICA</t>
  </si>
  <si>
    <t>CAFFERATA OFELIA BEATRIZ</t>
  </si>
  <si>
    <t>YAMASHIRO MARIA MARTA</t>
  </si>
  <si>
    <t>DANESE GISELA LAURA</t>
  </si>
  <si>
    <t>RAMIREZ BRACHO YARIBAY MARIA</t>
  </si>
  <si>
    <t>NAVARRO VIRGINIA CELIA</t>
  </si>
  <si>
    <t>VOELKLEIN MAGALI</t>
  </si>
  <si>
    <t>CENTRONE OMAR ANIBAL</t>
  </si>
  <si>
    <t>AGUIRRE NANCY NOEMI</t>
  </si>
  <si>
    <t>CAÑAS OLGA BEATRIZ</t>
  </si>
  <si>
    <t>BOBE BORELLI MONICA KARINA</t>
  </si>
  <si>
    <t>FERNANDEZ OLGA</t>
  </si>
  <si>
    <t>SUCESION DE GONCEVAT SEVERINA</t>
  </si>
  <si>
    <t>ADAD NADIA SILVINA</t>
  </si>
  <si>
    <t>MOYANO MARTA MARIA DEL CARMEN</t>
  </si>
  <si>
    <t>ARTAZA BLANCA SUSANA</t>
  </si>
  <si>
    <t>SARAVIA RAFAEL GASTON</t>
  </si>
  <si>
    <t>LOPEZ CHIARA SOFIA</t>
  </si>
  <si>
    <t>SUCESION DE VISVEQUI JUAN</t>
  </si>
  <si>
    <t>HEREDIA JOSE LUIS</t>
  </si>
  <si>
    <t>ALVAREZ NELIDA CORINA</t>
  </si>
  <si>
    <t>JIMENEZ SILVERIO RICARDO</t>
  </si>
  <si>
    <t>MARTINEZ ANA HAYDEE</t>
  </si>
  <si>
    <t>GONZALEZ MACHADO SALOME ANDREA</t>
  </si>
  <si>
    <t>DIAZ CARLOS EMANUEL</t>
  </si>
  <si>
    <t>MUÑOZ HUGO ERNESTO</t>
  </si>
  <si>
    <t>DI PAOLA MARIA ALEJANDRA</t>
  </si>
  <si>
    <t>TOURN ESTEFANIA MARCELA</t>
  </si>
  <si>
    <t>ALBOR LUCIA BELEN</t>
  </si>
  <si>
    <t>OBRA SOCIAL DEL PERSONAL DE ESTACIONES DE SERVICIOS GARAGES PLAYAS DE ESTACIONAMIENTO Y LAVADEROS AU</t>
  </si>
  <si>
    <t>RAINERI ROMINA SOLEDAD</t>
  </si>
  <si>
    <t>D ALESSANDRO ANDREA VALERIA</t>
  </si>
  <si>
    <t>PACHATICO PUMA JOSUE BRAIAN</t>
  </si>
  <si>
    <t>MARZANO MIRIAM YOLANDA</t>
  </si>
  <si>
    <t>TASSONE PAOLA KARINA</t>
  </si>
  <si>
    <t>SOTOMAYOR MONICA CRISTINA</t>
  </si>
  <si>
    <t>JUAREZ VICENTA DEL C ARMEN</t>
  </si>
  <si>
    <t>ALONSO MARIA INES</t>
  </si>
  <si>
    <t>LASALA ROSA VIRGINIA</t>
  </si>
  <si>
    <t>MOLINA JOSE AUGUSTO</t>
  </si>
  <si>
    <t>MEDINA SOLANGE JIMENA</t>
  </si>
  <si>
    <t>MALAGRINO SANDRA KARINA</t>
  </si>
  <si>
    <t>VERON SANDRA VERONICA</t>
  </si>
  <si>
    <t>FRANCO GABRIELA DE LOS ANGE</t>
  </si>
  <si>
    <t>VELASQUEZ SARDINA SILVIA YOVANNA</t>
  </si>
  <si>
    <t>GRAMAJO PAZ ALEJANDRA</t>
  </si>
  <si>
    <t>MARTIN ANA GRACIELA</t>
  </si>
  <si>
    <t>RODRIGUEZ RODRIGUEZ CLARA MARIA</t>
  </si>
  <si>
    <t>CURY VERONICA ANDREA</t>
  </si>
  <si>
    <t>CELA SILVIA HAYDEE</t>
  </si>
  <si>
    <t>RAMOS LUISA NOEMI</t>
  </si>
  <si>
    <t>ACKERMAN SOL DENISE</t>
  </si>
  <si>
    <t>CRUZ HUALLPA LISBETH</t>
  </si>
  <si>
    <t>RODRIGUEZ PAULA BELEN</t>
  </si>
  <si>
    <t>DI FALCO ELBA EDIT</t>
  </si>
  <si>
    <t>SALAS ANALIA VERONICA</t>
  </si>
  <si>
    <t>TAPIA BETY YOLANDA</t>
  </si>
  <si>
    <t>CASAIS ALICIA INES</t>
  </si>
  <si>
    <t>BARCO MARIA AMALIA</t>
  </si>
  <si>
    <t>MARTINEZ MARIA JOSE</t>
  </si>
  <si>
    <t>RONDON LOIACONO ROSARIO DEL CARMEN</t>
  </si>
  <si>
    <t>GARCIA MAGDALENA ANGELA</t>
  </si>
  <si>
    <t>FERNANDEZ OLGA ELENA</t>
  </si>
  <si>
    <t>GRANJA CAROLINA</t>
  </si>
  <si>
    <t>SALOMON STELLA MARIS</t>
  </si>
  <si>
    <t>IRIGOYTIA ROSA MABEL</t>
  </si>
  <si>
    <t>ROJAS LAIS JULIANA ELIZABETH</t>
  </si>
  <si>
    <t>SUCESION DE ACUÑA MARIA S</t>
  </si>
  <si>
    <t>DAVILA LAMPLA CIBELY ANDREINA</t>
  </si>
  <si>
    <t>CARBONE ALICIA BLANCA</t>
  </si>
  <si>
    <t>CASTILLO VASQUEZ IVETTE CASANDRA</t>
  </si>
  <si>
    <t>CORIA NAHIR</t>
  </si>
  <si>
    <t>MORENO CAROLINA DANIELA</t>
  </si>
  <si>
    <t>ESQUIVEL MARIA JIMENA</t>
  </si>
  <si>
    <t>SUCESION DE PAGONE ZUNILDA LUCIA</t>
  </si>
  <si>
    <t>RIVERO BEATRIZ ALEJANDRA</t>
  </si>
  <si>
    <t>MEDINA KAREN JEANNETTE</t>
  </si>
  <si>
    <t>SCHKZAMIAN PATRICIA LEONORA</t>
  </si>
  <si>
    <t>GERBIEZ ELIANA MONICA</t>
  </si>
  <si>
    <t>MILLER MARCELO ARIEL</t>
  </si>
  <si>
    <t>EXPOSITO MAC KAY GUADALUPE</t>
  </si>
  <si>
    <t>SUCESION DE MURUA NARCISO RAMON</t>
  </si>
  <si>
    <t>TODARO ADRIANA CLAUDIA</t>
  </si>
  <si>
    <t>PEREZ ADRIANA MIRIAM</t>
  </si>
  <si>
    <t>ARJONA LIHUEN ANAHI</t>
  </si>
  <si>
    <t>ALVAREZ MARIA EUGENIA</t>
  </si>
  <si>
    <t>SANCHEZ MESSBERG PAOLA SABRINA</t>
  </si>
  <si>
    <t>COLOMBO MARCELA BEATRIZ</t>
  </si>
  <si>
    <t>PLADA MARIA FLOREN</t>
  </si>
  <si>
    <t>RUILOVA VERONICA FLORINDA</t>
  </si>
  <si>
    <t>SANABRIA LEONARDO ANDRES</t>
  </si>
  <si>
    <t>CONDOTTA GRECO CAROLINA</t>
  </si>
  <si>
    <t>GALEANO LOPEZ ROCIO DEL CARMEN</t>
  </si>
  <si>
    <t>MARTINEZ GUSTAVO GABRIEL</t>
  </si>
  <si>
    <t>SUCESION DE RABAGO PEDRO ANTONIO</t>
  </si>
  <si>
    <t>PIZARRO MIGUEL ANGEL</t>
  </si>
  <si>
    <t>MOLINA ADRIANA ELIZABETH</t>
  </si>
  <si>
    <t>YELE ROMINA PAOLA</t>
  </si>
  <si>
    <t>VERA BRUN GLADYS MARINA</t>
  </si>
  <si>
    <t>TARANTINI MARIA GRABRIELA</t>
  </si>
  <si>
    <t>GOMEZ ROSA BEATRIZ</t>
  </si>
  <si>
    <t>PELOSI MARIA GABRIELA</t>
  </si>
  <si>
    <t>DE LUCA MARIANA ELISABET</t>
  </si>
  <si>
    <t>QUIÑONES MEJIA JESSICA</t>
  </si>
  <si>
    <t>VILLEGAS ALEJANDRA BEATRIZ</t>
  </si>
  <si>
    <t>TUETTO VERONICA MARCELA</t>
  </si>
  <si>
    <t>MARTINEZ MARIA ESTER</t>
  </si>
  <si>
    <t>JUAREZ MONICA MABEL</t>
  </si>
  <si>
    <t>SALINAS CAÑETE BERNI ROSANA SOLEDAD</t>
  </si>
  <si>
    <t>FLORES PARRA LISANDRA CAROLINA</t>
  </si>
  <si>
    <t>ARGUELLO MARIA BELEN</t>
  </si>
  <si>
    <t>PAEZ ANDREA VERONICA</t>
  </si>
  <si>
    <t>BRITEZ BRENDA JOHANNA</t>
  </si>
  <si>
    <t>ARIAS GARAY JENNY MARIANELLA</t>
  </si>
  <si>
    <t>ROUSSEAUX VALERIA CAROLINA</t>
  </si>
  <si>
    <t>MARTINEZ MILENA ROSANA</t>
  </si>
  <si>
    <t>DE VINCENZO MARIA DE LOS ANGELES</t>
  </si>
  <si>
    <t>GONZALEZ NORMA MABEL</t>
  </si>
  <si>
    <t>TORRES BERENICE LUZ</t>
  </si>
  <si>
    <t>SONGINI NESTOR LUJAN</t>
  </si>
  <si>
    <t>SCHWAB CECILIA ELIZABETH</t>
  </si>
  <si>
    <t>BRAVO MARIA SOLEDAD</t>
  </si>
  <si>
    <t>BALDIVIESO MARINA AYLEN</t>
  </si>
  <si>
    <t>SINTORA ALICIA ADRIANA</t>
  </si>
  <si>
    <t>MARTIN RICARDO</t>
  </si>
  <si>
    <t>CORIA MARIA LAURA</t>
  </si>
  <si>
    <t>AGUERO ROSA ANA</t>
  </si>
  <si>
    <t>TSCHIRSCH YOHANA NOELIA</t>
  </si>
  <si>
    <t>GIULIANI PAMELA ELIZABETH</t>
  </si>
  <si>
    <t>FLORENTIN PERFIDIA</t>
  </si>
  <si>
    <t>GENOUD MAROTENE CRISTINA ELENA</t>
  </si>
  <si>
    <t>ALMIRON PAULA YASMIN</t>
  </si>
  <si>
    <t>AGUIAR CAMILA MAITEN</t>
  </si>
  <si>
    <t>BARRAZA NATALIA CAROLINA</t>
  </si>
  <si>
    <t>COPELLO CANDELARIA</t>
  </si>
  <si>
    <t>DURAN DAIANA</t>
  </si>
  <si>
    <t>MUÑIZ ROCIO BELEN</t>
  </si>
  <si>
    <t>FERREYRA ELIZABETH</t>
  </si>
  <si>
    <t>MONTENEGRO ALEJANDRO MARTIN</t>
  </si>
  <si>
    <t>LOPEZ VIVIANA GRACIELA</t>
  </si>
  <si>
    <t>SERVIA ROMINA PAOLA</t>
  </si>
  <si>
    <t>FILIPINI MARIA GRACIA</t>
  </si>
  <si>
    <t>CLUA ADELA JOSEFA</t>
  </si>
  <si>
    <t>RODRIGUEZ COELHO ALEJANDRA</t>
  </si>
  <si>
    <t>VELASQUEZ SANTI FANNY</t>
  </si>
  <si>
    <t>VELANDIA PEREZ JEANNY LIZBETH</t>
  </si>
  <si>
    <t>LOPEZ SOFIA BELEN</t>
  </si>
  <si>
    <t>CHAVES ANDREA BIBIANA</t>
  </si>
  <si>
    <t>GARACHO PAULA GISELE</t>
  </si>
  <si>
    <t>ROSSI MICAELA YANINA</t>
  </si>
  <si>
    <t>CERVONE MARCELA MARIA SOLEDAD</t>
  </si>
  <si>
    <t>STRAGIA CINTIA ROMINA</t>
  </si>
  <si>
    <t>MARQUEZ GRACIELA EDELMA</t>
  </si>
  <si>
    <t>BALDI ANDREA ANGELA</t>
  </si>
  <si>
    <t>SUCESION DE SANUAR SUSANA MYRIAM</t>
  </si>
  <si>
    <t>NICOTRA JIMENA DEL CARMEN</t>
  </si>
  <si>
    <t>CICCHINELLI CLAUDIO HORACIO</t>
  </si>
  <si>
    <t>SUCESION DE RIGA BLANCA GUADALUPE</t>
  </si>
  <si>
    <t>AGUIRRE BENITEZ TIQUINA DEL PILAR</t>
  </si>
  <si>
    <t>GUTIERREZ MARIA GABRIELA</t>
  </si>
  <si>
    <t>CAPANDEGUI CRISTINA ISAURA</t>
  </si>
  <si>
    <t>BURONE VERONICA ANDREA</t>
  </si>
  <si>
    <t>DI GIOIA VERONICA KARINA</t>
  </si>
  <si>
    <t>MOLNAR VIVIANE</t>
  </si>
  <si>
    <t>GALVAN NANCY SONIA</t>
  </si>
  <si>
    <t>RASTELLI MIRIAM ROSA</t>
  </si>
  <si>
    <t>RANQUILEO ESTEBAN ORLANDO</t>
  </si>
  <si>
    <t>DI GIOVINE MARISA</t>
  </si>
  <si>
    <t>PORCU LORENA VANESA</t>
  </si>
  <si>
    <t>JUAREZ MARIA SUSANA</t>
  </si>
  <si>
    <t>NAGORE SILVINA ELISABETH</t>
  </si>
  <si>
    <t>GALLARDO YESICA LORENA</t>
  </si>
  <si>
    <t>BONILLA MOLINA EDILMAR YACKCELLY</t>
  </si>
  <si>
    <t>HERBAS PABLO</t>
  </si>
  <si>
    <t>LOPEZ NORMA CIPRIANA</t>
  </si>
  <si>
    <t>LARA NORMA NORAIDA</t>
  </si>
  <si>
    <t>RODRIGUEZ BLASQUIZ CAROLINA MARGARITA AILEN</t>
  </si>
  <si>
    <t>VILLEGAS GLADYS ELSA</t>
  </si>
  <si>
    <t>MOLLUSO SILVIA</t>
  </si>
  <si>
    <t>FERNANDEZ JESICA INES</t>
  </si>
  <si>
    <t>DI LUCA MARIA YOLANDA</t>
  </si>
  <si>
    <t>MONTEAGUDO GRACIELA CECILIA</t>
  </si>
  <si>
    <t>PERALTA ELSA BEATRIZ</t>
  </si>
  <si>
    <t>CEPEDA MARIA SOL</t>
  </si>
  <si>
    <t>DE CICCO VIRGINIA LETIZIA</t>
  </si>
  <si>
    <t>GOMEZ NOELIA NATACHA</t>
  </si>
  <si>
    <t>CORNERO SILVIA DEL VALLE</t>
  </si>
  <si>
    <t>TORRES NORA ELIANA</t>
  </si>
  <si>
    <t>MIRO MELISA DAIANA</t>
  </si>
  <si>
    <t>SUCESION DE AGUIRRE JOSE MIGUEL</t>
  </si>
  <si>
    <t>GONZALEZ MARIA SILVIA</t>
  </si>
  <si>
    <t>ESTEBAN ALEJANDRA</t>
  </si>
  <si>
    <t>SIGOT AYELEN LUJAN</t>
  </si>
  <si>
    <t>AVILA ADELAIDA CRISTINA</t>
  </si>
  <si>
    <t>GRECCO MARCELA ALEJANDRA</t>
  </si>
  <si>
    <t>EUROARGENTINA</t>
  </si>
  <si>
    <t>GPLAYERS SRL</t>
  </si>
  <si>
    <t>Grafika Producciones SRL</t>
  </si>
  <si>
    <t>GRAMTOR S.A</t>
  </si>
  <si>
    <t>GRAN BUENOS AIRES RAYOS X SOCIEDAD ANONIMA</t>
  </si>
  <si>
    <t>GRANDE CLIMATIZACIONES SRL</t>
  </si>
  <si>
    <t>GRANDON MARIA LAURA</t>
  </si>
  <si>
    <t>GRASSO BENEGAS DIEGO SEBASTIAN</t>
  </si>
  <si>
    <t>GRASSO ERNESTO CARLOS</t>
  </si>
  <si>
    <t>GRAVENT SA</t>
  </si>
  <si>
    <t>GREEN BURGER S.R.L</t>
  </si>
  <si>
    <t>GREEN GARDEN MARKET S.A.</t>
  </si>
  <si>
    <t>GREEN GARDEN MARKET SA</t>
  </si>
  <si>
    <t>GRIBICHE S.A.</t>
  </si>
  <si>
    <t>GRIFERÍA ULTRAGRIF SA</t>
  </si>
  <si>
    <t>GRIFERIAS COBRA SRL</t>
  </si>
  <si>
    <t>GRUPO ADRIATICO S.R.L.</t>
  </si>
  <si>
    <t>GRUPO BARU S.R.L</t>
  </si>
  <si>
    <t>GRUPO CONCES. DEL OESTE SA</t>
  </si>
  <si>
    <t>GRUPO FDM SRL</t>
  </si>
  <si>
    <t>GRUPO INTEGRA SRL</t>
  </si>
  <si>
    <t>GRUPO MAXIMUS S.R.L.</t>
  </si>
  <si>
    <t>GRUPO NUEVE SA</t>
  </si>
  <si>
    <t>GS GASTROSHOP SA</t>
  </si>
  <si>
    <t>GS TERMOMECANICA SRL</t>
  </si>
  <si>
    <t>GUALTIERI LEONARDO</t>
  </si>
  <si>
    <t>GUATEMALA 5653 S.A.</t>
  </si>
  <si>
    <t>GUGLIETTI ANTONIO RICARDO</t>
  </si>
  <si>
    <t>GUGLIOTTA DIEGO HERNAN</t>
  </si>
  <si>
    <t>GUIA PONCIANO YORDY</t>
  </si>
  <si>
    <t>GUILLERMO DIETRICH SA.</t>
  </si>
  <si>
    <t>GUILLERMO DOMIN S.R.L.</t>
  </si>
  <si>
    <t xml:space="preserve">GUITELO SRL </t>
  </si>
  <si>
    <t>GULLO JUAN PABLO</t>
  </si>
  <si>
    <t>GUREVICH DELIA ANA</t>
  </si>
  <si>
    <t>GUTIERREZ JORGE LUIS</t>
  </si>
  <si>
    <t>GUZMAN CARLOS ALBERTO</t>
  </si>
  <si>
    <t>HAIR SYSTEM S.A.</t>
  </si>
  <si>
    <t>HALLE ANDRES GUILLERMO</t>
  </si>
  <si>
    <t>HANDORF JOSE IGNACIO</t>
  </si>
  <si>
    <t>HAPPENING</t>
  </si>
  <si>
    <t>HEALTHCROUD S.A.</t>
  </si>
  <si>
    <t>HERME. MIGUEL SAGREDO SRL</t>
  </si>
  <si>
    <t>HERNAN BERNEY</t>
  </si>
  <si>
    <t>HERNAN GONZALEZ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</si>
  <si>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</si>
  <si>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</si>
  <si>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</si>
  <si>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</si>
  <si>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</si>
  <si>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</si>
  <si>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</si>
  <si>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</si>
  <si>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</si>
  <si>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</si>
  <si>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 xml:space="preserve">HIJOS DE SEGUNDO RATTI SRL </t>
  </si>
  <si>
    <t>HIPERPLASTICOS COLOMBRARO</t>
  </si>
  <si>
    <t>HIPODROMO ARGENTINO</t>
  </si>
  <si>
    <t>HOGAR CONSTANZA SA</t>
  </si>
  <si>
    <t>HONS PROP</t>
  </si>
  <si>
    <t>HORMIGON VISTO SRL</t>
  </si>
  <si>
    <t>HOSPIMED SA</t>
  </si>
  <si>
    <t>HOTEL CLASICO S.R.L.</t>
  </si>
  <si>
    <t>HOTELES DEL SOL S.A.</t>
  </si>
  <si>
    <t>HOTELES HOLLYWOOD S.A.</t>
  </si>
  <si>
    <t>HRACEK OLGA LILIANA</t>
  </si>
  <si>
    <t>HTS AR SA</t>
  </si>
  <si>
    <t>HUAMAN REYES WILLIAMS ALEX</t>
  </si>
  <si>
    <t>HUAÑAPE CONSTRUCCIONES</t>
  </si>
  <si>
    <t>HUGO ZIGNANO</t>
  </si>
  <si>
    <t>HUMBOLDT 2142 SRL</t>
  </si>
  <si>
    <t>HUMBOLDT 2324 S.A.</t>
  </si>
  <si>
    <t>HUMMENE TEXTIL S.A.</t>
  </si>
  <si>
    <t>HURLINGAS S.RL.</t>
  </si>
  <si>
    <t>IACOPETTI FLORENCIA</t>
  </si>
  <si>
    <t>IASSA SA</t>
  </si>
  <si>
    <t>IASSA SEGURIDAD</t>
  </si>
  <si>
    <t>IBARRA OSVALDO DANIEL</t>
  </si>
  <si>
    <t>IDAN SRL</t>
  </si>
  <si>
    <t>IDS BOILER S.R.L.</t>
  </si>
  <si>
    <t>IGLESIAS PAIZ MARIA MARTA</t>
  </si>
  <si>
    <t>IHAN NANCY LORENA</t>
  </si>
  <si>
    <t>IL MIRTILO S.R.L.</t>
  </si>
  <si>
    <t>IMA SERVICIOS INDUSTRIALES ARGENTINA S.A.</t>
  </si>
  <si>
    <t>IMAT INSTITUTO MEDICO DE ALTA TECNOLOGIA SA</t>
  </si>
  <si>
    <t>IMPONET S.A.</t>
  </si>
  <si>
    <t>IMPRESIONES J M RAMOS MEJIA S.A.</t>
  </si>
  <si>
    <t>IMPRESORA GUADALUPE SRL</t>
  </si>
  <si>
    <t>IN ACTION S.R.L.</t>
  </si>
  <si>
    <t>IN ARCH SRL</t>
  </si>
  <si>
    <t>INCHAUSPE MARIO ROBERTO</t>
  </si>
  <si>
    <t>INCLUSUD</t>
  </si>
  <si>
    <t>INDAVER MIGUEL ANGEL</t>
  </si>
  <si>
    <t>INDEFLEX SA</t>
  </si>
  <si>
    <t>INDICOM S.A.</t>
  </si>
  <si>
    <t>INDIGO PMP SRL</t>
  </si>
  <si>
    <t>INDUSTRIAL CONTROLES SRL</t>
  </si>
  <si>
    <t>INDUSTRIAL Y COMERCIAL S.A.</t>
  </si>
  <si>
    <t>INDUSTRIAS AUDIOVISUALES ARGENTINAS SA</t>
  </si>
  <si>
    <t>INDUSTRIAS JQ S.A</t>
  </si>
  <si>
    <t>INDUSTRIAS MARTIN S.A.</t>
  </si>
  <si>
    <t>INEA SRL</t>
  </si>
  <si>
    <t>INFINITO HOTEL S.R.L.</t>
  </si>
  <si>
    <t>INFOTECNIA S R L</t>
  </si>
  <si>
    <t>ING EDUARDO SZPIEZAK SRL</t>
  </si>
  <si>
    <t>INGA MIGUEL ANGEL</t>
  </si>
  <si>
    <t>INGETRES SRL</t>
  </si>
  <si>
    <t>INMO S.A.</t>
  </si>
  <si>
    <t>INMOBILIARIA SANTIAGO S A</t>
  </si>
  <si>
    <t>INOXIDABLES DEL SUR SA</t>
  </si>
  <si>
    <t>INQUINAT SA</t>
  </si>
  <si>
    <t>INSGHT GROUP SA.</t>
  </si>
  <si>
    <t>INSTALACIONES GABA SRL</t>
  </si>
  <si>
    <t>INSTITUCION ADMINISTRATIVA DE LA IGLESIA ARMENIA</t>
  </si>
  <si>
    <t>INSTITUCION SALESIANA</t>
  </si>
  <si>
    <t>INSTITUTO GENESIS SRL</t>
  </si>
  <si>
    <t>INSUMOS PLASTICOS SA</t>
  </si>
  <si>
    <t>INSUR S.A.</t>
  </si>
  <si>
    <t>INTEGRA CAPITAL S.A.</t>
  </si>
  <si>
    <t xml:space="preserve">INTEGRI SRL </t>
  </si>
  <si>
    <t>INTENSE LIFE SA</t>
  </si>
  <si>
    <t>INV. MINORISTA SA</t>
  </si>
  <si>
    <t>INVELAN S A</t>
  </si>
  <si>
    <t>INVERCLUB S.A.</t>
  </si>
  <si>
    <t>INVERSORA HERALDICA SOCIEDAD ANONIMA</t>
  </si>
  <si>
    <t>INYA S A</t>
  </si>
  <si>
    <t xml:space="preserve">IRAOLA Y CIA SA </t>
  </si>
  <si>
    <t>IRIGOYEN LUIS MARIA</t>
  </si>
  <si>
    <t>IRIME SRL</t>
  </si>
  <si>
    <t>IT SHOP S.R.L.</t>
  </si>
  <si>
    <t>ITALOMED PRODUCTOS</t>
  </si>
  <si>
    <t>ITALSUR S.A.</t>
  </si>
  <si>
    <t xml:space="preserve">ITAR AMOBLAMIENTOS SRL </t>
  </si>
  <si>
    <t>ITECO S R L</t>
  </si>
  <si>
    <t>IV CONSTRUCCIONES SRL</t>
  </si>
  <si>
    <t>JANET W SA</t>
  </si>
  <si>
    <t>JAXTIL SOCIEDAD ANONIMA</t>
  </si>
  <si>
    <t>JBRUSCO</t>
  </si>
  <si>
    <t xml:space="preserve">JEFFERSON SUDAMERICANA SA </t>
  </si>
  <si>
    <t>JET PRODUCCIONES S.R.L.</t>
  </si>
  <si>
    <t>JOEL GOMEZ BENITEZ</t>
  </si>
  <si>
    <t>JOMAN S.R.L.</t>
  </si>
  <si>
    <t>JORGE HUGO SCOCCIMARRA</t>
  </si>
  <si>
    <t>JOSE LUIS AVILES</t>
  </si>
  <si>
    <t>JUAN B JUSTO 1333</t>
  </si>
  <si>
    <t>JUAN B JUSTO 1333 S A</t>
  </si>
  <si>
    <t>JUAN B JUSTO 1333 SA</t>
  </si>
  <si>
    <t>JUAN CARLOS AVALOS GRNACE</t>
  </si>
  <si>
    <t>JUAN D NAVARRO</t>
  </si>
  <si>
    <t>JUAN MARTIN ALVAREZ</t>
  </si>
  <si>
    <t>JUAN PABLO ALONSO ABOGADO</t>
  </si>
  <si>
    <t>JUFE COMPANY SA</t>
  </si>
  <si>
    <t>JUNINEROS S.R.</t>
  </si>
  <si>
    <t>JYM SERVICIOS SAS</t>
  </si>
  <si>
    <t>K Y B CONSTRUCCIONES S.R.L.</t>
  </si>
  <si>
    <t>K Y B SISTEMAS E INSTALACIONES SRL</t>
  </si>
  <si>
    <t>KALFAIAN HNOS. SRL</t>
  </si>
  <si>
    <t>KAMAY SRL</t>
  </si>
  <si>
    <t>KAMNIK SRL</t>
  </si>
  <si>
    <t>KANSAI S.A</t>
  </si>
  <si>
    <t>KAVCIC SRL</t>
  </si>
  <si>
    <t>KCG GROUP S.R.L.</t>
  </si>
  <si>
    <t>KESTERNICH CESAR DARIO</t>
  </si>
  <si>
    <t>KEVORK TOUFENEDJIAN SA</t>
  </si>
  <si>
    <t>KHAYATTE ESTEBAN MIGUEL ANGEL</t>
  </si>
  <si>
    <t>KIN - HA  BIENES RAICES S.A</t>
  </si>
  <si>
    <t>KIR S R L</t>
  </si>
  <si>
    <t>KLEM JOSE ALFREDO</t>
  </si>
  <si>
    <t>KNBA SRL</t>
  </si>
  <si>
    <t>KOI  BAR SRL</t>
  </si>
  <si>
    <t>KOMALIA SA</t>
  </si>
  <si>
    <t>KOMBU S.A</t>
  </si>
  <si>
    <t>KORO S.R.L.</t>
  </si>
  <si>
    <t>KOVACS CARLOS ESTEBAN</t>
  </si>
  <si>
    <t>KROBOTH FRANCISCO PABLO</t>
  </si>
  <si>
    <t>KROSELJ MARIA ZELMIRA</t>
  </si>
  <si>
    <t>KUARZO ARGENTINA</t>
  </si>
  <si>
    <t>KUBI S.A.</t>
  </si>
  <si>
    <t>KUCHARSKI ENZO DAVID</t>
  </si>
  <si>
    <t>L D B C SRL</t>
  </si>
  <si>
    <t>L.C.M. SA</t>
  </si>
  <si>
    <t>LA CAMIONERA MENDOCINA SRL</t>
  </si>
  <si>
    <t>LA ESQUINA DE DORREGO SRL</t>
  </si>
  <si>
    <t>LA FEMME HOTEL SA</t>
  </si>
  <si>
    <t>LA INDUSTRIAL ELECT. SA</t>
  </si>
  <si>
    <t>LA JUNIOR SRL</t>
  </si>
  <si>
    <t>LA LECHUZA 1 SA</t>
  </si>
  <si>
    <t>LA MATILDE ARROYO SOCIEDA ANONIMA</t>
  </si>
  <si>
    <t>LA MERIDIONAL SEG. SA</t>
  </si>
  <si>
    <t>LA NINA DE ORO S.R.L.</t>
  </si>
  <si>
    <t>LA PILARCITA S.R.L.</t>
  </si>
  <si>
    <t>LA PILARCITA SRL</t>
  </si>
  <si>
    <t>LA ROY SRL</t>
  </si>
  <si>
    <t>LA RURAL S.A.</t>
  </si>
  <si>
    <t>LABORATORIOS NORTE S.R.L.</t>
  </si>
  <si>
    <t>LADO V DELI S.A.</t>
  </si>
  <si>
    <t>LADY MERLO</t>
  </si>
  <si>
    <t xml:space="preserve">LAFONT SRL </t>
  </si>
  <si>
    <t>LAGO MILLAN GRACIELA</t>
  </si>
  <si>
    <t>LAIUN &amp; ASOCIADOS S.A.</t>
  </si>
  <si>
    <t>LAKOTA AGOPECUARIA S.R.L.</t>
  </si>
  <si>
    <t>LAMELA ANTONIO ALBERTO DANI</t>
  </si>
  <si>
    <t>LANDRO RICARDO</t>
  </si>
  <si>
    <t>LAPOLLA JAVIER ROBERTO</t>
  </si>
  <si>
    <t>LARAIGNEE CARLOS HORACIO</t>
  </si>
  <si>
    <t>LARANGEIRA S.A.</t>
  </si>
  <si>
    <t>LASALVIA CARO MARIA BELEN</t>
  </si>
  <si>
    <t>LATECBA S.A.</t>
  </si>
  <si>
    <t>LATIN FOLK S.A.</t>
  </si>
  <si>
    <t xml:space="preserve">LATIN GRAFICA SRL </t>
  </si>
  <si>
    <t>LAUREANA DI BONELLO</t>
  </si>
  <si>
    <t>LAVEZZARI CARLOS ALBERTO</t>
  </si>
  <si>
    <t>LAXAGUE BELTRAN MARIA MIGUEL</t>
  </si>
  <si>
    <t>LD DISTRIBUIDORA LARREA</t>
  </si>
  <si>
    <t>LE POSET SRL</t>
  </si>
  <si>
    <t>LEAR SPORTS S.R.L.</t>
  </si>
  <si>
    <t>LEDSCENE S.A</t>
  </si>
  <si>
    <t>LEGGIAN SERVICIOS TURISTICOS S.A.</t>
  </si>
  <si>
    <t>LEMME OBRAS CIVILES S.R.L</t>
  </si>
  <si>
    <t>LENIS CORPORATION S A</t>
  </si>
  <si>
    <t>LEON RAMIREZ CLAUDIA</t>
  </si>
  <si>
    <t>LEONARDO ALBERTO COLONESE</t>
  </si>
  <si>
    <t>LEONARDO FUMAROLA</t>
  </si>
  <si>
    <t>LEONARDO TILL</t>
  </si>
  <si>
    <t>LEONETTI LUCAS GONZALO</t>
  </si>
  <si>
    <t>LEONIAN JIMENA</t>
  </si>
  <si>
    <t>LESEDIFE SA</t>
  </si>
  <si>
    <t>LEVIT CARLOS JAVIER</t>
  </si>
  <si>
    <t>LIANG MEI LING</t>
  </si>
  <si>
    <t>LIBERTADOR ESQUINA CONGRESO S.R.L.</t>
  </si>
  <si>
    <t xml:space="preserve">LIBERTECH SRL </t>
  </si>
  <si>
    <t>LIBRERÍA DEL ONCE</t>
  </si>
  <si>
    <t>LIBRERÍA LOS PIBES</t>
  </si>
  <si>
    <t>LIBRERÍA PELUFFO SRL</t>
  </si>
  <si>
    <t>LIOTTA TIDONI FRANCO</t>
  </si>
  <si>
    <t>LIS GABRIEL HERNAN</t>
  </si>
  <si>
    <t>LISNIZER ISABEL JULIANA RUTH</t>
  </si>
  <si>
    <t>LISTA ABIERTA</t>
  </si>
  <si>
    <t>LITTLE THINGS CLOTHES S.R.L.</t>
  </si>
  <si>
    <t xml:space="preserve">LIZA GOLD SA </t>
  </si>
  <si>
    <t>LLAMEDO ALBERTO SERGIO</t>
  </si>
  <si>
    <t>LNG OLIVIERI SA</t>
  </si>
  <si>
    <t>LOCALES COMERCIALES SRL</t>
  </si>
  <si>
    <t>LOFI ON LINE</t>
  </si>
  <si>
    <t>LOGINTER S.A.</t>
  </si>
  <si>
    <t>LOGINTER SA</t>
  </si>
  <si>
    <t>LOGISTICA VW S.A.</t>
  </si>
  <si>
    <t>LOMA LARGA SOCIEDAD ANONIMA AGROPECUARIA Y COMERCIAL</t>
  </si>
  <si>
    <t xml:space="preserve">LOMBARDO HAIDEE AMALIA </t>
  </si>
  <si>
    <t>LONCO HUE S.A</t>
  </si>
  <si>
    <t>LONCO HUE S.A.</t>
  </si>
  <si>
    <t>LONGIVE SA</t>
  </si>
  <si>
    <t>LOPES CRISTIAN DAVID</t>
  </si>
  <si>
    <t>LOPEZ AIDA ASUNCION</t>
  </si>
  <si>
    <t>LOPEZ ANGELA ROMINA</t>
  </si>
  <si>
    <t>LOPEZ CIRILO ALEJANDRO</t>
  </si>
  <si>
    <t>LOPEZ JUAN MANUEL</t>
  </si>
  <si>
    <t>LOPEZ LUCIANO FEDERICO</t>
  </si>
  <si>
    <t>LORD AND THOMAS S.A.</t>
  </si>
  <si>
    <t>LOS DAMOS S.A.</t>
  </si>
  <si>
    <t>LOTITO MARCELO DANIEL</t>
  </si>
  <si>
    <t>LOVINE S.A.</t>
  </si>
  <si>
    <t>LT WIRELESS &amp; CINE SOLUTIONS S.R.L.</t>
  </si>
  <si>
    <t>LUARCA FL ADMINISTRACION S.R.L.</t>
  </si>
  <si>
    <t>LUCAS MURPHY LEYTON</t>
  </si>
  <si>
    <t>LUIS FAZIO E HIJOS S.R.L.</t>
  </si>
  <si>
    <t>LUIS LUCANA YANCCE</t>
  </si>
  <si>
    <t>LUIS WOLFSDORF</t>
  </si>
  <si>
    <t>LUMINA AMERICAS S.A.</t>
  </si>
  <si>
    <t>LUNA MIRIAM ELIZABETH</t>
  </si>
  <si>
    <t>LUPO GUSTAVO ARTURO</t>
  </si>
  <si>
    <t>LUROVY S A</t>
  </si>
  <si>
    <t>LUVATEX  S.R.L.</t>
  </si>
  <si>
    <t xml:space="preserve">LUWAI SA </t>
  </si>
  <si>
    <t>LUZDESING</t>
  </si>
  <si>
    <t>M &amp; G TECHNOLOGY S.R.L.</t>
  </si>
  <si>
    <t>M J A SOCIEDAD ANONIMA</t>
  </si>
  <si>
    <t>MACADANA S.R.L.</t>
  </si>
  <si>
    <t>MACCESORIOS</t>
  </si>
  <si>
    <t>MACHTEY Y ASOCIADOS AUDITORES-CONSULTORES SOCIEDAD CIVIL</t>
  </si>
  <si>
    <t>MACROPLAST SA</t>
  </si>
  <si>
    <t>MAGARU S.A.</t>
  </si>
  <si>
    <t>MAIDANA VICTOR ALEJANDRO</t>
  </si>
  <si>
    <t>MALECKI OSCAR ANDRES</t>
  </si>
  <si>
    <t>MALLARDO AUGUSTO ANTONIO</t>
  </si>
  <si>
    <t>MALTA BONPLAND SRL</t>
  </si>
  <si>
    <t>MAMOCH S.R.L</t>
  </si>
  <si>
    <t>MANIFESTO ARGENTINA SRL</t>
  </si>
  <si>
    <t>MANUEL GONZALEZ ARIAS E HIJOS SOCIEDAD DE HECHO</t>
  </si>
  <si>
    <t>MANUMANU SAS</t>
  </si>
  <si>
    <t>MARALIA SA</t>
  </si>
  <si>
    <t>MARCELO A. MUSMANNO</t>
  </si>
  <si>
    <t>MARCELO FABIAN GUERINGHELLI</t>
  </si>
  <si>
    <t>MARCELO MMENAHEM</t>
  </si>
  <si>
    <t>MARIA ESPERANZA CORVALAN</t>
  </si>
  <si>
    <t>MARIA LUISA BIAUS</t>
  </si>
  <si>
    <t>MARIA NATALIA OLIVERI</t>
  </si>
  <si>
    <t>MARIANO MONTANGERO</t>
  </si>
  <si>
    <t>MARIÑO GERMAN</t>
  </si>
  <si>
    <t>MARIO JUAN SZWARC</t>
  </si>
  <si>
    <t>MARIO RICARDO FUNES</t>
  </si>
  <si>
    <t>MARIPEL S.A.</t>
  </si>
  <si>
    <t>MARKETCAR</t>
  </si>
  <si>
    <t>MARTIN ARIEL INFANTE</t>
  </si>
  <si>
    <t xml:space="preserve">MARTIN CAVA </t>
  </si>
  <si>
    <t>MARTINEZ MEDRANO GABRIEL ALEJANDRO</t>
  </si>
  <si>
    <t>MARTINO CARLOS ALBERTO</t>
  </si>
  <si>
    <t>MARTORANO ANDRES</t>
  </si>
  <si>
    <t>MASARAP SRL</t>
  </si>
  <si>
    <t>MASSUAR</t>
  </si>
  <si>
    <t>MATIAS GONZALEZ</t>
  </si>
  <si>
    <t>MAXTREND S.R.L.</t>
  </si>
  <si>
    <t>MAYCAR S.A</t>
  </si>
  <si>
    <t>MAZALOT S A</t>
  </si>
  <si>
    <t>MAZZINI MARIANO</t>
  </si>
  <si>
    <t>MB Papeles SRL</t>
  </si>
  <si>
    <t>MBP PROVEEDORES INDUSTRIALES</t>
  </si>
  <si>
    <t>MD CARGAS</t>
  </si>
  <si>
    <t>MECCA HECTOR DOMINGO</t>
  </si>
  <si>
    <t>MEDIA 500 S.A.</t>
  </si>
  <si>
    <t>MEDICAL CARE SOLUTIONS SRL</t>
  </si>
  <si>
    <t>MEDICAL FOAM SRL</t>
  </si>
  <si>
    <t>MEDICINA VASCULAR BUENOS AIRES SOCIEDAD DE RESPONSABILIDAD LIMITADA</t>
  </si>
  <si>
    <t>MEDICUS S.A DE ASIST. MEDICA</t>
  </si>
  <si>
    <t>MEDIN NORBERTO LUIS</t>
  </si>
  <si>
    <t xml:space="preserve">MEDINA JULIO RAMON </t>
  </si>
  <si>
    <t>MEFALE S.A.</t>
  </si>
  <si>
    <t>MEGA BABY S.A</t>
  </si>
  <si>
    <t>MEGAPOL SUCESION DE PUPPIO J H</t>
  </si>
  <si>
    <t>MEHCCO S.A.</t>
  </si>
  <si>
    <t>MELERWI SA</t>
  </si>
  <si>
    <t>MELHEM CARLOS SALIM</t>
  </si>
  <si>
    <t>MELI LOG S.R.L.</t>
  </si>
  <si>
    <t>MELICASLAT SRL</t>
  </si>
  <si>
    <t>MELIK ALEJANDRO ERASMO GUI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</si>
  <si>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</si>
  <si>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</si>
  <si>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</si>
  <si>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</si>
  <si>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</si>
  <si>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MERCI-BA S.A</t>
  </si>
  <si>
    <t>MERELES AGUIRRE WALTER</t>
  </si>
  <si>
    <t>MERMACO SA</t>
  </si>
  <si>
    <t>MERONI IGNACIO ESTEBAN TIMOTEO</t>
  </si>
  <si>
    <t>METALFORJA SRL</t>
  </si>
  <si>
    <t>METALURGICA ANTONINI SA</t>
  </si>
  <si>
    <t>MEZZADRI NORBERTO ARISTIDES</t>
  </si>
  <si>
    <t>MGD CONSULTING S.R.L.</t>
  </si>
  <si>
    <t>MGR IMPLANTES S.A</t>
  </si>
  <si>
    <t>MIATECH</t>
  </si>
  <si>
    <t>MIGUEL ANGEL BALDEON</t>
  </si>
  <si>
    <t>MIGUEL CARLOS ACOSTA</t>
  </si>
  <si>
    <t>MIGUEL TOMA SACI</t>
  </si>
  <si>
    <t>MIHURA FRANCISCO OSCAR Y MIHURA MARIA ANTONIA SOCIEDAD DE HECHO</t>
  </si>
  <si>
    <t>MILANO-KERN SRL</t>
  </si>
  <si>
    <t>MILLANSKY MAURICIO</t>
  </si>
  <si>
    <t>MILLARES MARTIN EMILIO</t>
  </si>
  <si>
    <t>MININNI HORACIO CONRADO</t>
  </si>
  <si>
    <t>MIÑO WALTER EDUARDO</t>
  </si>
  <si>
    <t>MIRANDA CECILIA</t>
  </si>
  <si>
    <t>MIRANDA EDGARDO FABIAN</t>
  </si>
  <si>
    <t>MIRANDA MARIA CECILIA</t>
  </si>
  <si>
    <t>MIRTA SUSANA AMERELLI</t>
  </si>
  <si>
    <t>MIRVAR SA</t>
  </si>
  <si>
    <t xml:space="preserve">MMSAL SRL. </t>
  </si>
  <si>
    <t xml:space="preserve">MOAVRO MIGUEL FELIX ANTONIO </t>
  </si>
  <si>
    <t>MOCHAEL HORD</t>
  </si>
  <si>
    <t>MOGLIE GUSTAVO DANIEL</t>
  </si>
  <si>
    <t xml:space="preserve">MOLINA PABLO LEANDRO </t>
  </si>
  <si>
    <t>MOLINO ARGENTINO SA</t>
  </si>
  <si>
    <t>MOLINO MARIONA GASTON</t>
  </si>
  <si>
    <t>MONTAGNE OUTDOORS S A</t>
  </si>
  <si>
    <t>MONTANGERO MARIANO SEBASTIAN</t>
  </si>
  <si>
    <t>MONTELEONE GUILLERMO ALEJANDRO</t>
  </si>
  <si>
    <t>MONTENEGRO LUCIO FANDOR</t>
  </si>
  <si>
    <t>MORACO HORACIO CARLOS</t>
  </si>
  <si>
    <t>MORALES ALVES GLADIS MABEL</t>
  </si>
  <si>
    <t>MORELLI FRANCISCO EDUARDO</t>
  </si>
  <si>
    <t>MORELLI MIGUEL OSVALDO</t>
  </si>
  <si>
    <t>MORINIGO AGUIAR BERNARDINO</t>
  </si>
  <si>
    <t>MORINIGO ARSENIO VICTOR</t>
  </si>
  <si>
    <t xml:space="preserve">MORON GOMA A </t>
  </si>
  <si>
    <t>MOTO MECANICA ARGENTINA S.A.</t>
  </si>
  <si>
    <t>MOTORVILLE SA</t>
  </si>
  <si>
    <t>MP GROUP REPARACIONES &amp; SERVICIOS SRL</t>
  </si>
  <si>
    <t>MR ALTER CORPORATION SRL</t>
  </si>
  <si>
    <t>MRM WORLD WIDE ARGENTINA S.R.L.</t>
  </si>
  <si>
    <t>MS MANUFACTURING SOLUTIONS S.R.L.</t>
  </si>
  <si>
    <t>MS RACING S.R.L.</t>
  </si>
  <si>
    <t>MUCH GOLD S.A.</t>
  </si>
  <si>
    <t>MUFFIN S.A.</t>
  </si>
  <si>
    <t>MULLER MARIA ELSA</t>
  </si>
  <si>
    <t>MULTI RADIO S.A</t>
  </si>
  <si>
    <t>MUNDO POTTERY S.R.L.</t>
  </si>
  <si>
    <t>MURO MARIA ANDREA</t>
  </si>
  <si>
    <t>MUSOLINO GUSTAVO EDGARDO</t>
  </si>
  <si>
    <t>N2M ELECTRONICA S.R.L</t>
  </si>
  <si>
    <t>NAFPUR SA</t>
  </si>
  <si>
    <t>NAFPUR XXI SA</t>
  </si>
  <si>
    <t>NAHMAD DARIO ANDRES</t>
  </si>
  <si>
    <t>NAKA FLORENCIA</t>
  </si>
  <si>
    <t>NANOTECK S.A.</t>
  </si>
  <si>
    <t>NARBAL SA</t>
  </si>
  <si>
    <t>NARCISI MARCELO SEBASTIAN</t>
  </si>
  <si>
    <t xml:space="preserve">NASCA GUSTAVO JORGE </t>
  </si>
  <si>
    <t>NATIONAL SERVICE ARGENTINA SA</t>
  </si>
  <si>
    <t>NAVEIRA GUSTAVO OSCAR</t>
  </si>
  <si>
    <t>NAVIGLIO S.A.</t>
  </si>
  <si>
    <t>NAYA COMUNICACIONES SA</t>
  </si>
  <si>
    <t>NEGOCIOS E INVERSIONES INMOBILIARIAS S A</t>
  </si>
  <si>
    <t>NELIDA B. TAUMEHIMER</t>
  </si>
  <si>
    <t>NEO GROUP S.A.</t>
  </si>
  <si>
    <t>NEPLASTIC SRL</t>
  </si>
  <si>
    <t>NERY JAVIER AIMLE</t>
  </si>
  <si>
    <t>NESTLE ARG S.A</t>
  </si>
  <si>
    <t>NESTOR LUIS VINAGRE</t>
  </si>
  <si>
    <t>NESTOR PABLO MATARASSO</t>
  </si>
  <si>
    <t>NETCONS S.A.</t>
  </si>
  <si>
    <t>NEUMATICOS PILAR SRL</t>
  </si>
  <si>
    <t>NEYCI</t>
  </si>
  <si>
    <t>NICARAGUA 5001 S.R.L.</t>
  </si>
  <si>
    <t>NICATEL S.R.L.</t>
  </si>
  <si>
    <t xml:space="preserve">NICOLAS ARMANDO CENTURION </t>
  </si>
  <si>
    <t>NICOLAS LUCERO - CLINICA DISEÑO</t>
  </si>
  <si>
    <t>NICOLAS REPETTO 1289 S.R.L.</t>
  </si>
  <si>
    <t>NIETO FACUNDO JOSE</t>
  </si>
  <si>
    <t>NIPPOM EXTREME TEHNOLOGY S.A.</t>
  </si>
  <si>
    <t>NOBS S.A.</t>
  </si>
  <si>
    <t>NOE DRUCKER SOCIEDAD ANONIMA</t>
  </si>
  <si>
    <t>NOLAZCO EDUARDO ARTURO</t>
  </si>
  <si>
    <t>NOMAD FOOD SRL</t>
  </si>
  <si>
    <t>NORBERTO HARDOCK</t>
  </si>
  <si>
    <t>NORFRIG SRL</t>
  </si>
  <si>
    <t>NORTE - MARTIN S.R.L.</t>
  </si>
  <si>
    <t>NORWALK  S A</t>
  </si>
  <si>
    <t>NORWALK S.A.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</si>
  <si>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</si>
  <si>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</si>
  <si>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</si>
  <si>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</si>
  <si>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</si>
  <si>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</si>
  <si>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</si>
  <si>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NUEVA ABASTECEDORA GRAF. S.A</t>
  </si>
  <si>
    <t>NUEVA CHEVALLIER SA</t>
  </si>
  <si>
    <t>NUEVA COSTANERA SRL</t>
  </si>
  <si>
    <t>NUEVA SERRANIA S R L</t>
  </si>
  <si>
    <t>NUÑEZ AUTOS S.A.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</si>
  <si>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</si>
  <si>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</si>
  <si>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</si>
  <si>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</si>
  <si>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</si>
  <si>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</si>
  <si>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OBISPO SA</t>
  </si>
  <si>
    <t>OBLIGADO 7070 S.R.L.</t>
  </si>
  <si>
    <t>OBRA SOCIAL DE DOCENTES PARTICULARES</t>
  </si>
  <si>
    <t>OBRA SOCIAL SUPERCO</t>
  </si>
  <si>
    <t>OBRAS PRIVADAS S.R.L.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</si>
  <si>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</si>
  <si>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</si>
  <si>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</si>
  <si>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</si>
  <si>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</si>
  <si>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</si>
  <si>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OJEDA ISMAEL NESTOR</t>
  </si>
  <si>
    <t>OLD ROPE S.R.L.</t>
  </si>
  <si>
    <t>OLD ROPE SRL</t>
  </si>
  <si>
    <t>OLGA REBRYK</t>
  </si>
  <si>
    <t xml:space="preserve">OLGUIN CAMILA LIDIA </t>
  </si>
  <si>
    <t>OLIVARES HNOS SA</t>
  </si>
  <si>
    <t>OLIVERA VICTOR MANUEL</t>
  </si>
  <si>
    <t>OMEGA III S R L</t>
  </si>
  <si>
    <t>OMINT ART SA</t>
  </si>
  <si>
    <t>OMINT SA</t>
  </si>
  <si>
    <t>ONS SRL</t>
  </si>
  <si>
    <t>OPEN CLUB SRL</t>
  </si>
  <si>
    <t>OPERADORA FERROVIARIA SOCIEDAD DEL ESTADO</t>
  </si>
  <si>
    <t>ORBIS MERTIG SAIC</t>
  </si>
  <si>
    <t>ORBIS MERTIG SAN LUIS SAIC</t>
  </si>
  <si>
    <t>ORG COORDINADORA ARG SRL</t>
  </si>
  <si>
    <t>ORIGEN BEBE S.A.</t>
  </si>
  <si>
    <t>ORTIZ RICARDO ALFREDO</t>
  </si>
  <si>
    <t>ORTOPEDIA GULLONE SRL</t>
  </si>
  <si>
    <t>ORTOPEDICOS ALFOLATEX S.A</t>
  </si>
  <si>
    <t>ORTOPEDICOS SAN ANDRES SRL</t>
  </si>
  <si>
    <t>ORUGA FILMS SA</t>
  </si>
  <si>
    <t>OSCAR BERNAL</t>
  </si>
  <si>
    <t>OSOPPO SA</t>
  </si>
  <si>
    <t>OSPADEP</t>
  </si>
  <si>
    <t>OSTERA LILIANA IRMA</t>
  </si>
  <si>
    <t>OSVALDO GAROFALO</t>
  </si>
  <si>
    <t>OTERO CARLOS ALBERTO</t>
  </si>
  <si>
    <t xml:space="preserve">OTERO NORTE SRL </t>
  </si>
  <si>
    <t>OTTO BOCK ARG. S.A</t>
  </si>
  <si>
    <t>OUTLANDISH SRL</t>
  </si>
  <si>
    <t>OYOLI SA</t>
  </si>
  <si>
    <t>P&amp;C ASOCIADOS SRL</t>
  </si>
  <si>
    <t>P.R.V. S.A.</t>
  </si>
  <si>
    <t>PABLO DANIEL SPADAVACCHIA</t>
  </si>
  <si>
    <t xml:space="preserve">PABLO FERREYRA </t>
  </si>
  <si>
    <t>PACANROL</t>
  </si>
  <si>
    <t>PACO LAURA HUMBERTO JAIME</t>
  </si>
  <si>
    <t>PAESANO CARLOS CHAVEZ RUBEN SH</t>
  </si>
  <si>
    <t>PAEZ ESTEBAN</t>
  </si>
  <si>
    <t>PALERMO MATERIALES</t>
  </si>
  <si>
    <t>PALMISANO LUCIANO PABLO</t>
  </si>
  <si>
    <t>PAMPA LUNA S.A.</t>
  </si>
  <si>
    <t>PANTYMED S.A</t>
  </si>
  <si>
    <t>PANZER S A</t>
  </si>
  <si>
    <t>PANZITTA HECTOR MIGUEL</t>
  </si>
  <si>
    <t>PAPELERA BERTOLIN</t>
  </si>
  <si>
    <t>PAPELERA RAUL JUAN CORA SA</t>
  </si>
  <si>
    <t>PAPELES EUROPEOS SA</t>
  </si>
  <si>
    <t>PAR  KE GOM SA</t>
  </si>
  <si>
    <t>PARABRISAS BARRANCAS DE BELGRANO S.A.</t>
  </si>
  <si>
    <t>PARAMPARA S.A.</t>
  </si>
  <si>
    <t>PARASCO MARTA ADRIANA</t>
  </si>
  <si>
    <t xml:space="preserve">PARLAPIANO BIBIANA SANDRA </t>
  </si>
  <si>
    <t>PARQUIZAR MANTELECTRIC I.C.I.S.A. - SES  S.A.  U.T.E.</t>
  </si>
  <si>
    <t>PARSON DE ARGENTINA</t>
  </si>
  <si>
    <t xml:space="preserve">PASION DISTRIBUCIONES SRL </t>
  </si>
  <si>
    <t>PASSINI CLAUDIA RUTH</t>
  </si>
  <si>
    <t>PATAGONIA BEVERAGE SRL</t>
  </si>
  <si>
    <t>PATAGONIA STONE S.A</t>
  </si>
  <si>
    <t>PATIÑO LAURA EUGENIA</t>
  </si>
  <si>
    <t>PAZZAGLIA MARIA SUSANA</t>
  </si>
  <si>
    <t>PEACE CITY FACTORY S.R.L.</t>
  </si>
  <si>
    <t>PECHO DORADO</t>
  </si>
  <si>
    <t>PEGRACE S.A.</t>
  </si>
  <si>
    <t>PELUSO DANIELA ANGELICA</t>
  </si>
  <si>
    <t>PENNISI OSVALDO DARIO</t>
  </si>
  <si>
    <t>PENSO CLAUDIO</t>
  </si>
  <si>
    <t>PEÑA HUARITA RICARDO WALBERTO</t>
  </si>
  <si>
    <t>PEPE HUGO DANIEL</t>
  </si>
  <si>
    <t>PEREZ DIAZ MARIO ANGEL ADRIAN</t>
  </si>
  <si>
    <t>PEREZ HUGO JAVIER</t>
  </si>
  <si>
    <t>PEREZ JOSE ANTONIO</t>
  </si>
  <si>
    <t>PEREZ QUESADA LORENZO</t>
  </si>
  <si>
    <t>PEREZ SAEZ JOSE ANTONIO</t>
  </si>
  <si>
    <t xml:space="preserve">PERIK ANTONIO </t>
  </si>
  <si>
    <t>PERIK MARTIN HORACIO</t>
  </si>
  <si>
    <t>PERILLI ALEJANDRO ADRIAN</t>
  </si>
  <si>
    <t>PERRO SALCHICHA S.A.</t>
  </si>
  <si>
    <t>PERSICO FEDERICO CARLOS</t>
  </si>
  <si>
    <t>PERZONALIZACIONES GROUP SA</t>
  </si>
  <si>
    <t xml:space="preserve">PESCHIERA HNOS </t>
  </si>
  <si>
    <t xml:space="preserve">PETIT CABILDO </t>
  </si>
  <si>
    <t>PETLIFE S.A.</t>
  </si>
  <si>
    <t>PETRINI MONICA MERCEDES</t>
  </si>
  <si>
    <t>PIETRUSZKA ALBERTO</t>
  </si>
  <si>
    <t>PILKINGTON AUTOMOTIVE SA</t>
  </si>
  <si>
    <t xml:space="preserve">PINDELEC SA </t>
  </si>
  <si>
    <t>PINILLOS RODOLFO LEONARDO</t>
  </si>
  <si>
    <t>PINTO LEONEL EMILIANO</t>
  </si>
  <si>
    <t>PINTO MARTIN LISANDRO</t>
  </si>
  <si>
    <t>PINTURA Y OBRA S.R.L.</t>
  </si>
  <si>
    <t xml:space="preserve">PINTURERIA REX </t>
  </si>
  <si>
    <t>PINTURERIAS SAGITARIO SA</t>
  </si>
  <si>
    <t>PIPER EDUARDO MIGUEL</t>
  </si>
  <si>
    <t>PIXEL CONSTRUCCIONES S.R.L.</t>
  </si>
  <si>
    <t>PIZZANI PABLO GABRIEL</t>
  </si>
  <si>
    <t>PLASTIFERRO INFRAESTRUCTURA SA</t>
  </si>
  <si>
    <t>POBERAJ SA</t>
  </si>
  <si>
    <t>POLISKY DANIEL HERNAN</t>
  </si>
  <si>
    <t>POLYFILM SRL</t>
  </si>
  <si>
    <t xml:space="preserve">PONCE CLAUDIA GRACIELA </t>
  </si>
  <si>
    <t>PONCE DE LEON</t>
  </si>
  <si>
    <t>POOSH SRL</t>
  </si>
  <si>
    <t>PORFIDO S.R.L.</t>
  </si>
  <si>
    <t>PORTA GUSTAVO Y PORTA M. SH</t>
  </si>
  <si>
    <t>PORTAL SACI</t>
  </si>
  <si>
    <t>POSNET SRL</t>
  </si>
  <si>
    <t>POST MEDIA S.R.L.</t>
  </si>
  <si>
    <t>POTENZA ALEJANDRA CRISTINA</t>
  </si>
  <si>
    <t>PRAMART SRL</t>
  </si>
  <si>
    <t>PRANERS S A</t>
  </si>
  <si>
    <t>PRENTEX</t>
  </si>
  <si>
    <t>PRETE ROSSO SA</t>
  </si>
  <si>
    <t>PRIETO ALFREDO ANTONINO</t>
  </si>
  <si>
    <t>PRIETO PEDRO ALEJANDRO</t>
  </si>
  <si>
    <t>PRINCIPE SRL.</t>
  </si>
  <si>
    <t>PRIND-CO SRL</t>
  </si>
  <si>
    <t>PRIOTTI NANCY MARIA</t>
  </si>
  <si>
    <t>PRO. CA. TA. SRL.</t>
  </si>
  <si>
    <t>PROANALISIS S.A.</t>
  </si>
  <si>
    <t>PROANALISIS SA</t>
  </si>
  <si>
    <t>PRODERA S.A.</t>
  </si>
  <si>
    <t>PRODUCCIONES LA MAQUINA SRL</t>
  </si>
  <si>
    <t>PRODUCIENTO ROPA</t>
  </si>
  <si>
    <t>PRONEW S.A.</t>
  </si>
  <si>
    <t>PROSMARTS S.R.L.</t>
  </si>
  <si>
    <t>PROVEEDORA DE CARNE S.A.</t>
  </si>
  <si>
    <t>PROVEFRIO SRL</t>
  </si>
  <si>
    <t>PROYECCION PUBLICIDAD SRL</t>
  </si>
  <si>
    <t>PROYECTOS DE COMUNICACIONES SA</t>
  </si>
  <si>
    <t>PUCHETA PABLO ANGEL</t>
  </si>
  <si>
    <t>PUEYRREDON 2042</t>
  </si>
  <si>
    <t>PUGLIESE FRANCICSCO PABLO A</t>
  </si>
  <si>
    <t>PUJANTE ALFREDO</t>
  </si>
  <si>
    <t>PUNTO DE FUGA S.R.L.</t>
  </si>
  <si>
    <t>PUNTO HOME S.R.L.</t>
  </si>
  <si>
    <t xml:space="preserve">PYFER SA </t>
  </si>
  <si>
    <t>QACTIONS SYSTEM S.R.L.</t>
  </si>
  <si>
    <t>QUAGLIA EDIT LUJAN</t>
  </si>
  <si>
    <t>QUEIJA S.A.</t>
  </si>
  <si>
    <t>QUIMICA OESTE S.A.</t>
  </si>
  <si>
    <t>QUIROZ NICOLAS ALBERTO</t>
  </si>
  <si>
    <t>QUITO 4242 SRL</t>
  </si>
  <si>
    <t>R LESCANO S R L</t>
  </si>
  <si>
    <t>RABE CRISTIAN ALEJANDRO C</t>
  </si>
  <si>
    <t>RADIC MILENA ELIZABETH</t>
  </si>
  <si>
    <t>RADRIZZANI GABRIELA ALEJANDRA</t>
  </si>
  <si>
    <t>RAFAEL KURZROK</t>
  </si>
  <si>
    <t>RAIMONDI ADRIANA LUISA</t>
  </si>
  <si>
    <t>RAIMONDI HORACIO ANGEL</t>
  </si>
  <si>
    <t>RAKE SA</t>
  </si>
  <si>
    <t>RALDUA SILVIA CECILIA</t>
  </si>
  <si>
    <t>RAMIREZEI SRL</t>
  </si>
  <si>
    <t>RANDO NICOLAS ALBERTO</t>
  </si>
  <si>
    <t>RANDOM SISTEM SRL.</t>
  </si>
  <si>
    <t xml:space="preserve">RAPOSO GERARDO ANSELMO </t>
  </si>
  <si>
    <t>RC RADIOLOGIA CASTELAR SRL</t>
  </si>
  <si>
    <t>RCAVELL S.A.S.</t>
  </si>
  <si>
    <t>RED DE COBRANZAS SA</t>
  </si>
  <si>
    <t>RED DE RECEPTORIAS S.A.</t>
  </si>
  <si>
    <t>REDD S A C I A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</si>
  <si>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</si>
  <si>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</si>
  <si>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</si>
  <si>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</si>
  <si>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</si>
  <si>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</si>
  <si>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>REINADO GONZALO HERNAN</t>
  </si>
  <si>
    <t>REMIBRE SRL</t>
  </si>
  <si>
    <t xml:space="preserve">RENZ ARGENTINA </t>
  </si>
  <si>
    <t>REPETTO MIGUEL</t>
  </si>
  <si>
    <t>REPROFERT SRL</t>
  </si>
  <si>
    <t>REPUESTOS ABC</t>
  </si>
  <si>
    <t>REPUESTOS LA UNIVERSAL S A C I F E I</t>
  </si>
  <si>
    <t>RESTOJESUS S.A.</t>
  </si>
  <si>
    <t>REYCEL S.R.L.</t>
  </si>
  <si>
    <t>RH SH BAZZANO RICARDO Y RAMOS</t>
  </si>
  <si>
    <t>RHEEM SA</t>
  </si>
  <si>
    <t>RIBEIRO S.A.C.I.F.A.</t>
  </si>
  <si>
    <t>RICARDO A.G. DOLDAN ARISTIZABAL</t>
  </si>
  <si>
    <t>RICARDO LEOPOLDO Y ZULMA ARACELI MASCARETTI SOC DE HECHO</t>
  </si>
  <si>
    <t>RICHARDSOON DE HAENEN REMY</t>
  </si>
  <si>
    <t xml:space="preserve">RICHITTO SA </t>
  </si>
  <si>
    <t>RIDIGAS SRL</t>
  </si>
  <si>
    <t>RIMOLI EMILIANO JAVIER</t>
  </si>
  <si>
    <t>RINALDI GERARDO</t>
  </si>
  <si>
    <t>RINGO BS AS S.A.</t>
  </si>
  <si>
    <t>RINGO PUBLICIDAD S.R.L.</t>
  </si>
  <si>
    <t>RIO CHAIN S.R.L.</t>
  </si>
  <si>
    <t xml:space="preserve">RIOS RUBEN ALBERTO </t>
  </si>
  <si>
    <t>RIOTORNO SRL</t>
  </si>
  <si>
    <t>RISSOLAR PILAR S.A.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</si>
  <si>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</si>
  <si>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</si>
  <si>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</si>
  <si>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</si>
  <si>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</si>
  <si>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</si>
  <si>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</si>
  <si>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</si>
  <si>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RODHESAL 96 S A</t>
  </si>
  <si>
    <t>RODOLFO O MEYER</t>
  </si>
  <si>
    <t>RODRIGUEZ JOSE LUIS Y RAFAEL</t>
  </si>
  <si>
    <t>RODRIGUEZ WALTER HERNAN</t>
  </si>
  <si>
    <t>ROGER  WILCO S.R.L.</t>
  </si>
  <si>
    <t>ROLANDI LUCAS MARTIN</t>
  </si>
  <si>
    <t>ROLANDO IVAN LEONEL</t>
  </si>
  <si>
    <t>ROLON JUAN PABLO</t>
  </si>
  <si>
    <t>ROLON LUIS ALBERTO</t>
  </si>
  <si>
    <t>ROMAN CARLOS ANTONIO</t>
  </si>
  <si>
    <t>ROMAN Y TERPIN SH</t>
  </si>
  <si>
    <t>ROMANO LEONARDO ALBERTO</t>
  </si>
  <si>
    <t>ROMARIO S R L</t>
  </si>
  <si>
    <t>ROMARIO S.R.L.</t>
  </si>
  <si>
    <t>ROMERO GRACIELA YOLANDA</t>
  </si>
  <si>
    <t>ROMERO WALTER ALEJANDRO</t>
  </si>
  <si>
    <t>ROSEDAL AUTOMOTORES SRL</t>
  </si>
  <si>
    <t>ROSSO SUSANA BEATRIZ</t>
  </si>
  <si>
    <t>ROWA SA</t>
  </si>
  <si>
    <t>RUD SOLANGE MONICA</t>
  </si>
  <si>
    <t>RUIZ GUSTAVO ANDRES</t>
  </si>
  <si>
    <t>RUIZ LUIS ANGEL</t>
  </si>
  <si>
    <t>RULOLOGOS</t>
  </si>
  <si>
    <t>RUN BAR S.R.L.</t>
  </si>
  <si>
    <t>RUSSO ANALIA Y RUSSO PABLO SH</t>
  </si>
  <si>
    <t>RYDEX SA</t>
  </si>
  <si>
    <t>S A IMPORTADORA Y EXPORTADORA DE LA PATAGONIA</t>
  </si>
  <si>
    <t>S I S CONSTRUCCIONES S A</t>
  </si>
  <si>
    <t>S.A. IMP. Y EXPO.  PATAGONIA</t>
  </si>
  <si>
    <t>SAAD FEDERICO</t>
  </si>
  <si>
    <t>SACHECO SA</t>
  </si>
  <si>
    <t>SADEC</t>
  </si>
  <si>
    <t>SAFE ESTABLECIMIENTO GRAF</t>
  </si>
  <si>
    <t xml:space="preserve">SAINT-GOBAIN </t>
  </si>
  <si>
    <t>SAJNIN CHRISTIAN DARIO</t>
  </si>
  <si>
    <t>SALADILLO S.A.</t>
  </si>
  <si>
    <t>SALMON TROUT SA</t>
  </si>
  <si>
    <t>SALOMON MARIA ELENA</t>
  </si>
  <si>
    <t>SALPARK SRL</t>
  </si>
  <si>
    <t>SALTO DE EJE PRODUCCIONES S.R.L.</t>
  </si>
  <si>
    <t>SALUD TEX S.A</t>
  </si>
  <si>
    <t>SALVADOR 5801 S.A.</t>
  </si>
  <si>
    <t>SALVATIERRA JOSE MARIANO</t>
  </si>
  <si>
    <t>SAN MARCOS E.  S.A.</t>
  </si>
  <si>
    <t>SANABRIA S.A.</t>
  </si>
  <si>
    <t>SANCHEZ DIEGO HERNAN</t>
  </si>
  <si>
    <t xml:space="preserve">SANCHEZ GAMARRA CANDIDA </t>
  </si>
  <si>
    <t>SANCHEZ POMA JOSE</t>
  </si>
  <si>
    <t>SANIOBRAS S.A.</t>
  </si>
  <si>
    <t>SANITARIOS GLOBAL S.A</t>
  </si>
  <si>
    <t>SANITY CARE INTERNACION DOMICILIARIA S.R.L.</t>
  </si>
  <si>
    <t>SANTILLAN LORENZO ANTONIO</t>
  </si>
  <si>
    <t>SANTORO CLAUDIO ALEJANDRO</t>
  </si>
  <si>
    <t>SAPIENZA S.R.L.</t>
  </si>
  <si>
    <t>SARJUR SA</t>
  </si>
  <si>
    <t>SASSAROLI PAULA LILIAN</t>
  </si>
  <si>
    <t>SATRINCHA S.A.</t>
  </si>
  <si>
    <t>SAUBIETTE ANDREA KARINA</t>
  </si>
  <si>
    <t>SAUL JACOBO ARIEL</t>
  </si>
  <si>
    <t>SAUL VICTOR BOROWSKI</t>
  </si>
  <si>
    <t>SC ACONCAGUA S.R.L.</t>
  </si>
  <si>
    <t>SCALA MARIA ANA</t>
  </si>
  <si>
    <t>SCANIA ARGENTINA S A U</t>
  </si>
  <si>
    <t>SCATTOLINI VIVIANA MARCELA</t>
  </si>
  <si>
    <t>SCHIAVONI PABLO MARCELO</t>
  </si>
  <si>
    <t>SCHULZ ALFREDO ANASTACIO</t>
  </si>
  <si>
    <t>SCHURMANN DANIEL RICARDO</t>
  </si>
  <si>
    <t>SCIS SA.</t>
  </si>
  <si>
    <t>SEGGIARO MARCELA ANA</t>
  </si>
  <si>
    <t>SEHOS S.A.</t>
  </si>
  <si>
    <t>SEHOS SA</t>
  </si>
  <si>
    <t>SEINAR S.R.L.</t>
  </si>
  <si>
    <t>SELINA OPERATIONS ARGENTINA S.R.L.</t>
  </si>
  <si>
    <t>SEMICONDUC. Y COMPON. SRL</t>
  </si>
  <si>
    <t>SEMM ACOMPAÑANTES DE SALUD SA</t>
  </si>
  <si>
    <t>SENDECO</t>
  </si>
  <si>
    <t>SENDOYA HECTOR AUGUSTO</t>
  </si>
  <si>
    <t>SERGIO TREPAT AUTOMOVILES S.A.</t>
  </si>
  <si>
    <t>SERV. SALUD MENTAL SRL</t>
  </si>
  <si>
    <t>SERVICIO MEDICO PREVISIONAL</t>
  </si>
  <si>
    <t>SES S.A.</t>
  </si>
  <si>
    <t>SES SA</t>
  </si>
  <si>
    <t>SEVASGO</t>
  </si>
  <si>
    <t>SHELL SA</t>
  </si>
  <si>
    <t>SHIMURA S.A.</t>
  </si>
  <si>
    <t>SHOWPEL SRL</t>
  </si>
  <si>
    <t>SIALLE HECTOR ALEJANDRO</t>
  </si>
  <si>
    <t>SID ANDREA MARCELA</t>
  </si>
  <si>
    <t>SIEBEN LUCRECIA SUSANA</t>
  </si>
  <si>
    <t>SIERRA DEL SUR S A</t>
  </si>
  <si>
    <t>SIGHMA GLOBAL SOLUTIONS S.R.L</t>
  </si>
  <si>
    <t>SILMAR BAZAR</t>
  </si>
  <si>
    <t>SILVA VILLANUEVA MARIO ALEJAN</t>
  </si>
  <si>
    <t>SILVER CROSS AMERICA INC SA</t>
  </si>
  <si>
    <t>SILVESTRI JUAN PABLO</t>
  </si>
  <si>
    <t>SILVESTRIN FABRIS SRL</t>
  </si>
  <si>
    <t>SIMBOLOS PATRIOS S.R.L.</t>
  </si>
  <si>
    <t>SIMMONS DE ARGENTINA SAIC</t>
  </si>
  <si>
    <t>SIMONIAN ALBERTO MARCELO</t>
  </si>
  <si>
    <t>SINCLAIR 2929 SOCIEDAD ANONIMA</t>
  </si>
  <si>
    <t>SIRO SA</t>
  </si>
  <si>
    <t>SISTEMA MEDICO DEL SUR SRL</t>
  </si>
  <si>
    <t>SITZ GERMAN</t>
  </si>
  <si>
    <t>SOBRAL ADRIAN OSCAR</t>
  </si>
  <si>
    <t>SOCIEDAD ARGENTINA DE CARDIOLOGIA</t>
  </si>
  <si>
    <t>SOCIREP SOL SRL</t>
  </si>
  <si>
    <t xml:space="preserve">SODIMAC ARGENTINA </t>
  </si>
  <si>
    <t>SOFISURAUSTRAL S.A.</t>
  </si>
  <si>
    <t>SOJO LUIS RICARDO</t>
  </si>
  <si>
    <t>SOLA CARLOS NORBERTO</t>
  </si>
  <si>
    <t>SOLER 5881 SRL</t>
  </si>
  <si>
    <t>SOLSAN SOCIEDAD ANONIMA</t>
  </si>
  <si>
    <t>SOLUCIONES MULTIMEDIA SA</t>
  </si>
  <si>
    <t>SOMMIERCENTER</t>
  </si>
  <si>
    <t>SOMOZA JUAN JOSE Y PALMA CAR</t>
  </si>
  <si>
    <t>SON DE OESTE S.R.L</t>
  </si>
  <si>
    <t>SOSA MIRIAM DEL CARMEN</t>
  </si>
  <si>
    <t>SOULTEC INDUSTRIAL SRL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</si>
  <si>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</si>
  <si>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</si>
  <si>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</si>
  <si>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</si>
  <si>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</si>
  <si>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</si>
  <si>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>STALTARI ARIEL DOMINGO</t>
  </si>
  <si>
    <t xml:space="preserve">STEIN Y TEICHBERG SA </t>
  </si>
  <si>
    <t>STIGLIANO MATIAS NICOLAS</t>
  </si>
  <si>
    <t>STORANI NELSON LUIS</t>
  </si>
  <si>
    <t>STRAJILEVICH IVAN MAURO</t>
  </si>
  <si>
    <t>STRINGARO</t>
  </si>
  <si>
    <t>SUAREZ FERNANDO EZEQUIEL</t>
  </si>
  <si>
    <t>SUAYA SERGIO EDUARDO</t>
  </si>
  <si>
    <t>SUCAP S.R.L.</t>
  </si>
  <si>
    <t>SUCCEX SRL</t>
  </si>
  <si>
    <t>SUCESION DE FLOMENBAUM RICARDO GREGORIO</t>
  </si>
  <si>
    <t>SUCESION DE GRAZZELLA OSCAR AMBROSIO</t>
  </si>
  <si>
    <t>SUCESION DE RUBIN VICTOR</t>
  </si>
  <si>
    <t>SUCRE 664 S.A.</t>
  </si>
  <si>
    <t>SULAR COMEX SA</t>
  </si>
  <si>
    <t>SULDAL SA</t>
  </si>
  <si>
    <t>SULLIVAN MARIA FABIANA</t>
  </si>
  <si>
    <t xml:space="preserve">SULTANI VICTOR JOSE </t>
  </si>
  <si>
    <t>SUPER NUEVA COLON SRL</t>
  </si>
  <si>
    <t>SUPER RADIO</t>
  </si>
  <si>
    <t>SUPERURBAN PRODUCCIONES S.R.L.</t>
  </si>
  <si>
    <t>SUR LOGISTICA Y DISTRIBUCION</t>
  </si>
  <si>
    <t>SURIANO S.A.</t>
  </si>
  <si>
    <t>SUSHI RECOLETA SOCIEDAD ANONIMA</t>
  </si>
  <si>
    <t>SWISS MEDICAL S.A.</t>
  </si>
  <si>
    <t>SYMONDS SA.</t>
  </si>
  <si>
    <t>SZWARC DIEGO ALEJANDRO</t>
  </si>
  <si>
    <t>TACHELLA ALEJANDRA SILVANA</t>
  </si>
  <si>
    <t>TAMECO S RL</t>
  </si>
  <si>
    <t>TANGO TECHNOLOGIES SA</t>
  </si>
  <si>
    <t>TANQUES ARGENTINOS</t>
  </si>
  <si>
    <t>TARGET MEDICAL SA</t>
  </si>
  <si>
    <t>TARJETA NARANJA SA</t>
  </si>
  <si>
    <t>TARRAT SA</t>
  </si>
  <si>
    <t>TAUYAN</t>
  </si>
  <si>
    <t>TAVERNA GUERRA LEONARDO ANIBAL</t>
  </si>
  <si>
    <t>TCH GROUP S.R.L.</t>
  </si>
  <si>
    <t>TCM TELEF CEL MOVIL</t>
  </si>
  <si>
    <t>TDI AUTOPARTES SRL</t>
  </si>
  <si>
    <t>TEC-ELEV SRL</t>
  </si>
  <si>
    <t>TECNIPRAX S.R.L.</t>
  </si>
  <si>
    <t>TECNOCONS SA</t>
  </si>
  <si>
    <t>TECNOHABITAT SRL</t>
  </si>
  <si>
    <t>TECNOLOGIA ARMK S.A.</t>
  </si>
  <si>
    <t>TECNOPALERMO OBRAS SRL</t>
  </si>
  <si>
    <t>TEKNOVENTILACION SRL</t>
  </si>
  <si>
    <t>TELECOM ARG SA</t>
  </si>
  <si>
    <t>TELEFONICA DE ARG S.A.</t>
  </si>
  <si>
    <t>TELEFONICA MOVILES ARG</t>
  </si>
  <si>
    <t>TELMEX ARGENTINA S.A.</t>
  </si>
  <si>
    <t>TEMPORA S.R.L.</t>
  </si>
  <si>
    <t>TERA SERVICE S.R.L.</t>
  </si>
  <si>
    <t>TERMINACIONES GRAFICAS SA</t>
  </si>
  <si>
    <t>TERRENO FERNANDO ANIVAÑ</t>
  </si>
  <si>
    <t>TERTIUS S.A.</t>
  </si>
  <si>
    <t>TEXEIRA JORGE</t>
  </si>
  <si>
    <t>TEXTIL ESPARTILLO SA.</t>
  </si>
  <si>
    <t>TEXTIL PANDA S.A.</t>
  </si>
  <si>
    <t xml:space="preserve">TEXTIL ROCK SRL </t>
  </si>
  <si>
    <t>TEXTIL TRIUNVIRATO SH DE MAUAS Y SOUSSE</t>
  </si>
  <si>
    <t>TG PLAST S.R.L.</t>
  </si>
  <si>
    <t>THAMES  1564 S.A.</t>
  </si>
  <si>
    <t>THAMES 1564 S.A.</t>
  </si>
  <si>
    <t>THAMES 2160 SRL</t>
  </si>
  <si>
    <t>THAMES 2450 S.R.L.</t>
  </si>
  <si>
    <t>THAMES CLP SRL</t>
  </si>
  <si>
    <t>THE BAPLAN S.R.L.</t>
  </si>
  <si>
    <t>THE SAVER S.R.L.</t>
  </si>
  <si>
    <t>THE STEAKHAUSE S.A.</t>
  </si>
  <si>
    <t>THE WHY FACTORY SA</t>
  </si>
  <si>
    <t>THEAGAS S.A.</t>
  </si>
  <si>
    <t>TIO MUSA S.A.</t>
  </si>
  <si>
    <t>TIRRENIA S.R.L.</t>
  </si>
  <si>
    <t>TIVIROLI CARLOS MARIANO</t>
  </si>
  <si>
    <t>TLON INVERSIONES SA</t>
  </si>
  <si>
    <t>TOAGRA SRL</t>
  </si>
  <si>
    <t>TODO COPIA S.A.</t>
  </si>
  <si>
    <t xml:space="preserve">TODO COPIA SA </t>
  </si>
  <si>
    <t>TODO EMBALAJE SRL</t>
  </si>
  <si>
    <t>TOKIO NIKKEI S.R.L.</t>
  </si>
  <si>
    <t>TONKA S.A.</t>
  </si>
  <si>
    <t>TORNARE SOCIEDAD ANONINA</t>
  </si>
  <si>
    <t>TORREZ GONZALEZ JUAN BLAS</t>
  </si>
  <si>
    <t>TOUAREG. S.A.</t>
  </si>
  <si>
    <t>TOURS AUTOMOTORES S.A</t>
  </si>
  <si>
    <t xml:space="preserve">TOY STORE SA </t>
  </si>
  <si>
    <t>TRABAJ DE ENTIDADES DEPORTIVAS</t>
  </si>
  <si>
    <t xml:space="preserve">TRAFE SUDAMERICANA SA </t>
  </si>
  <si>
    <t>TRANSAMERICA TRANSPORTES SA</t>
  </si>
  <si>
    <t>TRANSLICEO S.R.L.</t>
  </si>
  <si>
    <t>TRANSPALET S.A.</t>
  </si>
  <si>
    <t>TRANSPETROL S.A.</t>
  </si>
  <si>
    <t>TRANSPORTE CO-BA SOCIEDAD ANONIMA</t>
  </si>
  <si>
    <t>TRANSPORTES A4 SA</t>
  </si>
  <si>
    <t>TRANSPÓRTES DEL SUR</t>
  </si>
  <si>
    <t>TREPTOW S.A.</t>
  </si>
  <si>
    <t>TRES MULAS S.R.L.</t>
  </si>
  <si>
    <t>TRESBIEN S.R.L.</t>
  </si>
  <si>
    <t>TRIANGLE SCA</t>
  </si>
  <si>
    <t>TRIBER SA</t>
  </si>
  <si>
    <t>TRIKEN SRL</t>
  </si>
  <si>
    <t>TRIPAILA CLAUDIA ELIZABETH</t>
  </si>
  <si>
    <t>TRIPOLI FERNANDO JULIAN</t>
  </si>
  <si>
    <t>TRONCOSO VALERIA</t>
  </si>
  <si>
    <t>TRUFFA JORGE GUSTAVO</t>
  </si>
  <si>
    <t>TRUST S.R.L.</t>
  </si>
  <si>
    <t>TRUSTY SRL</t>
  </si>
  <si>
    <t>TST S.A</t>
  </si>
  <si>
    <t>TWENTY ILUMINACION SRL</t>
  </si>
  <si>
    <t>TWINLOK ABROJO</t>
  </si>
  <si>
    <t>UDG SRL</t>
  </si>
  <si>
    <t>UNIFORMES SA</t>
  </si>
  <si>
    <t>UNIMACO SA</t>
  </si>
  <si>
    <t>UNION AGRICOLA DE AVELALNEDA COOP LTDA</t>
  </si>
  <si>
    <t>UNIVERSALIS S.A</t>
  </si>
  <si>
    <t>UNIVERSALIS S.A.</t>
  </si>
  <si>
    <t>URBANA CENTROS COMERCIALES S A</t>
  </si>
  <si>
    <t>URBANO - COCINA AMERICANA</t>
  </si>
  <si>
    <t>URBECO ECOLOGIA URBANA S.R.L.</t>
  </si>
  <si>
    <t>URIARTE 1648 S.A.</t>
  </si>
  <si>
    <t>URIARTE TALDEA</t>
  </si>
  <si>
    <t>USINA DE PALERMO S.R.L. - EN FORMACION</t>
  </si>
  <si>
    <t>VACA MAURO CARLOS</t>
  </si>
  <si>
    <t>VAL ROD SRL</t>
  </si>
  <si>
    <t>VALEROS PABLO ROBERTO</t>
  </si>
  <si>
    <t>VALIÑO JAVIER MARIO</t>
  </si>
  <si>
    <t>VALLERO RICARDO PABLO</t>
  </si>
  <si>
    <t>VANNELLI CESAR</t>
  </si>
  <si>
    <t>VARONE CLAUDIO</t>
  </si>
  <si>
    <t>VARONE JAVIER RICARDO</t>
  </si>
  <si>
    <t>VASSALLO CARLOS ALBERTO</t>
  </si>
  <si>
    <t>VASSER SA</t>
  </si>
  <si>
    <t xml:space="preserve">VAZQUEZ FERNANDEZ CARMEN </t>
  </si>
  <si>
    <t>VAZQUEZ GRACIELA ALICIA</t>
  </si>
  <si>
    <t>VEGA NELIDA LUCIA</t>
  </si>
  <si>
    <t>VEGLIENZONE SANTIAGO OMAR</t>
  </si>
  <si>
    <t xml:space="preserve">VELAS DE LA BALLENA S.R.L. </t>
  </si>
  <si>
    <t>VELEZ CLAUDIA ALEJANDRA</t>
  </si>
  <si>
    <t>VELEZ FERNANDO ARIEL</t>
  </si>
  <si>
    <t>VELIZ MARCELO</t>
  </si>
  <si>
    <t>VELIZY</t>
  </si>
  <si>
    <t>VELLEGAL ANA MARIA</t>
  </si>
  <si>
    <t>VENDITTO NORMA BEATRIZ</t>
  </si>
  <si>
    <t>VENIDIA SA</t>
  </si>
  <si>
    <t>VENTO HUGO GABRIEL</t>
  </si>
  <si>
    <t>VENTURA EDMUNDO ALBERTO</t>
  </si>
  <si>
    <t>VERA RICARDO</t>
  </si>
  <si>
    <t>VERBA GERMAN WALTER</t>
  </si>
  <si>
    <t>VERGARA BARRIOS OSVALDO</t>
  </si>
  <si>
    <t>VERGARA CombustibeS SRL</t>
  </si>
  <si>
    <t>VERTOLINI NORBERTO LUIS</t>
  </si>
  <si>
    <t>VETERINARIA JUAREZ</t>
  </si>
  <si>
    <t>VETKIOSK S.A.S.</t>
  </si>
  <si>
    <t>VIA BARILOCHE SA</t>
  </si>
  <si>
    <t>VIA CARGO SA</t>
  </si>
  <si>
    <t>VICENTE BONGIOVANNI</t>
  </si>
  <si>
    <t>VICTOR HERNAN PAZZI</t>
  </si>
  <si>
    <t>VICTORIANO 1925 S.R.L.</t>
  </si>
  <si>
    <t>VIDA ZEN S.R.L.</t>
  </si>
  <si>
    <t>VIEGAS GABRIELA LAURA</t>
  </si>
  <si>
    <t>VIGILAR SRL</t>
  </si>
  <si>
    <t>VILLALBA ALBER</t>
  </si>
  <si>
    <t>VILLALBA GONZALEZ HUGO ANTONIO</t>
  </si>
  <si>
    <t>VILLANI DIEGO HORACIO JOSE</t>
  </si>
  <si>
    <t>VILLANUEVA ISIDRO ROGELIO</t>
  </si>
  <si>
    <t>VILLAR BALBINO</t>
  </si>
  <si>
    <t>VILLAREAL MARTIN MIGUEL</t>
  </si>
  <si>
    <t>VINOUTIQUE SRL</t>
  </si>
  <si>
    <t>VIOLA RAUL JULIO</t>
  </si>
  <si>
    <t>VISA JOSE RENE</t>
  </si>
  <si>
    <t>VISION 101 SA</t>
  </si>
  <si>
    <t>VISION PILAR</t>
  </si>
  <si>
    <t>VISION TECNOLOGIA SA</t>
  </si>
  <si>
    <t>VITASSE EDITH GRACIELA</t>
  </si>
  <si>
    <t>VIVACQUA DIEGO HORACIO</t>
  </si>
  <si>
    <t xml:space="preserve">VIVIANA ARACELI PERALTA </t>
  </si>
  <si>
    <t>VIYILANT SRL</t>
  </si>
  <si>
    <t>VOCOBELLI SEBASTIAN FEDERICO</t>
  </si>
  <si>
    <t>VOLONTERI MARTIN</t>
  </si>
  <si>
    <t>VOSTOKE CONSTRUC SA</t>
  </si>
  <si>
    <t>VOTIONIS S.A</t>
  </si>
  <si>
    <t>VPR CONSTRUCCIONES S.R.L.</t>
  </si>
  <si>
    <t>VTV METROPOLITANA SA</t>
  </si>
  <si>
    <t>WAINMANN PABLO MARIANO</t>
  </si>
  <si>
    <t>WAINSZTOK DARIO JAVIER</t>
  </si>
  <si>
    <t>WALLCOMS S A</t>
  </si>
  <si>
    <t>WANOMO S.A.</t>
  </si>
  <si>
    <t>WANSCHELBAUM MARIANO</t>
  </si>
  <si>
    <t>WARRIOR S.R.L.</t>
  </si>
  <si>
    <t>WASI CONSTRUCCIONES S.R.L.</t>
  </si>
  <si>
    <t>WAY COMPUTER S.R.L.</t>
  </si>
  <si>
    <t>WESTAFLEX SA ARGENTINA</t>
  </si>
  <si>
    <t>WILLA ENRIQUE</t>
  </si>
  <si>
    <t>WOCH S.A.</t>
  </si>
  <si>
    <t>WRIGHT FERNANDEZ URSINI SA</t>
  </si>
  <si>
    <t>YAGMOUR SRL</t>
  </si>
  <si>
    <t>YAPAY SRL</t>
  </si>
  <si>
    <t>YELLOW ZONE S A</t>
  </si>
  <si>
    <t>YELMO SILVIA MARINA</t>
  </si>
  <si>
    <t>YOCARANT S.A.</t>
  </si>
  <si>
    <t>YPF SA</t>
  </si>
  <si>
    <t>YURREBASO NATALIA GISELE</t>
  </si>
  <si>
    <t>ZABALETA GUILLERMO ORLANDO</t>
  </si>
  <si>
    <t>ZACSEK LUCAS EZEQUIEL</t>
  </si>
  <si>
    <t xml:space="preserve">ZALAZAR DISTRIBUIDORA </t>
  </si>
  <si>
    <t>ZANCHETTI</t>
  </si>
  <si>
    <t>ZEITPLAN</t>
  </si>
  <si>
    <t>ZERO29 S.A.S.</t>
  </si>
  <si>
    <t>ZOGBI NEMTALA JOSE JESUS</t>
  </si>
  <si>
    <t>Anibal Angel</t>
  </si>
  <si>
    <t>RITACCO RODRIGO</t>
  </si>
  <si>
    <t>CHAMORRO MANUEL</t>
  </si>
  <si>
    <t>AUTOPISTAS DE BS AS</t>
  </si>
  <si>
    <t>NIMUR RSL</t>
  </si>
  <si>
    <t>QUINTEROS EMANUEL</t>
  </si>
  <si>
    <t>PETROLFE SA</t>
  </si>
  <si>
    <t>MARAUDA HECTOR</t>
  </si>
  <si>
    <t>GNC AU VILLA MARIA SRL</t>
  </si>
  <si>
    <t>INCAT SRL</t>
  </si>
  <si>
    <t>GLASCAR S.A.C.I.F E I </t>
  </si>
  <si>
    <t>FACTURAS C/B</t>
  </si>
  <si>
    <t>NEUMACENTER</t>
  </si>
  <si>
    <t>COMERCIALIZADORA DE BEBIDAS SRL</t>
  </si>
  <si>
    <t>EXPOESTETICA</t>
  </si>
  <si>
    <t>JANEIRO VERONICA BELEN</t>
  </si>
  <si>
    <t>VABARLIN</t>
  </si>
  <si>
    <t>MEGAENVASES</t>
  </si>
  <si>
    <t>LIBRERÍA CARABELAS</t>
  </si>
  <si>
    <t>HOKAMA SERGIO ENRIQUE</t>
  </si>
  <si>
    <t>H UNO 1469 S.A.</t>
  </si>
  <si>
    <t>BAUDONE ANTONELLA AGOSTINA</t>
  </si>
  <si>
    <t>INGRASSIA PABLO CHRISTIAN</t>
  </si>
  <si>
    <t>TRIPODI MAURO EMMANUEL</t>
  </si>
  <si>
    <t>FARRAPEIRA OSCAR MAXIMO</t>
  </si>
  <si>
    <t>PETRO ARG SRL</t>
  </si>
  <si>
    <t>Aromatica SA</t>
  </si>
  <si>
    <t>MEDILEA S.A.</t>
  </si>
  <si>
    <t xml:space="preserve">MICHAEL MARTIN FLORES HUAYRA </t>
  </si>
  <si>
    <t>Plasticos Salta</t>
  </si>
  <si>
    <t xml:space="preserve">DOMINGO MONTORRO </t>
  </si>
  <si>
    <t xml:space="preserve">PARADISO ESTEBAN DAMIAN </t>
  </si>
  <si>
    <t>Tecnimar SRL</t>
  </si>
  <si>
    <t>INFOSOL.COM</t>
  </si>
  <si>
    <t xml:space="preserve">FIBERTEL </t>
  </si>
  <si>
    <t>Codac SRL</t>
  </si>
  <si>
    <t>Petrolfe S.A.</t>
  </si>
  <si>
    <t xml:space="preserve">Repetto Maria Fernanda </t>
  </si>
  <si>
    <t>NUAGE SYSTEMS S.A</t>
  </si>
  <si>
    <t>ENSAMBLE GRAFICO S.H.</t>
  </si>
  <si>
    <t>Empresa Distribuidora Sur S.A.</t>
  </si>
  <si>
    <t>Abraldes Diego Roberto</t>
  </si>
  <si>
    <t>Mizrahi Julian Federico</t>
  </si>
  <si>
    <t>Grafica y Fotograbados La Plaza SRL</t>
  </si>
  <si>
    <t>NOVACHEM SRL</t>
  </si>
  <si>
    <t>TELECOM ARGENTINA S.A.</t>
  </si>
  <si>
    <t>Ingrassia Pablo Christian</t>
  </si>
  <si>
    <t>Mega Envases S.A.</t>
  </si>
  <si>
    <t xml:space="preserve">EDENOR </t>
  </si>
  <si>
    <t>DEHEZA S.A.I.C.F. e I.</t>
  </si>
  <si>
    <t>ROMERO EMILIO</t>
  </si>
  <si>
    <t>Telefonica de Argentina S.A.</t>
  </si>
  <si>
    <t xml:space="preserve">GLASCAR </t>
  </si>
  <si>
    <t>TELECENTRO S.A.</t>
  </si>
  <si>
    <t>AYSA S.A</t>
  </si>
  <si>
    <t>H Uno 1469 S.A.</t>
  </si>
  <si>
    <t>Expoestetica</t>
  </si>
  <si>
    <t xml:space="preserve">OCAÑO ENRIQUE </t>
  </si>
  <si>
    <t>PACCOR ANGEL LUIS</t>
  </si>
  <si>
    <t>CENTURION, Maria</t>
  </si>
  <si>
    <t>KIKA COSMETICA</t>
  </si>
  <si>
    <t>Lorena Fernandez Chipre</t>
  </si>
  <si>
    <t>Parodi Claudio Omar</t>
  </si>
  <si>
    <t>KORE S.A.</t>
  </si>
  <si>
    <t>VANINA ANABELLA ECHENIQUE</t>
  </si>
  <si>
    <t>EUROCOSMETICA S.A.</t>
  </si>
  <si>
    <t>MILANO SA</t>
  </si>
  <si>
    <t>Espacio Fem</t>
  </si>
  <si>
    <t>BIEN MUJER</t>
  </si>
  <si>
    <t>Vazquez Lorena Veronica</t>
  </si>
  <si>
    <t>Sociedad calvi y Fernandez sociedad ley 19750</t>
  </si>
  <si>
    <t>CASTIGLIA, PAULINA (ESTUDIANTE)</t>
  </si>
  <si>
    <t>PARDO, ELIZABETH (ALUMNA)</t>
  </si>
  <si>
    <t>ALDAY,TAMARA (ALUMNA)</t>
  </si>
  <si>
    <t>DI GIUSEPPE , ALEJANDRA</t>
  </si>
  <si>
    <t>CABRAL, ELIZABETH NOEMI</t>
  </si>
  <si>
    <t>LOPEZ ORTIZ,Erika</t>
  </si>
  <si>
    <t>PINO,ROMINA</t>
  </si>
  <si>
    <t>Prester,YANEL (ALUMNA)</t>
  </si>
  <si>
    <t>NARVAEZ, ANA MARIA (ALUMNA)</t>
  </si>
  <si>
    <t>RIVARA,Ayelen</t>
  </si>
  <si>
    <t>PEREZ CRUZ,MILAGROS (alumna)</t>
  </si>
  <si>
    <t>MORENO PICARDO, SOFIA (alumna)</t>
  </si>
  <si>
    <t>CHIARITO, JESSICA DANIELA (ALUMNA)</t>
  </si>
  <si>
    <t>OLIVA,SANDRA</t>
  </si>
  <si>
    <t>SISTI,Micaela</t>
  </si>
  <si>
    <t>SANTAMARIA, MARIA EUGENIA</t>
  </si>
  <si>
    <t>FRANCK,maria elena</t>
  </si>
  <si>
    <t>PEREYRA , MARIA LAURA (ALUMNA)</t>
  </si>
  <si>
    <t>Concettoni,Norma</t>
  </si>
  <si>
    <t>SANTANA,Norma</t>
  </si>
  <si>
    <t>GOROSITO,SILVIA ALEJANDRA</t>
  </si>
  <si>
    <t>ARRIAGADA , ALEJANDRA (ESTUDIANTE)</t>
  </si>
  <si>
    <t>ARCEIZ,NOELIA</t>
  </si>
  <si>
    <t>JULIAN,Gimena</t>
  </si>
  <si>
    <t>SUAREZ, LAURA VERONICA</t>
  </si>
  <si>
    <t>GAIDO, SILVIA EDITH</t>
  </si>
  <si>
    <t>PAEZ, ANDREA VERONICA</t>
  </si>
  <si>
    <t>DEZA, GABRIELA</t>
  </si>
  <si>
    <t>CABRERA, TERESA</t>
  </si>
  <si>
    <t>GONZALEZ, MABEL</t>
  </si>
  <si>
    <t>VARGAS,Myriam</t>
  </si>
  <si>
    <t>FERRANTE, MARIELA BARBARA</t>
  </si>
  <si>
    <t>AZALOT, BELEN (alumna)</t>
  </si>
  <si>
    <t>ESQUIVEL,Ines Solange (alumna)</t>
  </si>
  <si>
    <t>RODRIGUEZ, SOLEDAD</t>
  </si>
  <si>
    <t>RIVERO, LORENA (ALUMNA)</t>
  </si>
  <si>
    <t>CARLETTI, MARIELA ANDREA (ESTUDIANTE)</t>
  </si>
  <si>
    <t>AGUILAR,MICAELA (ALUMNA)</t>
  </si>
  <si>
    <t>VARGAS, VERONICA FABIOLA (ALUMNA)</t>
  </si>
  <si>
    <t>BALDINI, VICTORIA (ALUMNA)</t>
  </si>
  <si>
    <t>ARENAS, VERONICA (alumna)</t>
  </si>
  <si>
    <t>CACERES, CARLA GIMENA</t>
  </si>
  <si>
    <t>VILLEGAS GLADYS</t>
  </si>
  <si>
    <t>CABRERA, MAYRA( ALUMNA)</t>
  </si>
  <si>
    <t>DALMAZZO,Adriana</t>
  </si>
  <si>
    <t>Dominguez, Jimena (alumna)</t>
  </si>
  <si>
    <t>RODRIGUEZ,Beatriz ana</t>
  </si>
  <si>
    <t>FERNANDEZ,Maria Viviana</t>
  </si>
  <si>
    <t>CACERES , EDITH</t>
  </si>
  <si>
    <t>DE LA LAMA,MARIA SOLEDAD</t>
  </si>
  <si>
    <t>CAROLINI, CLAUDIA ANDREA</t>
  </si>
  <si>
    <t>MARTINEZ, ALICIA NOEMI</t>
  </si>
  <si>
    <t>SOTO,Claudia noemi</t>
  </si>
  <si>
    <t>AGUERO, PATRICIA CLAUDIA</t>
  </si>
  <si>
    <t>ARELLIANO,MAGALI</t>
  </si>
  <si>
    <t>BRITEZ,Brenda Johanna</t>
  </si>
  <si>
    <t>BOLSI,Vanina</t>
  </si>
  <si>
    <t>VILLALBA, DEBORA PAULA (ALUMNA)</t>
  </si>
  <si>
    <t>BURSIK,Norma</t>
  </si>
  <si>
    <t>Cabrera,Romina Elizabeth</t>
  </si>
  <si>
    <t>BENTANCOURT,SARA SOLEDAD</t>
  </si>
  <si>
    <t>MENSI,ANA</t>
  </si>
  <si>
    <t>BRITOS DEL VALLE, DALMI</t>
  </si>
  <si>
    <t>ADAD, NADIA (ALUMNA)</t>
  </si>
  <si>
    <t>AGNOLETTO, ANABELLA NATALIA</t>
  </si>
  <si>
    <t>ESCALANTE,LELIA</t>
  </si>
  <si>
    <t>MENDOZA,Griselda Dora</t>
  </si>
  <si>
    <t>CORONEL,VERONICA SILVANA</t>
  </si>
  <si>
    <t>SORIA, AYLEN CAMILA (ALUMNA)</t>
  </si>
  <si>
    <t>MARQUEZ, MAYRA (alumna)</t>
  </si>
  <si>
    <t>STRAGIA,Cintia Romina</t>
  </si>
  <si>
    <t>Ramirez Orue , Fabiana Beatriz</t>
  </si>
  <si>
    <t>SALATINO, ROMINA</t>
  </si>
  <si>
    <t>PRADA,MARCIA EDITH</t>
  </si>
  <si>
    <t>VARGA,Maria Veronica</t>
  </si>
  <si>
    <t>AIMI,Gabriela</t>
  </si>
  <si>
    <t>LEGISAMON,Mariela</t>
  </si>
  <si>
    <t>GOMEZ,Griselda graciela</t>
  </si>
  <si>
    <t>LOPEZ, EVELYN AYELEN (ESTUDIANTE)</t>
  </si>
  <si>
    <t>AGOSTINI, SILVIA (ALUMNA)</t>
  </si>
  <si>
    <t>ALEGRE, MICAELA (ALUMNA)</t>
  </si>
  <si>
    <t>GRIMALT,Isabel Raquel</t>
  </si>
  <si>
    <t>SANTACRUZ, LARISA GIMENA</t>
  </si>
  <si>
    <t>MONTIEL,Ana Laura</t>
  </si>
  <si>
    <t>VIEGAS, LORENA (ALUMNA)</t>
  </si>
  <si>
    <t>GONGORA,Alicia</t>
  </si>
  <si>
    <t>VIVEROS, Nelida Maciel</t>
  </si>
  <si>
    <t>VICENTE, ANDREA</t>
  </si>
  <si>
    <t>ANDREALLO, ANA ALICIA (ALUMNA)</t>
  </si>
  <si>
    <t>SOSA,FLORENCIA</t>
  </si>
  <si>
    <t>DAMICO, MARIA EUGENIA</t>
  </si>
  <si>
    <t>PINO, ROMINA (ALUMNA)</t>
  </si>
  <si>
    <t>FARIAS,SANDRA</t>
  </si>
  <si>
    <t>AGUIRRE, ARGENTINA BEATRIZ</t>
  </si>
  <si>
    <t>MICHEL, SILVIA</t>
  </si>
  <si>
    <t>LOPEZ,Sandra</t>
  </si>
  <si>
    <t>BRITES, DOLORES (alumna)</t>
  </si>
  <si>
    <t>AGUIAR, MARISA</t>
  </si>
  <si>
    <t>VOLPI, VALERIA</t>
  </si>
  <si>
    <t>FABRIS,MARIA CANDELA</t>
  </si>
  <si>
    <t>MARTINEZ,ROMINA MARIANA</t>
  </si>
  <si>
    <t>DI LUCA, MARIA YOLANDA</t>
  </si>
  <si>
    <t>PEREZ, ADRIANA MYRIAM</t>
  </si>
  <si>
    <t>FALCONE, CECILIA (estudiante)</t>
  </si>
  <si>
    <t>TABORDA,CAROLINA (ALUMNA)</t>
  </si>
  <si>
    <t>BASUALDO, PRISCILA MELANIE  (ESTUDIANTE)</t>
  </si>
  <si>
    <t>EURO BOLUMBURU, MARIA FERNANDA</t>
  </si>
  <si>
    <t>GOMEZ,Amalia Beatriz</t>
  </si>
  <si>
    <t>GENOUD,Cristina</t>
  </si>
  <si>
    <t>PELOSI, MARIA GABRIELA</t>
  </si>
  <si>
    <t>BALMACEDA,NATALIA LORENA</t>
  </si>
  <si>
    <t>VONDER HEIDE, MARIBEL ROSANA (ALUMNA)</t>
  </si>
  <si>
    <t>PONTE, IRMA</t>
  </si>
  <si>
    <t>ALONSO , LIDIA ELENA</t>
  </si>
  <si>
    <t>ROSSI, YANINA(alumna)</t>
  </si>
  <si>
    <t>LOPEZ, CHIARA SOFIA (ALUMNA)</t>
  </si>
  <si>
    <t>PERUGINI, MARIA FLORENCIA (ALUMNA)</t>
  </si>
  <si>
    <t>BALDEZ,Lucia Enriqueta (ALUMNA)</t>
  </si>
  <si>
    <t>ACOSTA , MARIA LAURA</t>
  </si>
  <si>
    <t>MARTINEZ , SILVIA BEATRIZ</t>
  </si>
  <si>
    <t>MONTENEGRO,LEONOR</t>
  </si>
  <si>
    <t>DA PIEVE, DANIELA (ALUMNA)</t>
  </si>
  <si>
    <t>LOUREIRO GUERRERO, NADIA BELEN (ALUMNA)</t>
  </si>
  <si>
    <t>DE ANGELIS, AYELEN GIULIANA (alumna)</t>
  </si>
  <si>
    <t>GRABORICKI,Patricia</t>
  </si>
  <si>
    <t>PILE, LUCERO MARIELA</t>
  </si>
  <si>
    <t>ESCOBAR, JESSICA GISELE (ALUMNA)</t>
  </si>
  <si>
    <t>MARTINEZ, RITA</t>
  </si>
  <si>
    <t>RAFFANELLI,Mirta</t>
  </si>
  <si>
    <t>DI GIOVINE,MARISA</t>
  </si>
  <si>
    <t>DEAMBROGIO,Norma Helga</t>
  </si>
  <si>
    <t>PERALTA, LILIAN CELESTE (ALUMNA)</t>
  </si>
  <si>
    <t>CAMPANA,Monica</t>
  </si>
  <si>
    <t>TOBIAS,KARINA VIVIANA</t>
  </si>
  <si>
    <t>GRADE, CARLA</t>
  </si>
  <si>
    <t>PEREZ,  MIRIAM</t>
  </si>
  <si>
    <t>TUNDIS , AIDA</t>
  </si>
  <si>
    <t>PERALTA,Maria Sandra</t>
  </si>
  <si>
    <t>FLORES, LISANDRA</t>
  </si>
  <si>
    <t>KESSLER, MARIA LORENA</t>
  </si>
  <si>
    <t>JIMENEZ, MARIANNY</t>
  </si>
  <si>
    <t>SANCHEZ,Marcela</t>
  </si>
  <si>
    <t>CAMPO, CECILIA (ALUMNA)</t>
  </si>
  <si>
    <t>RUIZ DIAZ, SILVANA</t>
  </si>
  <si>
    <t>DIAZ,Natalia Elena</t>
  </si>
  <si>
    <t>MENDEZ BELLA, MARIA DOLORES</t>
  </si>
  <si>
    <t>ALVAREZ,NATALIA</t>
  </si>
  <si>
    <t>HABERKORN, ROMINA VERONICA</t>
  </si>
  <si>
    <t>OLIVA, ROMINA (ESTUDIANTE)</t>
  </si>
  <si>
    <t>VILLALBA, LOANA CINTIA</t>
  </si>
  <si>
    <t>CABANA,MARISOL</t>
  </si>
  <si>
    <t>MAMAN , MAIA</t>
  </si>
  <si>
    <t>MORALES,Nancy</t>
  </si>
  <si>
    <t>MUÑOZ, ROCIO</t>
  </si>
  <si>
    <t>MUÑOZ,Carolina</t>
  </si>
  <si>
    <t>CAÑOS,Olga Beatriz</t>
  </si>
  <si>
    <t>NUÑOZ,Maria Julieta</t>
  </si>
  <si>
    <t>NUÑOZ, ANDREA</t>
  </si>
  <si>
    <t>SEBASTIAN GERCOVICH Y PABLO PONCE</t>
  </si>
  <si>
    <t>INDUSTRIAS PLASTICOS SALTA S.R.L.</t>
  </si>
  <si>
    <t>OCAÑO ENRIQUE</t>
  </si>
  <si>
    <t>CODAC SRL</t>
  </si>
  <si>
    <t>VABAR LIN SRL</t>
  </si>
  <si>
    <t>DIA ARGENTINA S A</t>
  </si>
  <si>
    <t>TECNIMAR S R L</t>
  </si>
  <si>
    <t>TRESEX S R L</t>
  </si>
  <si>
    <t>AUTOPISTAS DE BUENOS AIRES (AUBASA) SA</t>
  </si>
  <si>
    <t>MIJORMI SOCIEDAD DE RESPONSABILIDAD LIMITADA</t>
  </si>
  <si>
    <t>MONTORRO DOMINGO</t>
  </si>
  <si>
    <t>FRAVEGA S A C I E I</t>
  </si>
  <si>
    <t>GRUPO CONCESIONARIO DEL OESTE SA</t>
  </si>
  <si>
    <t>AROMATICA S.A.</t>
  </si>
  <si>
    <t>AUTOPISTAS URBANAS S A</t>
  </si>
  <si>
    <t>TELEFONICA DE ARGENTINA SA</t>
  </si>
  <si>
    <t>CORREO OFICIAL DE LA REPUBLICA ARGENTINA SOCIEDAD ANONIMA</t>
  </si>
  <si>
    <t>COTO CENTRO INTEGRAL DE COMERCIALIZACION SOCIEDAD ANONIMA</t>
  </si>
  <si>
    <t>AUTOPISTAS DEL SOL S A</t>
  </si>
  <si>
    <t>SACADAS DE AFIP</t>
  </si>
  <si>
    <t>VER DETALLE</t>
  </si>
  <si>
    <t>INFOSOL BUENOS AIRES S.R.L.</t>
  </si>
  <si>
    <t>NICOLOSI AUGUSTO ALEJANDRO</t>
  </si>
  <si>
    <t>D M H S A</t>
  </si>
  <si>
    <t>REPETTO MARIA FERNANDA</t>
  </si>
  <si>
    <t>BATTELLINI MARIA SOLEDAD</t>
  </si>
  <si>
    <t>IAMBAR S.R.L</t>
  </si>
  <si>
    <t>ABRALDES DIEGO ROBERTO</t>
  </si>
  <si>
    <t>VIGABRIEL JONATAN ARTURO</t>
  </si>
  <si>
    <t>MIZRAHI JULIAN FEDERICO</t>
  </si>
  <si>
    <t>NACACH SION ANDRES</t>
  </si>
  <si>
    <t>NOVACHEM S R L</t>
  </si>
  <si>
    <t>GRAFICA Y FOTOGRABADOS LA PLAZA S.R.L.</t>
  </si>
  <si>
    <t>LUPONE ALBANO SEBASTIAN</t>
  </si>
  <si>
    <t>AUTOGEN S.A.</t>
  </si>
  <si>
    <t>PROYECTO ELECTRICO S.R.L</t>
  </si>
  <si>
    <t>EL INSUMO S.R.L.</t>
  </si>
  <si>
    <t>CARNICA DEL NORTE S.R.L.</t>
  </si>
  <si>
    <t>MEGAENVASES SA</t>
  </si>
  <si>
    <t>EL CACIQUE LIMPIEZA SRL</t>
  </si>
  <si>
    <t>SASSON ALBERTO,SASSON MAURICIO ENRIQUE, SASSON EMILIA NADIA</t>
  </si>
  <si>
    <t>OPERADORA DE ESTACIONES DE SERVICIOS SA</t>
  </si>
  <si>
    <t>TELECOM ARGENTINA SOCIEDAD ANONIMA</t>
  </si>
  <si>
    <t>SPEED BUSINESS S. A.</t>
  </si>
  <si>
    <t>VACCARI DARIO</t>
  </si>
  <si>
    <t>PARADISO ESTEBAN DAMIAN</t>
  </si>
  <si>
    <t>COORDINACION ECOLOGICA AREA METROPOLITANA SOCIEDAD DEL ESTADO</t>
  </si>
  <si>
    <t>ARBIT MARIA FLOR</t>
  </si>
  <si>
    <t>CORREDORES VIALES SOCIEDAD ANONIMA</t>
  </si>
  <si>
    <t>CARRERA VICTORIA</t>
  </si>
  <si>
    <t>STENFAR S.A. INDUSTRIAL COMERCIAL IMP. Y EXP.</t>
  </si>
  <si>
    <t>CAFFARATTI ROMINA PAOLA</t>
  </si>
  <si>
    <t>REUS JORGE DIEGO</t>
  </si>
  <si>
    <t>FONTENLA ERNESTO MARIO</t>
  </si>
  <si>
    <t xml:space="preserve">GATUVIA </t>
  </si>
  <si>
    <t>IMPIERI PIÑEIRO RIZZO Y ASOC SA</t>
  </si>
  <si>
    <t xml:space="preserve">SHELL ALBERDI </t>
  </si>
  <si>
    <t>EL CURVON SRL</t>
  </si>
  <si>
    <t>SORAIRE MIGUEL ALBERTO</t>
  </si>
  <si>
    <t>TOPPER UNICENTER</t>
  </si>
  <si>
    <t>PARQUE DISTRI SRL</t>
  </si>
  <si>
    <t>SHOP FERRETERO</t>
  </si>
  <si>
    <t xml:space="preserve">ENCENDIDO INDEPENDENCIA </t>
  </si>
  <si>
    <t xml:space="preserve">LABORATORIOS BIOMIC SRL </t>
  </si>
  <si>
    <t>VENTAS ONLINE QUILMES S.R.L.</t>
  </si>
  <si>
    <t>MARPOLO SA</t>
  </si>
  <si>
    <t>SANTILLAN LILIANA ITATI</t>
  </si>
  <si>
    <t>NEW  HIGH PACK  SA</t>
  </si>
  <si>
    <t>LECHUGA JULIO CESAR</t>
  </si>
  <si>
    <t>GANADERA EL 13 S.R.L</t>
  </si>
  <si>
    <t>GC COMERCIAL S.R.L.</t>
  </si>
  <si>
    <t>ENGYMAN SRL</t>
  </si>
  <si>
    <t>MALACASA LUIS DAMIAN</t>
  </si>
  <si>
    <t>JUST SOLUTION S.A.</t>
  </si>
  <si>
    <t>CLEAN LAB SRL</t>
  </si>
  <si>
    <t>BKL S.A.</t>
  </si>
  <si>
    <t>DESPEGAR COM AR SA</t>
  </si>
  <si>
    <t>QUETZAL QUIMICA S R L</t>
  </si>
  <si>
    <t>PICALI IMPORT S.R.L.</t>
  </si>
  <si>
    <t>GMRA S. A.</t>
  </si>
  <si>
    <t>FLORES HUAYRA MICHAEL MARTIN</t>
  </si>
  <si>
    <t>IONIC S SOCIEDAD ANONIMA</t>
  </si>
  <si>
    <t>LIBERTAD S A</t>
  </si>
  <si>
    <t>LOPEZ JUSTO EZEQUIEL</t>
  </si>
  <si>
    <t>BOTINDARI JUAN CARLOS</t>
  </si>
  <si>
    <t>RAMOS PATRICIO SEBASTIAN</t>
  </si>
  <si>
    <t>TOLEDO ELIANA ALEJANDRA</t>
  </si>
  <si>
    <t>KOHEN ILUMINACION S.A.</t>
  </si>
  <si>
    <t>INC  SOCIEDAD ANONIMA</t>
  </si>
  <si>
    <t>ROSSO JOSE OMAR</t>
  </si>
  <si>
    <t>esta en afip</t>
  </si>
  <si>
    <t>Margot Brand SRL</t>
  </si>
  <si>
    <t>ROTECH S.R.L</t>
  </si>
  <si>
    <t>MC LEAN ROBERTO </t>
  </si>
  <si>
    <t>RUA DIEGO ADRIAN</t>
  </si>
  <si>
    <t>EXPRESO SANTA ROSA S A </t>
  </si>
  <si>
    <t>VTV SUD S.A.</t>
  </si>
  <si>
    <t>JABONES Y FRAGANCIAS S.A</t>
  </si>
  <si>
    <t>CANADEZ S.R.L.</t>
  </si>
  <si>
    <t>CARRERO DANIELA SOLANGE </t>
  </si>
  <si>
    <t>RIENZI CLAUDIA LILIANA </t>
  </si>
  <si>
    <t>Amelia Claudia Djelil</t>
  </si>
  <si>
    <t>FLEYTAS MONICA LILIANA</t>
  </si>
  <si>
    <t>QUANTUM KOSMETICA S.R.L.</t>
  </si>
  <si>
    <t>RUEDAS LIBERAL S R L </t>
  </si>
  <si>
    <t>ILONA AYOUB S.A.S. </t>
  </si>
  <si>
    <t>Tortorello, Gustavo Sergio Y Pasini Santiago </t>
  </si>
  <si>
    <t>IPMAG S.A. </t>
  </si>
  <si>
    <t>Damia Omar Pablo Alejandro </t>
  </si>
  <si>
    <t>Alvarez Luisa Silvana</t>
  </si>
  <si>
    <t>ALEVATTO STELLA MARIS </t>
  </si>
  <si>
    <t>Silvio Jorge Giostra</t>
  </si>
  <si>
    <t>VELASCO ALBERTO </t>
  </si>
  <si>
    <t>Maria Celeste Fernandez</t>
  </si>
  <si>
    <t>GABRIEL GONZALEZ SAGASETA</t>
  </si>
  <si>
    <t>01/11/2022</t>
  </si>
  <si>
    <t>02/11/2022</t>
  </si>
  <si>
    <t>03/11/2022</t>
  </si>
  <si>
    <t>04/11/2022</t>
  </si>
  <si>
    <t>05/11/2022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</si>
  <si>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</si>
  <si>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</si>
  <si>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</si>
  <si>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</si>
  <si>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</si>
  <si>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</si>
  <si>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</si>
  <si>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</si>
  <si>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17/11/2022</t>
  </si>
  <si>
    <t>18/11/2022</t>
  </si>
  <si>
    <t>19/11/2022</t>
  </si>
  <si>
    <t>22/11/2022</t>
  </si>
  <si>
    <t>23/11/2022</t>
  </si>
  <si>
    <t>24/11/2022</t>
  </si>
  <si>
    <t>25/11/2022</t>
  </si>
  <si>
    <t>26/11/2022</t>
  </si>
  <si>
    <t>28/11/2022</t>
  </si>
  <si>
    <t>29/11/2022</t>
  </si>
  <si>
    <t>30/11/2022</t>
  </si>
  <si>
    <t>VENDRAMINI PABLO HUGO</t>
  </si>
  <si>
    <t>ROLDAN MARIA CLAUDIA</t>
  </si>
  <si>
    <t>SINGER KARINA</t>
  </si>
  <si>
    <t>CALICCHIO MARIA ANDREA</t>
  </si>
  <si>
    <t>SOSA MARIA TERESA</t>
  </si>
  <si>
    <t>SEGURA HARO OMAR Y JARA FERNANDEZ MIRYAM S.H.</t>
  </si>
  <si>
    <t>GRIGUOLI RICARDO  ENRIQUE</t>
  </si>
  <si>
    <t>KNOWLEDGE OF SERVICES S.R.L.</t>
  </si>
  <si>
    <t>ROMAN GABINO</t>
  </si>
  <si>
    <t>RAMOS CLAUDIA JAQUELINA</t>
  </si>
  <si>
    <t>MARIN MARIA SOL</t>
  </si>
  <si>
    <t>SANTORELLI CARLA</t>
  </si>
  <si>
    <t>BIANCHINI LUCIANO</t>
  </si>
  <si>
    <t>KINE ESTETIC SRL</t>
  </si>
  <si>
    <t>GALAN ANABEL ISABEL</t>
  </si>
  <si>
    <t>RAJOY AGUSTINA</t>
  </si>
  <si>
    <t>NUEVO PLAZA HOTEL MENDOZA S.A.</t>
  </si>
  <si>
    <t>DELGADO ORTIZ SILVIA ALEJANDRA</t>
  </si>
  <si>
    <t>PONTIGGIA CANDELARIA</t>
  </si>
  <si>
    <t>KOTISHEVSKY SERGEI</t>
  </si>
  <si>
    <t>LORENZO PIÑEIRO MARIA BELEN</t>
  </si>
  <si>
    <t>ZALEWSKI MONICA ROXANA</t>
  </si>
  <si>
    <t>GOLDENBERG FERNANDO DANIEL</t>
  </si>
  <si>
    <t>GARRIDO JULIO CESAR</t>
  </si>
  <si>
    <t>THE BEAUTY PLACE S.A.S.</t>
  </si>
  <si>
    <t>MRF LOGISTICA Y SERVICIOS S.R.L.</t>
  </si>
  <si>
    <t>CENTRO DE EMPLEADOS DE COMERCIO ZONA NORTE</t>
  </si>
  <si>
    <t>SERAFINI OMAR JAVIER</t>
  </si>
  <si>
    <t>FUENTES ELENA ELISABET</t>
  </si>
  <si>
    <t>ALVEAR PALACE HOTEL SA I</t>
  </si>
  <si>
    <t>BESSONE ADRIANA</t>
  </si>
  <si>
    <t>DERMOESTETIC SAS</t>
  </si>
  <si>
    <t>MORALLI ISABEL,MORALLI RENEE, CHIESA LUIS HERNAN Y INGE SOMMER</t>
  </si>
  <si>
    <t>GENERATICA S.A.</t>
  </si>
  <si>
    <t>ASOCIACION DE EMPLEADOS FISCALES E INGRESOS PUBLICOS (A.E.F.I.P.)</t>
  </si>
  <si>
    <t>ERREA FRANCISCO GABRIEL</t>
  </si>
  <si>
    <t>MEDICINA Y ARTE S.R.L.</t>
  </si>
  <si>
    <t>LAURIA JUAN MANUEL</t>
  </si>
  <si>
    <t>LO DUCA STELLA MARIS RAMONA</t>
  </si>
  <si>
    <t>PHARMAPROJECTS SA</t>
  </si>
  <si>
    <t>GONZALEZ VILAS DANIEL</t>
  </si>
  <si>
    <t>BAIRES COMPANY</t>
  </si>
  <si>
    <t>12/11/2022</t>
  </si>
  <si>
    <t>CENCOSUD S.A</t>
  </si>
  <si>
    <t>BBVA - LIQUIDACION VISA</t>
  </si>
  <si>
    <t>BBVA - VISA TJ CREDITO</t>
  </si>
  <si>
    <t>BBVA - LIQUIDACION MASTERCARD</t>
  </si>
  <si>
    <t>GALICIA -  VISA TJ CREDITO</t>
  </si>
  <si>
    <t>IZZO MARCELA EMMA</t>
  </si>
  <si>
    <t>SCALISE LEANDRO ALBERTO Y SCALISE PABLO HERNAN SH</t>
  </si>
  <si>
    <t>VALDEZ PEDRO ALBERTO</t>
  </si>
  <si>
    <t>MARBLAS S R L</t>
  </si>
  <si>
    <t>BEST PHONE S R L</t>
  </si>
  <si>
    <t>DANA JOSE LUIS</t>
  </si>
  <si>
    <t>CHAVERIM SA</t>
  </si>
  <si>
    <t>ARIAS ANGEL ALBERTO</t>
  </si>
  <si>
    <t>EMPRENDIMIENTOS SATELITALES SA</t>
  </si>
  <si>
    <t>SEVENTEEN SOCIEDAD DE RESPONSABILIDAD LIMITADA</t>
  </si>
  <si>
    <t>MAYOLAS S.R.L.</t>
  </si>
  <si>
    <t>GROOVAS S.R.L.</t>
  </si>
  <si>
    <t>TELGOPOR ARGENTINA SA</t>
  </si>
  <si>
    <t>BAUKLA PORCELLANATOS SA</t>
  </si>
  <si>
    <t>ZUCCALA ANGEL ROBERTO</t>
  </si>
  <si>
    <t>IACONIS SERGIO OMAR</t>
  </si>
  <si>
    <t>DUFF SRL</t>
  </si>
  <si>
    <t>MULTICAJAS S A</t>
  </si>
  <si>
    <t>EGEO SOCIEDAD DE RESPONSABILIDAD LIMITADA</t>
  </si>
  <si>
    <t>COPIADO FULL S.R.L</t>
  </si>
  <si>
    <t>NICEFORO RODRIGUEZ NICOLAS EUGENIO</t>
  </si>
  <si>
    <t>REPUESTOS ARMANDO DE DUARTE Y CASTEL SAS</t>
  </si>
  <si>
    <t>MERCADO TOTAL SAS</t>
  </si>
  <si>
    <t>DISTRIBUIDORA N.G. S.A.</t>
  </si>
  <si>
    <t xml:space="preserve"> </t>
  </si>
  <si>
    <t>BBVA EXTRACTO</t>
  </si>
  <si>
    <t>BBVA MAESTRO</t>
  </si>
  <si>
    <t>BBVA MASTERCARD</t>
  </si>
  <si>
    <t>BBVA VISA</t>
  </si>
  <si>
    <t>GALICIA EXTRACTO</t>
  </si>
  <si>
    <t>GALICIA VISA</t>
  </si>
  <si>
    <t>ASOCIACION ARGENTINA DE COSMETOLOGIA Y ESTETICA</t>
  </si>
  <si>
    <t>CASTILLO JUAN RAMON</t>
  </si>
  <si>
    <t>DEL GESSO FRANCO JESUS</t>
  </si>
  <si>
    <t>MARTINEZ JOSE BLAS</t>
  </si>
  <si>
    <t>PERFUCOR SOCIEDAD DE RESPONSABILIDAD    LIMITADA</t>
  </si>
  <si>
    <t>ELIAS JORGE ALBERTO</t>
  </si>
  <si>
    <t>IRSA - GALERIAS PACIFICO S.A. UT</t>
  </si>
  <si>
    <t>WELLNESS ENTER SAS</t>
  </si>
  <si>
    <t>MELELLA ERNESTO LUIS EDUARDO</t>
  </si>
  <si>
    <t>CASADIO AGOSTINA</t>
  </si>
  <si>
    <t>FALCON MEIS RAMON</t>
  </si>
  <si>
    <t>CYN BELLEZA CON ESTILO S.A.</t>
  </si>
  <si>
    <t>PSIQUE BEAUTY S.R.L.</t>
  </si>
  <si>
    <t>VERA CARINA ALEJANDRA</t>
  </si>
  <si>
    <t>ORTIZ MENDEZ LUZ MARINA</t>
  </si>
  <si>
    <t>ANNA JOSE ELIAS</t>
  </si>
  <si>
    <t>BEIGBEDER LUIS PABLO</t>
  </si>
  <si>
    <t>LA RODZINA SRL</t>
  </si>
  <si>
    <t>DOM CENTRO DE REUMATOLOGIA S.A.S.</t>
  </si>
  <si>
    <t>07/12/2022</t>
  </si>
  <si>
    <t>13/12/2022</t>
  </si>
  <si>
    <t>14/12/2022</t>
  </si>
  <si>
    <t>15/12/2022</t>
  </si>
  <si>
    <t>16/12/2022</t>
  </si>
  <si>
    <t>17/12/2022</t>
  </si>
  <si>
    <t>19/12/2022</t>
  </si>
  <si>
    <t>20/12/2022</t>
  </si>
  <si>
    <t>21/12/2022</t>
  </si>
  <si>
    <t>22/12/2022</t>
  </si>
  <si>
    <t>23/12/2022</t>
  </si>
  <si>
    <t>24/12/2022</t>
  </si>
  <si>
    <t>26/12/2022</t>
  </si>
  <si>
    <t>30-70800642-0</t>
  </si>
  <si>
    <t>30-66349851-3</t>
  </si>
  <si>
    <t>30-67723711-9</t>
  </si>
  <si>
    <t>30-58962149-9</t>
  </si>
  <si>
    <t>30-57487647-4</t>
  </si>
  <si>
    <t>30-71512491-9</t>
  </si>
  <si>
    <t>30-57720719-0</t>
  </si>
  <si>
    <t>20-13466451-8</t>
  </si>
  <si>
    <t>30-71580481-2</t>
  </si>
  <si>
    <t>30-62986357-1</t>
  </si>
  <si>
    <t>20-11634774-2</t>
  </si>
  <si>
    <t>GRUPO  VDB  TEXTIL  S.R.L.</t>
  </si>
  <si>
    <t>CODAC  SRL</t>
  </si>
  <si>
    <t>GAS  PARQUE  S.A.</t>
  </si>
  <si>
    <t>MEDILEA  S.A.</t>
  </si>
  <si>
    <t>DHACAM  S.R.L.</t>
  </si>
  <si>
    <t>NORDESTNOVA  S.A.</t>
  </si>
  <si>
    <t>GARCIA  REDONDO  ROBERTO  SATU</t>
  </si>
  <si>
    <t>BIDCOM  S.R.L.</t>
  </si>
  <si>
    <t>GRUPO  CONCESIONARIO  DEL  OES</t>
  </si>
  <si>
    <t>AUTOPISTAS  DEL  SOL  S.A.</t>
  </si>
  <si>
    <t>MAKRO  SUPERMERCADOS  S.A.</t>
  </si>
  <si>
    <t>AUTOPISTAS  URBANAS  S.A.</t>
  </si>
  <si>
    <t>CLEAN  LAB  S.R.L.</t>
  </si>
  <si>
    <t>BLOISE  GENARO  Y  BLOISE  ANGE</t>
  </si>
  <si>
    <t>CEAMSE</t>
  </si>
  <si>
    <t>PELLIZA  PAOLA  DANIELA</t>
  </si>
  <si>
    <t>HOKAMA  SERGIO  ENRIQUE</t>
  </si>
  <si>
    <t>DUAL  TIGRE  S.A.</t>
  </si>
  <si>
    <t>DEALER  FX  -  MONTORRO  D.</t>
  </si>
  <si>
    <t>YPF  -  OPESA</t>
  </si>
  <si>
    <t>PIROPLAST  S.R.L.</t>
  </si>
  <si>
    <t>GONZALO  MARTIN  GUENZANI</t>
  </si>
  <si>
    <t>CORREDORES  VIALES  S.A.</t>
  </si>
  <si>
    <t>JUVIALE  S.R.L.</t>
  </si>
  <si>
    <t>TECNIMAR  S.R.L.</t>
  </si>
  <si>
    <t>ELECTRICIDAD  AUTOPISTA</t>
  </si>
  <si>
    <t>AMERICAN  EXPRES  S.A.</t>
  </si>
  <si>
    <t>GOMERIAS  NEUMEN  S.A.</t>
  </si>
  <si>
    <t>CORAFAL  NORTE  S.A.</t>
  </si>
  <si>
    <t>COTO  S.A.</t>
  </si>
  <si>
    <t>PAN  AMERICAN  ENERGY  SL  S.AR</t>
  </si>
  <si>
    <t>PETROLFE  S.A.</t>
  </si>
  <si>
    <t>BBVA  FRANCES</t>
  </si>
  <si>
    <t>3057460378-8</t>
  </si>
  <si>
    <t>FAC B</t>
  </si>
  <si>
    <t>CAPOLOG  S.R.L.</t>
  </si>
  <si>
    <r>
      <rPr>
        <sz val="8"/>
        <rFont val="Trebuchet MS"/>
        <family val="2"/>
      </rPr>
      <t>BANCO</t>
    </r>
    <r>
      <rPr>
        <sz val="8"/>
        <rFont val="Times New Roman"/>
        <family val="1"/>
      </rPr>
      <t xml:space="preserve">  </t>
    </r>
    <r>
      <rPr>
        <sz val="8"/>
        <rFont val="Trebuchet MS"/>
        <family val="2"/>
      </rPr>
      <t>GALICIA</t>
    </r>
  </si>
  <si>
    <t>No grav.</t>
  </si>
  <si>
    <t>RET. GAN</t>
  </si>
  <si>
    <t>BBVA  -  VISA</t>
  </si>
  <si>
    <t>BBVA  -  MAESTRO</t>
  </si>
  <si>
    <t>BANCO  GALICIA  -  VISA</t>
  </si>
  <si>
    <t>BBVA  -  CABAL</t>
  </si>
  <si>
    <t>BBVA  -  MASTERCARD</t>
  </si>
  <si>
    <t>OPTIMOOD  COOLING</t>
  </si>
  <si>
    <t>SUTURA  S.R.L.</t>
  </si>
  <si>
    <t>YPF  KM  296</t>
  </si>
  <si>
    <t>FARMATRADE  S.R.L.</t>
  </si>
  <si>
    <t>DABRA  S.A.</t>
  </si>
  <si>
    <t>TEJILASTIC  S.A.</t>
  </si>
  <si>
    <t>DUFFY  ESTEFANIA</t>
  </si>
  <si>
    <t>VITALI  AGUSTIN</t>
  </si>
  <si>
    <t>LIQUID  GAS  S.A.</t>
  </si>
  <si>
    <t>POLYTECH  S.A.</t>
  </si>
  <si>
    <t>SHOPNOW  S.R.L.</t>
  </si>
  <si>
    <t>CARNUCCIO  COSME  DAMIAN</t>
  </si>
  <si>
    <t>ROMO  MATERIALES  DE  LA  CONST</t>
  </si>
  <si>
    <t>LNG  GAS  S.A.</t>
  </si>
  <si>
    <t>LA  OPTICA  S.A.</t>
  </si>
  <si>
    <t>BANCO  GALICIA</t>
  </si>
  <si>
    <t>FIRST  LABEL  S.R.L.</t>
  </si>
  <si>
    <t>ESTACION  DE  SERVICIO  AXION</t>
  </si>
  <si>
    <t>BRUAYAFA  S.A.</t>
  </si>
  <si>
    <t>0308-00022022</t>
  </si>
  <si>
    <t>Reten.  IBB</t>
  </si>
  <si>
    <t>NO GRAV</t>
  </si>
  <si>
    <t>7-22375350</t>
  </si>
  <si>
    <t>1-96327078</t>
  </si>
  <si>
    <t>1-440360</t>
  </si>
  <si>
    <t>1-9242080</t>
  </si>
  <si>
    <t>TOTAL IBA BCOS</t>
  </si>
  <si>
    <t>CENTRAL  MAYORISTA  S.R.L.</t>
  </si>
  <si>
    <t>DENETOR  S.A.</t>
  </si>
  <si>
    <t>ECHT  DANIEL</t>
  </si>
  <si>
    <t>PETROVALLE  S.A.</t>
  </si>
  <si>
    <t>DIAMOND  SYSTEM  S.A.</t>
  </si>
  <si>
    <t>VTEC  S.R.L.</t>
  </si>
  <si>
    <t>INTERICCHIA  HNOS. SRL</t>
  </si>
  <si>
    <t>ACEPYM</t>
  </si>
  <si>
    <t>MOTOMERCADO  S.A.</t>
  </si>
  <si>
    <t>RANKO SRL</t>
  </si>
  <si>
    <t>BLUE  STAR  CARGO  SRL</t>
  </si>
  <si>
    <t>INSUMOS  INDUSTRIALES BULFER</t>
  </si>
  <si>
    <t xml:space="preserve">BUS  PACK  S.A.     </t>
  </si>
  <si>
    <t>TROTTA  SALVADOR</t>
  </si>
  <si>
    <t>FARBER  HERMAN</t>
  </si>
  <si>
    <t>ALVAREZ  MIGUEL  ANGEL</t>
  </si>
  <si>
    <t>ROTONDO  MARCELO  ANDRES</t>
  </si>
  <si>
    <t>MANDOLA  HERMANOS  S.A.</t>
  </si>
  <si>
    <t>KUKE  S.R.L.</t>
  </si>
  <si>
    <t>AVENDAÑO  ONTIVERO  LEANDRO  J</t>
  </si>
  <si>
    <t>POCIECHA  LUIS</t>
  </si>
  <si>
    <t>Flete-Logistica</t>
  </si>
  <si>
    <t>ACENAF S.R.L.</t>
  </si>
  <si>
    <t>Combustible</t>
  </si>
  <si>
    <t>AFIP VERIFICAR</t>
  </si>
  <si>
    <t>LIQUIDACION INPO-EXPO ?</t>
  </si>
  <si>
    <t>ALMUNDO.COM  S.R.L.</t>
  </si>
  <si>
    <t>ALT.  ALBERTO  RAFAEL  Y  ALT  H</t>
  </si>
  <si>
    <t>CABA</t>
  </si>
  <si>
    <t>Comisiones Bancarias</t>
  </si>
  <si>
    <t>ANGEL ANIBALY EZEQUIEL  LAREO SH</t>
  </si>
  <si>
    <t>Mantenimiento</t>
  </si>
  <si>
    <t>ANTEDORO JEREMIAS FABIAN</t>
  </si>
  <si>
    <t>Gastos varios</t>
  </si>
  <si>
    <t>APPLUS SANTA MARIA DEL BUEN</t>
  </si>
  <si>
    <t>Ferreteria</t>
  </si>
  <si>
    <t>Peaje</t>
  </si>
  <si>
    <t>BAMBU  ARGENTINA  S.A.</t>
  </si>
  <si>
    <t>BAREGUER S.A.</t>
  </si>
  <si>
    <t>BASCARAN GONZALO ALEJO</t>
  </si>
  <si>
    <t>BERLY  INTERNACIONAL  S.A</t>
  </si>
  <si>
    <t>BERNAVEI CARLOS FABRICIO</t>
  </si>
  <si>
    <t>Gtos Comercializacion</t>
  </si>
  <si>
    <t>BERON  RItARD0  HECTOR</t>
  </si>
  <si>
    <t>BI  ORIENT  S.A.</t>
  </si>
  <si>
    <t>EMBALAJE</t>
  </si>
  <si>
    <t>Equipos de Informatica</t>
  </si>
  <si>
    <t>Ropa de Trabajo</t>
  </si>
  <si>
    <t>BREAKING  LAB</t>
  </si>
  <si>
    <t>BUENOS  AIRES  POR  AUDIO  S.A.</t>
  </si>
  <si>
    <t>BUMERAN.COM  ARGENTINA  S.A.</t>
  </si>
  <si>
    <t>BURNET MICHAUT GASTON KURT</t>
  </si>
  <si>
    <t>BUZANCY  S.A.</t>
  </si>
  <si>
    <t>Honorarios</t>
  </si>
  <si>
    <t>CAMARA  DE  GRABADORES  DE  AUT</t>
  </si>
  <si>
    <t>Comida</t>
  </si>
  <si>
    <t>BUENOS AIRES</t>
  </si>
  <si>
    <t>CASTELVECCHIO  S.A</t>
  </si>
  <si>
    <t>CELEX   UNO ENRIQUE MOSSE</t>
  </si>
  <si>
    <t>CEVEN S.A.</t>
  </si>
  <si>
    <t>CHAMEN  ADOLFO  DANIEL</t>
  </si>
  <si>
    <t>CINE 24 S.R.L.</t>
  </si>
  <si>
    <t>Comida-Limpieza</t>
  </si>
  <si>
    <t>COHPUFAN  S. R. L.</t>
  </si>
  <si>
    <t>COLORSHOP-  PERDOMO  CAROLINA</t>
  </si>
  <si>
    <t>COMBUSTIBLES  RUTA  26  S.A</t>
  </si>
  <si>
    <t>Catering</t>
  </si>
  <si>
    <t>COMPUFAN  S. R. L.</t>
  </si>
  <si>
    <t>CORREO ANDREANI SA</t>
  </si>
  <si>
    <t>CORREO ARGENTINO S.A.</t>
  </si>
  <si>
    <t>CPT  INTEGRAL  S.A.</t>
  </si>
  <si>
    <t>CUATRO  BOCAS  S.R.L.</t>
  </si>
  <si>
    <t>CURA  JORGE  HORACIO</t>
  </si>
  <si>
    <t>D.M.X S.R.L.</t>
  </si>
  <si>
    <t>D'ABATE ANDRES PABLO</t>
  </si>
  <si>
    <t>DE  LA  TORRE  ZARAGOZA  JUAN  E</t>
  </si>
  <si>
    <t>DE  LEVIE  S.A</t>
  </si>
  <si>
    <t>DE PABLO HERNAN MANUEL</t>
  </si>
  <si>
    <t>Honorarios Juridicos</t>
  </si>
  <si>
    <t xml:space="preserve">Movilidad </t>
  </si>
  <si>
    <t>BS AS</t>
  </si>
  <si>
    <t>DONA MARTINA SA </t>
  </si>
  <si>
    <t>EBOX  S.A.</t>
  </si>
  <si>
    <t>CORRIENTES</t>
  </si>
  <si>
    <t>ECLERIS SRL</t>
  </si>
  <si>
    <t>ELECTRO  POINT</t>
  </si>
  <si>
    <t>ELECTRONICA  MEGATONE  S.A.</t>
  </si>
  <si>
    <t>ELI0  IGNACIO  PEREZ  GIXENEZ</t>
  </si>
  <si>
    <t>ENEAS  JEREMIAS  FRACCAROLLI</t>
  </si>
  <si>
    <t>EREZCANO SA</t>
  </si>
  <si>
    <t>EUROSTIL  ARGENTINA  S.A</t>
  </si>
  <si>
    <t>EXPOENVASE  S.R.L.</t>
  </si>
  <si>
    <t>Espacio exposicion</t>
  </si>
  <si>
    <t>FABRICA  DE  MUEBLES  LA  ESPER</t>
  </si>
  <si>
    <t>FABRIQUIMICA S.A.U.</t>
  </si>
  <si>
    <t>Materia Prima</t>
  </si>
  <si>
    <t>FEDERACION  ARG  DE  COSMETOLO</t>
  </si>
  <si>
    <t>FERNANDEZ MANUSAQUI PATRICIA Y FERNANDEZ MANUSA</t>
  </si>
  <si>
    <t>FERRARO DARIO EZEQUIEL</t>
  </si>
  <si>
    <t>FLORIPO  S.A.</t>
  </si>
  <si>
    <t>FLUMAT S.R.L.</t>
  </si>
  <si>
    <t>FRATE  NESTOR</t>
  </si>
  <si>
    <t>G. IKONO S A</t>
  </si>
  <si>
    <t>Honorarios Administrativos</t>
  </si>
  <si>
    <t>GARAVAGNO JUAN MATIAS</t>
  </si>
  <si>
    <t>GERARDO  A.S.  LARA</t>
  </si>
  <si>
    <t>GERBIO</t>
  </si>
  <si>
    <t>GES  ELECTRONICS  SRL</t>
  </si>
  <si>
    <t>GESTORIA  OLIVERA  WELLS  S.R.</t>
  </si>
  <si>
    <t>GLOBAL  AESTHETICS  PRODUCTS</t>
  </si>
  <si>
    <t>GNC  ESCOBAR  S.A.</t>
  </si>
  <si>
    <t>GNC TORTUGAS SRL</t>
  </si>
  <si>
    <t>GOLDIN DAIANA</t>
  </si>
  <si>
    <t>Publicidad</t>
  </si>
  <si>
    <t>GONZALEZ ALBERTO DANIEL</t>
  </si>
  <si>
    <t>GRAFICA  B612  S.R.L.</t>
  </si>
  <si>
    <t>GRUPO  SMH  SRL</t>
  </si>
  <si>
    <t>GUIDO IGNACIO TORINO Y MARTIN ALEJO FERNANDEZ S.H.</t>
  </si>
  <si>
    <t>GUMA  DANIEL</t>
  </si>
  <si>
    <t>HENSCHEL ALEJANDRO Y VICCO LUCAS SOCIDADDE HECHO</t>
  </si>
  <si>
    <t>IDZONE  SRL</t>
  </si>
  <si>
    <t>ILUMINIACION  BONALUCE  SRL</t>
  </si>
  <si>
    <t>IMPRESORA DEL NEA S.A.</t>
  </si>
  <si>
    <t>Elaboración</t>
  </si>
  <si>
    <t>IT  BROKERS  S.A.</t>
  </si>
  <si>
    <t>GASTO FERIAS</t>
  </si>
  <si>
    <t>EXPENSAS</t>
  </si>
  <si>
    <t>K.R. S. R. L.</t>
  </si>
  <si>
    <t>KALPA  GROUP  S.A</t>
  </si>
  <si>
    <t>LA  COBACHA  INSUMOS  SRL</t>
  </si>
  <si>
    <t>LAJAS  QUILNES  DE  DI  BERNARD</t>
  </si>
  <si>
    <t>LATINLED S.R.L.</t>
  </si>
  <si>
    <t>LCD S.R.L.</t>
  </si>
  <si>
    <t>LE  MERIDIAN  SRL</t>
  </si>
  <si>
    <t>LEJEM  SA</t>
  </si>
  <si>
    <t>LOS  ACCESOS  3</t>
  </si>
  <si>
    <t>LUBRICANTES Y COMBUSTIBLES D'ATRI S.R.L.</t>
  </si>
  <si>
    <t>MAGEL  S.A.</t>
  </si>
  <si>
    <t>MANESA S.A.</t>
  </si>
  <si>
    <t>MARE JOSE JUAN FRANCISCO</t>
  </si>
  <si>
    <t>MARIN  JORGR  DANIEL</t>
  </si>
  <si>
    <t>MARQUEZ  FACUNDO  EZEQUIEL</t>
  </si>
  <si>
    <t>MASORIENTE  S.R.L.</t>
  </si>
  <si>
    <t>MIDEME  S.A</t>
  </si>
  <si>
    <t>Alquiler de Filmacion</t>
  </si>
  <si>
    <t>MONTES  FERNANDEZ  YSABEL  CAR</t>
  </si>
  <si>
    <t>MORENO  MIGUEL  ANGEL</t>
  </si>
  <si>
    <t>SANTA FE</t>
  </si>
  <si>
    <t>MOVIL GAS S.A.</t>
  </si>
  <si>
    <t>MUEBLES  FALERO  SRL</t>
  </si>
  <si>
    <t>MUINOS JUAN VICTOR</t>
  </si>
  <si>
    <t>MULTIPLES S.R.L</t>
  </si>
  <si>
    <t>NEPTUN  CORP  S.A.</t>
  </si>
  <si>
    <t>NITSUK  S.R.L.</t>
  </si>
  <si>
    <t>NT  INKS  S.A.</t>
  </si>
  <si>
    <t>Servicios Informatica</t>
  </si>
  <si>
    <t>Seguro ART</t>
  </si>
  <si>
    <t>ONLINESTORE S.A.S.</t>
  </si>
  <si>
    <t>OTERO  RUT  MABEL</t>
  </si>
  <si>
    <t>PARQUE AYERZA SCA</t>
  </si>
  <si>
    <t>PASCUAL  A.  ROMANO-  VRH</t>
  </si>
  <si>
    <t>PETROLFE S.A.</t>
  </si>
  <si>
    <t>PINTOS SCHMIDT ALDANA MARCELA Y SACK ADRIANA CRISTINA SH</t>
  </si>
  <si>
    <t>PINTURERIAS  LIBERATO  S.R. L .</t>
  </si>
  <si>
    <t>PINTURERIAS  NAFER  S.A.</t>
  </si>
  <si>
    <t>PLASTIC  TRENDS  SRL</t>
  </si>
  <si>
    <t>PLASTICOS  BAN  PLAST  S.R.L.</t>
  </si>
  <si>
    <t>POLINORTE S A</t>
  </si>
  <si>
    <t>PORCO VICTOR ALBERTO</t>
  </si>
  <si>
    <t>POWER  SIX  SA</t>
  </si>
  <si>
    <t>PREISMAN  MANUELA  VERONICA</t>
  </si>
  <si>
    <t>PROYECTOS  DEL  NORTE  SRL</t>
  </si>
  <si>
    <t>QUANTUM QUIMICA S.R.L.</t>
  </si>
  <si>
    <t>R.A.  DURAN  &amp;  ASOC.  S.R.L</t>
  </si>
  <si>
    <t>REDNET S.R.L.</t>
  </si>
  <si>
    <t>REFINERIA BAHIA BLANCA S.A.</t>
  </si>
  <si>
    <t>RENEW  HOUSE  SH</t>
  </si>
  <si>
    <t>REPRESENTACIONES TECNOLOGIC</t>
  </si>
  <si>
    <t>Equipos de informatica</t>
  </si>
  <si>
    <t>Mantenimiento Auto</t>
  </si>
  <si>
    <t>BS as</t>
  </si>
  <si>
    <t>s</t>
  </si>
  <si>
    <t>SAN JUAN Y SOLIS SA</t>
  </si>
  <si>
    <t>SASUAR  S.R.L.</t>
  </si>
  <si>
    <t>SERCAP  INSUMOS  S.R.L.</t>
  </si>
  <si>
    <t>SISTEMAS GAFF S.A.</t>
  </si>
  <si>
    <t>SOLACON  S. A.</t>
  </si>
  <si>
    <t>SPLIT  DOM  S.A</t>
  </si>
  <si>
    <t>STENDEL  JULIAN  RODOLFO</t>
  </si>
  <si>
    <t>TAP SERVICES S.A</t>
  </si>
  <si>
    <t>TEMPERLEY  RODRIGO</t>
  </si>
  <si>
    <t>UTILES</t>
  </si>
  <si>
    <t>UNION  QUIMICA  ARGENTINA  SRL</t>
  </si>
  <si>
    <t>UNTECO  SAIC  E  I.</t>
  </si>
  <si>
    <t>URRETAVIZCAYA  ADRIANA</t>
  </si>
  <si>
    <t>VERZERO GONZALO</t>
  </si>
  <si>
    <t>VIA  CAPRI  S.A.</t>
  </si>
  <si>
    <t>CORDOBA</t>
  </si>
  <si>
    <t>VTG  SPECIALTY  CHEMICALS  S.A</t>
  </si>
  <si>
    <t>Verificacion Vehicular</t>
  </si>
  <si>
    <t>YPF  KN  248  S  R. L.</t>
  </si>
  <si>
    <t>ZETABURGOS  S. R. L.</t>
  </si>
  <si>
    <t>MC LEAN ROBERTO</t>
  </si>
  <si>
    <t>1.527, 20</t>
  </si>
  <si>
    <t>161, 99</t>
  </si>
  <si>
    <t>BALANCE EUROARGENTINA 2022 - CPRAS S/LIBRO IVA</t>
  </si>
  <si>
    <t>Honorarios Contables</t>
  </si>
  <si>
    <t xml:space="preserve">Gastos Mantenimiento </t>
  </si>
  <si>
    <t>Servicios</t>
  </si>
  <si>
    <t>GONZALEZ PERALTA MIGUEL ANGEL</t>
  </si>
  <si>
    <t>TRANSPORTES  LA  SEVILLANITA</t>
  </si>
  <si>
    <t>BERAN Claudia Beatriz</t>
  </si>
  <si>
    <t>CORBALAN, MAFALDA ISABEL</t>
  </si>
  <si>
    <t>GARCIA Ricardo Enrique</t>
  </si>
  <si>
    <t>Graells Luis Miguel</t>
  </si>
  <si>
    <t>VALORIANI ROMINA GISELA</t>
  </si>
  <si>
    <t>Gastos Cursos</t>
  </si>
  <si>
    <t>VILLARUEL OSCAR EDUARDO</t>
  </si>
  <si>
    <t>Gasto Cursos</t>
  </si>
  <si>
    <t>FUKS EDUARDO SERGIO</t>
  </si>
  <si>
    <t>MAZZA EMILIANO LIBER PEDRO</t>
  </si>
  <si>
    <t>CARNEVALE MABEL HAYDEE</t>
  </si>
  <si>
    <t>MANTILLA ALECIO JEAN FRANKO</t>
  </si>
  <si>
    <t>BAMBOZZI MARIANGEL</t>
  </si>
  <si>
    <t>SOLAR GAS S.A.</t>
  </si>
  <si>
    <t>DOCSOUND S R L</t>
  </si>
  <si>
    <t>NEUMATICOS GIAMBRUNI SRL</t>
  </si>
  <si>
    <t>SERVICIOS EAR SRL</t>
  </si>
  <si>
    <t>BIANCHI CRISTIAN MAXIMILIANO</t>
  </si>
  <si>
    <t>CARREÑO MARCELO GUILLERMO</t>
  </si>
  <si>
    <t>GNC DEL SUR S.A.</t>
  </si>
  <si>
    <t>IMPIERI, PIÑEIRO, RIZZO Y ASOC S.A.</t>
  </si>
  <si>
    <t>LI YANBING</t>
  </si>
  <si>
    <t>Espacio Exposicion</t>
  </si>
  <si>
    <t>Gasto Ferias</t>
  </si>
  <si>
    <t>NO PASAR</t>
  </si>
  <si>
    <t>Gtos Varios</t>
  </si>
  <si>
    <t>Fletes-Logistica</t>
  </si>
  <si>
    <t>Gastos Combustible</t>
  </si>
  <si>
    <t>Expensas Pagadas</t>
  </si>
  <si>
    <t>Equipos V.O-Costo (equipos de Informatica)</t>
  </si>
  <si>
    <t>Alquileres Pagados</t>
  </si>
  <si>
    <t>Gastos Publicidad y Propaganda</t>
  </si>
  <si>
    <t>Gastos Comercializacion</t>
  </si>
  <si>
    <t>Honorarios Juridicos/Legales</t>
  </si>
  <si>
    <t>Gastos Embalaje Productos</t>
  </si>
  <si>
    <t>Gastos Mantenimiento Locales</t>
  </si>
  <si>
    <t>Gastos Mantenimiento rodados</t>
  </si>
  <si>
    <t>Acumula ambos en esta cuenta.</t>
  </si>
  <si>
    <t>Servicios de Informatica</t>
  </si>
  <si>
    <t>Papeleria e impresos (Librería)</t>
  </si>
  <si>
    <t>Servicios Gas Luz, etc</t>
  </si>
  <si>
    <t>Gastos Software-Sistemas</t>
  </si>
  <si>
    <t>Gastos Peajes</t>
  </si>
  <si>
    <t>Mercaderia + Materia Prima ---&gt;&gt;</t>
  </si>
  <si>
    <t>Elaboracion</t>
  </si>
  <si>
    <t xml:space="preserve">Honorarios </t>
  </si>
  <si>
    <t>Gastos FeriaS</t>
  </si>
  <si>
    <t>Movilidad</t>
  </si>
  <si>
    <t>Otros/No gravados</t>
  </si>
  <si>
    <t>MANDAR A GASTOS VARIOS</t>
  </si>
  <si>
    <t>MANDAR A FLETE-LOGISTICA</t>
  </si>
  <si>
    <t>ALQUILERES PAGADOS</t>
  </si>
  <si>
    <t>Capacitaciones</t>
  </si>
  <si>
    <t>Esto hay que sumarlo al neto de gastos</t>
  </si>
  <si>
    <t>BBVA</t>
  </si>
  <si>
    <t>GALICIA - VISA</t>
  </si>
  <si>
    <t>BBVA - FRANCES</t>
  </si>
  <si>
    <t>GALICIA</t>
  </si>
  <si>
    <t>BBVA - MESTRO</t>
  </si>
  <si>
    <t>BBVS - MASTERCARD</t>
  </si>
  <si>
    <t xml:space="preserve">AMERICAN EXPRESS </t>
  </si>
  <si>
    <t>BBVA- VISA</t>
  </si>
  <si>
    <t>BBVA FRANCES</t>
  </si>
  <si>
    <t>BBVA CABAL</t>
  </si>
  <si>
    <t>GALICIA- VISA</t>
  </si>
  <si>
    <t xml:space="preserve">comision </t>
  </si>
  <si>
    <t>iva</t>
  </si>
  <si>
    <t>p iva</t>
  </si>
  <si>
    <t>per caba</t>
  </si>
  <si>
    <t>Ret iibb caba</t>
  </si>
  <si>
    <t>BBVA LIQUIDACION</t>
  </si>
  <si>
    <t>ret bs as</t>
  </si>
  <si>
    <t>RET IIBB BS AS</t>
  </si>
  <si>
    <t>BBVA TJ 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</si>
</sst>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  <numFmt numFmtId="168" formatCode="&quot;$&quot;\ #,##0.00;&quot;$&quot;\ \-#,##0.00"/>
    <numFmt numFmtId="169" formatCode="_ &quot;$&quot;\ * #,##0.00_ ;_ &quot;$&quot;\ * \-#,##0.00_ ;_ &quot;$&quot;\ * &quot;-&quot;??_ ;_ @_ "/>
    <numFmt numFmtId="170" formatCode="_ * #,##0.00_ ;_ * \-#,##0.00_ ;_ * &quot;-&quot;??_ ;_ @_ "/>
    <numFmt numFmtId="171" formatCode="dd\-mm\-yy;@"/>
    <numFmt numFmtId="172" formatCode="000"/>
    <numFmt numFmtId="173" formatCode="0000"/>
    <numFmt numFmtId="174" formatCode="00000000"/>
    <numFmt numFmtId="175" formatCode="##\-########\-#"/>
    <numFmt numFmtId="176" formatCode="[$-C0A]mmmm\-yy;@"/>
    <numFmt numFmtId="177" formatCode="[$$-2C0A]\ #,##0.00;\-[$$-2C0A]\ #,##0.00"/>
    <numFmt numFmtId="178" formatCode="_-[$$-2C0A]\ * #,##0.00_-;\-[$$-2C0A]\ * #,##0.00_-;_-[$$-2C0A]\ * &quot;-&quot;??_-;_-@_-"/>
    <numFmt numFmtId="179" formatCode="#,##0.000"/>
    <numFmt numFmtId="180" formatCode="0.000"/>
    <numFmt numFmtId="181" formatCode="#,##0.00_ ;[Red]\-#,##0.00\ "/>
    <numFmt numFmtId="182" formatCode="###########"/>
    <numFmt numFmtId="183" formatCode="d/mm/yyyy"/>
    <numFmt numFmtId="184" formatCode="00\-00000000\-0"/>
  </numFmts>
  <fonts count="7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rgb="FFFF000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</font>
    <font>
      <sz val="10"/>
      <color rgb="FF000000"/>
      <name val="Trebuchet MS"/>
      <family val="2"/>
    </font>
    <font>
      <sz val="8"/>
      <name val="Trebuchet MS"/>
      <family val="2"/>
    </font>
    <font>
      <sz val="8"/>
      <name val="Times New Roman"/>
      <family val="1"/>
    </font>
    <font>
      <sz val="11"/>
      <color indexed="8"/>
      <name val="Calibri"/>
      <family val="2"/>
      <charset val="1"/>
    </font>
    <font>
      <sz val="10"/>
      <color indexed="8"/>
      <name val="Calibri"/>
      <family val="2"/>
      <charset val="1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0"/>
      <name val="Arial"/>
      <family val="2"/>
    </font>
    <font>
      <b/>
      <u/>
      <sz val="8"/>
      <name val="Arial"/>
      <family val="2"/>
    </font>
    <font>
      <sz val="10"/>
      <name val="Calibri"/>
      <scheme val="minor"/>
    </font>
    <font>
      <sz val="10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darkGray">
        <bgColor rgb="FFFFFF00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1">
    <xf numFmtId="0" fontId="0" fillId="0" borderId="0"/>
    <xf numFmtId="166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70" fontId="20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3" applyNumberFormat="0" applyAlignment="0" applyProtection="0"/>
    <xf numFmtId="0" fontId="30" fillId="18" borderId="0" applyNumberFormat="0" applyBorder="0" applyAlignment="0" applyProtection="0"/>
    <xf numFmtId="167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5" fillId="0" borderId="0"/>
    <xf numFmtId="170" fontId="5" fillId="0" borderId="0" applyFont="0" applyFill="0" applyBorder="0" applyAlignment="0" applyProtection="0"/>
    <xf numFmtId="0" fontId="64" fillId="0" borderId="0"/>
    <xf numFmtId="165" fontId="1" fillId="0" borderId="0" applyFont="0" applyFill="0" applyBorder="0" applyAlignment="0" applyProtection="0"/>
  </cellStyleXfs>
  <cellXfs count="467">
    <xf numFmtId="0" fontId="0" fillId="0" borderId="0" xfId="0"/>
    <xf numFmtId="175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9" fontId="21" fillId="8" borderId="18" xfId="6" applyNumberFormat="1" applyFont="1" applyFill="1" applyBorder="1" applyAlignment="1">
      <alignment horizontal="center"/>
    </xf>
    <xf numFmtId="179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9" fontId="21" fillId="8" borderId="20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21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70" fontId="20" fillId="0" borderId="7" xfId="9" applyFont="1" applyBorder="1" applyAlignment="1">
      <alignment horizontal="center"/>
    </xf>
    <xf numFmtId="170" fontId="20" fillId="0" borderId="11" xfId="9" applyFont="1" applyBorder="1" applyAlignment="1">
      <alignment horizontal="center"/>
    </xf>
    <xf numFmtId="170" fontId="20" fillId="0" borderId="1" xfId="9" applyFont="1" applyBorder="1" applyAlignment="1">
      <alignment horizontal="center"/>
    </xf>
    <xf numFmtId="180" fontId="25" fillId="0" borderId="0" xfId="6" applyNumberFormat="1" applyFont="1"/>
    <xf numFmtId="0" fontId="25" fillId="16" borderId="0" xfId="6" applyFont="1" applyFill="1" applyAlignment="1">
      <alignment horizontal="center"/>
    </xf>
    <xf numFmtId="180" fontId="26" fillId="8" borderId="1" xfId="6" applyNumberFormat="1" applyFont="1" applyFill="1" applyBorder="1" applyAlignment="1">
      <alignment horizontal="left"/>
    </xf>
    <xf numFmtId="180" fontId="26" fillId="8" borderId="17" xfId="6" applyNumberFormat="1" applyFont="1" applyFill="1" applyBorder="1" applyAlignment="1">
      <alignment horizontal="left"/>
    </xf>
    <xf numFmtId="180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80" fontId="26" fillId="8" borderId="19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174" fontId="6" fillId="0" borderId="0" xfId="3" applyNumberFormat="1" applyFont="1" applyAlignment="1">
      <alignment horizontal="center" vertical="center"/>
    </xf>
    <xf numFmtId="175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71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4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40" fontId="6" fillId="0" borderId="28" xfId="3" applyNumberFormat="1" applyFont="1" applyBorder="1" applyAlignment="1">
      <alignment horizontal="right" vertical="center"/>
    </xf>
    <xf numFmtId="181" fontId="10" fillId="0" borderId="1" xfId="3" applyNumberFormat="1" applyFont="1" applyBorder="1"/>
    <xf numFmtId="181" fontId="6" fillId="0" borderId="1" xfId="3" applyNumberFormat="1" applyFont="1" applyBorder="1" applyAlignment="1">
      <alignment horizontal="right" vertical="center"/>
    </xf>
    <xf numFmtId="0" fontId="10" fillId="0" borderId="2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right" vertical="center"/>
    </xf>
    <xf numFmtId="181" fontId="10" fillId="0" borderId="27" xfId="0" applyNumberFormat="1" applyFont="1" applyBorder="1"/>
    <xf numFmtId="181" fontId="13" fillId="0" borderId="27" xfId="0" applyNumberFormat="1" applyFont="1" applyBorder="1" applyAlignment="1">
      <alignment horizontal="right"/>
    </xf>
    <xf numFmtId="181" fontId="6" fillId="0" borderId="27" xfId="0" applyNumberFormat="1" applyFont="1" applyBorder="1" applyAlignment="1">
      <alignment horizontal="right" vertical="center"/>
    </xf>
    <xf numFmtId="181" fontId="6" fillId="0" borderId="27" xfId="3" applyNumberFormat="1" applyFont="1" applyBorder="1" applyAlignment="1">
      <alignment horizontal="right" vertical="center"/>
    </xf>
    <xf numFmtId="14" fontId="8" fillId="22" borderId="30" xfId="3" applyNumberFormat="1" applyFont="1" applyFill="1" applyBorder="1" applyAlignment="1">
      <alignment horizontal="center" vertical="center"/>
    </xf>
    <xf numFmtId="14" fontId="8" fillId="22" borderId="29" xfId="3" applyNumberFormat="1" applyFont="1" applyFill="1" applyBorder="1" applyAlignment="1">
      <alignment horizontal="center" vertical="center"/>
    </xf>
    <xf numFmtId="0" fontId="3" fillId="22" borderId="29" xfId="0" applyFont="1" applyFill="1" applyBorder="1" applyAlignment="1">
      <alignment horizontal="center" vertical="center"/>
    </xf>
    <xf numFmtId="0" fontId="3" fillId="22" borderId="31" xfId="0" applyFont="1" applyFill="1" applyBorder="1" applyAlignment="1">
      <alignment horizontal="center" vertical="center"/>
    </xf>
    <xf numFmtId="40" fontId="13" fillId="0" borderId="27" xfId="0" applyNumberFormat="1" applyFont="1" applyBorder="1" applyAlignment="1">
      <alignment horizontal="right"/>
    </xf>
    <xf numFmtId="40" fontId="6" fillId="0" borderId="27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174" fontId="39" fillId="0" borderId="0" xfId="3" applyNumberFormat="1" applyFont="1" applyAlignment="1">
      <alignment horizontal="center" vertical="center"/>
    </xf>
    <xf numFmtId="175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5" fontId="6" fillId="0" borderId="1" xfId="3" applyNumberFormat="1" applyFont="1" applyBorder="1" applyAlignment="1">
      <alignment horizontal="center"/>
    </xf>
    <xf numFmtId="181" fontId="6" fillId="0" borderId="1" xfId="3" applyNumberFormat="1" applyFont="1" applyBorder="1"/>
    <xf numFmtId="181" fontId="6" fillId="0" borderId="1" xfId="3" applyNumberFormat="1" applyFont="1" applyBorder="1" applyAlignment="1">
      <alignment horizontal="right"/>
    </xf>
    <xf numFmtId="171" fontId="6" fillId="0" borderId="26" xfId="3" applyNumberFormat="1" applyFont="1" applyBorder="1" applyAlignment="1">
      <alignment horizontal="center"/>
    </xf>
    <xf numFmtId="172" fontId="6" fillId="0" borderId="27" xfId="3" applyNumberFormat="1" applyFont="1" applyBorder="1" applyAlignment="1">
      <alignment horizontal="center"/>
    </xf>
    <xf numFmtId="173" fontId="6" fillId="0" borderId="27" xfId="3" applyNumberFormat="1" applyFont="1" applyBorder="1" applyAlignment="1">
      <alignment horizontal="center"/>
    </xf>
    <xf numFmtId="174" fontId="6" fillId="0" borderId="27" xfId="3" applyNumberFormat="1" applyFont="1" applyBorder="1" applyAlignment="1">
      <alignment horizontal="center"/>
    </xf>
    <xf numFmtId="0" fontId="6" fillId="0" borderId="27" xfId="3" applyFont="1" applyBorder="1" applyAlignment="1">
      <alignment horizontal="center"/>
    </xf>
    <xf numFmtId="181" fontId="6" fillId="0" borderId="27" xfId="3" applyNumberFormat="1" applyFont="1" applyBorder="1"/>
    <xf numFmtId="181" fontId="6" fillId="0" borderId="27" xfId="3" applyNumberFormat="1" applyFont="1" applyBorder="1" applyAlignment="1">
      <alignment horizontal="right"/>
    </xf>
    <xf numFmtId="171" fontId="6" fillId="0" borderId="9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173" fontId="6" fillId="0" borderId="1" xfId="3" applyNumberFormat="1" applyFont="1" applyBorder="1" applyAlignment="1">
      <alignment horizontal="center"/>
    </xf>
    <xf numFmtId="174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1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5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70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71" fontId="42" fillId="0" borderId="0" xfId="3" applyNumberFormat="1" applyFont="1" applyAlignment="1">
      <alignment horizontal="center" vertical="center"/>
    </xf>
    <xf numFmtId="172" fontId="42" fillId="0" borderId="0" xfId="3" applyNumberFormat="1" applyFont="1" applyAlignment="1">
      <alignment horizontal="center" vertical="center"/>
    </xf>
    <xf numFmtId="173" fontId="42" fillId="0" borderId="0" xfId="3" applyNumberFormat="1" applyFont="1" applyAlignment="1">
      <alignment horizontal="center" vertical="center"/>
    </xf>
    <xf numFmtId="174" fontId="42" fillId="0" borderId="0" xfId="3" applyNumberFormat="1" applyFont="1" applyAlignment="1">
      <alignment horizontal="center" vertical="center"/>
    </xf>
    <xf numFmtId="175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horizontal="right" vertical="center"/>
    </xf>
    <xf numFmtId="40" fontId="43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171" fontId="42" fillId="20" borderId="0" xfId="3" applyNumberFormat="1" applyFont="1" applyFill="1" applyAlignment="1">
      <alignment horizontal="center" vertical="center"/>
    </xf>
    <xf numFmtId="172" fontId="42" fillId="20" borderId="0" xfId="3" applyNumberFormat="1" applyFont="1" applyFill="1" applyAlignment="1">
      <alignment horizontal="center" vertical="center"/>
    </xf>
    <xf numFmtId="173" fontId="42" fillId="20" borderId="0" xfId="3" applyNumberFormat="1" applyFont="1" applyFill="1" applyAlignment="1">
      <alignment horizontal="center" vertical="center"/>
    </xf>
    <xf numFmtId="174" fontId="42" fillId="20" borderId="0" xfId="3" applyNumberFormat="1" applyFont="1" applyFill="1" applyAlignment="1">
      <alignment horizontal="center" vertical="center"/>
    </xf>
    <xf numFmtId="175" fontId="42" fillId="20" borderId="0" xfId="3" applyNumberFormat="1" applyFont="1" applyFill="1" applyAlignment="1">
      <alignment horizontal="center" vertical="center"/>
    </xf>
    <xf numFmtId="0" fontId="42" fillId="20" borderId="0" xfId="3" applyFont="1" applyFill="1" applyAlignment="1">
      <alignment horizontal="left" vertical="center"/>
    </xf>
    <xf numFmtId="40" fontId="7" fillId="20" borderId="0" xfId="3" applyNumberFormat="1" applyFont="1" applyFill="1" applyAlignment="1">
      <alignment horizontal="right" vertical="center"/>
    </xf>
    <xf numFmtId="40" fontId="7" fillId="20" borderId="0" xfId="3" applyNumberFormat="1" applyFont="1" applyFill="1" applyAlignment="1">
      <alignment vertical="center"/>
    </xf>
    <xf numFmtId="40" fontId="43" fillId="20" borderId="0" xfId="3" applyNumberFormat="1" applyFont="1" applyFill="1" applyAlignment="1">
      <alignment horizontal="center" vertical="center"/>
    </xf>
    <xf numFmtId="0" fontId="42" fillId="20" borderId="0" xfId="3" applyFont="1" applyFill="1" applyAlignment="1">
      <alignment horizontal="center" vertical="center"/>
    </xf>
    <xf numFmtId="171" fontId="42" fillId="24" borderId="0" xfId="3" applyNumberFormat="1" applyFont="1" applyFill="1" applyAlignment="1">
      <alignment horizontal="center" vertical="center"/>
    </xf>
    <xf numFmtId="172" fontId="42" fillId="24" borderId="0" xfId="3" applyNumberFormat="1" applyFont="1" applyFill="1" applyAlignment="1">
      <alignment horizontal="center" vertical="center"/>
    </xf>
    <xf numFmtId="173" fontId="42" fillId="24" borderId="0" xfId="3" applyNumberFormat="1" applyFont="1" applyFill="1" applyAlignment="1">
      <alignment horizontal="center" vertical="center"/>
    </xf>
    <xf numFmtId="174" fontId="42" fillId="24" borderId="0" xfId="3" applyNumberFormat="1" applyFont="1" applyFill="1" applyAlignment="1">
      <alignment horizontal="center" vertical="center"/>
    </xf>
    <xf numFmtId="175" fontId="42" fillId="24" borderId="0" xfId="3" applyNumberFormat="1" applyFont="1" applyFill="1" applyAlignment="1">
      <alignment horizontal="center" vertical="center"/>
    </xf>
    <xf numFmtId="0" fontId="42" fillId="24" borderId="0" xfId="3" applyFont="1" applyFill="1" applyAlignment="1">
      <alignment horizontal="left" vertical="center"/>
    </xf>
    <xf numFmtId="40" fontId="7" fillId="24" borderId="0" xfId="3" applyNumberFormat="1" applyFont="1" applyFill="1" applyAlignment="1">
      <alignment vertical="center"/>
    </xf>
    <xf numFmtId="40" fontId="43" fillId="24" borderId="0" xfId="3" applyNumberFormat="1" applyFont="1" applyFill="1" applyAlignment="1">
      <alignment horizontal="center" vertical="center"/>
    </xf>
    <xf numFmtId="0" fontId="42" fillId="24" borderId="0" xfId="3" applyFont="1" applyFill="1" applyAlignment="1">
      <alignment horizontal="center" vertical="center"/>
    </xf>
    <xf numFmtId="40" fontId="43" fillId="0" borderId="0" xfId="3" applyNumberFormat="1" applyFont="1" applyAlignment="1">
      <alignment vertical="center"/>
    </xf>
    <xf numFmtId="40" fontId="7" fillId="24" borderId="0" xfId="3" applyNumberFormat="1" applyFont="1" applyFill="1" applyAlignment="1">
      <alignment horizontal="right" vertical="center"/>
    </xf>
    <xf numFmtId="40" fontId="43" fillId="24" borderId="0" xfId="3" applyNumberFormat="1" applyFont="1" applyFill="1" applyAlignment="1">
      <alignment vertic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4" fontId="44" fillId="0" borderId="0" xfId="0" applyNumberFormat="1" applyFont="1" applyAlignment="1">
      <alignment horizontal="right" vertical="center"/>
    </xf>
    <xf numFmtId="0" fontId="0" fillId="25" borderId="0" xfId="0" applyFill="1"/>
    <xf numFmtId="0" fontId="0" fillId="26" borderId="0" xfId="0" applyFill="1"/>
    <xf numFmtId="171" fontId="42" fillId="26" borderId="0" xfId="3" applyNumberFormat="1" applyFont="1" applyFill="1" applyAlignment="1">
      <alignment horizontal="center" vertical="center"/>
    </xf>
    <xf numFmtId="172" fontId="42" fillId="26" borderId="0" xfId="3" applyNumberFormat="1" applyFont="1" applyFill="1" applyAlignment="1">
      <alignment horizontal="center" vertical="center"/>
    </xf>
    <xf numFmtId="173" fontId="42" fillId="26" borderId="0" xfId="3" applyNumberFormat="1" applyFont="1" applyFill="1" applyAlignment="1">
      <alignment horizontal="center" vertical="center"/>
    </xf>
    <xf numFmtId="174" fontId="42" fillId="26" borderId="0" xfId="3" applyNumberFormat="1" applyFont="1" applyFill="1" applyAlignment="1">
      <alignment horizontal="center" vertical="center"/>
    </xf>
    <xf numFmtId="175" fontId="42" fillId="26" borderId="0" xfId="3" applyNumberFormat="1" applyFont="1" applyFill="1" applyAlignment="1">
      <alignment horizontal="center" vertical="center"/>
    </xf>
    <xf numFmtId="0" fontId="42" fillId="26" borderId="0" xfId="3" applyFont="1" applyFill="1" applyAlignment="1">
      <alignment horizontal="left" vertical="center"/>
    </xf>
    <xf numFmtId="40" fontId="7" fillId="26" borderId="0" xfId="3" applyNumberFormat="1" applyFont="1" applyFill="1" applyAlignment="1">
      <alignment horizontal="right" vertical="center"/>
    </xf>
    <xf numFmtId="40" fontId="7" fillId="26" borderId="0" xfId="3" applyNumberFormat="1" applyFont="1" applyFill="1" applyAlignment="1">
      <alignment vertical="center"/>
    </xf>
    <xf numFmtId="40" fontId="43" fillId="26" borderId="0" xfId="3" applyNumberFormat="1" applyFont="1" applyFill="1" applyAlignment="1">
      <alignment horizontal="center" vertical="center"/>
    </xf>
    <xf numFmtId="0" fontId="42" fillId="26" borderId="0" xfId="3" applyFont="1" applyFill="1" applyAlignment="1">
      <alignment horizontal="center" vertical="center"/>
    </xf>
    <xf numFmtId="40" fontId="43" fillId="26" borderId="0" xfId="3" applyNumberFormat="1" applyFont="1" applyFill="1" applyAlignment="1">
      <alignment vertical="center"/>
    </xf>
    <xf numFmtId="40" fontId="40" fillId="26" borderId="0" xfId="3" applyNumberFormat="1" applyFont="1" applyFill="1" applyAlignment="1">
      <alignment vertical="center"/>
    </xf>
    <xf numFmtId="40" fontId="43" fillId="26" borderId="0" xfId="3" applyNumberFormat="1" applyFont="1" applyFill="1" applyAlignment="1">
      <alignment horizontal="right" vertical="center"/>
    </xf>
    <xf numFmtId="0" fontId="6" fillId="26" borderId="0" xfId="3" applyFont="1" applyFill="1" applyAlignment="1">
      <alignment horizontal="left" vertical="center"/>
    </xf>
    <xf numFmtId="40" fontId="7" fillId="26" borderId="0" xfId="3" applyNumberFormat="1" applyFont="1" applyFill="1" applyAlignment="1">
      <alignment horizontal="center" vertical="center"/>
    </xf>
    <xf numFmtId="0" fontId="6" fillId="26" borderId="0" xfId="3" applyFont="1" applyFill="1" applyAlignment="1">
      <alignment horizontal="center" vertical="center"/>
    </xf>
    <xf numFmtId="0" fontId="39" fillId="26" borderId="0" xfId="3" applyFont="1" applyFill="1" applyAlignment="1">
      <alignment horizontal="left" vertical="center"/>
    </xf>
    <xf numFmtId="40" fontId="40" fillId="26" borderId="0" xfId="3" applyNumberFormat="1" applyFont="1" applyFill="1" applyAlignment="1">
      <alignment horizontal="right" vertical="center"/>
    </xf>
    <xf numFmtId="40" fontId="40" fillId="26" borderId="0" xfId="3" applyNumberFormat="1" applyFont="1" applyFill="1" applyAlignment="1">
      <alignment horizontal="center" vertical="center"/>
    </xf>
    <xf numFmtId="0" fontId="39" fillId="26" borderId="0" xfId="3" applyFont="1" applyFill="1" applyAlignment="1">
      <alignment horizontal="center" vertical="center"/>
    </xf>
    <xf numFmtId="14" fontId="46" fillId="0" borderId="0" xfId="0" applyNumberFormat="1" applyFont="1" applyAlignment="1">
      <alignment horizontal="center"/>
    </xf>
    <xf numFmtId="4" fontId="45" fillId="0" borderId="0" xfId="3" applyNumberFormat="1" applyFont="1" applyAlignment="1">
      <alignment horizontal="right" vertical="center"/>
    </xf>
    <xf numFmtId="171" fontId="47" fillId="0" borderId="0" xfId="3" applyNumberFormat="1" applyFont="1" applyAlignment="1">
      <alignment horizontal="center" vertical="center"/>
    </xf>
    <xf numFmtId="172" fontId="47" fillId="0" borderId="0" xfId="3" applyNumberFormat="1" applyFont="1" applyAlignment="1">
      <alignment horizontal="center" vertical="center"/>
    </xf>
    <xf numFmtId="173" fontId="47" fillId="0" borderId="0" xfId="3" applyNumberFormat="1" applyFont="1" applyAlignment="1">
      <alignment horizontal="center" vertical="center"/>
    </xf>
    <xf numFmtId="174" fontId="47" fillId="0" borderId="0" xfId="3" applyNumberFormat="1" applyFont="1" applyAlignment="1">
      <alignment horizontal="center" vertical="center"/>
    </xf>
    <xf numFmtId="175" fontId="47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40" fontId="48" fillId="0" borderId="0" xfId="3" applyNumberFormat="1" applyFont="1" applyAlignment="1">
      <alignment vertical="center"/>
    </xf>
    <xf numFmtId="40" fontId="48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40" fontId="7" fillId="27" borderId="1" xfId="3" applyNumberFormat="1" applyFont="1" applyFill="1" applyBorder="1" applyAlignment="1">
      <alignment horizontal="right" vertical="center"/>
    </xf>
    <xf numFmtId="40" fontId="48" fillId="0" borderId="0" xfId="3" applyNumberFormat="1" applyFont="1" applyAlignment="1">
      <alignment horizontal="right" vertical="center"/>
    </xf>
    <xf numFmtId="4" fontId="6" fillId="0" borderId="0" xfId="3" applyNumberFormat="1" applyFont="1" applyAlignment="1">
      <alignment horizontal="right" vertical="center"/>
    </xf>
    <xf numFmtId="0" fontId="0" fillId="28" borderId="0" xfId="0" applyFill="1"/>
    <xf numFmtId="174" fontId="10" fillId="0" borderId="0" xfId="3" applyNumberFormat="1" applyFont="1" applyAlignment="1">
      <alignment horizontal="center"/>
    </xf>
    <xf numFmtId="40" fontId="7" fillId="27" borderId="0" xfId="3" applyNumberFormat="1" applyFont="1" applyFill="1" applyAlignment="1">
      <alignment horizontal="right" vertical="center"/>
    </xf>
    <xf numFmtId="40" fontId="48" fillId="0" borderId="1" xfId="3" applyNumberFormat="1" applyFont="1" applyBorder="1" applyAlignment="1">
      <alignment horizontal="right" vertical="center"/>
    </xf>
    <xf numFmtId="40" fontId="7" fillId="0" borderId="1" xfId="3" applyNumberFormat="1" applyFont="1" applyBorder="1" applyAlignment="1">
      <alignment horizontal="right" vertical="center"/>
    </xf>
    <xf numFmtId="171" fontId="6" fillId="26" borderId="0" xfId="3" applyNumberFormat="1" applyFont="1" applyFill="1" applyAlignment="1">
      <alignment horizontal="center" vertical="center"/>
    </xf>
    <xf numFmtId="172" fontId="6" fillId="26" borderId="0" xfId="3" applyNumberFormat="1" applyFont="1" applyFill="1" applyAlignment="1">
      <alignment horizontal="center" vertical="center"/>
    </xf>
    <xf numFmtId="173" fontId="6" fillId="26" borderId="0" xfId="3" applyNumberFormat="1" applyFont="1" applyFill="1" applyAlignment="1">
      <alignment horizontal="center" vertical="center"/>
    </xf>
    <xf numFmtId="174" fontId="6" fillId="26" borderId="0" xfId="3" applyNumberFormat="1" applyFont="1" applyFill="1" applyAlignment="1">
      <alignment horizontal="center" vertical="center"/>
    </xf>
    <xf numFmtId="175" fontId="6" fillId="26" borderId="0" xfId="3" applyNumberFormat="1" applyFont="1" applyFill="1" applyAlignment="1">
      <alignment horizontal="center" vertical="center"/>
    </xf>
    <xf numFmtId="40" fontId="48" fillId="26" borderId="0" xfId="3" applyNumberFormat="1" applyFont="1" applyFill="1" applyAlignment="1">
      <alignment vertical="center"/>
    </xf>
    <xf numFmtId="40" fontId="7" fillId="26" borderId="1" xfId="3" applyNumberFormat="1" applyFont="1" applyFill="1" applyBorder="1" applyAlignment="1">
      <alignment horizontal="right" vertical="center"/>
    </xf>
    <xf numFmtId="171" fontId="47" fillId="26" borderId="0" xfId="3" applyNumberFormat="1" applyFont="1" applyFill="1" applyAlignment="1">
      <alignment horizontal="center" vertical="center"/>
    </xf>
    <xf numFmtId="173" fontId="47" fillId="26" borderId="0" xfId="3" applyNumberFormat="1" applyFont="1" applyFill="1" applyAlignment="1">
      <alignment horizontal="center" vertical="center"/>
    </xf>
    <xf numFmtId="174" fontId="47" fillId="26" borderId="0" xfId="3" applyNumberFormat="1" applyFont="1" applyFill="1" applyAlignment="1">
      <alignment horizontal="center" vertical="center"/>
    </xf>
    <xf numFmtId="175" fontId="47" fillId="26" borderId="0" xfId="3" applyNumberFormat="1" applyFont="1" applyFill="1" applyAlignment="1">
      <alignment horizontal="center" vertical="center"/>
    </xf>
    <xf numFmtId="0" fontId="47" fillId="26" borderId="0" xfId="3" applyFont="1" applyFill="1" applyAlignment="1">
      <alignment horizontal="left" vertical="center"/>
    </xf>
    <xf numFmtId="40" fontId="48" fillId="26" borderId="0" xfId="3" applyNumberFormat="1" applyFont="1" applyFill="1" applyAlignment="1">
      <alignment horizontal="center" vertical="center"/>
    </xf>
    <xf numFmtId="0" fontId="47" fillId="26" borderId="0" xfId="3" applyFont="1" applyFill="1" applyAlignment="1">
      <alignment horizontal="center" vertical="center"/>
    </xf>
    <xf numFmtId="4" fontId="0" fillId="26" borderId="0" xfId="0" applyNumberFormat="1" applyFill="1"/>
    <xf numFmtId="171" fontId="36" fillId="26" borderId="0" xfId="3" applyNumberFormat="1" applyFont="1" applyFill="1" applyAlignment="1">
      <alignment horizontal="center" vertical="center"/>
    </xf>
    <xf numFmtId="171" fontId="36" fillId="20" borderId="0" xfId="3" applyNumberFormat="1" applyFont="1" applyFill="1" applyAlignment="1">
      <alignment horizontal="center" vertical="center"/>
    </xf>
    <xf numFmtId="173" fontId="6" fillId="20" borderId="0" xfId="3" applyNumberFormat="1" applyFont="1" applyFill="1" applyAlignment="1">
      <alignment horizontal="center" vertical="center"/>
    </xf>
    <xf numFmtId="175" fontId="10" fillId="20" borderId="0" xfId="3" applyNumberFormat="1" applyFont="1" applyFill="1" applyAlignment="1">
      <alignment horizontal="center"/>
    </xf>
    <xf numFmtId="0" fontId="10" fillId="20" borderId="0" xfId="3" applyFont="1" applyFill="1" applyAlignment="1">
      <alignment horizontal="left"/>
    </xf>
    <xf numFmtId="4" fontId="6" fillId="20" borderId="0" xfId="3" applyNumberFormat="1" applyFont="1" applyFill="1" applyAlignment="1">
      <alignment horizontal="right" vertical="center"/>
    </xf>
    <xf numFmtId="0" fontId="10" fillId="20" borderId="0" xfId="3" applyFont="1" applyFill="1" applyAlignment="1">
      <alignment horizontal="center" vertical="center"/>
    </xf>
    <xf numFmtId="0" fontId="0" fillId="20" borderId="0" xfId="0" applyFill="1"/>
    <xf numFmtId="174" fontId="10" fillId="20" borderId="0" xfId="3" applyNumberFormat="1" applyFont="1" applyFill="1" applyAlignment="1">
      <alignment horizontal="center"/>
    </xf>
    <xf numFmtId="175" fontId="6" fillId="0" borderId="27" xfId="3" applyNumberFormat="1" applyFont="1" applyBorder="1" applyAlignment="1">
      <alignment horizontal="center"/>
    </xf>
    <xf numFmtId="171" fontId="10" fillId="0" borderId="33" xfId="3" applyNumberFormat="1" applyFont="1" applyBorder="1" applyAlignment="1">
      <alignment horizontal="center"/>
    </xf>
    <xf numFmtId="172" fontId="10" fillId="0" borderId="1" xfId="3" applyNumberFormat="1" applyFont="1" applyBorder="1" applyAlignment="1">
      <alignment horizontal="center"/>
    </xf>
    <xf numFmtId="173" fontId="10" fillId="0" borderId="9" xfId="3" applyNumberFormat="1" applyFont="1" applyBorder="1" applyAlignment="1">
      <alignment horizontal="center"/>
    </xf>
    <xf numFmtId="174" fontId="10" fillId="0" borderId="1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81" fontId="10" fillId="0" borderId="1" xfId="3" applyNumberFormat="1" applyFont="1" applyBorder="1" applyAlignment="1">
      <alignment horizontal="right"/>
    </xf>
    <xf numFmtId="181" fontId="10" fillId="0" borderId="1" xfId="3" applyNumberFormat="1" applyFont="1" applyBorder="1" applyAlignment="1">
      <alignment horizontal="right" vertical="center"/>
    </xf>
    <xf numFmtId="171" fontId="10" fillId="0" borderId="22" xfId="3" applyNumberFormat="1" applyFont="1" applyBorder="1" applyAlignment="1">
      <alignment horizontal="center"/>
    </xf>
    <xf numFmtId="173" fontId="10" fillId="0" borderId="26" xfId="3" applyNumberFormat="1" applyFont="1" applyBorder="1" applyAlignment="1">
      <alignment horizontal="center"/>
    </xf>
    <xf numFmtId="174" fontId="10" fillId="0" borderId="27" xfId="3" applyNumberFormat="1" applyFont="1" applyBorder="1" applyAlignment="1">
      <alignment horizontal="center"/>
    </xf>
    <xf numFmtId="0" fontId="10" fillId="0" borderId="27" xfId="3" applyFont="1" applyBorder="1" applyAlignment="1">
      <alignment horizontal="center"/>
    </xf>
    <xf numFmtId="175" fontId="10" fillId="0" borderId="27" xfId="3" applyNumberFormat="1" applyFont="1" applyBorder="1" applyAlignment="1">
      <alignment horizontal="center"/>
    </xf>
    <xf numFmtId="181" fontId="10" fillId="0" borderId="27" xfId="3" applyNumberFormat="1" applyFont="1" applyBorder="1"/>
    <xf numFmtId="181" fontId="10" fillId="0" borderId="27" xfId="3" applyNumberFormat="1" applyFont="1" applyBorder="1" applyAlignment="1">
      <alignment horizontal="right"/>
    </xf>
    <xf numFmtId="181" fontId="10" fillId="0" borderId="27" xfId="3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181" fontId="10" fillId="0" borderId="0" xfId="0" applyNumberFormat="1" applyFont="1"/>
    <xf numFmtId="181" fontId="13" fillId="0" borderId="0" xfId="0" applyNumberFormat="1" applyFont="1" applyAlignment="1">
      <alignment horizontal="right"/>
    </xf>
    <xf numFmtId="181" fontId="6" fillId="0" borderId="0" xfId="0" applyNumberFormat="1" applyFont="1" applyAlignment="1">
      <alignment horizontal="right" vertical="center"/>
    </xf>
    <xf numFmtId="40" fontId="6" fillId="26" borderId="0" xfId="3" applyNumberFormat="1" applyFont="1" applyFill="1" applyAlignment="1">
      <alignment horizontal="right" vertical="center"/>
    </xf>
    <xf numFmtId="40" fontId="13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 vertical="center"/>
    </xf>
    <xf numFmtId="171" fontId="6" fillId="0" borderId="9" xfId="3" applyNumberFormat="1" applyFont="1" applyBorder="1" applyAlignment="1">
      <alignment horizontal="center" vertical="center"/>
    </xf>
    <xf numFmtId="172" fontId="6" fillId="0" borderId="0" xfId="3" applyNumberFormat="1" applyFont="1" applyAlignment="1">
      <alignment horizontal="center"/>
    </xf>
    <xf numFmtId="172" fontId="6" fillId="0" borderId="1" xfId="3" applyNumberFormat="1" applyFont="1" applyBorder="1" applyAlignment="1">
      <alignment horizontal="center" vertical="center"/>
    </xf>
    <xf numFmtId="174" fontId="6" fillId="0" borderId="1" xfId="3" applyNumberFormat="1" applyFont="1" applyBorder="1" applyAlignment="1">
      <alignment horizontal="center" vertical="center"/>
    </xf>
    <xf numFmtId="181" fontId="6" fillId="0" borderId="0" xfId="3" applyNumberFormat="1" applyFont="1"/>
    <xf numFmtId="175" fontId="6" fillId="0" borderId="27" xfId="3" applyNumberFormat="1" applyFont="1" applyBorder="1" applyAlignment="1">
      <alignment horizontal="center" vertical="center"/>
    </xf>
    <xf numFmtId="173" fontId="6" fillId="29" borderId="0" xfId="3" applyNumberFormat="1" applyFont="1" applyFill="1" applyAlignment="1">
      <alignment horizontal="center" vertical="center"/>
    </xf>
    <xf numFmtId="174" fontId="6" fillId="29" borderId="0" xfId="3" applyNumberFormat="1" applyFont="1" applyFill="1" applyAlignment="1">
      <alignment horizontal="center" vertical="center"/>
    </xf>
    <xf numFmtId="175" fontId="6" fillId="29" borderId="0" xfId="3" applyNumberFormat="1" applyFont="1" applyFill="1" applyAlignment="1">
      <alignment horizontal="center" vertical="center"/>
    </xf>
    <xf numFmtId="40" fontId="6" fillId="29" borderId="0" xfId="3" applyNumberFormat="1" applyFont="1" applyFill="1" applyAlignment="1">
      <alignment horizontal="right" vertical="center"/>
    </xf>
    <xf numFmtId="40" fontId="6" fillId="25" borderId="0" xfId="3" applyNumberFormat="1" applyFont="1" applyFill="1" applyAlignment="1">
      <alignment horizontal="right" vertical="center"/>
    </xf>
    <xf numFmtId="171" fontId="36" fillId="29" borderId="0" xfId="3" applyNumberFormat="1" applyFont="1" applyFill="1" applyAlignment="1">
      <alignment horizontal="center" vertical="center"/>
    </xf>
    <xf numFmtId="0" fontId="10" fillId="29" borderId="0" xfId="3" applyFont="1" applyFill="1" applyAlignment="1">
      <alignment horizontal="left"/>
    </xf>
    <xf numFmtId="4" fontId="10" fillId="29" borderId="0" xfId="3" applyNumberFormat="1" applyFont="1" applyFill="1" applyAlignment="1">
      <alignment horizontal="right" vertical="center"/>
    </xf>
    <xf numFmtId="0" fontId="10" fillId="29" borderId="0" xfId="3" applyFont="1" applyFill="1" applyAlignment="1">
      <alignment horizontal="center" vertical="center"/>
    </xf>
    <xf numFmtId="4" fontId="36" fillId="29" borderId="0" xfId="3" applyNumberFormat="1" applyFont="1" applyFill="1" applyAlignment="1">
      <alignment horizontal="right" vertical="center"/>
    </xf>
    <xf numFmtId="173" fontId="6" fillId="30" borderId="0" xfId="3" applyNumberFormat="1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4" fontId="49" fillId="0" borderId="0" xfId="0" applyNumberFormat="1" applyFont="1" applyAlignment="1">
      <alignment horizontal="right" vertical="center"/>
    </xf>
    <xf numFmtId="0" fontId="49" fillId="29" borderId="0" xfId="3" applyFont="1" applyFill="1" applyAlignment="1">
      <alignment horizontal="left"/>
    </xf>
    <xf numFmtId="0" fontId="49" fillId="29" borderId="0" xfId="3" applyFont="1" applyFill="1" applyAlignment="1">
      <alignment horizontal="center" vertical="center"/>
    </xf>
    <xf numFmtId="171" fontId="36" fillId="30" borderId="0" xfId="3" applyNumberFormat="1" applyFont="1" applyFill="1" applyAlignment="1">
      <alignment horizontal="center" vertical="center"/>
    </xf>
    <xf numFmtId="174" fontId="49" fillId="30" borderId="0" xfId="3" applyNumberFormat="1" applyFont="1" applyFill="1" applyAlignment="1">
      <alignment horizontal="center"/>
    </xf>
    <xf numFmtId="175" fontId="49" fillId="30" borderId="0" xfId="3" applyNumberFormat="1" applyFont="1" applyFill="1" applyAlignment="1">
      <alignment horizontal="center"/>
    </xf>
    <xf numFmtId="0" fontId="49" fillId="30" borderId="0" xfId="3" applyFont="1" applyFill="1" applyAlignment="1">
      <alignment horizontal="left"/>
    </xf>
    <xf numFmtId="4" fontId="49" fillId="30" borderId="0" xfId="3" applyNumberFormat="1" applyFont="1" applyFill="1" applyAlignment="1">
      <alignment horizontal="right" vertical="center"/>
    </xf>
    <xf numFmtId="0" fontId="49" fillId="30" borderId="0" xfId="3" applyFont="1" applyFill="1" applyAlignment="1">
      <alignment horizontal="center" vertical="center"/>
    </xf>
    <xf numFmtId="0" fontId="10" fillId="30" borderId="0" xfId="3" applyFont="1" applyFill="1" applyAlignment="1">
      <alignment horizontal="left"/>
    </xf>
    <xf numFmtId="0" fontId="10" fillId="30" borderId="0" xfId="3" applyFont="1" applyFill="1" applyAlignment="1">
      <alignment horizontal="center" vertical="center"/>
    </xf>
    <xf numFmtId="174" fontId="6" fillId="29" borderId="0" xfId="3" applyNumberFormat="1" applyFont="1" applyFill="1" applyAlignment="1">
      <alignment horizontal="center"/>
    </xf>
    <xf numFmtId="174" fontId="6" fillId="30" borderId="0" xfId="3" applyNumberFormat="1" applyFont="1" applyFill="1" applyAlignment="1">
      <alignment horizontal="center"/>
    </xf>
    <xf numFmtId="175" fontId="6" fillId="29" borderId="0" xfId="3" applyNumberFormat="1" applyFont="1" applyFill="1" applyAlignment="1">
      <alignment horizontal="center"/>
    </xf>
    <xf numFmtId="175" fontId="6" fillId="30" borderId="0" xfId="3" applyNumberFormat="1" applyFont="1" applyFill="1" applyAlignment="1">
      <alignment horizontal="center"/>
    </xf>
    <xf numFmtId="182" fontId="37" fillId="0" borderId="0" xfId="3" applyNumberFormat="1" applyFont="1" applyAlignment="1">
      <alignment horizontal="center"/>
    </xf>
    <xf numFmtId="171" fontId="36" fillId="4" borderId="0" xfId="3" applyNumberFormat="1" applyFont="1" applyFill="1" applyAlignment="1">
      <alignment horizontal="center" vertical="center"/>
    </xf>
    <xf numFmtId="174" fontId="10" fillId="4" borderId="0" xfId="3" applyNumberFormat="1" applyFont="1" applyFill="1" applyAlignment="1">
      <alignment horizontal="center"/>
    </xf>
    <xf numFmtId="175" fontId="10" fillId="4" borderId="0" xfId="3" applyNumberFormat="1" applyFont="1" applyFill="1" applyAlignment="1">
      <alignment horizontal="center"/>
    </xf>
    <xf numFmtId="0" fontId="10" fillId="4" borderId="0" xfId="3" applyFont="1" applyFill="1" applyAlignment="1">
      <alignment horizontal="left"/>
    </xf>
    <xf numFmtId="4" fontId="6" fillId="4" borderId="0" xfId="3" applyNumberFormat="1" applyFont="1" applyFill="1" applyAlignment="1">
      <alignment horizontal="right" vertical="center"/>
    </xf>
    <xf numFmtId="0" fontId="10" fillId="4" borderId="0" xfId="3" applyFont="1" applyFill="1" applyAlignment="1">
      <alignment horizontal="center" vertical="center"/>
    </xf>
    <xf numFmtId="173" fontId="6" fillId="4" borderId="0" xfId="3" applyNumberFormat="1" applyFont="1" applyFill="1" applyAlignment="1">
      <alignment horizontal="center" vertical="center"/>
    </xf>
    <xf numFmtId="0" fontId="0" fillId="4" borderId="0" xfId="0" applyFill="1"/>
    <xf numFmtId="171" fontId="6" fillId="6" borderId="0" xfId="3" applyNumberFormat="1" applyFont="1" applyFill="1" applyAlignment="1">
      <alignment horizontal="center"/>
    </xf>
    <xf numFmtId="172" fontId="6" fillId="6" borderId="0" xfId="3" applyNumberFormat="1" applyFont="1" applyFill="1" applyAlignment="1">
      <alignment horizontal="center"/>
    </xf>
    <xf numFmtId="173" fontId="6" fillId="6" borderId="1" xfId="3" applyNumberFormat="1" applyFont="1" applyFill="1" applyBorder="1" applyAlignment="1">
      <alignment horizontal="center"/>
    </xf>
    <xf numFmtId="174" fontId="6" fillId="6" borderId="0" xfId="3" applyNumberFormat="1" applyFont="1" applyFill="1" applyAlignment="1">
      <alignment horizontal="center"/>
    </xf>
    <xf numFmtId="175" fontId="6" fillId="6" borderId="27" xfId="3" applyNumberFormat="1" applyFont="1" applyFill="1" applyBorder="1" applyAlignment="1">
      <alignment horizontal="center" vertical="center"/>
    </xf>
    <xf numFmtId="175" fontId="6" fillId="6" borderId="1" xfId="3" applyNumberFormat="1" applyFont="1" applyFill="1" applyBorder="1" applyAlignment="1">
      <alignment horizontal="center"/>
    </xf>
    <xf numFmtId="2" fontId="52" fillId="6" borderId="1" xfId="0" applyNumberFormat="1" applyFont="1" applyFill="1" applyBorder="1"/>
    <xf numFmtId="181" fontId="6" fillId="6" borderId="1" xfId="3" applyNumberFormat="1" applyFont="1" applyFill="1" applyBorder="1" applyAlignment="1">
      <alignment horizontal="right"/>
    </xf>
    <xf numFmtId="181" fontId="6" fillId="6" borderId="1" xfId="3" applyNumberFormat="1" applyFont="1" applyFill="1" applyBorder="1" applyAlignment="1">
      <alignment horizontal="right" vertical="center"/>
    </xf>
    <xf numFmtId="40" fontId="6" fillId="6" borderId="13" xfId="3" applyNumberFormat="1" applyFont="1" applyFill="1" applyBorder="1" applyAlignment="1">
      <alignment horizontal="right" vertical="center"/>
    </xf>
    <xf numFmtId="172" fontId="6" fillId="6" borderId="0" xfId="3" applyNumberFormat="1" applyFont="1" applyFill="1" applyAlignment="1">
      <alignment horizontal="center" vertical="center"/>
    </xf>
    <xf numFmtId="181" fontId="6" fillId="6" borderId="1" xfId="3" applyNumberFormat="1" applyFont="1" applyFill="1" applyBorder="1"/>
    <xf numFmtId="171" fontId="6" fillId="0" borderId="33" xfId="3" applyNumberFormat="1" applyFont="1" applyBorder="1" applyAlignment="1">
      <alignment horizontal="center" vertical="center"/>
    </xf>
    <xf numFmtId="172" fontId="10" fillId="0" borderId="0" xfId="3" applyNumberFormat="1" applyFont="1" applyAlignment="1">
      <alignment horizontal="center"/>
    </xf>
    <xf numFmtId="173" fontId="10" fillId="0" borderId="0" xfId="3" applyNumberFormat="1" applyFont="1" applyAlignment="1">
      <alignment horizontal="center"/>
    </xf>
    <xf numFmtId="173" fontId="6" fillId="0" borderId="9" xfId="3" applyNumberFormat="1" applyFont="1" applyBorder="1" applyAlignment="1">
      <alignment horizontal="center" vertical="center"/>
    </xf>
    <xf numFmtId="171" fontId="53" fillId="0" borderId="0" xfId="3" applyNumberFormat="1" applyFont="1" applyAlignment="1">
      <alignment horizontal="center" vertical="center"/>
    </xf>
    <xf numFmtId="172" fontId="53" fillId="0" borderId="0" xfId="3" applyNumberFormat="1" applyFont="1" applyAlignment="1">
      <alignment horizontal="center" vertical="center"/>
    </xf>
    <xf numFmtId="173" fontId="53" fillId="0" borderId="0" xfId="3" applyNumberFormat="1" applyFont="1" applyAlignment="1">
      <alignment horizontal="center" vertical="center"/>
    </xf>
    <xf numFmtId="0" fontId="53" fillId="0" borderId="0" xfId="3" applyFont="1" applyAlignment="1">
      <alignment horizontal="left" vertical="center"/>
    </xf>
    <xf numFmtId="40" fontId="54" fillId="0" borderId="0" xfId="3" applyNumberFormat="1" applyFont="1" applyAlignment="1">
      <alignment horizontal="right" vertical="center"/>
    </xf>
    <xf numFmtId="40" fontId="54" fillId="0" borderId="0" xfId="3" applyNumberFormat="1" applyFont="1" applyAlignment="1">
      <alignment vertical="center"/>
    </xf>
    <xf numFmtId="40" fontId="54" fillId="0" borderId="0" xfId="3" applyNumberFormat="1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0" fontId="0" fillId="6" borderId="0" xfId="0" applyFill="1"/>
    <xf numFmtId="171" fontId="6" fillId="6" borderId="0" xfId="3" applyNumberFormat="1" applyFont="1" applyFill="1" applyAlignment="1">
      <alignment horizontal="center" vertical="center"/>
    </xf>
    <xf numFmtId="173" fontId="6" fillId="6" borderId="0" xfId="3" applyNumberFormat="1" applyFont="1" applyFill="1" applyAlignment="1">
      <alignment horizontal="center" vertical="center"/>
    </xf>
    <xf numFmtId="175" fontId="6" fillId="6" borderId="0" xfId="3" applyNumberFormat="1" applyFont="1" applyFill="1" applyAlignment="1">
      <alignment horizontal="center" vertical="center"/>
    </xf>
    <xf numFmtId="0" fontId="6" fillId="6" borderId="0" xfId="3" applyFont="1" applyFill="1" applyAlignment="1">
      <alignment horizontal="left" vertical="center"/>
    </xf>
    <xf numFmtId="40" fontId="7" fillId="6" borderId="0" xfId="3" applyNumberFormat="1" applyFont="1" applyFill="1" applyAlignment="1">
      <alignment horizontal="right" vertical="center"/>
    </xf>
    <xf numFmtId="40" fontId="7" fillId="6" borderId="0" xfId="3" applyNumberFormat="1" applyFont="1" applyFill="1" applyAlignment="1">
      <alignment vertical="center"/>
    </xf>
    <xf numFmtId="40" fontId="7" fillId="6" borderId="0" xfId="3" applyNumberFormat="1" applyFont="1" applyFill="1" applyAlignment="1">
      <alignment horizontal="center" vertical="center"/>
    </xf>
    <xf numFmtId="0" fontId="6" fillId="6" borderId="0" xfId="3" applyFont="1" applyFill="1" applyAlignment="1">
      <alignment horizontal="center" vertical="center"/>
    </xf>
    <xf numFmtId="171" fontId="50" fillId="0" borderId="0" xfId="3" applyNumberFormat="1" applyFont="1" applyAlignment="1">
      <alignment horizontal="center" vertical="center"/>
    </xf>
    <xf numFmtId="172" fontId="50" fillId="0" borderId="0" xfId="3" applyNumberFormat="1" applyFont="1" applyAlignment="1">
      <alignment horizontal="center" vertical="center"/>
    </xf>
    <xf numFmtId="173" fontId="50" fillId="0" borderId="0" xfId="3" applyNumberFormat="1" applyFont="1" applyAlignment="1">
      <alignment horizontal="center" vertical="center"/>
    </xf>
    <xf numFmtId="175" fontId="50" fillId="0" borderId="0" xfId="3" applyNumberFormat="1" applyFont="1" applyAlignment="1">
      <alignment horizontal="center" vertical="center"/>
    </xf>
    <xf numFmtId="0" fontId="50" fillId="0" borderId="0" xfId="3" applyFont="1" applyAlignment="1">
      <alignment horizontal="left" vertical="center"/>
    </xf>
    <xf numFmtId="40" fontId="51" fillId="0" borderId="0" xfId="3" applyNumberFormat="1" applyFont="1" applyAlignment="1">
      <alignment horizontal="right" vertical="center"/>
    </xf>
    <xf numFmtId="40" fontId="51" fillId="0" borderId="0" xfId="3" applyNumberFormat="1" applyFont="1" applyAlignment="1">
      <alignment vertical="center"/>
    </xf>
    <xf numFmtId="40" fontId="51" fillId="0" borderId="0" xfId="3" applyNumberFormat="1" applyFont="1" applyAlignment="1">
      <alignment horizontal="center" vertical="center"/>
    </xf>
    <xf numFmtId="0" fontId="50" fillId="0" borderId="0" xfId="3" applyFont="1" applyAlignment="1">
      <alignment horizontal="center" vertical="center"/>
    </xf>
    <xf numFmtId="2" fontId="3" fillId="0" borderId="0" xfId="0" applyNumberFormat="1" applyFont="1" applyAlignment="1">
      <alignment horizontal="right"/>
    </xf>
    <xf numFmtId="0" fontId="55" fillId="0" borderId="0" xfId="0" applyFont="1"/>
    <xf numFmtId="14" fontId="37" fillId="0" borderId="0" xfId="3" applyNumberFormat="1" applyFont="1" applyAlignment="1">
      <alignment horizontal="left"/>
    </xf>
    <xf numFmtId="0" fontId="37" fillId="0" borderId="0" xfId="0" applyFont="1" applyAlignment="1">
      <alignment horizontal="left"/>
    </xf>
    <xf numFmtId="4" fontId="36" fillId="26" borderId="0" xfId="3" applyNumberFormat="1" applyFont="1" applyFill="1" applyAlignment="1">
      <alignment horizontal="right" vertical="center"/>
    </xf>
    <xf numFmtId="40" fontId="7" fillId="31" borderId="0" xfId="3" applyNumberFormat="1" applyFont="1" applyFill="1" applyAlignment="1">
      <alignment vertical="center"/>
    </xf>
    <xf numFmtId="171" fontId="56" fillId="0" borderId="0" xfId="3" applyNumberFormat="1" applyFont="1" applyAlignment="1">
      <alignment horizontal="center" vertical="center"/>
    </xf>
    <xf numFmtId="172" fontId="56" fillId="0" borderId="0" xfId="3" applyNumberFormat="1" applyFont="1" applyAlignment="1">
      <alignment horizontal="center" vertical="center"/>
    </xf>
    <xf numFmtId="173" fontId="56" fillId="0" borderId="0" xfId="3" applyNumberFormat="1" applyFont="1" applyAlignment="1">
      <alignment horizontal="center" vertical="center"/>
    </xf>
    <xf numFmtId="174" fontId="56" fillId="0" borderId="0" xfId="3" applyNumberFormat="1" applyFont="1" applyAlignment="1">
      <alignment horizontal="center" vertical="center"/>
    </xf>
    <xf numFmtId="175" fontId="56" fillId="0" borderId="0" xfId="3" applyNumberFormat="1" applyFont="1" applyAlignment="1">
      <alignment horizontal="center" vertical="center"/>
    </xf>
    <xf numFmtId="0" fontId="56" fillId="0" borderId="0" xfId="3" applyFont="1" applyAlignment="1">
      <alignment horizontal="left" vertical="center"/>
    </xf>
    <xf numFmtId="40" fontId="57" fillId="0" borderId="0" xfId="3" applyNumberFormat="1" applyFont="1" applyAlignment="1">
      <alignment horizontal="right" vertical="center"/>
    </xf>
    <xf numFmtId="40" fontId="57" fillId="0" borderId="0" xfId="3" applyNumberFormat="1" applyFont="1" applyAlignment="1">
      <alignment vertical="center"/>
    </xf>
    <xf numFmtId="40" fontId="57" fillId="0" borderId="0" xfId="3" applyNumberFormat="1" applyFont="1" applyAlignment="1">
      <alignment horizontal="center" vertical="center"/>
    </xf>
    <xf numFmtId="0" fontId="56" fillId="0" borderId="0" xfId="3" applyFont="1" applyAlignment="1">
      <alignment horizontal="center" vertical="center"/>
    </xf>
    <xf numFmtId="171" fontId="58" fillId="0" borderId="0" xfId="3" applyNumberFormat="1" applyFont="1" applyAlignment="1">
      <alignment horizontal="center" vertical="center"/>
    </xf>
    <xf numFmtId="0" fontId="59" fillId="0" borderId="0" xfId="0" applyFont="1" applyAlignment="1">
      <alignment horizontal="center"/>
    </xf>
    <xf numFmtId="4" fontId="58" fillId="0" borderId="0" xfId="3" applyNumberFormat="1" applyFont="1" applyAlignment="1">
      <alignment horizontal="right" vertical="center"/>
    </xf>
    <xf numFmtId="0" fontId="58" fillId="0" borderId="0" xfId="0" applyFont="1" applyAlignment="1">
      <alignment horizontal="center" vertical="center"/>
    </xf>
    <xf numFmtId="4" fontId="58" fillId="0" borderId="0" xfId="0" applyNumberFormat="1" applyFont="1" applyAlignment="1">
      <alignment horizontal="right" vertical="center"/>
    </xf>
    <xf numFmtId="0" fontId="60" fillId="0" borderId="0" xfId="3" applyFont="1" applyAlignment="1">
      <alignment horizontal="left"/>
    </xf>
    <xf numFmtId="4" fontId="60" fillId="0" borderId="0" xfId="3" applyNumberFormat="1" applyFont="1" applyAlignment="1">
      <alignment horizontal="right" vertical="center"/>
    </xf>
    <xf numFmtId="0" fontId="60" fillId="0" borderId="0" xfId="3" applyFont="1" applyAlignment="1">
      <alignment horizontal="center" vertical="center"/>
    </xf>
    <xf numFmtId="171" fontId="14" fillId="0" borderId="0" xfId="3" applyNumberFormat="1" applyFont="1" applyAlignment="1">
      <alignment horizontal="center" vertical="center"/>
    </xf>
    <xf numFmtId="173" fontId="10" fillId="0" borderId="0" xfId="3" applyNumberFormat="1" applyFont="1" applyAlignment="1">
      <alignment horizontal="center" vertical="center"/>
    </xf>
    <xf numFmtId="174" fontId="10" fillId="0" borderId="0" xfId="3" applyNumberFormat="1" applyFont="1" applyAlignment="1">
      <alignment horizontal="center" vertical="center"/>
    </xf>
    <xf numFmtId="175" fontId="10" fillId="0" borderId="0" xfId="3" applyNumberFormat="1" applyFont="1" applyAlignment="1">
      <alignment horizontal="center" vertical="center"/>
    </xf>
    <xf numFmtId="4" fontId="14" fillId="0" borderId="0" xfId="3" applyNumberFormat="1" applyFont="1" applyAlignment="1">
      <alignment horizontal="right" vertical="center"/>
    </xf>
    <xf numFmtId="2" fontId="61" fillId="0" borderId="0" xfId="0" applyNumberFormat="1" applyFont="1" applyAlignment="1">
      <alignment horizontal="right" vertical="top" indent="1" shrinkToFit="1"/>
    </xf>
    <xf numFmtId="4" fontId="61" fillId="0" borderId="0" xfId="0" applyNumberFormat="1" applyFont="1" applyAlignment="1">
      <alignment horizontal="right" vertical="top" indent="1" shrinkToFit="1"/>
    </xf>
    <xf numFmtId="0" fontId="36" fillId="0" borderId="0" xfId="0" applyFont="1" applyAlignment="1">
      <alignment horizontal="right" vertical="center"/>
    </xf>
    <xf numFmtId="0" fontId="3" fillId="22" borderId="34" xfId="0" applyFont="1" applyFill="1" applyBorder="1" applyAlignment="1">
      <alignment horizontal="center" vertical="center"/>
    </xf>
    <xf numFmtId="0" fontId="11" fillId="2" borderId="0" xfId="2" applyFont="1" applyBorder="1" applyAlignment="1">
      <alignment vertical="center"/>
    </xf>
    <xf numFmtId="0" fontId="11" fillId="26" borderId="0" xfId="2" applyFont="1" applyFill="1" applyBorder="1" applyAlignment="1">
      <alignment vertical="center"/>
    </xf>
    <xf numFmtId="183" fontId="37" fillId="0" borderId="0" xfId="3" applyNumberFormat="1" applyFont="1" applyAlignment="1">
      <alignment horizontal="center"/>
    </xf>
    <xf numFmtId="14" fontId="37" fillId="0" borderId="0" xfId="3" applyNumberFormat="1" applyFont="1" applyAlignment="1">
      <alignment horizontal="center"/>
    </xf>
    <xf numFmtId="0" fontId="37" fillId="0" borderId="0" xfId="3" applyFont="1" applyAlignment="1">
      <alignment horizontal="center"/>
    </xf>
    <xf numFmtId="0" fontId="0" fillId="32" borderId="0" xfId="0" applyFill="1"/>
    <xf numFmtId="4" fontId="0" fillId="32" borderId="0" xfId="0" applyNumberFormat="1" applyFill="1"/>
    <xf numFmtId="0" fontId="0" fillId="0" borderId="35" xfId="0" applyBorder="1"/>
    <xf numFmtId="175" fontId="65" fillId="0" borderId="0" xfId="29" applyNumberFormat="1" applyFont="1" applyAlignment="1">
      <alignment horizontal="center"/>
    </xf>
    <xf numFmtId="175" fontId="0" fillId="0" borderId="0" xfId="0" applyNumberFormat="1" applyAlignment="1">
      <alignment horizontal="center"/>
    </xf>
    <xf numFmtId="184" fontId="65" fillId="0" borderId="0" xfId="29" applyNumberFormat="1" applyFont="1" applyAlignment="1">
      <alignment horizontal="center"/>
    </xf>
    <xf numFmtId="0" fontId="65" fillId="0" borderId="0" xfId="29" applyFont="1"/>
    <xf numFmtId="14" fontId="0" fillId="0" borderId="0" xfId="0" applyNumberFormat="1"/>
    <xf numFmtId="4" fontId="0" fillId="0" borderId="0" xfId="0" applyNumberFormat="1"/>
    <xf numFmtId="14" fontId="6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/>
    </xf>
    <xf numFmtId="40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/>
    </xf>
    <xf numFmtId="40" fontId="67" fillId="0" borderId="0" xfId="0" applyNumberFormat="1" applyFont="1" applyAlignment="1">
      <alignment horizontal="right" vertical="center"/>
    </xf>
    <xf numFmtId="40" fontId="67" fillId="0" borderId="0" xfId="0" applyNumberFormat="1" applyFont="1" applyAlignment="1">
      <alignment horizontal="center" vertical="center"/>
    </xf>
    <xf numFmtId="170" fontId="20" fillId="0" borderId="36" xfId="9" applyFont="1" applyBorder="1" applyAlignment="1">
      <alignment horizontal="center"/>
    </xf>
    <xf numFmtId="0" fontId="21" fillId="8" borderId="37" xfId="6" applyFont="1" applyFill="1" applyBorder="1" applyAlignment="1">
      <alignment horizontal="left"/>
    </xf>
    <xf numFmtId="0" fontId="21" fillId="8" borderId="38" xfId="6" applyFont="1" applyFill="1" applyBorder="1" applyAlignment="1">
      <alignment horizontal="left"/>
    </xf>
    <xf numFmtId="4" fontId="20" fillId="14" borderId="39" xfId="6" applyNumberFormat="1" applyFill="1" applyBorder="1" applyAlignment="1">
      <alignment horizontal="center"/>
    </xf>
    <xf numFmtId="4" fontId="20" fillId="14" borderId="40" xfId="6" applyNumberFormat="1" applyFill="1" applyBorder="1" applyAlignment="1">
      <alignment horizontal="center"/>
    </xf>
    <xf numFmtId="4" fontId="20" fillId="14" borderId="41" xfId="6" applyNumberFormat="1" applyFill="1" applyBorder="1" applyAlignment="1">
      <alignment horizontal="center"/>
    </xf>
    <xf numFmtId="4" fontId="20" fillId="0" borderId="41" xfId="6" applyNumberFormat="1" applyBorder="1" applyAlignment="1">
      <alignment horizontal="center"/>
    </xf>
    <xf numFmtId="170" fontId="20" fillId="0" borderId="42" xfId="9" applyFont="1" applyBorder="1" applyAlignment="1">
      <alignment horizontal="center"/>
    </xf>
    <xf numFmtId="170" fontId="20" fillId="0" borderId="2" xfId="9" applyFont="1" applyBorder="1" applyAlignment="1">
      <alignment horizontal="center"/>
    </xf>
    <xf numFmtId="170" fontId="20" fillId="0" borderId="20" xfId="9" applyFont="1" applyBorder="1" applyAlignment="1">
      <alignment horizontal="center"/>
    </xf>
    <xf numFmtId="4" fontId="20" fillId="14" borderId="43" xfId="6" applyNumberFormat="1" applyFill="1" applyBorder="1" applyAlignment="1">
      <alignment horizontal="center"/>
    </xf>
    <xf numFmtId="179" fontId="21" fillId="8" borderId="43" xfId="6" applyNumberFormat="1" applyFont="1" applyFill="1" applyBorder="1" applyAlignment="1">
      <alignment horizontal="center"/>
    </xf>
    <xf numFmtId="0" fontId="21" fillId="8" borderId="44" xfId="6" applyFont="1" applyFill="1" applyBorder="1" applyAlignment="1">
      <alignment horizontal="left"/>
    </xf>
    <xf numFmtId="4" fontId="20" fillId="0" borderId="45" xfId="6" applyNumberFormat="1" applyBorder="1" applyAlignment="1">
      <alignment horizontal="center"/>
    </xf>
    <xf numFmtId="179" fontId="21" fillId="8" borderId="46" xfId="6" applyNumberFormat="1" applyFont="1" applyFill="1" applyBorder="1" applyAlignment="1">
      <alignment horizontal="center"/>
    </xf>
    <xf numFmtId="0" fontId="21" fillId="8" borderId="47" xfId="6" applyFont="1" applyFill="1" applyBorder="1" applyAlignment="1">
      <alignment horizontal="left"/>
    </xf>
    <xf numFmtId="4" fontId="20" fillId="14" borderId="17" xfId="6" applyNumberFormat="1" applyFill="1" applyBorder="1" applyAlignment="1">
      <alignment horizontal="center"/>
    </xf>
    <xf numFmtId="4" fontId="20" fillId="14" borderId="1" xfId="6" applyNumberFormat="1" applyFill="1" applyBorder="1" applyAlignment="1">
      <alignment horizontal="center"/>
    </xf>
    <xf numFmtId="171" fontId="6" fillId="27" borderId="1" xfId="3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175" fontId="6" fillId="0" borderId="0" xfId="3" applyNumberFormat="1" applyFont="1" applyAlignment="1">
      <alignment horizontal="center"/>
    </xf>
    <xf numFmtId="175" fontId="6" fillId="27" borderId="0" xfId="3" applyNumberFormat="1" applyFont="1" applyFill="1" applyAlignment="1">
      <alignment horizontal="center"/>
    </xf>
    <xf numFmtId="175" fontId="0" fillId="0" borderId="1" xfId="0" applyNumberFormat="1" applyBorder="1" applyAlignment="1">
      <alignment horizontal="center"/>
    </xf>
    <xf numFmtId="0" fontId="65" fillId="0" borderId="0" xfId="29" applyFont="1" applyAlignment="1">
      <alignment horizontal="center"/>
    </xf>
    <xf numFmtId="14" fontId="6" fillId="30" borderId="0" xfId="0" applyNumberFormat="1" applyFont="1" applyFill="1" applyAlignment="1">
      <alignment horizontal="center" vertical="center"/>
    </xf>
    <xf numFmtId="172" fontId="39" fillId="30" borderId="0" xfId="3" applyNumberFormat="1" applyFont="1" applyFill="1" applyAlignment="1">
      <alignment horizontal="center" vertical="center"/>
    </xf>
    <xf numFmtId="174" fontId="6" fillId="30" borderId="0" xfId="3" applyNumberFormat="1" applyFont="1" applyFill="1" applyAlignment="1">
      <alignment horizontal="center" vertical="center"/>
    </xf>
    <xf numFmtId="175" fontId="6" fillId="30" borderId="0" xfId="3" applyNumberFormat="1" applyFont="1" applyFill="1" applyAlignment="1">
      <alignment horizontal="center" vertical="center"/>
    </xf>
    <xf numFmtId="0" fontId="6" fillId="30" borderId="0" xfId="3" applyFont="1" applyFill="1" applyAlignment="1">
      <alignment horizontal="left" vertical="center"/>
    </xf>
    <xf numFmtId="40" fontId="7" fillId="30" borderId="0" xfId="0" applyNumberFormat="1" applyFont="1" applyFill="1" applyAlignment="1">
      <alignment horizontal="right" vertical="center"/>
    </xf>
    <xf numFmtId="40" fontId="7" fillId="30" borderId="0" xfId="0" applyNumberFormat="1" applyFont="1" applyFill="1" applyAlignment="1">
      <alignment horizontal="center" vertical="center"/>
    </xf>
    <xf numFmtId="0" fontId="6" fillId="30" borderId="0" xfId="3" applyFont="1" applyFill="1" applyAlignment="1">
      <alignment horizontal="center" vertical="center"/>
    </xf>
    <xf numFmtId="4" fontId="68" fillId="33" borderId="40" xfId="6" applyNumberFormat="1" applyFont="1" applyFill="1" applyBorder="1" applyAlignment="1">
      <alignment horizontal="center"/>
    </xf>
    <xf numFmtId="180" fontId="0" fillId="0" borderId="0" xfId="0" applyNumberFormat="1"/>
    <xf numFmtId="165" fontId="7" fillId="0" borderId="0" xfId="30" applyFont="1" applyAlignment="1">
      <alignment vertical="center"/>
    </xf>
    <xf numFmtId="165" fontId="7" fillId="0" borderId="0" xfId="30" applyFont="1" applyAlignment="1">
      <alignment horizontal="right" vertical="center"/>
    </xf>
    <xf numFmtId="179" fontId="69" fillId="8" borderId="20" xfId="6" applyNumberFormat="1" applyFont="1" applyFill="1" applyBorder="1" applyAlignment="1">
      <alignment horizontal="center"/>
    </xf>
    <xf numFmtId="179" fontId="21" fillId="24" borderId="20" xfId="6" applyNumberFormat="1" applyFont="1" applyFill="1" applyBorder="1" applyAlignment="1">
      <alignment horizontal="center"/>
    </xf>
    <xf numFmtId="0" fontId="21" fillId="24" borderId="38" xfId="6" applyFont="1" applyFill="1" applyBorder="1" applyAlignment="1">
      <alignment horizontal="left"/>
    </xf>
    <xf numFmtId="0" fontId="21" fillId="24" borderId="21" xfId="6" applyFont="1" applyFill="1" applyBorder="1" applyAlignment="1">
      <alignment horizontal="left"/>
    </xf>
    <xf numFmtId="0" fontId="5" fillId="0" borderId="0" xfId="6" applyFont="1"/>
    <xf numFmtId="180" fontId="0" fillId="0" borderId="1" xfId="0" applyNumberFormat="1" applyBorder="1"/>
    <xf numFmtId="0" fontId="0" fillId="0" borderId="1" xfId="0" applyBorder="1"/>
    <xf numFmtId="4" fontId="70" fillId="0" borderId="0" xfId="3" applyNumberFormat="1" applyFont="1" applyFill="1" applyAlignment="1">
      <alignment horizontal="right" vertical="center"/>
    </xf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/>
    </xf>
    <xf numFmtId="4" fontId="70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right" vertical="center"/>
    </xf>
    <xf numFmtId="165" fontId="0" fillId="0" borderId="0" xfId="30" applyFont="1"/>
    <xf numFmtId="171" fontId="70" fillId="0" borderId="0" xfId="3" applyNumberFormat="1" applyFont="1" applyFill="1" applyAlignment="1">
      <alignment horizontal="center" vertical="center"/>
    </xf>
    <xf numFmtId="0" fontId="71" fillId="0" borderId="0" xfId="0" applyFont="1" applyFill="1" applyAlignment="1">
      <alignment horizontal="center"/>
    </xf>
    <xf numFmtId="0" fontId="37" fillId="0" borderId="0" xfId="0" applyNumberFormat="1" applyFont="1" applyAlignment="1">
      <alignment horizontal="center"/>
    </xf>
    <xf numFmtId="0" fontId="59" fillId="0" borderId="0" xfId="0" applyNumberFormat="1" applyFont="1" applyAlignment="1">
      <alignment horizontal="center"/>
    </xf>
    <xf numFmtId="0" fontId="71" fillId="0" borderId="0" xfId="0" applyNumberFormat="1" applyFont="1" applyFill="1" applyAlignment="1">
      <alignment horizontal="center"/>
    </xf>
    <xf numFmtId="0" fontId="71" fillId="0" borderId="0" xfId="0" applyNumberFormat="1" applyFont="1" applyAlignment="1">
      <alignment horizontal="center"/>
    </xf>
    <xf numFmtId="0" fontId="11" fillId="2" borderId="0" xfId="2" applyFont="1" applyBorder="1" applyAlignment="1">
      <alignment horizontal="center" vertical="center"/>
    </xf>
    <xf numFmtId="178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33" fillId="20" borderId="0" xfId="0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168" fontId="34" fillId="6" borderId="0" xfId="1" applyNumberFormat="1" applyFont="1" applyFill="1" applyAlignment="1">
      <alignment horizontal="center" vertical="center"/>
    </xf>
    <xf numFmtId="0" fontId="32" fillId="17" borderId="32" xfId="15" applyFont="1" applyBorder="1" applyAlignment="1">
      <alignment horizontal="center" vertical="center"/>
    </xf>
    <xf numFmtId="176" fontId="41" fillId="10" borderId="0" xfId="0" applyNumberFormat="1" applyFont="1" applyFill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76" fontId="18" fillId="9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177" fontId="34" fillId="4" borderId="0" xfId="1" applyNumberFormat="1" applyFont="1" applyFill="1" applyAlignment="1">
      <alignment horizontal="center" vertical="center"/>
    </xf>
    <xf numFmtId="178" fontId="34" fillId="4" borderId="0" xfId="1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28" fillId="0" borderId="0" xfId="6" applyFont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179" fontId="21" fillId="0" borderId="0" xfId="6" applyNumberFormat="1" applyFont="1" applyAlignment="1">
      <alignment horizontal="center"/>
    </xf>
    <xf numFmtId="179" fontId="21" fillId="0" borderId="22" xfId="6" applyNumberFormat="1" applyFont="1" applyBorder="1" applyAlignment="1">
      <alignment horizontal="center"/>
    </xf>
    <xf numFmtId="0" fontId="27" fillId="2" borderId="0" xfId="2" applyFont="1" applyAlignment="1">
      <alignment horizontal="center" vertical="center"/>
    </xf>
    <xf numFmtId="17" fontId="17" fillId="11" borderId="48" xfId="5" applyNumberFormat="1" applyFont="1" applyBorder="1" applyAlignment="1">
      <alignment horizontal="center" vertical="center"/>
    </xf>
    <xf numFmtId="0" fontId="7" fillId="0" borderId="0" xfId="3" applyFont="1" applyAlignment="1">
      <alignment horizontal="left" vertical="center"/>
    </xf>
  </cellXfs>
  <cellStyles count="31">
    <cellStyle name="Car" xfId="7"/>
    <cellStyle name="Celda de comprobación" xfId="15" builtinId="23"/>
    <cellStyle name="Énfasis1" xfId="5" builtinId="29"/>
    <cellStyle name="Énfasis2" xfId="2" builtinId="33"/>
    <cellStyle name="Error" xfId="8"/>
    <cellStyle name="Error 2" xfId="16"/>
    <cellStyle name="Excel Built-in Normal" xfId="29"/>
    <cellStyle name="Millares" xfId="30" builtinId="3"/>
    <cellStyle name="Millares 2" xfId="9"/>
    <cellStyle name="Millares 2 2" xfId="17"/>
    <cellStyle name="Millares 2 3" xfId="28"/>
    <cellStyle name="Moneda" xfId="1" builtinId="4"/>
    <cellStyle name="Moneda 2" xfId="10"/>
    <cellStyle name="Moneda 2 2" xfId="20"/>
    <cellStyle name="Moneda 3" xfId="23"/>
    <cellStyle name="No completar" xfId="11"/>
    <cellStyle name="No completar 2" xfId="18"/>
    <cellStyle name="Normal" xfId="0" builtinId="0"/>
    <cellStyle name="Normal 10" xfId="26"/>
    <cellStyle name="Normal 2" xfId="4"/>
    <cellStyle name="Normal 2 2" xfId="19"/>
    <cellStyle name="Normal 3" xfId="3"/>
    <cellStyle name="Normal 4" xfId="12"/>
    <cellStyle name="Normal 5" xfId="13"/>
    <cellStyle name="Normal 6" xfId="14"/>
    <cellStyle name="Normal 6 2" xfId="21"/>
    <cellStyle name="Normal 7" xfId="6"/>
    <cellStyle name="Normal 7 2" xfId="22"/>
    <cellStyle name="Normal 7 3" xfId="27"/>
    <cellStyle name="Normal 8" xfId="24"/>
    <cellStyle name="Normal 9" xfId="25"/>
  </cellStyles>
  <dxfs count="176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5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5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3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3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3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3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3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3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3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3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3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3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5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5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5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3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6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6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1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5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5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5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5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Medium9">
    <tableStyle name="Estilo de tabla 1" pivot="0" count="4">
      <tableStyleElement type="wholeTable" dxfId="1760"/>
      <tableStyleElement type="headerRow" dxfId="1759"/>
      <tableStyleElement type="totalRow" dxfId="1758"/>
      <tableStyleElement type="firstRowStripe" dxfId="1757"/>
    </tableStyle>
    <tableStyle name="Tabla Ventas" pivot="0" count="5">
      <tableStyleElement type="wholeTable" dxfId="1756"/>
      <tableStyleElement type="headerRow" dxfId="1755"/>
      <tableStyleElement type="totalRow" dxfId="1754"/>
      <tableStyleElement type="firstRowStripe" dxfId="1753"/>
      <tableStyleElement type="secondRowStripe" dxfId="175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6" name="Lista_CUIT" displayName="Lista_CUIT" ref="A1:E2732" totalsRowShown="0" headerRowDxfId="1751">
  <autoFilter ref="A1:E2732">
    <filterColumn colId="2">
      <filters>
        <filter val="Gastos Software-Sistemas"/>
      </filters>
    </filterColumn>
  </autoFilter>
  <sortState ref="A2:E2732">
    <sortCondition ref="C1:C2732"/>
  </sortState>
  <tableColumns count="5">
    <tableColumn id="1" name="CUIT" dataDxfId="1750"/>
    <tableColumn id="2" name="RAZON SOCIAL" dataDxfId="1749"/>
    <tableColumn id="3" name="Tipo de Gasto" dataDxfId="1748"/>
    <tableColumn id="4" name="PROVINCIA"/>
    <tableColumn id="5" name="Columna1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id="8" name="compras_mes1" displayName="compras_mes1" ref="B8:R93" totalsRowCount="1" headerRowDxfId="1747" totalsRowDxfId="1746">
  <autoFilter ref="B8:R92"/>
  <sortState ref="B9:R92">
    <sortCondition ref="O8:O92"/>
  </sortState>
  <tableColumns count="17">
    <tableColumn id="1" name="FECHA" totalsRowLabel="Total" dataDxfId="1745" totalsRowDxfId="1744" dataCellStyle="Normal 3"/>
    <tableColumn id="2" name="TIPO" dataDxfId="1743" totalsRowDxfId="1742" dataCellStyle="Normal 3"/>
    <tableColumn id="3" name="PTO VTA" dataDxfId="1741" totalsRowDxfId="1740" dataCellStyle="Normal 3"/>
    <tableColumn id="4" name="NRO. CPTE" dataDxfId="1739" totalsRowDxfId="1738" dataCellStyle="Normal 3"/>
    <tableColumn id="5" name="CUIT" dataDxfId="2" totalsRowDxfId="1737" dataCellStyle="Normal 3"/>
    <tableColumn id="6" name="RAZON SOCIAL" dataDxfId="0" totalsRowDxfId="1736" dataCellStyle="Normal 3">
      <calculatedColumnFormula>IFERROR(IF(compras_mes1[[#This Row],[CUIT]]="","-",VLOOKUP(compras_mes1[[#This Row],[CUIT]],Lista_CUIT[#All],2,0)),"CUIT NO CARGADO")</calculatedColumnFormula>
    </tableColumn>
    <tableColumn id="7" name="NETO GRAVADO" totalsRowFunction="sum" dataDxfId="1" totalsRowDxfId="1735" dataCellStyle="Normal 3"/>
    <tableColumn id="8" name="IVA 21 %" totalsRowFunction="sum" dataDxfId="1734" totalsRowDxfId="1733" dataCellStyle="Normal 3">
      <calculatedColumnFormula>IF(compras_mes1[[#This Row],[NETO GRAVADO]]="","",compras_mes1[[#This Row],[NETO GRAVADO]]*0.21)</calculatedColumnFormula>
    </tableColumn>
    <tableColumn id="9" name="IVA 27%" totalsRowFunction="sum" dataDxfId="1732" totalsRowDxfId="1731" dataCellStyle="Normal 3"/>
    <tableColumn id="10" name="IVA 10,5%" totalsRowFunction="sum" dataDxfId="1730" totalsRowDxfId="1729" dataCellStyle="Normal 3"/>
    <tableColumn id="11" name="PERC. IVA" totalsRowFunction="sum" dataDxfId="1728" totalsRowDxfId="1727" dataCellStyle="Normal 3"/>
    <tableColumn id="12" name="PERC IIBB _x000a_BS AS" totalsRowFunction="sum" dataDxfId="1726" totalsRowDxfId="1725" dataCellStyle="Normal 3"/>
    <tableColumn id="13" name="PERC. IIBB CABA" totalsRowFunction="sum" dataDxfId="1724" totalsRowDxfId="1723" dataCellStyle="Normal 3"/>
    <tableColumn id="14" name="Otros / No Grav." totalsRowFunction="sum" dataDxfId="1722" totalsRowDxfId="1721" dataCellStyle="Millares"/>
    <tableColumn id="15" name="TOTAL" totalsRowFunction="sum" dataDxfId="1720" totalsRowDxfId="1719" dataCellStyle="Normal 3">
      <calculatedColumnFormula>SUM(compras_mes1[[#This Row],[NETO GRAVADO]:[Otros / No Grav.]])</calculatedColumnFormula>
    </tableColumn>
    <tableColumn id="16" name="Tipo de Gasto" dataDxfId="1718" totalsRowDxfId="1717" dataCellStyle="Normal 3">
      <calculatedColumnFormula>IFERROR(IF(compras_mes1[[#This Row],[CUIT]]="","-",VLOOKUP(compras_mes1[[#This Row],[CUIT]],Lista_CUIT[#All],3,0)),"CUIT NO CARGADO")</calculatedColumnFormula>
    </tableColumn>
    <tableColumn id="17" name="Provincia" dataDxfId="1716" totalsRowDxfId="1715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id="10" name="factura_c_mes1" displayName="factura_c_mes1" ref="D116:K121" totalsRowCount="1" headerRowDxfId="1714" totalsRowDxfId="1713" headerRowCellStyle="Normal 3">
  <autoFilter ref="D116:K120"/>
  <tableColumns count="8">
    <tableColumn id="1" name="FECHA" totalsRowLabel="Total" dataDxfId="1712" totalsRowDxfId="1711" dataCellStyle="Normal 3"/>
    <tableColumn id="2" name="PTO VTA" dataDxfId="1710" totalsRowDxfId="1709" dataCellStyle="Normal 3"/>
    <tableColumn id="3" name="FC Nº" dataDxfId="1708" totalsRowDxfId="1707" dataCellStyle="Normal 3"/>
    <tableColumn id="4" name="CUIT" dataDxfId="1706" totalsRowDxfId="1705" dataCellStyle="Normal 3"/>
    <tableColumn id="5" name="RAZON SOCIAL" dataDxfId="1704" totalsRowDxfId="1703" dataCellStyle="Normal 3">
      <calculatedColumnFormula>IFERROR(IF(factura_c_mes1[[#This Row],[CUIT]]="","-",VLOOKUP(factura_c_mes1[[#This Row],[CUIT]],Lista_CUIT[#All],2,0)),"CUIT NO CARGADO")</calculatedColumnFormula>
    </tableColumn>
    <tableColumn id="6" name="TOTAL" totalsRowFunction="sum" dataDxfId="1702" totalsRowDxfId="1701" dataCellStyle="Normal 3"/>
    <tableColumn id="7" name="TIPO DE GASTO" dataDxfId="1700" totalsRowDxfId="1699" dataCellStyle="Normal 3">
      <calculatedColumnFormula>IFERROR(IF(factura_c_mes1[[#This Row],[CUIT]]="","-",VLOOKUP(factura_c_mes1[[#This Row],[CUIT]],Lista_CUIT[#All],3,0)),"CUIT NO CARGADO")</calculatedColumnFormula>
    </tableColumn>
    <tableColumn id="8" name="Provincia" dataDxfId="1698" totalsRowDxfId="1697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id="1" name="venta_a_mes1" displayName="venta_a_mes1" ref="B130:M140" totalsRowCount="1" headerRowDxfId="1696" dataDxfId="1694" headerRowBorderDxfId="1695" tableBorderDxfId="1693" totalsRowBorderDxfId="1692" dataCellStyle="Normal 3">
  <autoFilter ref="B130:M139"/>
  <tableColumns count="12">
    <tableColumn id="1" name="FECHA" totalsRowLabel="Total" dataDxfId="1691" totalsRowDxfId="1690" dataCellStyle="Normal 3"/>
    <tableColumn id="2" name="TIPO" dataDxfId="1689" totalsRowDxfId="1688" dataCellStyle="Normal 3"/>
    <tableColumn id="3" name="PTO VENTA" dataDxfId="1687" totalsRowDxfId="1686" dataCellStyle="Normal 3"/>
    <tableColumn id="4" name="Nº FACTURA" dataDxfId="1685" totalsRowDxfId="1684" dataCellStyle="Normal 3"/>
    <tableColumn id="5" name="CUIT" dataDxfId="1683" totalsRowDxfId="1682" dataCellStyle="Normal 3"/>
    <tableColumn id="6" name="RAZON SOCIAL" dataDxfId="1681" totalsRowDxfId="1680" dataCellStyle="Normal 3">
      <calculatedColumnFormula>IFERROR(IF(venta_a_mes1[[#This Row],[CUIT]]="","-",VLOOKUP(venta_a_mes1[[#This Row],[CUIT]],Lista_CUIT[#All],2,0)),"CUIT NO CARGADO")</calculatedColumnFormula>
    </tableColumn>
    <tableColumn id="7" name="IMPORTE NETO" totalsRowFunction="sum" dataDxfId="1679" totalsRowDxfId="1678" dataCellStyle="Normal 3"/>
    <tableColumn id="8" name="IVA 21%" totalsRowFunction="sum" dataDxfId="1677" totalsRowDxfId="1676" dataCellStyle="Normal 3">
      <calculatedColumnFormula>venta_a_mes1[[#This Row],[IMPORTE NETO]]*0.21</calculatedColumnFormula>
    </tableColumn>
    <tableColumn id="9" name="IVA 10,5%" totalsRowFunction="sum" dataDxfId="1675" totalsRowDxfId="1674" dataCellStyle="Normal 3"/>
    <tableColumn id="10" name="EXENTO" totalsRowFunction="sum" dataDxfId="1673" totalsRowDxfId="1672" dataCellStyle="Normal 3"/>
    <tableColumn id="11" name="TOTAL" totalsRowFunction="sum" dataDxfId="1671" totalsRowDxfId="1670" dataCellStyle="Normal 3">
      <calculatedColumnFormula>SUM(venta_a_mes1[[#This Row],[IMPORTE NETO]:[EXENTO]])</calculatedColumnFormula>
    </tableColumn>
    <tableColumn id="12" name="Provincia" totalsRowFunction="count" dataDxfId="1669" totalsRowDxfId="1668" dataCellStyle="Normal 3"/>
  </tableColumns>
  <tableStyleInfo name="Tabla Ventas" showFirstColumn="0" showLastColumn="0" showRowStripes="1" showColumnStripes="0"/>
</table>
</file>

<file path=xl/tables/table5.xml><?xml version="1.0" encoding="utf-8"?>
<table xmlns="http://schemas.openxmlformats.org/spreadsheetml/2006/main" id="3" name="ventas_b_mes1" displayName="ventas_b_mes1" ref="B144:M151" totalsRowCount="1" headerRowDxfId="1667" dataDxfId="1665" headerRowBorderDxfId="1666" tableBorderDxfId="1664" totalsRowBorderDxfId="1663" dataCellStyle="Normal 3">
  <autoFilter ref="B144:M150"/>
  <tableColumns count="12">
    <tableColumn id="1" name="FECHA" totalsRowLabel="Total" dataDxfId="1662" totalsRowDxfId="1661" dataCellStyle="Normal 3"/>
    <tableColumn id="2" name="TIPO" dataDxfId="1660" totalsRowDxfId="1659" dataCellStyle="Normal 3"/>
    <tableColumn id="3" name="PTO VENTA" dataDxfId="1658" totalsRowDxfId="1657" dataCellStyle="Normal 3"/>
    <tableColumn id="4" name="Nº FACTURA" dataDxfId="1656" totalsRowDxfId="1655" dataCellStyle="Normal 3"/>
    <tableColumn id="5" name="CUIT" dataDxfId="1654" totalsRowDxfId="1653" dataCellStyle="Normal 3"/>
    <tableColumn id="6" name="RAZON SOCIAL" dataDxfId="1652" totalsRowDxfId="1651" dataCellStyle="Normal 3">
      <calculatedColumnFormula>IFERROR(IF(ventas_b_mes1[[#This Row],[CUIT]]="","-",VLOOKUP(ventas_b_mes1[[#This Row],[CUIT]],Lista_CUIT[#All],2,0)),"CUIT NO CARGADO")</calculatedColumnFormula>
    </tableColumn>
    <tableColumn id="7" name="IMPORTE NETO" totalsRowFunction="sum" dataDxfId="1650" totalsRowDxfId="1649" dataCellStyle="Normal 3"/>
    <tableColumn id="8" name="IVA 21%" totalsRowFunction="sum" dataDxfId="1648" totalsRowDxfId="1647" dataCellStyle="Normal 3"/>
    <tableColumn id="9" name="IVA 10,5%" totalsRowFunction="sum" dataDxfId="1646" totalsRowDxfId="1645" dataCellStyle="Normal 3"/>
    <tableColumn id="10" name="EXENTO" totalsRowFunction="sum" dataDxfId="1644" totalsRowDxfId="1643" dataCellStyle="Normal 3"/>
    <tableColumn id="11" name="TOTAL" totalsRowFunction="sum" dataDxfId="1642" totalsRowDxfId="1641" dataCellStyle="Normal 3">
      <calculatedColumnFormula>SUM(ventas_b_mes1[[#This Row],[IMPORTE NETO]:[EXENTO]])</calculatedColumnFormula>
    </tableColumn>
    <tableColumn id="12" name="Provincia" totalsRowFunction="count" dataDxfId="1640" totalsRowDxfId="1639" dataCellStyle="Normal 3"/>
  </tableColumns>
  <tableStyleInfo name="Tabla Ventas" showFirstColumn="0" showLastColumn="0" showRowStripes="1" showColumnStripes="0"/>
</table>
</file>

<file path=xl/tables/table6.xml><?xml version="1.0" encoding="utf-8"?>
<table xmlns="http://schemas.openxmlformats.org/spreadsheetml/2006/main" id="4" name="extracto_banco_mes1" displayName="extracto_banco_mes1" ref="D99:N112" totalsRowCount="1" headerRowDxfId="1638" dataDxfId="1637" tableBorderDxfId="1636" dataCellStyle="Normal 3">
  <autoFilter ref="D99:N111"/>
  <tableColumns count="11">
    <tableColumn id="1" name="FECHA" totalsRowLabel="Total" dataDxfId="1635" totalsRowDxfId="1634" dataCellStyle="Normal 3"/>
    <tableColumn id="2" name="NRO CPTE" dataDxfId="1633" totalsRowDxfId="1632"/>
    <tableColumn id="3" name="BANCO" dataDxfId="1631" totalsRowDxfId="1630"/>
    <tableColumn id="4" name="NETO" totalsRowFunction="sum" dataDxfId="1629" totalsRowDxfId="1628" dataCellStyle="Normal 3"/>
    <tableColumn id="5" name="IVA 21%" totalsRowFunction="sum" dataDxfId="1627" totalsRowDxfId="1626" dataCellStyle="Normal 3"/>
    <tableColumn id="6" name="IVA 10,5%" totalsRowFunction="sum" dataDxfId="1625" totalsRowDxfId="1624" dataCellStyle="Normal 3"/>
    <tableColumn id="7" name="RET IIBB CABA" totalsRowFunction="sum" dataDxfId="1623" totalsRowDxfId="1622" dataCellStyle="Normal 3"/>
    <tableColumn id="8" name="PERC IVA" totalsRowFunction="sum" dataDxfId="1621" totalsRowDxfId="1620" dataCellStyle="Normal 3"/>
    <tableColumn id="9" name="PERC IIBB" totalsRowFunction="sum" dataDxfId="1619" totalsRowDxfId="1618" dataCellStyle="Normal 3"/>
    <tableColumn id="10" name="No grav." totalsRowFunction="custom" dataDxfId="1617" totalsRowDxfId="1616" dataCellStyle="Normal 3">
      <totalsRowFormula>SUM(extracto_banco_mes1[No grav.])</totalsRowFormula>
    </tableColumn>
    <tableColumn id="11" name="RET. GAN" totalsRowFunction="custom" dataDxfId="1615" totalsRowDxfId="1614" dataCellStyle="Normal 3">
      <totalsRowFormula>SUM(extracto_banco_mes1[RET. GAN])</totalsRowFormula>
    </tableColumn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id="5" name="retenciones_mes1" displayName="retenciones_mes1" ref="C160:L165" totalsRowShown="0" headerRowDxfId="1613" dataDxfId="1612" headerRowCellStyle="Normal 3" dataCellStyle="Normal 3">
  <autoFilter ref="C160:L165"/>
  <tableColumns count="10">
    <tableColumn id="1" name="FECHA " dataDxfId="1611" dataCellStyle="Normal 3"/>
    <tableColumn id="2" name="COMP Nº" dataDxfId="1610" dataCellStyle="Normal 3"/>
    <tableColumn id="3" name="Columna1" dataDxfId="1609" dataCellStyle="Normal 3"/>
    <tableColumn id="4" name="CUIT" dataDxfId="1608" dataCellStyle="Normal 3"/>
    <tableColumn id="5" name="RAZON SOCIAL" dataDxfId="1607" dataCellStyle="Normal 3">
      <calculatedColumnFormula>IFERROR(IF(retenciones_mes1[[#This Row],[CUIT]]="","-",VLOOKUP(retenciones_mes1[[#This Row],[CUIT]],Lista_CUIT[#All],2,0)),"CUIT NO CARGADO")</calculatedColumnFormula>
    </tableColumn>
    <tableColumn id="6" name="Ganancias" dataDxfId="1606" dataCellStyle="Normal 3"/>
    <tableColumn id="7" name="IVA" dataDxfId="1605" dataCellStyle="Normal 3"/>
    <tableColumn id="8" name="SUSS" dataDxfId="1604" dataCellStyle="Normal 3"/>
    <tableColumn id="9" name="IIBB BSAS" dataDxfId="1603" dataCellStyle="Normal 3"/>
    <tableColumn id="10" name="IIBB CABA" dataDxfId="1602" dataCellStyle="Normal 3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id="7" name="compras_mes2" displayName="compras_mes2" ref="B8:R73" totalsRowCount="1" headerRowDxfId="1601" totalsRowDxfId="1600">
  <autoFilter ref="B8:R72"/>
  <sortState ref="B9:R72">
    <sortCondition ref="Q8:Q72"/>
  </sortState>
  <tableColumns count="17">
    <tableColumn id="1" name="FECHA" totalsRowLabel="Total" dataDxfId="1599" totalsRowDxfId="1598" dataCellStyle="Normal 3"/>
    <tableColumn id="2" name="TIPO" dataDxfId="1597" totalsRowDxfId="1596" dataCellStyle="Normal 3"/>
    <tableColumn id="3" name="PTO VTA" dataDxfId="1595" totalsRowDxfId="1594" dataCellStyle="Normal 3"/>
    <tableColumn id="4" name="NRO. CPTE" dataDxfId="1593" totalsRowDxfId="1592" dataCellStyle="Normal 3"/>
    <tableColumn id="5" name="CUIT" dataDxfId="1591" totalsRowDxfId="1590" dataCellStyle="Normal 3"/>
    <tableColumn id="6" name="RAZON SOCIAL" dataDxfId="1589" totalsRowDxfId="1588" dataCellStyle="Normal 3">
      <calculatedColumnFormula>IFERROR(IF(compras_mes2[[#This Row],[CUIT]]="","-",VLOOKUP(compras_mes2[[#This Row],[CUIT]],Lista_CUIT[#All],2,0)),"CUIT NO CARGADO")</calculatedColumnFormula>
    </tableColumn>
    <tableColumn id="7" name="NETO GRAVADO" totalsRowFunction="sum" dataDxfId="1587" totalsRowDxfId="1586" dataCellStyle="Normal 3"/>
    <tableColumn id="8" name="IVA 21 %" totalsRowFunction="sum" dataDxfId="1585" totalsRowDxfId="1584" dataCellStyle="Normal 3">
      <calculatedColumnFormula>IF(compras_mes2[[#This Row],[NETO GRAVADO]]="","",compras_mes2[[#This Row],[NETO GRAVADO]]*0.21)</calculatedColumnFormula>
    </tableColumn>
    <tableColumn id="9" name="IVA 27%" totalsRowFunction="sum" dataDxfId="1583" totalsRowDxfId="1582" dataCellStyle="Normal 3"/>
    <tableColumn id="10" name="IVA 10,5%" totalsRowFunction="sum" dataDxfId="1581" totalsRowDxfId="1580" dataCellStyle="Normal 3"/>
    <tableColumn id="11" name="PERC. IVA" totalsRowFunction="sum" dataDxfId="1579" totalsRowDxfId="1578" dataCellStyle="Normal 3"/>
    <tableColumn id="12" name="PERC IIBB _x000a_BS AS" totalsRowFunction="sum" dataDxfId="1577" totalsRowDxfId="1576" dataCellStyle="Normal 3"/>
    <tableColumn id="13" name="PERC. IIBB CABA" totalsRowFunction="sum" dataDxfId="1575" totalsRowDxfId="1574" dataCellStyle="Normal 3"/>
    <tableColumn id="14" name="Otros / No Grav." totalsRowFunction="sum" dataDxfId="1573" totalsRowDxfId="1572" dataCellStyle="Normal 3"/>
    <tableColumn id="15" name="TOTAL" totalsRowFunction="sum" dataDxfId="1571" totalsRowDxfId="1570" dataCellStyle="Normal 3">
      <calculatedColumnFormula>SUM(compras_mes2[[#This Row],[NETO GRAVADO]:[Otros / No Grav.]])</calculatedColumnFormula>
    </tableColumn>
    <tableColumn id="16" name="Tipo de Gasto" dataDxfId="1569" totalsRowDxfId="1568" dataCellStyle="Normal 3">
      <calculatedColumnFormula>IFERROR(IF(compras_mes2[[#This Row],[CUIT]]="","-",VLOOKUP(compras_mes2[[#This Row],[CUIT]],Lista_CUIT[#All],3,0)),"CUIT NO CARGADO")</calculatedColumnFormula>
    </tableColumn>
    <tableColumn id="17" name="Provincia" dataDxfId="1567" totalsRowDxfId="1566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id="9" name="factura_c_mes2" displayName="factura_c_mes2" ref="D97:K102" totalsRowCount="1" headerRowDxfId="1565" totalsRowDxfId="1564" headerRowCellStyle="Normal 3">
  <autoFilter ref="D97:K101"/>
  <tableColumns count="8">
    <tableColumn id="1" name="FECHA" totalsRowLabel="Total" dataDxfId="1563" totalsRowDxfId="1562" dataCellStyle="Normal 3"/>
    <tableColumn id="2" name="PTO VTA" dataDxfId="1561" totalsRowDxfId="1560" dataCellStyle="Normal 3"/>
    <tableColumn id="3" name="FC Nº" dataDxfId="1559" totalsRowDxfId="1558" dataCellStyle="Normal 3"/>
    <tableColumn id="4" name="CUIT" dataDxfId="1557" totalsRowDxfId="1556" dataCellStyle="Normal 3"/>
    <tableColumn id="5" name="RAZON SOCIAL" dataDxfId="1555" totalsRowDxfId="1554" dataCellStyle="Normal 3">
      <calculatedColumnFormula>IFERROR(IF(factura_c_mes2[[#This Row],[CUIT]]="","-",VLOOKUP(factura_c_mes2[[#This Row],[CUIT]],Lista_CUIT[#All],2,0)),"CUIT NO CARGADO")</calculatedColumnFormula>
    </tableColumn>
    <tableColumn id="6" name="TOTAL" totalsRowFunction="sum" dataDxfId="1553" totalsRowDxfId="1552" dataCellStyle="Normal 3"/>
    <tableColumn id="7" name="TIPO DE GASTO" dataDxfId="1551" totalsRowDxfId="1550" dataCellStyle="Normal 3">
      <calculatedColumnFormula>IFERROR(IF(factura_c_mes2[[#This Row],[CUIT]]="","-",VLOOKUP(factura_c_mes2[[#This Row],[CUIT]],Lista_CUIT[#All],3,0)),"CUIT NO CARGADO")</calculatedColumnFormula>
    </tableColumn>
    <tableColumn id="8" name="Provincia" dataDxfId="1549" totalsRowDxfId="1548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id="11" name="venta_a_mes2" displayName="venta_a_mes2" ref="B111:M121" totalsRowCount="1" headerRowDxfId="1547" dataDxfId="1545" headerRowBorderDxfId="1546" tableBorderDxfId="1544" totalsRowBorderDxfId="1543" dataCellStyle="Normal 3">
  <autoFilter ref="B111:M120"/>
  <tableColumns count="12">
    <tableColumn id="1" name="FECHA" totalsRowLabel="Total" dataDxfId="1542" totalsRowDxfId="1541" dataCellStyle="Normal 3"/>
    <tableColumn id="2" name="TIPO" dataDxfId="1540" totalsRowDxfId="1539" dataCellStyle="Normal 3"/>
    <tableColumn id="3" name="PTO VENTA" dataDxfId="1538" totalsRowDxfId="1537" dataCellStyle="Normal 3"/>
    <tableColumn id="4" name="Nº FACTURA" dataDxfId="1536" totalsRowDxfId="1535" dataCellStyle="Normal 3"/>
    <tableColumn id="5" name="CUIT" dataDxfId="1534" totalsRowDxfId="1533" dataCellStyle="Normal 3"/>
    <tableColumn id="6" name="RAZON SOCIAL" dataDxfId="1532" totalsRowDxfId="1531" dataCellStyle="Normal 3">
      <calculatedColumnFormula>IFERROR(IF(venta_a_mes2[[#This Row],[CUIT]]="","-",VLOOKUP(venta_a_mes2[[#This Row],[CUIT]],Lista_CUIT[#All],2,0)),"CUIT NO CARGADO")</calculatedColumnFormula>
    </tableColumn>
    <tableColumn id="7" name="IMPORTE NETO" totalsRowFunction="sum" dataDxfId="1530" totalsRowDxfId="1529" dataCellStyle="Normal 3"/>
    <tableColumn id="8" name="IVA 21%" totalsRowFunction="sum" dataDxfId="1528" totalsRowDxfId="1527" dataCellStyle="Normal 3">
      <calculatedColumnFormula>venta_a_mes2[[#This Row],[IMPORTE NETO]]*0.21</calculatedColumnFormula>
    </tableColumn>
    <tableColumn id="9" name="IVA 10,5%" totalsRowFunction="sum" dataDxfId="1526" totalsRowDxfId="1525" dataCellStyle="Normal 3"/>
    <tableColumn id="10" name="EXENTO" totalsRowFunction="sum" dataDxfId="1524" totalsRowDxfId="1523" dataCellStyle="Normal 3"/>
    <tableColumn id="11" name="TOTAL" totalsRowFunction="sum" dataDxfId="1522" totalsRowDxfId="1521" dataCellStyle="Normal 3">
      <calculatedColumnFormula>SUM(venta_a_mes2[[#This Row],[IMPORTE NETO]:[EXENTO]])</calculatedColumnFormula>
    </tableColumn>
    <tableColumn id="12" name="Provincia" totalsRowFunction="count" dataDxfId="1520" totalsRowDxfId="1519" dataCellStyle="Normal 3"/>
  </tableColumns>
  <tableStyleInfo name="Tabla Ventas" showFirstColumn="0" showLastColumn="0" showRowStripes="1" showColumnStripes="0"/>
</table>
</file>

<file path=xl/tables/table11.xml><?xml version="1.0" encoding="utf-8"?>
<table xmlns="http://schemas.openxmlformats.org/spreadsheetml/2006/main" id="12" name="ventas_b_mes2" displayName="ventas_b_mes2" ref="B125:M132" totalsRowCount="1" headerRowDxfId="1518" dataDxfId="1516" headerRowBorderDxfId="1517" tableBorderDxfId="1515" totalsRowBorderDxfId="1514" dataCellStyle="Normal 3">
  <autoFilter ref="B125:M131"/>
  <tableColumns count="12">
    <tableColumn id="1" name="FECHA" totalsRowLabel="Total" dataDxfId="1513" totalsRowDxfId="1512" dataCellStyle="Normal 3"/>
    <tableColumn id="2" name="TIPO" dataDxfId="1511" totalsRowDxfId="1510" dataCellStyle="Normal 3"/>
    <tableColumn id="3" name="PTO VENTA" dataDxfId="1509" totalsRowDxfId="1508" dataCellStyle="Normal 3"/>
    <tableColumn id="4" name="Nº FACTURA" dataDxfId="1507" totalsRowDxfId="1506" dataCellStyle="Normal 3"/>
    <tableColumn id="5" name="CUIT" dataDxfId="1505" totalsRowDxfId="1504" dataCellStyle="Normal 3"/>
    <tableColumn id="6" name="RAZON SOCIAL" dataDxfId="1503" totalsRowDxfId="1502" dataCellStyle="Normal 3">
      <calculatedColumnFormula>IFERROR(IF(ventas_b_mes2[[#This Row],[CUIT]]="","-",VLOOKUP(ventas_b_mes2[[#This Row],[CUIT]],Lista_CUIT[#All],2,0)),"CUIT NO CARGADO")</calculatedColumnFormula>
    </tableColumn>
    <tableColumn id="7" name="IMPORTE NETO" totalsRowFunction="sum" dataDxfId="1501" totalsRowDxfId="1500" dataCellStyle="Normal 3"/>
    <tableColumn id="8" name="IVA 21%" totalsRowFunction="sum" dataDxfId="1499" totalsRowDxfId="1498" dataCellStyle="Normal 3"/>
    <tableColumn id="9" name="IVA 10,5%" totalsRowFunction="sum" dataDxfId="1497" totalsRowDxfId="1496" dataCellStyle="Normal 3"/>
    <tableColumn id="10" name="EXENTO" totalsRowFunction="sum" dataDxfId="1495" totalsRowDxfId="1494" dataCellStyle="Normal 3"/>
    <tableColumn id="11" name="TOTAL" totalsRowFunction="sum" dataDxfId="1493" totalsRowDxfId="1492" dataCellStyle="Normal 3">
      <calculatedColumnFormula>SUM(ventas_b_mes2[[#This Row],[IMPORTE NETO]:[EXENTO]])</calculatedColumnFormula>
    </tableColumn>
    <tableColumn id="12" name="Provincia" totalsRowFunction="count" dataDxfId="1491" totalsRowDxfId="1490" dataCellStyle="Normal 3"/>
  </tableColumns>
  <tableStyleInfo name="Tabla Ventas" showFirstColumn="0" showLastColumn="0" showRowStripes="1" showColumnStripes="0"/>
</table>
</file>

<file path=xl/tables/table12.xml><?xml version="1.0" encoding="utf-8"?>
<table xmlns="http://schemas.openxmlformats.org/spreadsheetml/2006/main" id="13" name="extracto_banco_mes2" displayName="extracto_banco_mes2" ref="D79:N92" totalsRowCount="1" headerRowDxfId="1489" dataDxfId="1488" tableBorderDxfId="1487" dataCellStyle="Normal 3">
  <autoFilter ref="D79:N91"/>
  <tableColumns count="11">
    <tableColumn id="1" name="FECHA" totalsRowLabel="Total" dataDxfId="1486" totalsRowDxfId="1485" dataCellStyle="Normal 3"/>
    <tableColumn id="2" name="NRO CPTE" dataDxfId="1484" totalsRowDxfId="1483"/>
    <tableColumn id="3" name="BANCO" dataDxfId="1482" totalsRowDxfId="1481"/>
    <tableColumn id="4" name="NETO" totalsRowFunction="sum" dataDxfId="1480" totalsRowDxfId="1479" dataCellStyle="Normal 3"/>
    <tableColumn id="5" name="IVA 21%" totalsRowFunction="sum" dataDxfId="1478" totalsRowDxfId="1477" dataCellStyle="Normal 3">
      <calculatedColumnFormula>extracto_banco_mes2[[#This Row],[NETO]]*0.21</calculatedColumnFormula>
    </tableColumn>
    <tableColumn id="6" name="IVA 10,5%" totalsRowFunction="sum" dataDxfId="1476" totalsRowDxfId="1475" dataCellStyle="Normal 3"/>
    <tableColumn id="7" name="RET IIBB CABA" totalsRowFunction="sum" dataDxfId="1474" totalsRowDxfId="1473" dataCellStyle="Normal 3"/>
    <tableColumn id="8" name="PERC IVA" totalsRowFunction="sum" dataDxfId="1472" totalsRowDxfId="1471" dataCellStyle="Normal 3"/>
    <tableColumn id="9" name="PERC IIBB BS AS" totalsRowFunction="sum" dataDxfId="1470" totalsRowDxfId="1469" dataCellStyle="Normal 3"/>
    <tableColumn id="10" name="NO GRAV" dataDxfId="1468" totalsRowDxfId="1467" dataCellStyle="Normal 3"/>
    <tableColumn id="11" name="Reten.  IBB" dataDxfId="1466" totalsRowDxfId="1465" dataCellStyle="Normal 3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id="14" name="Retenciones_mes2" displayName="Retenciones_mes2" ref="C141:L146" totalsRowShown="0" headerRowDxfId="1464" dataDxfId="1463" headerRowCellStyle="Normal 3" dataCellStyle="Normal 3">
  <autoFilter ref="C141:L146"/>
  <tableColumns count="10">
    <tableColumn id="1" name="FECHA " dataDxfId="1462" dataCellStyle="Normal 3"/>
    <tableColumn id="2" name="COMP Nº" dataDxfId="1461" dataCellStyle="Normal 3"/>
    <tableColumn id="3" name="Columna1" dataDxfId="1460" dataCellStyle="Normal 3"/>
    <tableColumn id="4" name="CUIT" dataDxfId="1459" dataCellStyle="Normal 3"/>
    <tableColumn id="5" name="RAZON SOCIAL" dataDxfId="1458" dataCellStyle="Normal 3">
      <calculatedColumnFormula>IFERROR(IF(Retenciones_mes2[[#This Row],[CUIT]]="","-",VLOOKUP(Retenciones_mes2[[#This Row],[CUIT]],Lista_CUIT[#All],2,0)),"CUIT NO CARGADO")</calculatedColumnFormula>
    </tableColumn>
    <tableColumn id="6" name="Ganancias" dataDxfId="1457" dataCellStyle="Normal 3"/>
    <tableColumn id="7" name="IVA" dataDxfId="1456" dataCellStyle="Normal 3"/>
    <tableColumn id="8" name="SUSS" dataDxfId="1455" dataCellStyle="Normal 3"/>
    <tableColumn id="9" name="IIBB BSAS" dataDxfId="1454" dataCellStyle="Normal 3"/>
    <tableColumn id="10" name="IIBB CABA" dataDxfId="1453" dataCellStyle="Normal 3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id="2" name="compras_mes13" displayName="compras_mes13" ref="B8:R95" totalsRowCount="1" headerRowDxfId="1452" totalsRowDxfId="1451">
  <autoFilter ref="B8:R94"/>
  <sortState ref="B9:R94">
    <sortCondition ref="O8:O94"/>
  </sortState>
  <tableColumns count="17">
    <tableColumn id="1" name="FECHA" totalsRowLabel="Total" dataDxfId="1450" totalsRowDxfId="1449" dataCellStyle="Normal 3"/>
    <tableColumn id="2" name="TIPO" dataDxfId="1448" totalsRowDxfId="1447" dataCellStyle="Normal 3"/>
    <tableColumn id="3" name="PTO VTA" dataDxfId="1446" totalsRowDxfId="1445" dataCellStyle="Normal 3"/>
    <tableColumn id="4" name="NRO. CPTE" dataDxfId="1444" totalsRowDxfId="1443" dataCellStyle="Normal 3"/>
    <tableColumn id="5" name="CUIT" dataDxfId="1442" totalsRowDxfId="1441" dataCellStyle="Normal 3"/>
    <tableColumn id="6" name="RAZON SOCIAL" dataDxfId="1440" totalsRowDxfId="1439" dataCellStyle="Normal 3">
      <calculatedColumnFormula>IFERROR(IF(compras_mes13[[#This Row],[CUIT]]="","-",VLOOKUP(compras_mes13[[#This Row],[CUIT]],Lista_CUIT[#All],2,0)),"CUIT NO CARGADO")</calculatedColumnFormula>
    </tableColumn>
    <tableColumn id="7" name="NETO GRAVADO" totalsRowFunction="sum" dataDxfId="1438" totalsRowDxfId="1437" dataCellStyle="Normal 3"/>
    <tableColumn id="8" name="IVA 21 %" totalsRowFunction="sum" dataDxfId="1436" totalsRowDxfId="1435" dataCellStyle="Normal 3">
      <calculatedColumnFormula>IF(compras_mes13[[#This Row],[NETO GRAVADO]]="","",compras_mes13[[#This Row],[NETO GRAVADO]]*0.21)</calculatedColumnFormula>
    </tableColumn>
    <tableColumn id="9" name="IVA 27%" totalsRowFunction="sum" dataDxfId="1434" totalsRowDxfId="1433" dataCellStyle="Normal 3"/>
    <tableColumn id="10" name="IVA 10,5%" totalsRowFunction="sum" dataDxfId="1432" totalsRowDxfId="1431" dataCellStyle="Normal 3"/>
    <tableColumn id="11" name="PERC. IVA" totalsRowFunction="sum" dataDxfId="1430" totalsRowDxfId="1429" dataCellStyle="Normal 3"/>
    <tableColumn id="12" name="PERC IIBB _x000a_BS AS" totalsRowFunction="sum" dataDxfId="1428" totalsRowDxfId="1427" dataCellStyle="Normal 3"/>
    <tableColumn id="13" name="PERC. IIBB CABA" totalsRowFunction="sum" dataDxfId="1426" totalsRowDxfId="1425" dataCellStyle="Normal 3"/>
    <tableColumn id="14" name="Otros / No Grav." totalsRowFunction="sum" dataDxfId="1424" totalsRowDxfId="1423" dataCellStyle="Normal 3"/>
    <tableColumn id="15" name="TOTAL" totalsRowFunction="sum" dataDxfId="1422" totalsRowDxfId="1421" dataCellStyle="Normal 3">
      <calculatedColumnFormula>SUM(compras_mes13[[#This Row],[NETO GRAVADO]:[Otros / No Grav.]])</calculatedColumnFormula>
    </tableColumn>
    <tableColumn id="16" name="Tipo de Gasto" dataDxfId="1420" totalsRowDxfId="1419" dataCellStyle="Normal 3">
      <calculatedColumnFormula>IFERROR(IF(compras_mes13[[#This Row],[CUIT]]="","-",VLOOKUP(compras_mes13[[#This Row],[CUIT]],Lista_CUIT[#All],3,0)),"CUIT NO CARGADO")</calculatedColumnFormula>
    </tableColumn>
    <tableColumn id="17" name="Provincia" dataDxfId="1418" totalsRowDxfId="1417" dataCellStyle="Normal 3">
      <calculatedColumnFormula>IFERROR(IF(compras_mes13[[#This Row],[CUIT]]="","-",VLOOKUP(compras_mes13[[#This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id="51" name="factura_c_mes152" displayName="factura_c_mes152" ref="D118:K123" totalsRowCount="1" headerRowDxfId="1416" totalsRowDxfId="1415" headerRowCellStyle="Normal 3">
  <autoFilter ref="D118:K122"/>
  <tableColumns count="8">
    <tableColumn id="1" name="FECHA" totalsRowLabel="Total" dataDxfId="1414" totalsRowDxfId="1413" dataCellStyle="Normal 3"/>
    <tableColumn id="2" name="PTO VTA" dataDxfId="1412" totalsRowDxfId="1411" dataCellStyle="Normal 3"/>
    <tableColumn id="3" name="FC Nº" dataDxfId="1410" totalsRowDxfId="1409" dataCellStyle="Normal 3"/>
    <tableColumn id="4" name="CUIT" dataDxfId="1408" totalsRowDxfId="1407" dataCellStyle="Normal 3"/>
    <tableColumn id="5" name="RAZON SOCIAL" dataDxfId="1406" totalsRowDxfId="1405" dataCellStyle="Normal 3">
      <calculatedColumnFormula>IFERROR(IF(factura_c_mes152[[#This Row],[CUIT]]="","-",VLOOKUP(factura_c_mes152[[#This Row],[CUIT]],Lista_CUIT[#All],2,0)),"CUIT NO CARGADO")</calculatedColumnFormula>
    </tableColumn>
    <tableColumn id="6" name="TOTAL" totalsRowFunction="sum" dataDxfId="1404" totalsRowDxfId="1403" dataCellStyle="Normal 3"/>
    <tableColumn id="7" name="TIPO DE GASTO" dataDxfId="1402" totalsRowDxfId="1401" dataCellStyle="Normal 3">
      <calculatedColumnFormula>IFERROR(IF(factura_c_mes152[[#This Row],[CUIT]]="","-",VLOOKUP(factura_c_mes152[[#This Row],[CUIT]],Lista_CUIT[#All],3,0)),"CUIT NO CARGADO")</calculatedColumnFormula>
    </tableColumn>
    <tableColumn id="8" name="Provincia" dataDxfId="1400" totalsRowDxfId="1399" dataCellStyle="Normal 3">
      <calculatedColumnFormula>IFERROR(IF(factura_c_mes152[[#This Row],[CUIT]]="","-",VLOOKUP(factura_c_mes152[[#This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id="52" name="venta_a_mes153" displayName="venta_a_mes153" ref="B132:M142" totalsRowCount="1" headerRowDxfId="1398" dataDxfId="1396" headerRowBorderDxfId="1397" tableBorderDxfId="1395" totalsRowBorderDxfId="1394" dataCellStyle="Normal 3">
  <autoFilter ref="B132:M141"/>
  <tableColumns count="12">
    <tableColumn id="1" name="FECHA" totalsRowLabel="Total" dataDxfId="1393" totalsRowDxfId="1392" dataCellStyle="Normal 3"/>
    <tableColumn id="2" name="TIPO" dataDxfId="1391" totalsRowDxfId="1390" dataCellStyle="Normal 3"/>
    <tableColumn id="3" name="PTO VENTA" dataDxfId="1389" totalsRowDxfId="1388" dataCellStyle="Normal 3"/>
    <tableColumn id="4" name="Nº FACTURA" dataDxfId="1387" totalsRowDxfId="1386" dataCellStyle="Normal 3"/>
    <tableColumn id="5" name="CUIT" dataDxfId="1385" totalsRowDxfId="1384" dataCellStyle="Normal 3"/>
    <tableColumn id="6" name="RAZON SOCIAL" dataDxfId="1383" totalsRowDxfId="1382" dataCellStyle="Normal 3">
      <calculatedColumnFormula>IFERROR(IF(venta_a_mes153[[#This Row],[CUIT]]="","-",VLOOKUP(venta_a_mes153[[#This Row],[CUIT]],Lista_CUIT[#All],2,0)),"CUIT NO CARGADO")</calculatedColumnFormula>
    </tableColumn>
    <tableColumn id="7" name="IMPORTE NETO" totalsRowFunction="sum" dataDxfId="1381" totalsRowDxfId="1380" dataCellStyle="Normal 3"/>
    <tableColumn id="8" name="IVA 21%" totalsRowFunction="sum" dataDxfId="1379" totalsRowDxfId="1378" dataCellStyle="Normal 3">
      <calculatedColumnFormula>venta_a_mes153[[#This Row],[IMPORTE NETO]]*0.21</calculatedColumnFormula>
    </tableColumn>
    <tableColumn id="9" name="IVA 10,5%" totalsRowFunction="sum" dataDxfId="1377" totalsRowDxfId="1376" dataCellStyle="Normal 3"/>
    <tableColumn id="10" name="EXENTO" totalsRowFunction="sum" dataDxfId="1375" totalsRowDxfId="1374" dataCellStyle="Normal 3"/>
    <tableColumn id="11" name="TOTAL" totalsRowFunction="sum" dataDxfId="1373" totalsRowDxfId="1372" dataCellStyle="Normal 3">
      <calculatedColumnFormula>SUM(venta_a_mes153[[#This Row],[IMPORTE NETO]:[EXENTO]])</calculatedColumnFormula>
    </tableColumn>
    <tableColumn id="12" name="Provincia" totalsRowFunction="count" dataDxfId="1371" totalsRowDxfId="1370" dataCellStyle="Normal 3"/>
  </tableColumns>
  <tableStyleInfo name="Tabla Ventas" showFirstColumn="0" showLastColumn="0" showRowStripes="1" showColumnStripes="0"/>
</table>
</file>

<file path=xl/tables/table17.xml><?xml version="1.0" encoding="utf-8"?>
<table xmlns="http://schemas.openxmlformats.org/spreadsheetml/2006/main" id="53" name="ventas_b_mes154" displayName="ventas_b_mes154" ref="B146:M153" totalsRowCount="1" headerRowDxfId="1369" dataDxfId="1367" headerRowBorderDxfId="1368" tableBorderDxfId="1366" totalsRowBorderDxfId="1365" dataCellStyle="Normal 3">
  <autoFilter ref="B146:M152"/>
  <tableColumns count="12">
    <tableColumn id="1" name="FECHA" totalsRowLabel="Total" dataDxfId="1364" totalsRowDxfId="1363" dataCellStyle="Normal 3"/>
    <tableColumn id="2" name="TIPO" dataDxfId="1362" totalsRowDxfId="1361" dataCellStyle="Normal 3"/>
    <tableColumn id="3" name="PTO VENTA" dataDxfId="1360" totalsRowDxfId="1359" dataCellStyle="Normal 3"/>
    <tableColumn id="4" name="Nº FACTURA" dataDxfId="1358" totalsRowDxfId="1357" dataCellStyle="Normal 3"/>
    <tableColumn id="5" name="CUIT" dataDxfId="1356" totalsRowDxfId="1355" dataCellStyle="Normal 3"/>
    <tableColumn id="6" name="RAZON SOCIAL" dataDxfId="1354" totalsRowDxfId="1353" dataCellStyle="Normal 3">
      <calculatedColumnFormula>IFERROR(IF(ventas_b_mes154[[#This Row],[CUIT]]="","-",VLOOKUP(ventas_b_mes154[[#This Row],[CUIT]],Lista_CUIT[#All],2,0)),"CUIT NO CARGADO")</calculatedColumnFormula>
    </tableColumn>
    <tableColumn id="7" name="IMPORTE NETO" totalsRowFunction="sum" dataDxfId="1352" totalsRowDxfId="1351" dataCellStyle="Normal 3"/>
    <tableColumn id="8" name="IVA 21%" totalsRowFunction="sum" dataDxfId="1350" totalsRowDxfId="1349" dataCellStyle="Normal 3"/>
    <tableColumn id="9" name="IVA 10,5%" totalsRowFunction="sum" dataDxfId="1348" totalsRowDxfId="1347" dataCellStyle="Normal 3"/>
    <tableColumn id="10" name="EXENTO" totalsRowFunction="sum" dataDxfId="1346" totalsRowDxfId="1345" dataCellStyle="Normal 3"/>
    <tableColumn id="11" name="TOTAL" totalsRowFunction="sum" dataDxfId="1344" totalsRowDxfId="1343" dataCellStyle="Normal 3">
      <calculatedColumnFormula>SUM(ventas_b_mes154[[#This Row],[IMPORTE NETO]:[EXENTO]])</calculatedColumnFormula>
    </tableColumn>
    <tableColumn id="12" name="Provincia" totalsRowFunction="count" dataDxfId="1342" totalsRowDxfId="1341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id="54" name="extracto_banco_mes155" displayName="extracto_banco_mes155" ref="D101:N114" totalsRowCount="1" headerRowDxfId="1340" dataDxfId="1339" tableBorderDxfId="1338" dataCellStyle="Normal 3">
  <autoFilter ref="D101:N113"/>
  <tableColumns count="11">
    <tableColumn id="1" name="FECHA" totalsRowLabel="Total" dataDxfId="1337" totalsRowDxfId="1336" dataCellStyle="Normal 3"/>
    <tableColumn id="2" name="NRO CPTE" dataDxfId="1335" totalsRowDxfId="1334"/>
    <tableColumn id="3" name="BANCO" dataDxfId="1333" totalsRowDxfId="1332"/>
    <tableColumn id="4" name="NETO" totalsRowFunction="sum" dataDxfId="1331" totalsRowDxfId="1330" dataCellStyle="Normal 3"/>
    <tableColumn id="5" name="IVA 21%" totalsRowFunction="sum" dataDxfId="1329" totalsRowDxfId="1328" dataCellStyle="Normal 3"/>
    <tableColumn id="6" name="IVA 10,5%" totalsRowFunction="sum" dataDxfId="1327" totalsRowDxfId="1326" dataCellStyle="Normal 3"/>
    <tableColumn id="7" name="RET IIBB CABA" totalsRowFunction="sum" dataDxfId="1325" totalsRowDxfId="1324" dataCellStyle="Normal 3"/>
    <tableColumn id="8" name="PERC IVA" totalsRowFunction="sum" dataDxfId="1323" totalsRowDxfId="1322" dataCellStyle="Normal 3"/>
    <tableColumn id="9" name="PERC IIBB" totalsRowFunction="sum" dataDxfId="1321" totalsRowDxfId="1320" dataCellStyle="Normal 3"/>
    <tableColumn id="10" name="No grav." totalsRowFunction="custom" dataDxfId="1319" totalsRowDxfId="1318" dataCellStyle="Normal 3">
      <totalsRowFormula>SUM(extracto_banco_mes155[No grav.])</totalsRowFormula>
    </tableColumn>
    <tableColumn id="11" name="RET. GAN" totalsRowFunction="custom" dataDxfId="1317" totalsRowDxfId="1316" dataCellStyle="Normal 3">
      <totalsRowFormula>SUM(extracto_banco_mes155[RET. GAN])</totalsRowFormula>
    </tableColumn>
  </tableColumns>
  <tableStyleInfo name="Estilo de tabla 1" showFirstColumn="0" showLastColumn="0" showRowStripes="1" showColumnStripes="0"/>
</table>
</file>

<file path=xl/tables/table19.xml><?xml version="1.0" encoding="utf-8"?>
<table xmlns="http://schemas.openxmlformats.org/spreadsheetml/2006/main" id="55" name="retenciones_mes156" displayName="retenciones_mes156" ref="C162:L167" totalsRowShown="0" headerRowDxfId="1315" dataDxfId="1314" headerRowCellStyle="Normal 3" dataCellStyle="Normal 3">
  <autoFilter ref="C162:L167"/>
  <tableColumns count="10">
    <tableColumn id="1" name="FECHA " dataDxfId="1313" dataCellStyle="Normal 3"/>
    <tableColumn id="2" name="COMP Nº" dataDxfId="1312" dataCellStyle="Normal 3"/>
    <tableColumn id="3" name="Columna1" dataDxfId="1311" dataCellStyle="Normal 3"/>
    <tableColumn id="4" name="CUIT" dataDxfId="1310" dataCellStyle="Normal 3"/>
    <tableColumn id="5" name="RAZON SOCIAL" dataDxfId="1309" dataCellStyle="Normal 3">
      <calculatedColumnFormula>IFERROR(IF(retenciones_mes156[[#This Row],[CUIT]]="","-",VLOOKUP(retenciones_mes156[[#This Row],[CUIT]],Lista_CUIT[#All],2,0)),"CUIT NO CARGADO")</calculatedColumnFormula>
    </tableColumn>
    <tableColumn id="6" name="Ganancias" dataDxfId="1308" dataCellStyle="Normal 3"/>
    <tableColumn id="7" name="IVA" dataDxfId="1307" dataCellStyle="Normal 3"/>
    <tableColumn id="8" name="SUSS" dataDxfId="1306" dataCellStyle="Normal 3"/>
    <tableColumn id="9" name="IIBB BSAS" dataDxfId="1305" dataCellStyle="Normal 3"/>
    <tableColumn id="10" name="IIBB CABA" dataDxfId="1304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id="21" name="compras_mes4" displayName="compras_mes4" ref="B8:R96" totalsRowCount="1" headerRowDxfId="1303" totalsRowDxfId="1302">
  <autoFilter ref="B8:R95"/>
  <sortState ref="B9:R95">
    <sortCondition ref="Q8:Q95"/>
  </sortState>
  <tableColumns count="17">
    <tableColumn id="1" name="FECHA" totalsRowLabel="Total" dataDxfId="1301" totalsRowDxfId="1300" dataCellStyle="Normal 3"/>
    <tableColumn id="2" name="TIPO" dataDxfId="1299" totalsRowDxfId="1298" dataCellStyle="Normal 3"/>
    <tableColumn id="3" name="PTO VTA" dataDxfId="1297" totalsRowDxfId="1296" dataCellStyle="Normal 3"/>
    <tableColumn id="4" name="NRO. CPTE" dataDxfId="1295" totalsRowDxfId="1294" dataCellStyle="Normal 3"/>
    <tableColumn id="5" name="CUIT" dataDxfId="1293" totalsRowDxfId="1292" dataCellStyle="Normal 3"/>
    <tableColumn id="6" name="RAZON SOCIAL" dataDxfId="1291" totalsRowDxfId="1290" dataCellStyle="Normal 3">
      <calculatedColumnFormula>IFERROR(IF(compras_mes4[[#This Row],[CUIT]]="","-",VLOOKUP(compras_mes4[[#This Row],[CUIT]],Lista_CUIT[#All],2,0)),"CUIT NO CARGADO")</calculatedColumnFormula>
    </tableColumn>
    <tableColumn id="7" name="NETO GRAVADO" totalsRowFunction="sum" dataDxfId="1289" totalsRowDxfId="1288" dataCellStyle="Normal 3"/>
    <tableColumn id="8" name="IVA 21 %" totalsRowFunction="sum" dataDxfId="1287" totalsRowDxfId="1286" dataCellStyle="Normal 3"/>
    <tableColumn id="9" name="IVA 27%" totalsRowFunction="sum" dataDxfId="1285" totalsRowDxfId="1284" dataCellStyle="Normal 3"/>
    <tableColumn id="10" name="IVA 10,5%" totalsRowFunction="sum" dataDxfId="1283" totalsRowDxfId="1282" dataCellStyle="Normal 3"/>
    <tableColumn id="11" name="PERC. IVA" totalsRowFunction="sum" dataDxfId="1281" totalsRowDxfId="1280" dataCellStyle="Normal 3"/>
    <tableColumn id="12" name="PERC IIBB _x000a_BS AS" totalsRowFunction="sum" dataDxfId="1279" totalsRowDxfId="1278" dataCellStyle="Normal 3"/>
    <tableColumn id="13" name="PERC. IIBB CABA" totalsRowFunction="sum" dataDxfId="1277" totalsRowDxfId="1276" dataCellStyle="Normal 3"/>
    <tableColumn id="14" name="Otros / No Grav." totalsRowFunction="sum" dataDxfId="1275" totalsRowDxfId="1274" dataCellStyle="Normal 3"/>
    <tableColumn id="15" name="TOTAL" totalsRowFunction="sum" dataDxfId="1273" totalsRowDxfId="1272" dataCellStyle="Normal 3"/>
    <tableColumn id="16" name="Tipo de Gasto" dataDxfId="1271" totalsRowDxfId="1270" dataCellStyle="Normal 3">
      <calculatedColumnFormula>IFERROR(IF(compras_mes4[[#This Row],[CUIT]]="","-",VLOOKUP(compras_mes4[[#This Row],[CUIT]],Lista_CUIT[#All],3,0)),"CUIT NO CARGADO")</calculatedColumnFormula>
    </tableColumn>
    <tableColumn id="17" name="Provincia" dataDxfId="1269" totalsRowDxfId="1268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1.xml><?xml version="1.0" encoding="utf-8"?>
<table xmlns="http://schemas.openxmlformats.org/spreadsheetml/2006/main" id="22" name="factura_c_mes4" displayName="factura_c_mes4" ref="D120:K125" totalsRowCount="1" headerRowDxfId="1267" totalsRowDxfId="1266" headerRowCellStyle="Normal 3">
  <autoFilter ref="D120:K124"/>
  <tableColumns count="8">
    <tableColumn id="1" name="FECHA" totalsRowLabel="Total" dataDxfId="1265" totalsRowDxfId="1264" dataCellStyle="Normal 3"/>
    <tableColumn id="2" name="PTO VTA" dataDxfId="1263" totalsRowDxfId="1262" dataCellStyle="Normal 3"/>
    <tableColumn id="3" name="FC Nº" dataDxfId="1261" totalsRowDxfId="1260" dataCellStyle="Normal 3"/>
    <tableColumn id="4" name="CUIT" dataDxfId="1259" totalsRowDxfId="1258" dataCellStyle="Normal 3"/>
    <tableColumn id="5" name="RAZON SOCIAL" dataDxfId="1257" totalsRowDxfId="1256" dataCellStyle="Normal 3"/>
    <tableColumn id="6" name="TOTAL" totalsRowFunction="sum" dataDxfId="1255" totalsRowDxfId="1254" dataCellStyle="Normal 3"/>
    <tableColumn id="7" name="TIPO DE GASTO" dataDxfId="1253" totalsRowDxfId="1252" dataCellStyle="Normal 3"/>
    <tableColumn id="8" name="Provincia" dataDxfId="1251" totalsRowDxfId="1250" dataCellStyle="Normal 3"/>
  </tableColumns>
  <tableStyleInfo name="Estilo de tabla 1" showFirstColumn="0" showLastColumn="0" showRowStripes="1" showColumnStripes="0"/>
</table>
</file>

<file path=xl/tables/table22.xml><?xml version="1.0" encoding="utf-8"?>
<table xmlns="http://schemas.openxmlformats.org/spreadsheetml/2006/main" id="23" name="venta_a_mes4" displayName="venta_a_mes4" ref="B134:M144" totalsRowCount="1" headerRowDxfId="1249" dataDxfId="1247" headerRowBorderDxfId="1248" tableBorderDxfId="1246" totalsRowBorderDxfId="1245" dataCellStyle="Normal 3">
  <autoFilter ref="B134:M143"/>
  <tableColumns count="12">
    <tableColumn id="1" name="FECHA" totalsRowLabel="Total" dataDxfId="1244" totalsRowDxfId="1243" dataCellStyle="Normal 3"/>
    <tableColumn id="2" name="TIPO" dataDxfId="1242" totalsRowDxfId="1241" dataCellStyle="Normal 3"/>
    <tableColumn id="3" name="PTO VENTA" dataDxfId="1240" totalsRowDxfId="1239" dataCellStyle="Normal 3"/>
    <tableColumn id="4" name="Nº FACTURA" dataDxfId="1238" totalsRowDxfId="1237" dataCellStyle="Normal 3"/>
    <tableColumn id="5" name="CUIT" dataDxfId="1236" totalsRowDxfId="1235" dataCellStyle="Normal 3"/>
    <tableColumn id="6" name="RAZON SOCIAL" dataDxfId="1234" totalsRowDxfId="1233" dataCellStyle="Normal 3"/>
    <tableColumn id="7" name="IMPORTE NETO" totalsRowFunction="sum" dataDxfId="1232" totalsRowDxfId="1231" dataCellStyle="Normal 3"/>
    <tableColumn id="8" name="IVA 21%" totalsRowFunction="sum" dataDxfId="1230" totalsRowDxfId="1229" dataCellStyle="Normal 3"/>
    <tableColumn id="9" name="IVA 10,5%" totalsRowFunction="sum" dataDxfId="1228" totalsRowDxfId="1227" dataCellStyle="Normal 3"/>
    <tableColumn id="10" name="EXENTO" totalsRowFunction="sum" dataDxfId="1226" totalsRowDxfId="1225" dataCellStyle="Normal 3"/>
    <tableColumn id="11" name="TOTAL" totalsRowFunction="sum" dataDxfId="1224" totalsRowDxfId="1223" dataCellStyle="Normal 3"/>
    <tableColumn id="12" name="Provincia" totalsRowFunction="count" dataDxfId="1222" totalsRowDxfId="1221" dataCellStyle="Normal 3"/>
  </tableColumns>
  <tableStyleInfo name="Tabla Ventas" showFirstColumn="0" showLastColumn="0" showRowStripes="1" showColumnStripes="0"/>
</table>
</file>

<file path=xl/tables/table23.xml><?xml version="1.0" encoding="utf-8"?>
<table xmlns="http://schemas.openxmlformats.org/spreadsheetml/2006/main" id="26" name="Retenciones_mes4" displayName="Retenciones_mes4" ref="C164:L169" totalsRowShown="0" headerRowDxfId="1220" dataDxfId="1219" headerRowCellStyle="Normal 3" dataCellStyle="Normal 3">
  <autoFilter ref="C164:L169"/>
  <tableColumns count="10">
    <tableColumn id="1" name="FECHA " dataDxfId="1218" dataCellStyle="Normal 3"/>
    <tableColumn id="2" name="COMP Nº" dataDxfId="1217" dataCellStyle="Normal 3"/>
    <tableColumn id="3" name="Columna1" dataDxfId="1216" dataCellStyle="Normal 3"/>
    <tableColumn id="4" name="CUIT" dataDxfId="1215" dataCellStyle="Normal 3"/>
    <tableColumn id="5" name="RAZON SOCIAL" dataDxfId="1214" dataCellStyle="Normal 3"/>
    <tableColumn id="6" name="Ganancias" dataDxfId="1213" dataCellStyle="Normal 3"/>
    <tableColumn id="7" name="IVA" dataDxfId="1212" dataCellStyle="Normal 3"/>
    <tableColumn id="8" name="SUSS" dataDxfId="1211" dataCellStyle="Normal 3"/>
    <tableColumn id="9" name="IIBB BSAS" dataDxfId="1210" dataCellStyle="Normal 3"/>
    <tableColumn id="10" name="IIBB CABA" dataDxfId="1209" dataCellStyle="Normal 3"/>
  </tableColumns>
  <tableStyleInfo name="Estilo de tabla 1" showFirstColumn="0" showLastColumn="0" showRowStripes="1" showColumnStripes="0"/>
</table>
</file>

<file path=xl/tables/table24.xml><?xml version="1.0" encoding="utf-8"?>
<table xmlns="http://schemas.openxmlformats.org/spreadsheetml/2006/main" id="15" name="extracto_banco_mes15516" displayName="extracto_banco_mes15516" ref="D103:N116" totalsRowCount="1" headerRowDxfId="1208" dataDxfId="1207" tableBorderDxfId="1206" dataCellStyle="Normal 3">
  <autoFilter ref="D103:N115"/>
  <tableColumns count="11">
    <tableColumn id="1" name="FECHA" totalsRowLabel="Total" dataDxfId="1205" totalsRowDxfId="1204" dataCellStyle="Normal 3"/>
    <tableColumn id="2" name="NRO CPTE" dataDxfId="1203" totalsRowDxfId="1202"/>
    <tableColumn id="3" name="BANCO" dataDxfId="1201" totalsRowDxfId="1200"/>
    <tableColumn id="4" name="NETO" totalsRowFunction="sum" dataDxfId="1199" totalsRowDxfId="1198" dataCellStyle="Normal 3"/>
    <tableColumn id="5" name="IVA 21%" totalsRowFunction="sum" dataDxfId="1197" totalsRowDxfId="1196" dataCellStyle="Normal 3"/>
    <tableColumn id="6" name="IVA 10,5%" totalsRowFunction="sum" dataDxfId="1195" totalsRowDxfId="1194" dataCellStyle="Normal 3"/>
    <tableColumn id="7" name="RET IIBB CABA" totalsRowFunction="sum" dataDxfId="1193" totalsRowDxfId="1192" dataCellStyle="Normal 3"/>
    <tableColumn id="8" name="PERC IVA" totalsRowFunction="sum" dataDxfId="1191" totalsRowDxfId="1190" dataCellStyle="Normal 3"/>
    <tableColumn id="9" name="PERC IIBB" totalsRowFunction="sum" dataDxfId="1189" totalsRowDxfId="1188" dataCellStyle="Normal 3"/>
    <tableColumn id="10" name="No grav." totalsRowFunction="custom" dataDxfId="1187" totalsRowDxfId="1186" dataCellStyle="Normal 3">
      <totalsRowFormula>SUM(extracto_banco_mes15516[No grav.])</totalsRowFormula>
    </tableColumn>
    <tableColumn id="11" name="RET. GAN" totalsRowFunction="custom" dataDxfId="1185" totalsRowDxfId="1184" dataCellStyle="Normal 3">
      <totalsRowFormula>SUM(extracto_banco_mes15516[RET. GAN])</totalsRowFormula>
    </tableColumn>
  </tableColumns>
  <tableStyleInfo name="Estilo de tabla 1" showFirstColumn="0" showLastColumn="0" showRowStripes="1" showColumnStripes="0"/>
</table>
</file>

<file path=xl/tables/table25.xml><?xml version="1.0" encoding="utf-8"?>
<table xmlns="http://schemas.openxmlformats.org/spreadsheetml/2006/main" id="45" name="compras_mes5" displayName="compras_mes5" ref="B8:R81" totalsRowCount="1" headerRowDxfId="1183" totalsRowDxfId="1182">
  <autoFilter ref="B8:R80"/>
  <sortState ref="B9:R80">
    <sortCondition ref="Q8:Q80"/>
  </sortState>
  <tableColumns count="17">
    <tableColumn id="1" name="FECHA" totalsRowLabel="Total" dataDxfId="1181" totalsRowDxfId="1180" dataCellStyle="Normal 3"/>
    <tableColumn id="2" name="TIPO" dataDxfId="1179" totalsRowDxfId="1178" dataCellStyle="Normal 3"/>
    <tableColumn id="3" name="PTO VTA" dataDxfId="1177" totalsRowDxfId="1176" dataCellStyle="Normal 3"/>
    <tableColumn id="4" name="NRO. CPTE" dataDxfId="1175" totalsRowDxfId="1174" dataCellStyle="Normal 3"/>
    <tableColumn id="5" name="CUIT" dataDxfId="1173" totalsRowDxfId="1172" dataCellStyle="Normal 3"/>
    <tableColumn id="6" name="RAZON SOCIAL" dataDxfId="1171" totalsRowDxfId="1170" dataCellStyle="Normal 3"/>
    <tableColumn id="7" name="NETO GRAVADO" totalsRowFunction="sum" dataDxfId="1169" totalsRowDxfId="1168" dataCellStyle="Normal 3"/>
    <tableColumn id="8" name="IVA 21 %" totalsRowFunction="sum" dataDxfId="1167" totalsRowDxfId="1166" dataCellStyle="Normal 3"/>
    <tableColumn id="9" name="IVA 27%" totalsRowFunction="sum" dataDxfId="1165" totalsRowDxfId="1164" dataCellStyle="Normal 3"/>
    <tableColumn id="10" name="IVA 10,5%" totalsRowFunction="sum" dataDxfId="1163" totalsRowDxfId="1162" dataCellStyle="Normal 3"/>
    <tableColumn id="11" name="PERC. IVA" totalsRowFunction="sum" dataDxfId="1161" totalsRowDxfId="1160" dataCellStyle="Normal 3"/>
    <tableColumn id="12" name="PERC IIBB _x000a_BS AS" totalsRowFunction="sum" dataDxfId="1159" totalsRowDxfId="1158" dataCellStyle="Normal 3"/>
    <tableColumn id="13" name="PERC. IIBB CABA" totalsRowFunction="sum" dataDxfId="1157" totalsRowDxfId="1156" dataCellStyle="Normal 3"/>
    <tableColumn id="14" name="Otros / No Grav." totalsRowFunction="sum" dataDxfId="1155" totalsRowDxfId="1154" dataCellStyle="Normal 3"/>
    <tableColumn id="15" name="TOTAL" totalsRowFunction="sum" dataDxfId="1153" totalsRowDxfId="1152" dataCellStyle="Normal 3"/>
    <tableColumn id="16" name="Tipo de Gasto" dataDxfId="1151" totalsRowDxfId="1150" dataCellStyle="Normal 3">
      <calculatedColumnFormula>IFERROR(IF(compras_mes5[[#This Row],[CUIT]]="","-",VLOOKUP(compras_mes5[[#This Row],[CUIT]],Lista_CUIT[#All],3,0)),"CUIT NO CARGADO")</calculatedColumnFormula>
    </tableColumn>
    <tableColumn id="17" name="Provincia" dataDxfId="1149" totalsRowDxfId="1148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6.xml><?xml version="1.0" encoding="utf-8"?>
<table xmlns="http://schemas.openxmlformats.org/spreadsheetml/2006/main" id="46" name="factura_c_mes5" displayName="factura_c_mes5" ref="D104:K111" totalsRowCount="1" headerRowDxfId="1147" totalsRowDxfId="1146" headerRowCellStyle="Normal 3">
  <autoFilter ref="D104:K110"/>
  <tableColumns count="8">
    <tableColumn id="1" name="FECHA" totalsRowLabel="Total" dataDxfId="1145" totalsRowDxfId="1144" dataCellStyle="Normal 3"/>
    <tableColumn id="2" name="PTO VTA" dataDxfId="1143" totalsRowDxfId="1142" dataCellStyle="Normal 3"/>
    <tableColumn id="3" name="FC Nº" dataDxfId="1141" totalsRowDxfId="1140" dataCellStyle="Normal 3"/>
    <tableColumn id="4" name="CUIT" dataDxfId="1139" totalsRowDxfId="1138" dataCellStyle="Normal 3"/>
    <tableColumn id="5" name="RAZON SOCIAL" dataDxfId="1137" totalsRowDxfId="1136" dataCellStyle="Normal 3"/>
    <tableColumn id="6" name="TOTAL" totalsRowFunction="sum" dataDxfId="1135" totalsRowDxfId="1134" dataCellStyle="Normal 3"/>
    <tableColumn id="7" name="TIPO DE GASTO" dataDxfId="1133" totalsRowDxfId="1132" dataCellStyle="Normal 3"/>
    <tableColumn id="8" name="Provincia" dataDxfId="1131" totalsRowDxfId="1130" dataCellStyle="Normal 3"/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id="47" name="venta_a_mes5" displayName="venta_a_mes5" ref="B118:M128" totalsRowCount="1" headerRowDxfId="1129" dataDxfId="1127" headerRowBorderDxfId="1128" tableBorderDxfId="1126" totalsRowBorderDxfId="1125" dataCellStyle="Normal 3">
  <autoFilter ref="B118:M127"/>
  <tableColumns count="12">
    <tableColumn id="1" name="FECHA" totalsRowLabel="Total" dataDxfId="1124" totalsRowDxfId="1123" dataCellStyle="Normal 3"/>
    <tableColumn id="2" name="TIPO" dataDxfId="1122" totalsRowDxfId="1121" dataCellStyle="Normal 3"/>
    <tableColumn id="3" name="PTO VENTA" dataDxfId="1120" totalsRowDxfId="1119" dataCellStyle="Normal 3"/>
    <tableColumn id="4" name="Nº FACTURA" dataDxfId="1118" totalsRowDxfId="1117" dataCellStyle="Normal 3"/>
    <tableColumn id="5" name="CUIT" dataDxfId="1116" totalsRowDxfId="1115" dataCellStyle="Normal 3"/>
    <tableColumn id="6" name="RAZON SOCIAL" dataDxfId="1114" totalsRowDxfId="1113" dataCellStyle="Normal 3"/>
    <tableColumn id="7" name="IMPORTE NETO" totalsRowFunction="sum" dataDxfId="1112" totalsRowDxfId="1111" dataCellStyle="Normal 3"/>
    <tableColumn id="8" name="IVA 21%" totalsRowFunction="sum" dataDxfId="1110" totalsRowDxfId="1109" dataCellStyle="Normal 3"/>
    <tableColumn id="9" name="IVA 10,5%" totalsRowFunction="sum" dataDxfId="1108" totalsRowDxfId="1107" dataCellStyle="Normal 3"/>
    <tableColumn id="10" name="EXENTO" totalsRowFunction="sum" dataDxfId="1106" totalsRowDxfId="1105" dataCellStyle="Normal 3"/>
    <tableColumn id="11" name="TOTAL" totalsRowFunction="sum" dataDxfId="1104" totalsRowDxfId="1103" dataCellStyle="Normal 3"/>
    <tableColumn id="12" name="Provincia" totalsRowFunction="count" dataDxfId="1102" totalsRowDxfId="1101" dataCellStyle="Normal 3"/>
  </tableColumns>
  <tableStyleInfo name="Tabla Ventas" showFirstColumn="0" showLastColumn="0" showRowStripes="1" showColumnStripes="0"/>
</table>
</file>

<file path=xl/tables/table28.xml><?xml version="1.0" encoding="utf-8"?>
<table xmlns="http://schemas.openxmlformats.org/spreadsheetml/2006/main" id="48" name="ventas_b_mes5" displayName="ventas_b_mes5" ref="B132:M139" totalsRowCount="1" headerRowDxfId="1100" dataDxfId="1098" headerRowBorderDxfId="1099" tableBorderDxfId="1097" totalsRowBorderDxfId="1096" dataCellStyle="Normal 3">
  <autoFilter ref="B132:M138"/>
  <tableColumns count="12">
    <tableColumn id="1" name="FECHA" totalsRowLabel="Total" dataDxfId="1095" totalsRowDxfId="1094" dataCellStyle="Normal 3"/>
    <tableColumn id="2" name="TIPO" dataDxfId="1093" totalsRowDxfId="1092" dataCellStyle="Normal 3"/>
    <tableColumn id="3" name="PTO VENTA" dataDxfId="1091" totalsRowDxfId="1090" dataCellStyle="Normal 3"/>
    <tableColumn id="4" name="Nº FACTURA" dataDxfId="1089" totalsRowDxfId="1088" dataCellStyle="Normal 3"/>
    <tableColumn id="5" name="CUIT" dataDxfId="1087" totalsRowDxfId="1086" dataCellStyle="Normal 3"/>
    <tableColumn id="6" name="RAZON SOCIAL" dataDxfId="1085" totalsRowDxfId="1084" dataCellStyle="Normal 3"/>
    <tableColumn id="7" name="IMPORTE NETO" totalsRowFunction="sum" dataDxfId="1083" totalsRowDxfId="1082" dataCellStyle="Normal 3"/>
    <tableColumn id="8" name="IVA 21%" totalsRowFunction="sum" dataDxfId="1081" totalsRowDxfId="1080" dataCellStyle="Normal 3"/>
    <tableColumn id="9" name="IVA 10,5%" totalsRowFunction="sum" dataDxfId="1079" totalsRowDxfId="1078" dataCellStyle="Normal 3"/>
    <tableColumn id="10" name="EXENTO" totalsRowFunction="sum" dataDxfId="1077" totalsRowDxfId="1076" dataCellStyle="Normal 3"/>
    <tableColumn id="11" name="TOTAL" totalsRowFunction="sum" dataDxfId="1075" totalsRowDxfId="1074" dataCellStyle="Normal 3"/>
    <tableColumn id="12" name="Provincia" totalsRowFunction="count" dataDxfId="1073" totalsRowDxfId="1072" dataCellStyle="Normal 3"/>
  </tableColumns>
  <tableStyleInfo name="Tabla Ventas" showFirstColumn="0" showLastColumn="0" showRowStripes="1" showColumnStripes="0"/>
</table>
</file>

<file path=xl/tables/table29.xml><?xml version="1.0" encoding="utf-8"?>
<table xmlns="http://schemas.openxmlformats.org/spreadsheetml/2006/main" id="50" name="Retenciones_mes5" displayName="Retenciones_mes5" ref="C148:L153" totalsRowShown="0" headerRowDxfId="1071" dataDxfId="1070" headerRowCellStyle="Normal 3" dataCellStyle="Normal 3">
  <autoFilter ref="C148:L153"/>
  <tableColumns count="10">
    <tableColumn id="1" name="FECHA " dataDxfId="1069" dataCellStyle="Normal 3"/>
    <tableColumn id="2" name="COMP Nº" dataDxfId="1068" dataCellStyle="Normal 3"/>
    <tableColumn id="3" name="Columna1" dataDxfId="1067" dataCellStyle="Normal 3"/>
    <tableColumn id="4" name="CUIT" dataDxfId="1066" dataCellStyle="Normal 3"/>
    <tableColumn id="5" name="RAZON SOCIAL" dataDxfId="1065" dataCellStyle="Normal 3">
      <calculatedColumnFormula>IFERROR(IF(Retenciones_mes5[[#This Row],[CUIT]]="","-",VLOOKUP(Retenciones_mes5[[#This Row],[CUIT]],Lista_CUIT[#All],2,0)),"CUIT NO CARGADO")</calculatedColumnFormula>
    </tableColumn>
    <tableColumn id="6" name="Ganancias" dataDxfId="1064" dataCellStyle="Normal 3"/>
    <tableColumn id="7" name="IVA" dataDxfId="1063" dataCellStyle="Normal 3"/>
    <tableColumn id="8" name="SUSS" dataDxfId="1062" dataCellStyle="Normal 3"/>
    <tableColumn id="9" name="IIBB BSAS" dataDxfId="1061" dataCellStyle="Normal 3"/>
    <tableColumn id="10" name="IIBB CABA" dataDxfId="1060" dataCellStyle="Normal 3"/>
  </tableColumns>
  <tableStyleInfo name="Estilo de tabla 1" showFirstColumn="0" showLastColumn="0" showRowStripes="1" showColumnStripes="0"/>
</table>
</file>

<file path=xl/tables/table30.xml><?xml version="1.0" encoding="utf-8"?>
<table xmlns="http://schemas.openxmlformats.org/spreadsheetml/2006/main" id="16" name="extracto_banco_mes1551617" displayName="extracto_banco_mes1551617" ref="D87:N100" totalsRowCount="1" headerRowDxfId="1059" dataDxfId="1058" tableBorderDxfId="1057" dataCellStyle="Normal 3">
  <autoFilter ref="D87:N99"/>
  <tableColumns count="11">
    <tableColumn id="1" name="FECHA" totalsRowLabel="Total" dataDxfId="1056" totalsRowDxfId="1055" dataCellStyle="Normal 3"/>
    <tableColumn id="2" name="NRO CPTE" dataDxfId="1054" totalsRowDxfId="1053"/>
    <tableColumn id="3" name="BANCO" dataDxfId="1052" totalsRowDxfId="1051"/>
    <tableColumn id="4" name="NETO" totalsRowFunction="sum" dataDxfId="1050" totalsRowDxfId="1049" dataCellStyle="Normal 3"/>
    <tableColumn id="5" name="IVA 21%" totalsRowFunction="sum" dataDxfId="1048" totalsRowDxfId="1047" dataCellStyle="Normal 3"/>
    <tableColumn id="6" name="IVA 10,5%" totalsRowFunction="sum" dataDxfId="1046" totalsRowDxfId="1045" dataCellStyle="Normal 3"/>
    <tableColumn id="7" name="RET IIBB CABA" totalsRowFunction="sum" dataDxfId="1044" totalsRowDxfId="1043" dataCellStyle="Normal 3"/>
    <tableColumn id="8" name="PERC IVA" totalsRowFunction="sum" dataDxfId="1042" totalsRowDxfId="1041" dataCellStyle="Normal 3"/>
    <tableColumn id="9" name="PERC IIBB" totalsRowFunction="sum" dataDxfId="1040" totalsRowDxfId="1039" dataCellStyle="Normal 3"/>
    <tableColumn id="10" name="No grav." totalsRowFunction="custom" dataDxfId="1038" totalsRowDxfId="1037" dataCellStyle="Normal 3">
      <totalsRowFormula>SUM(extracto_banco_mes1551617[No grav.])</totalsRowFormula>
    </tableColumn>
    <tableColumn id="11" name="RET. GAN" totalsRowFunction="custom" dataDxfId="1036" totalsRowDxfId="1035" dataCellStyle="Normal 3">
      <totalsRowFormula>SUM(extracto_banco_mes1551617[RET. GAN])</totalsRowFormula>
    </tableColumn>
  </tableColumns>
  <tableStyleInfo name="Estilo de tabla 1" showFirstColumn="0" showLastColumn="0" showRowStripes="1" showColumnStripes="0"/>
</table>
</file>

<file path=xl/tables/table31.xml><?xml version="1.0" encoding="utf-8"?>
<table xmlns="http://schemas.openxmlformats.org/spreadsheetml/2006/main" id="27" name="compras_mes6" displayName="compras_mes6" ref="B8:R84" totalsRowCount="1" headerRowDxfId="1034" totalsRowDxfId="1033">
  <autoFilter ref="B8:R83"/>
  <sortState ref="B9:R83">
    <sortCondition ref="Q8:Q83"/>
  </sortState>
  <tableColumns count="17">
    <tableColumn id="1" name="FECHA" totalsRowLabel="Total" dataDxfId="1032" totalsRowDxfId="1031" dataCellStyle="Normal 3"/>
    <tableColumn id="2" name="TIPO" dataDxfId="1030" totalsRowDxfId="1029" dataCellStyle="Normal 3"/>
    <tableColumn id="3" name="PTO VTA" dataDxfId="1028" totalsRowDxfId="1027" dataCellStyle="Normal 3"/>
    <tableColumn id="4" name="NRO. CPTE" dataDxfId="1026" totalsRowDxfId="1025" dataCellStyle="Normal 3"/>
    <tableColumn id="5" name="CUIT" dataDxfId="1024" totalsRowDxfId="1023" dataCellStyle="Normal 3"/>
    <tableColumn id="6" name="RAZON SOCIAL" dataDxfId="1022" totalsRowDxfId="1021" dataCellStyle="Normal 3">
      <calculatedColumnFormula>IFERROR(IF(compras_mes6[[#This Row],[CUIT]]="","-",VLOOKUP(compras_mes6[[#This Row],[CUIT]],Lista_CUIT[#All],2,0)),"CUIT NO CARGADO")</calculatedColumnFormula>
    </tableColumn>
    <tableColumn id="7" name="NETO GRAVADO" totalsRowFunction="sum" dataDxfId="1020" totalsRowDxfId="1019" dataCellStyle="Normal 3"/>
    <tableColumn id="8" name="IVA 21 %" totalsRowFunction="sum" dataDxfId="1018" totalsRowDxfId="1017" dataCellStyle="Normal 3"/>
    <tableColumn id="9" name="IVA 27%" totalsRowFunction="sum" dataDxfId="1016" totalsRowDxfId="1015" dataCellStyle="Normal 3"/>
    <tableColumn id="10" name="IVA 10,5%" totalsRowFunction="sum" dataDxfId="1014" totalsRowDxfId="1013" dataCellStyle="Normal 3"/>
    <tableColumn id="11" name="PERC. IVA" totalsRowFunction="sum" dataDxfId="1012" totalsRowDxfId="1011" dataCellStyle="Normal 3"/>
    <tableColumn id="12" name="PERC IIBB _x000a_BS AS" totalsRowFunction="sum" dataDxfId="1010" totalsRowDxfId="1009" dataCellStyle="Normal 3"/>
    <tableColumn id="13" name="PERC. IIBB CABA" totalsRowFunction="sum" dataDxfId="1008" totalsRowDxfId="1007" dataCellStyle="Normal 3"/>
    <tableColumn id="14" name="Otros / No Grav." totalsRowFunction="sum" dataDxfId="1006" totalsRowDxfId="1005" dataCellStyle="Normal 3"/>
    <tableColumn id="15" name="TOTAL" totalsRowFunction="sum" dataDxfId="1004" totalsRowDxfId="1003" dataCellStyle="Normal 3"/>
    <tableColumn id="16" name="Tipo de Gasto" dataDxfId="1002" totalsRowDxfId="1001" dataCellStyle="Normal 3">
      <calculatedColumnFormula>IFERROR(IF(compras_mes6[[#This Row],[CUIT]]="","-",VLOOKUP(compras_mes6[[#This Row],[CUIT]],Lista_CUIT[#All],3,0)),"CUIT NO CARGADO")</calculatedColumnFormula>
    </tableColumn>
    <tableColumn id="17" name="Provincia" dataDxfId="1000" totalsRowDxfId="999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2.xml><?xml version="1.0" encoding="utf-8"?>
<table xmlns="http://schemas.openxmlformats.org/spreadsheetml/2006/main" id="28" name="factura_c_mes6" displayName="factura_c_mes6" ref="D108:K113" totalsRowCount="1" headerRowDxfId="998" totalsRowDxfId="997" headerRowCellStyle="Normal 3">
  <autoFilter ref="D108:K112"/>
  <tableColumns count="8">
    <tableColumn id="1" name="FECHA" totalsRowLabel="Total" dataDxfId="996" totalsRowDxfId="995" dataCellStyle="Normal 3"/>
    <tableColumn id="2" name="PTO VTA" dataDxfId="994" totalsRowDxfId="993" dataCellStyle="Normal 3"/>
    <tableColumn id="3" name="FC Nº" dataDxfId="992" totalsRowDxfId="991" dataCellStyle="Normal 3"/>
    <tableColumn id="4" name="CUIT" dataDxfId="990" totalsRowDxfId="989" dataCellStyle="Normal 3"/>
    <tableColumn id="5" name="RAZON SOCIAL" dataDxfId="988" totalsRowDxfId="987" dataCellStyle="Normal 3"/>
    <tableColumn id="6" name="TOTAL" totalsRowFunction="sum" dataDxfId="986" totalsRowDxfId="985" dataCellStyle="Normal 3"/>
    <tableColumn id="7" name="TIPO DE GASTO" dataDxfId="984" totalsRowDxfId="983" dataCellStyle="Normal 3"/>
    <tableColumn id="8" name="Provincia" dataDxfId="982" totalsRowDxfId="981" dataCellStyle="Normal 3"/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id="29" name="venta_a_mes6" displayName="venta_a_mes6" ref="B122:M132" totalsRowCount="1" headerRowDxfId="980" dataDxfId="978" headerRowBorderDxfId="979" tableBorderDxfId="977" totalsRowBorderDxfId="976" dataCellStyle="Normal 3">
  <autoFilter ref="B122:M131"/>
  <tableColumns count="12">
    <tableColumn id="1" name="FECHA" totalsRowLabel="Total" dataDxfId="975" totalsRowDxfId="974" dataCellStyle="Normal 3"/>
    <tableColumn id="2" name="TIPO" dataDxfId="973" totalsRowDxfId="972" dataCellStyle="Normal 3"/>
    <tableColumn id="3" name="PTO VENTA" dataDxfId="971" totalsRowDxfId="970" dataCellStyle="Normal 3"/>
    <tableColumn id="4" name="Nº FACTURA" dataDxfId="969" totalsRowDxfId="968" dataCellStyle="Normal 3"/>
    <tableColumn id="5" name="CUIT" dataDxfId="967" totalsRowDxfId="966" dataCellStyle="Normal 3"/>
    <tableColumn id="6" name="RAZON SOCIAL" dataDxfId="965" totalsRowDxfId="964" dataCellStyle="Normal 3"/>
    <tableColumn id="7" name="IMPORTE NETO" totalsRowFunction="sum" dataDxfId="963" totalsRowDxfId="962" dataCellStyle="Normal 3"/>
    <tableColumn id="8" name="IVA 21%" totalsRowFunction="sum" dataDxfId="961" totalsRowDxfId="960" dataCellStyle="Normal 3"/>
    <tableColumn id="9" name="IVA 10,5%" totalsRowFunction="sum" dataDxfId="959" totalsRowDxfId="958" dataCellStyle="Normal 3"/>
    <tableColumn id="10" name="EXENTO" totalsRowFunction="sum" dataDxfId="957" totalsRowDxfId="956" dataCellStyle="Normal 3"/>
    <tableColumn id="11" name="TOTAL" totalsRowFunction="sum" dataDxfId="955" totalsRowDxfId="954" dataCellStyle="Normal 3"/>
    <tableColumn id="12" name="Provincia" totalsRowFunction="count" dataDxfId="953" totalsRowDxfId="952" dataCellStyle="Normal 3"/>
  </tableColumns>
  <tableStyleInfo name="Tabla Ventas" showFirstColumn="0" showLastColumn="0" showRowStripes="1" showColumnStripes="0"/>
</table>
</file>

<file path=xl/tables/table34.xml><?xml version="1.0" encoding="utf-8"?>
<table xmlns="http://schemas.openxmlformats.org/spreadsheetml/2006/main" id="30" name="ventas_b_mes6" displayName="ventas_b_mes6" ref="B136:M143" totalsRowCount="1" headerRowDxfId="951" dataDxfId="949" headerRowBorderDxfId="950" tableBorderDxfId="948" totalsRowBorderDxfId="947" dataCellStyle="Normal 3">
  <autoFilter ref="B136:M142"/>
  <tableColumns count="12">
    <tableColumn id="1" name="FECHA" totalsRowLabel="Total" dataDxfId="946" totalsRowDxfId="945" dataCellStyle="Normal 3"/>
    <tableColumn id="2" name="TIPO" dataDxfId="944" totalsRowDxfId="943" dataCellStyle="Normal 3"/>
    <tableColumn id="3" name="PTO VENTA" dataDxfId="942" totalsRowDxfId="941" dataCellStyle="Normal 3"/>
    <tableColumn id="4" name="Nº FACTURA" dataDxfId="940" totalsRowDxfId="939" dataCellStyle="Normal 3"/>
    <tableColumn id="5" name="CUIT" dataDxfId="938" totalsRowDxfId="937" dataCellStyle="Normal 3"/>
    <tableColumn id="6" name="RAZON SOCIAL" dataDxfId="936" totalsRowDxfId="935" dataCellStyle="Normal 3"/>
    <tableColumn id="7" name="IMPORTE NETO" totalsRowFunction="sum" dataDxfId="934" totalsRowDxfId="933" dataCellStyle="Normal 3"/>
    <tableColumn id="8" name="IVA 21%" totalsRowFunction="sum" dataDxfId="932" totalsRowDxfId="931" dataCellStyle="Normal 3"/>
    <tableColumn id="9" name="IVA 10,5%" totalsRowFunction="sum" dataDxfId="930" totalsRowDxfId="929" dataCellStyle="Normal 3"/>
    <tableColumn id="10" name="EXENTO" totalsRowFunction="sum" dataDxfId="928" totalsRowDxfId="927" dataCellStyle="Normal 3"/>
    <tableColumn id="11" name="TOTAL" totalsRowFunction="sum" dataDxfId="926" totalsRowDxfId="925" dataCellStyle="Normal 3"/>
    <tableColumn id="12" name="Provincia" totalsRowFunction="count" dataDxfId="924" totalsRowDxfId="923" dataCellStyle="Normal 3"/>
  </tableColumns>
  <tableStyleInfo name="Tabla Ventas" showFirstColumn="0" showLastColumn="0" showRowStripes="1" showColumnStripes="0"/>
</table>
</file>

<file path=xl/tables/table35.xml><?xml version="1.0" encoding="utf-8"?>
<table xmlns="http://schemas.openxmlformats.org/spreadsheetml/2006/main" id="32" name="Retenciones_mes6" displayName="Retenciones_mes6" ref="C152:L157" totalsRowShown="0" headerRowDxfId="922" dataDxfId="921" headerRowCellStyle="Normal 3" dataCellStyle="Normal 3">
  <autoFilter ref="C152:L157"/>
  <tableColumns count="10">
    <tableColumn id="1" name="FECHA " dataDxfId="920" dataCellStyle="Normal 3"/>
    <tableColumn id="2" name="COMP Nº" dataDxfId="919" dataCellStyle="Normal 3"/>
    <tableColumn id="3" name="Columna1" dataDxfId="918" dataCellStyle="Normal 3"/>
    <tableColumn id="4" name="CUIT" dataDxfId="917" dataCellStyle="Normal 3"/>
    <tableColumn id="5" name="RAZON SOCIAL" dataDxfId="916" dataCellStyle="Normal 3"/>
    <tableColumn id="6" name="Ganancias" dataDxfId="915" dataCellStyle="Normal 3"/>
    <tableColumn id="7" name="IVA" dataDxfId="914" dataCellStyle="Normal 3"/>
    <tableColumn id="8" name="SUSS" dataDxfId="913" dataCellStyle="Normal 3"/>
    <tableColumn id="9" name="IIBB BSAS" dataDxfId="912" dataCellStyle="Normal 3"/>
    <tableColumn id="10" name="IIBB CABA" dataDxfId="911" dataCellStyle="Normal 3"/>
  </tableColumns>
  <tableStyleInfo name="Estilo de tabla 1" showFirstColumn="0" showLastColumn="0" showRowStripes="1" showColumnStripes="0"/>
</table>
</file>

<file path=xl/tables/table36.xml><?xml version="1.0" encoding="utf-8"?>
<table xmlns="http://schemas.openxmlformats.org/spreadsheetml/2006/main" id="18" name="extracto_banco_mes155161719" displayName="extracto_banco_mes155161719" ref="D90:N103" totalsRowCount="1" headerRowDxfId="910" dataDxfId="909" tableBorderDxfId="908" dataCellStyle="Normal 3">
  <autoFilter ref="D90:N102"/>
  <tableColumns count="11">
    <tableColumn id="1" name="FECHA" totalsRowLabel="Total" dataDxfId="907" totalsRowDxfId="906" dataCellStyle="Normal 3"/>
    <tableColumn id="2" name="NRO CPTE" dataDxfId="905" totalsRowDxfId="904"/>
    <tableColumn id="3" name="BANCO" dataDxfId="903" totalsRowDxfId="902"/>
    <tableColumn id="4" name="NETO" totalsRowFunction="sum" dataDxfId="901" totalsRowDxfId="900" dataCellStyle="Normal 3"/>
    <tableColumn id="5" name="IVA 21%" totalsRowFunction="sum" dataDxfId="899" totalsRowDxfId="898" dataCellStyle="Normal 3"/>
    <tableColumn id="6" name="IVA 10,5%" totalsRowFunction="sum" dataDxfId="897" totalsRowDxfId="896" dataCellStyle="Normal 3"/>
    <tableColumn id="7" name="RET IIBB CABA" totalsRowFunction="sum" dataDxfId="895" totalsRowDxfId="894" dataCellStyle="Normal 3"/>
    <tableColumn id="8" name="PERC IVA" totalsRowFunction="sum" dataDxfId="893" totalsRowDxfId="892" dataCellStyle="Normal 3"/>
    <tableColumn id="9" name="PERC IIBB" totalsRowFunction="sum" dataDxfId="891" totalsRowDxfId="890" dataCellStyle="Normal 3"/>
    <tableColumn id="10" name="No grav." totalsRowFunction="custom" dataDxfId="889" totalsRowDxfId="888" dataCellStyle="Normal 3">
      <totalsRowFormula>SUM(extracto_banco_mes155161719[No grav.])</totalsRowFormula>
    </tableColumn>
    <tableColumn id="11" name="RET. GAN" totalsRowFunction="custom" dataDxfId="887" totalsRowDxfId="886" dataCellStyle="Normal 3">
      <totalsRowFormula>SUM(extracto_banco_mes155161719[RET. GAN])</totalsRowFormula>
    </tableColumn>
  </tableColumns>
  <tableStyleInfo name="Estilo de tabla 1" showFirstColumn="0" showLastColumn="0" showRowStripes="1" showColumnStripes="0"/>
</table>
</file>

<file path=xl/tables/table37.xml><?xml version="1.0" encoding="utf-8"?>
<table xmlns="http://schemas.openxmlformats.org/spreadsheetml/2006/main" id="39" name="compras_mes7" displayName="compras_mes7" ref="B8:R104" totalsRowCount="1" headerRowDxfId="885" totalsRowDxfId="884">
  <autoFilter ref="B8:R103"/>
  <tableColumns count="17">
    <tableColumn id="1" name="FECHA" totalsRowLabel="Total" dataDxfId="883" totalsRowDxfId="882" dataCellStyle="Normal 3"/>
    <tableColumn id="2" name="TIPO" dataDxfId="881" totalsRowDxfId="880" dataCellStyle="Normal 3"/>
    <tableColumn id="3" name="PTO VTA" dataDxfId="879" totalsRowDxfId="878" dataCellStyle="Normal 3"/>
    <tableColumn id="4" name="NRO. CPTE" dataDxfId="877" totalsRowDxfId="876" dataCellStyle="Normal 3"/>
    <tableColumn id="5" name="CUIT" dataDxfId="875" totalsRowDxfId="874" dataCellStyle="Normal 3"/>
    <tableColumn id="6" name="RAZON SOCIAL" dataDxfId="873" totalsRowDxfId="872" dataCellStyle="Normal 3">
      <calculatedColumnFormula>IFERROR(IF(compras_mes7[[#This Row],[CUIT]]="","-",VLOOKUP(compras_mes7[[#This Row],[CUIT]],Lista_CUIT[#All],2,0)),"CUIT NO CARGADO")</calculatedColumnFormula>
    </tableColumn>
    <tableColumn id="7" name="NETO GRAVADO" totalsRowFunction="sum" dataDxfId="871" totalsRowDxfId="870" dataCellStyle="Normal 3"/>
    <tableColumn id="8" name="IVA 21 %" totalsRowFunction="sum" dataDxfId="869" totalsRowDxfId="868" dataCellStyle="Normal 3"/>
    <tableColumn id="9" name="IVA 27%" totalsRowFunction="sum" dataDxfId="867" totalsRowDxfId="866" dataCellStyle="Normal 3"/>
    <tableColumn id="10" name="IVA 10,5%" totalsRowFunction="sum" dataDxfId="865" totalsRowDxfId="864" dataCellStyle="Normal 3"/>
    <tableColumn id="11" name="PERC. IVA" totalsRowFunction="sum" dataDxfId="863" totalsRowDxfId="862" dataCellStyle="Normal 3"/>
    <tableColumn id="12" name="PERC IIBB _x000a_BS AS" totalsRowFunction="sum" dataDxfId="861" totalsRowDxfId="860" dataCellStyle="Normal 3"/>
    <tableColumn id="13" name="PERC. IIBB CABA" totalsRowFunction="sum" dataDxfId="859" totalsRowDxfId="858" dataCellStyle="Normal 3"/>
    <tableColumn id="14" name="Otros / No Grav." totalsRowFunction="sum" dataDxfId="857" totalsRowDxfId="856" dataCellStyle="Normal 3"/>
    <tableColumn id="15" name="TOTAL" totalsRowFunction="sum" dataDxfId="855" totalsRowDxfId="854" dataCellStyle="Normal 3"/>
    <tableColumn id="16" name="Tipo de Gasto" dataDxfId="853" totalsRowDxfId="852" dataCellStyle="Normal 3">
      <calculatedColumnFormula>IFERROR(IF(compras_mes7[[#This Row],[CUIT]]="","-",VLOOKUP(compras_mes7[[#This Row],[CUIT]],Lista_CUIT[#All],3,0)),"CUIT NO CARGADO")</calculatedColumnFormula>
    </tableColumn>
    <tableColumn id="17" name="Provincia" dataDxfId="851" totalsRowDxfId="850" dataCellStyle="Normal 3">
      <calculatedColumnFormula>IFERROR(IF(compras_mes7[[#This Row],[CUIT]]="","-",VLOOKUP(compras_mes7[[#This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8.xml><?xml version="1.0" encoding="utf-8"?>
<table xmlns="http://schemas.openxmlformats.org/spreadsheetml/2006/main" id="40" name="factura_c_mes7" displayName="factura_c_mes7" ref="D128:K133" totalsRowCount="1" headerRowDxfId="849" totalsRowDxfId="848" headerRowCellStyle="Normal 3">
  <autoFilter ref="D128:K132"/>
  <tableColumns count="8">
    <tableColumn id="1" name="FECHA" totalsRowLabel="Total" dataDxfId="847" totalsRowDxfId="846" dataCellStyle="Normal 3"/>
    <tableColumn id="2" name="PTO VTA" dataDxfId="845" totalsRowDxfId="844" dataCellStyle="Normal 3"/>
    <tableColumn id="3" name="FC Nº" dataDxfId="843" totalsRowDxfId="842" dataCellStyle="Normal 3"/>
    <tableColumn id="4" name="CUIT" dataDxfId="841" totalsRowDxfId="840" dataCellStyle="Normal 3"/>
    <tableColumn id="5" name="RAZON SOCIAL" dataDxfId="839" totalsRowDxfId="838" dataCellStyle="Normal 3"/>
    <tableColumn id="6" name="TOTAL" totalsRowFunction="sum" dataDxfId="837" totalsRowDxfId="836" dataCellStyle="Normal 3"/>
    <tableColumn id="7" name="TIPO DE GASTO" dataDxfId="835" totalsRowDxfId="834" dataCellStyle="Normal 3"/>
    <tableColumn id="8" name="Provincia" dataDxfId="833" totalsRowDxfId="832" dataCellStyle="Normal 3"/>
  </tableColumns>
  <tableStyleInfo name="Estilo de tabla 1" showFirstColumn="0" showLastColumn="0" showRowStripes="1" showColumnStripes="0"/>
</table>
</file>

<file path=xl/tables/table39.xml><?xml version="1.0" encoding="utf-8"?>
<table xmlns="http://schemas.openxmlformats.org/spreadsheetml/2006/main" id="41" name="venta_a_mes7" displayName="venta_a_mes7" ref="B142:M152" totalsRowCount="1" headerRowDxfId="831" dataDxfId="829" headerRowBorderDxfId="830" tableBorderDxfId="828" totalsRowBorderDxfId="827" dataCellStyle="Normal 3">
  <autoFilter ref="B142:M151"/>
  <tableColumns count="12">
    <tableColumn id="1" name="FECHA" totalsRowLabel="Total" dataDxfId="826" totalsRowDxfId="825" dataCellStyle="Normal 3"/>
    <tableColumn id="2" name="TIPO" dataDxfId="824" totalsRowDxfId="823" dataCellStyle="Normal 3"/>
    <tableColumn id="3" name="PTO VENTA" dataDxfId="822" totalsRowDxfId="821" dataCellStyle="Normal 3"/>
    <tableColumn id="4" name="Nº FACTURA" dataDxfId="820" totalsRowDxfId="819" dataCellStyle="Normal 3"/>
    <tableColumn id="5" name="CUIT" dataDxfId="818" totalsRowDxfId="817" dataCellStyle="Normal 3"/>
    <tableColumn id="6" name="RAZON SOCIAL" dataDxfId="816" totalsRowDxfId="815" dataCellStyle="Normal 3"/>
    <tableColumn id="7" name="IMPORTE NETO" totalsRowFunction="sum" dataDxfId="814" totalsRowDxfId="813" dataCellStyle="Normal 3"/>
    <tableColumn id="8" name="IVA 21%" totalsRowFunction="sum" dataDxfId="812" totalsRowDxfId="811" dataCellStyle="Normal 3"/>
    <tableColumn id="9" name="IVA 10,5%" totalsRowFunction="sum" dataDxfId="810" totalsRowDxfId="809" dataCellStyle="Normal 3"/>
    <tableColumn id="10" name="EXENTO" totalsRowFunction="sum" dataDxfId="808" totalsRowDxfId="807" dataCellStyle="Normal 3"/>
    <tableColumn id="11" name="TOTAL" totalsRowFunction="sum" dataDxfId="806" totalsRowDxfId="805" dataCellStyle="Normal 3"/>
    <tableColumn id="12" name="Provincia" totalsRowFunction="count" dataDxfId="804" totalsRowDxfId="803" dataCellStyle="Normal 3"/>
  </tableColumns>
  <tableStyleInfo name="Tabla Ventas" showFirstColumn="0" showLastColumn="0" showRowStripes="1" showColumnStripes="0"/>
</table>
</file>

<file path=xl/tables/table40.xml><?xml version="1.0" encoding="utf-8"?>
<table xmlns="http://schemas.openxmlformats.org/spreadsheetml/2006/main" id="42" name="ventas_b_mes7" displayName="ventas_b_mes7" ref="B156:M163" totalsRowCount="1" headerRowDxfId="802" dataDxfId="800" headerRowBorderDxfId="801" tableBorderDxfId="799" totalsRowBorderDxfId="798" dataCellStyle="Normal 3">
  <autoFilter ref="B156:M162"/>
  <tableColumns count="12">
    <tableColumn id="1" name="FECHA" totalsRowLabel="Total" dataDxfId="797" totalsRowDxfId="796" dataCellStyle="Normal 3"/>
    <tableColumn id="2" name="TIPO" dataDxfId="795" totalsRowDxfId="794" dataCellStyle="Normal 3"/>
    <tableColumn id="3" name="PTO VENTA" dataDxfId="793" totalsRowDxfId="792" dataCellStyle="Normal 3"/>
    <tableColumn id="4" name="Nº FACTURA" dataDxfId="791" totalsRowDxfId="790" dataCellStyle="Normal 3"/>
    <tableColumn id="5" name="CUIT" dataDxfId="789" totalsRowDxfId="788" dataCellStyle="Normal 3"/>
    <tableColumn id="6" name="RAZON SOCIAL" dataDxfId="787" totalsRowDxfId="786" dataCellStyle="Normal 3"/>
    <tableColumn id="7" name="IMPORTE NETO" totalsRowFunction="sum" dataDxfId="785" totalsRowDxfId="784" dataCellStyle="Normal 3"/>
    <tableColumn id="8" name="IVA 21%" totalsRowFunction="sum" dataDxfId="783" totalsRowDxfId="782" dataCellStyle="Normal 3"/>
    <tableColumn id="9" name="IVA 10,5%" totalsRowFunction="sum" dataDxfId="781" totalsRowDxfId="780" dataCellStyle="Normal 3"/>
    <tableColumn id="10" name="EXENTO" totalsRowFunction="sum" dataDxfId="779" totalsRowDxfId="778" dataCellStyle="Normal 3"/>
    <tableColumn id="11" name="TOTAL" totalsRowFunction="sum" dataDxfId="777" totalsRowDxfId="776" dataCellStyle="Normal 3"/>
    <tableColumn id="12" name="Provincia" totalsRowFunction="count" dataDxfId="775" totalsRowDxfId="774" dataCellStyle="Normal 3"/>
  </tableColumns>
  <tableStyleInfo name="Tabla Ventas" showFirstColumn="0" showLastColumn="0" showRowStripes="1" showColumnStripes="0"/>
</table>
</file>

<file path=xl/tables/table41.xml><?xml version="1.0" encoding="utf-8"?>
<table xmlns="http://schemas.openxmlformats.org/spreadsheetml/2006/main" id="44" name="Retenciones_mes7" displayName="Retenciones_mes7" ref="C172:L177" totalsRowShown="0" headerRowDxfId="773" dataDxfId="772" headerRowCellStyle="Normal 3" dataCellStyle="Normal 3">
  <autoFilter ref="C172:L177"/>
  <tableColumns count="10">
    <tableColumn id="1" name="FECHA " dataDxfId="771" dataCellStyle="Normal 3"/>
    <tableColumn id="2" name="COMP Nº" dataDxfId="770" dataCellStyle="Normal 3"/>
    <tableColumn id="3" name="Columna1" dataDxfId="769" dataCellStyle="Normal 3"/>
    <tableColumn id="4" name="CUIT" dataDxfId="768" dataCellStyle="Normal 3"/>
    <tableColumn id="5" name="RAZON SOCIAL" dataDxfId="767" dataCellStyle="Normal 3"/>
    <tableColumn id="6" name="Ganancias" dataDxfId="766" dataCellStyle="Normal 3"/>
    <tableColumn id="7" name="IVA" dataDxfId="765" dataCellStyle="Normal 3"/>
    <tableColumn id="8" name="SUSS" dataDxfId="764" dataCellStyle="Normal 3"/>
    <tableColumn id="9" name="IIBB BSAS" dataDxfId="763" dataCellStyle="Normal 3"/>
    <tableColumn id="10" name="IIBB CABA" dataDxfId="762" dataCellStyle="Normal 3"/>
  </tableColumns>
  <tableStyleInfo name="Estilo de tabla 1" showFirstColumn="0" showLastColumn="0" showRowStripes="1" showColumnStripes="0"/>
</table>
</file>

<file path=xl/tables/table42.xml><?xml version="1.0" encoding="utf-8"?>
<table xmlns="http://schemas.openxmlformats.org/spreadsheetml/2006/main" id="17" name="extracto_banco_mes155161718" displayName="extracto_banco_mes155161718" ref="D110:N123" totalsRowCount="1" headerRowDxfId="761" dataDxfId="760" tableBorderDxfId="759" dataCellStyle="Normal 3">
  <autoFilter ref="D110:N122"/>
  <tableColumns count="11">
    <tableColumn id="1" name="FECHA" totalsRowLabel="Total" dataDxfId="758" totalsRowDxfId="757" dataCellStyle="Normal 3"/>
    <tableColumn id="2" name="NRO CPTE" dataDxfId="756" totalsRowDxfId="755"/>
    <tableColumn id="3" name="BANCO" dataDxfId="754" totalsRowDxfId="753"/>
    <tableColumn id="4" name="NETO" totalsRowFunction="sum" dataDxfId="752" totalsRowDxfId="751" dataCellStyle="Normal 3"/>
    <tableColumn id="5" name="IVA 21%" totalsRowFunction="sum" dataDxfId="750" totalsRowDxfId="749" dataCellStyle="Normal 3"/>
    <tableColumn id="6" name="IVA 10,5%" totalsRowFunction="sum" dataDxfId="748" totalsRowDxfId="747" dataCellStyle="Normal 3"/>
    <tableColumn id="7" name="RET IIBB CABA" totalsRowFunction="sum" dataDxfId="746" totalsRowDxfId="745" dataCellStyle="Normal 3"/>
    <tableColumn id="8" name="PERC IVA" totalsRowFunction="sum" dataDxfId="744" totalsRowDxfId="743" dataCellStyle="Normal 3"/>
    <tableColumn id="9" name="PERC IIBB" totalsRowFunction="sum" dataDxfId="742" totalsRowDxfId="741" dataCellStyle="Normal 3"/>
    <tableColumn id="10" name="No grav." totalsRowFunction="custom" dataDxfId="740" totalsRowDxfId="739" dataCellStyle="Normal 3">
      <totalsRowFormula>SUM(extracto_banco_mes155161718[No grav.])</totalsRowFormula>
    </tableColumn>
    <tableColumn id="11" name="RET. GAN" totalsRowFunction="custom" dataDxfId="738" totalsRowDxfId="737" dataCellStyle="Normal 3">
      <totalsRowFormula>SUM(extracto_banco_mes155161718[RET. GAN])</totalsRowFormula>
    </tableColumn>
  </tableColumns>
  <tableStyleInfo name="Estilo de tabla 1" showFirstColumn="0" showLastColumn="0" showRowStripes="1" showColumnStripes="0"/>
</table>
</file>

<file path=xl/tables/table43.xml><?xml version="1.0" encoding="utf-8"?>
<table xmlns="http://schemas.openxmlformats.org/spreadsheetml/2006/main" id="57" name="compras_mes8" displayName="compras_mes8" ref="B8:R91" totalsRowCount="1" headerRowDxfId="736" totalsRowDxfId="735">
  <autoFilter ref="B8:R90"/>
  <tableColumns count="17">
    <tableColumn id="1" name="FECHA" totalsRowLabel="Total" dataDxfId="734" totalsRowDxfId="733" dataCellStyle="Normal 3"/>
    <tableColumn id="2" name="TIPO" dataDxfId="732" totalsRowDxfId="731" dataCellStyle="Normal 3"/>
    <tableColumn id="3" name="PTO VTA" dataDxfId="730" totalsRowDxfId="729" dataCellStyle="Normal 3"/>
    <tableColumn id="4" name="NRO. CPTE" dataDxfId="728" totalsRowDxfId="727" dataCellStyle="Normal 3"/>
    <tableColumn id="5" name="CUIT" dataDxfId="726" totalsRowDxfId="725" dataCellStyle="Normal 3"/>
    <tableColumn id="6" name="RAZON SOCIAL" dataDxfId="724" totalsRowDxfId="723" dataCellStyle="Normal 3">
      <calculatedColumnFormula>IFERROR(IF(compras_mes8[[#This Row],[CUIT]]="","-",VLOOKUP(compras_mes8[[#This Row],[CUIT]],Lista_CUIT[#All],2,0)),"CUIT NO CARGADO")</calculatedColumnFormula>
    </tableColumn>
    <tableColumn id="7" name="NETO GRAVADO" totalsRowFunction="sum" dataDxfId="722" totalsRowDxfId="721" dataCellStyle="Normal 3"/>
    <tableColumn id="8" name="IVA 21 %" totalsRowFunction="sum" dataDxfId="720" totalsRowDxfId="719" dataCellStyle="Normal 3"/>
    <tableColumn id="9" name="IVA 27%" totalsRowFunction="sum" dataDxfId="718" totalsRowDxfId="717" dataCellStyle="Normal 3"/>
    <tableColumn id="10" name="IVA 10,5%" totalsRowFunction="sum" dataDxfId="716" totalsRowDxfId="715" dataCellStyle="Normal 3"/>
    <tableColumn id="11" name="PERC. IVA" totalsRowFunction="sum" dataDxfId="714" totalsRowDxfId="713" dataCellStyle="Normal 3"/>
    <tableColumn id="12" name="PERC IIBB _x000a_BS AS" totalsRowFunction="sum" dataDxfId="712" totalsRowDxfId="711" dataCellStyle="Normal 3"/>
    <tableColumn id="13" name="PERC. IIBB CABA" totalsRowFunction="sum" dataDxfId="710" totalsRowDxfId="709" dataCellStyle="Normal 3"/>
    <tableColumn id="14" name="Otros / No Grav." totalsRowFunction="sum" dataDxfId="708" totalsRowDxfId="707" dataCellStyle="Normal 3"/>
    <tableColumn id="15" name="TOTAL" totalsRowFunction="sum" dataDxfId="706" totalsRowDxfId="705" dataCellStyle="Normal 3"/>
    <tableColumn id="16" name="Tipo de Gasto" dataDxfId="704" totalsRowDxfId="703" dataCellStyle="Normal 3">
      <calculatedColumnFormula>IFERROR(IF(compras_mes8[[#This Row],[CUIT]]="","-",VLOOKUP(compras_mes8[[#This Row],[CUIT]],Lista_CUIT[#All],3,0)),"CUIT NO CARGADO")</calculatedColumnFormula>
    </tableColumn>
    <tableColumn id="17" name="Provincia" dataDxfId="702" totalsRowDxfId="701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4.xml><?xml version="1.0" encoding="utf-8"?>
<table xmlns="http://schemas.openxmlformats.org/spreadsheetml/2006/main" id="58" name="factura_c_mes8" displayName="factura_c_mes8" ref="D115:K124" totalsRowCount="1" headerRowDxfId="700" totalsRowDxfId="699" headerRowCellStyle="Normal 3">
  <autoFilter ref="D115:K123"/>
  <tableColumns count="8">
    <tableColumn id="1" name="FECHA" totalsRowLabel="Total" dataDxfId="698" totalsRowDxfId="697" dataCellStyle="Normal 3"/>
    <tableColumn id="2" name="PTO VTA" dataDxfId="696" totalsRowDxfId="695" dataCellStyle="Normal 3"/>
    <tableColumn id="3" name="FC Nº" dataDxfId="694" totalsRowDxfId="693" dataCellStyle="Normal 3"/>
    <tableColumn id="4" name="CUIT" dataDxfId="692" totalsRowDxfId="691" dataCellStyle="Normal 3"/>
    <tableColumn id="5" name="RAZON SOCIAL" dataDxfId="690" totalsRowDxfId="689" dataCellStyle="Normal 3"/>
    <tableColumn id="6" name="TOTAL" totalsRowFunction="sum" dataDxfId="688" totalsRowDxfId="687" dataCellStyle="Normal 3"/>
    <tableColumn id="7" name="TIPO DE GASTO" dataDxfId="686" totalsRowDxfId="685" dataCellStyle="Normal 3"/>
    <tableColumn id="8" name="Provincia" dataDxfId="684" totalsRowDxfId="683" dataCellStyle="Normal 3"/>
  </tableColumns>
  <tableStyleInfo name="Estilo de tabla 1" showFirstColumn="0" showLastColumn="0" showRowStripes="1" showColumnStripes="0"/>
</table>
</file>

<file path=xl/tables/table45.xml><?xml version="1.0" encoding="utf-8"?>
<table xmlns="http://schemas.openxmlformats.org/spreadsheetml/2006/main" id="59" name="venta_a_mes8" displayName="venta_a_mes8" ref="B129:M139" totalsRowCount="1" headerRowDxfId="682" dataDxfId="680" headerRowBorderDxfId="681" tableBorderDxfId="679" totalsRowBorderDxfId="678" dataCellStyle="Normal 3">
  <autoFilter ref="B129:M138"/>
  <tableColumns count="12">
    <tableColumn id="1" name="FECHA" totalsRowLabel="Total" dataDxfId="677" totalsRowDxfId="676" dataCellStyle="Normal 3"/>
    <tableColumn id="2" name="TIPO" dataDxfId="675" totalsRowDxfId="674" dataCellStyle="Normal 3"/>
    <tableColumn id="3" name="PTO VENTA" dataDxfId="673" totalsRowDxfId="672" dataCellStyle="Normal 3"/>
    <tableColumn id="4" name="Nº FACTURA" dataDxfId="671" totalsRowDxfId="670" dataCellStyle="Normal 3"/>
    <tableColumn id="5" name="CUIT" dataDxfId="669" totalsRowDxfId="668" dataCellStyle="Normal 3"/>
    <tableColumn id="6" name="RAZON SOCIAL" dataDxfId="667" totalsRowDxfId="666" dataCellStyle="Normal 3"/>
    <tableColumn id="7" name="IMPORTE NETO" totalsRowFunction="sum" dataDxfId="665" totalsRowDxfId="664" dataCellStyle="Normal 3"/>
    <tableColumn id="8" name="IVA 21%" totalsRowFunction="sum" dataDxfId="663" totalsRowDxfId="662" dataCellStyle="Normal 3"/>
    <tableColumn id="9" name="IVA 10,5%" totalsRowFunction="sum" dataDxfId="661" totalsRowDxfId="660" dataCellStyle="Normal 3"/>
    <tableColumn id="10" name="EXENTO" totalsRowFunction="sum" dataDxfId="659" totalsRowDxfId="658" dataCellStyle="Normal 3"/>
    <tableColumn id="11" name="TOTAL" totalsRowFunction="sum" dataDxfId="657" totalsRowDxfId="656" dataCellStyle="Normal 3"/>
    <tableColumn id="12" name="Provincia" totalsRowFunction="count" dataDxfId="655" totalsRowDxfId="654" dataCellStyle="Normal 3"/>
  </tableColumns>
  <tableStyleInfo name="Tabla Ventas" showFirstColumn="0" showLastColumn="0" showRowStripes="1" showColumnStripes="0"/>
</table>
</file>

<file path=xl/tables/table46.xml><?xml version="1.0" encoding="utf-8"?>
<table xmlns="http://schemas.openxmlformats.org/spreadsheetml/2006/main" id="60" name="ventas_b_mes8" displayName="ventas_b_mes8" ref="B143:M150" totalsRowCount="1" headerRowDxfId="653" dataDxfId="651" headerRowBorderDxfId="652" tableBorderDxfId="650" totalsRowBorderDxfId="649" dataCellStyle="Normal 3">
  <autoFilter ref="B143:M149"/>
  <tableColumns count="12">
    <tableColumn id="1" name="FECHA" totalsRowLabel="Total" dataDxfId="648" totalsRowDxfId="647" dataCellStyle="Normal 3"/>
    <tableColumn id="2" name="TIPO" dataDxfId="646" totalsRowDxfId="645" dataCellStyle="Normal 3"/>
    <tableColumn id="3" name="PTO VENTA" dataDxfId="644" totalsRowDxfId="643" dataCellStyle="Normal 3"/>
    <tableColumn id="4" name="Nº FACTURA" dataDxfId="642" totalsRowDxfId="641" dataCellStyle="Normal 3"/>
    <tableColumn id="5" name="CUIT" dataDxfId="640" totalsRowDxfId="639" dataCellStyle="Normal 3"/>
    <tableColumn id="6" name="RAZON SOCIAL" dataDxfId="638" totalsRowDxfId="637" dataCellStyle="Normal 3"/>
    <tableColumn id="7" name="IMPORTE NETO" totalsRowFunction="sum" dataDxfId="636" totalsRowDxfId="635" dataCellStyle="Normal 3"/>
    <tableColumn id="8" name="IVA 21%" totalsRowFunction="sum" dataDxfId="634" totalsRowDxfId="633" dataCellStyle="Normal 3"/>
    <tableColumn id="9" name="IVA 10,5%" totalsRowFunction="sum" dataDxfId="632" totalsRowDxfId="631" dataCellStyle="Normal 3"/>
    <tableColumn id="10" name="EXENTO" totalsRowFunction="sum" dataDxfId="630" totalsRowDxfId="629" dataCellStyle="Normal 3"/>
    <tableColumn id="11" name="TOTAL" totalsRowFunction="sum" dataDxfId="628" totalsRowDxfId="627" dataCellStyle="Normal 3"/>
    <tableColumn id="12" name="Provincia" totalsRowFunction="count" dataDxfId="626" totalsRowDxfId="625" dataCellStyle="Normal 3"/>
  </tableColumns>
  <tableStyleInfo name="Tabla Ventas" showFirstColumn="0" showLastColumn="0" showRowStripes="1" showColumnStripes="0"/>
</table>
</file>

<file path=xl/tables/table47.xml><?xml version="1.0" encoding="utf-8"?>
<table xmlns="http://schemas.openxmlformats.org/spreadsheetml/2006/main" id="62" name="Retenciones_mes8" displayName="Retenciones_mes8" ref="C159:L164" totalsRowShown="0" headerRowDxfId="624" dataDxfId="623" headerRowCellStyle="Normal 3" dataCellStyle="Normal 3">
  <autoFilter ref="C159:L164"/>
  <tableColumns count="10">
    <tableColumn id="1" name="FECHA " dataDxfId="622" dataCellStyle="Normal 3"/>
    <tableColumn id="2" name="COMP Nº" dataDxfId="621" dataCellStyle="Normal 3"/>
    <tableColumn id="3" name="Columna1" dataDxfId="620" dataCellStyle="Normal 3"/>
    <tableColumn id="4" name="CUIT" dataDxfId="619" dataCellStyle="Normal 3"/>
    <tableColumn id="5" name="RAZON SOCIAL" dataDxfId="618" dataCellStyle="Normal 3"/>
    <tableColumn id="6" name="Ganancias" dataDxfId="617" dataCellStyle="Normal 3"/>
    <tableColumn id="7" name="IVA" dataDxfId="616" dataCellStyle="Normal 3"/>
    <tableColumn id="8" name="SUSS" dataDxfId="615" dataCellStyle="Normal 3"/>
    <tableColumn id="9" name="IIBB BSAS" dataDxfId="614" dataCellStyle="Normal 3"/>
    <tableColumn id="10" name="IIBB CABA" dataDxfId="613" dataCellStyle="Normal 3"/>
  </tableColumns>
  <tableStyleInfo name="Estilo de tabla 1" showFirstColumn="0" showLastColumn="0" showRowStripes="1" showColumnStripes="0"/>
</table>
</file>

<file path=xl/tables/table48.xml><?xml version="1.0" encoding="utf-8"?>
<table xmlns="http://schemas.openxmlformats.org/spreadsheetml/2006/main" id="19" name="extracto_banco_mes15516171820" displayName="extracto_banco_mes15516171820" ref="D97:N110" totalsRowCount="1" headerRowDxfId="612" dataDxfId="611" tableBorderDxfId="610" dataCellStyle="Normal 3">
  <autoFilter ref="D97:N109"/>
  <tableColumns count="11">
    <tableColumn id="1" name="FECHA" totalsRowLabel="Total" dataDxfId="609" totalsRowDxfId="608" dataCellStyle="Normal 3"/>
    <tableColumn id="2" name="NRO CPTE" dataDxfId="607" totalsRowDxfId="606"/>
    <tableColumn id="3" name="BANCO" dataDxfId="605" totalsRowDxfId="604"/>
    <tableColumn id="4" name="NETO" totalsRowFunction="sum" dataDxfId="603" totalsRowDxfId="602" dataCellStyle="Normal 3"/>
    <tableColumn id="5" name="IVA 21%" totalsRowFunction="sum" dataDxfId="601" totalsRowDxfId="600" dataCellStyle="Normal 3"/>
    <tableColumn id="6" name="IVA 10,5%" totalsRowFunction="sum" dataDxfId="599" totalsRowDxfId="598" dataCellStyle="Normal 3"/>
    <tableColumn id="7" name="RET IIBB CABA" totalsRowFunction="sum" dataDxfId="597" totalsRowDxfId="596" dataCellStyle="Normal 3"/>
    <tableColumn id="8" name="PERC IVA" totalsRowFunction="sum" dataDxfId="595" totalsRowDxfId="594" dataCellStyle="Normal 3"/>
    <tableColumn id="9" name="PERC IIBB" totalsRowFunction="sum" dataDxfId="593" totalsRowDxfId="592" dataCellStyle="Normal 3"/>
    <tableColumn id="10" name="No grav." totalsRowFunction="custom" dataDxfId="591" totalsRowDxfId="590" dataCellStyle="Normal 3">
      <totalsRowFormula>SUM(extracto_banco_mes15516171820[No grav.])</totalsRowFormula>
    </tableColumn>
    <tableColumn id="11" name="RET. GAN" totalsRowFunction="custom" dataDxfId="589" totalsRowDxfId="588" dataCellStyle="Normal 3">
      <totalsRowFormula>SUM(extracto_banco_mes15516171820[RET. GAN])</totalsRowFormula>
    </tableColumn>
  </tableColumns>
  <tableStyleInfo name="Estilo de tabla 1" showFirstColumn="0" showLastColumn="0" showRowStripes="1" showColumnStripes="0"/>
</table>
</file>

<file path=xl/tables/table49.xml><?xml version="1.0" encoding="utf-8"?>
<table xmlns="http://schemas.openxmlformats.org/spreadsheetml/2006/main" id="33" name="compras_mes10" displayName="compras_mes10" ref="B8:R186" totalsRowCount="1" headerRowDxfId="587" totalsRowDxfId="586">
  <autoFilter ref="B8:R185"/>
  <sortState ref="B9:R185">
    <sortCondition ref="Q8:Q185"/>
  </sortState>
  <tableColumns count="17">
    <tableColumn id="1" name="FECHA" totalsRowLabel="Total" dataDxfId="585" totalsRowDxfId="584" dataCellStyle="Normal 3"/>
    <tableColumn id="2" name="TIPO" dataDxfId="583" totalsRowDxfId="582" dataCellStyle="Normal 3"/>
    <tableColumn id="3" name="PTO VTA" dataDxfId="581" totalsRowDxfId="580" dataCellStyle="Normal 3"/>
    <tableColumn id="4" name="NRO. CPTE" dataDxfId="579" totalsRowDxfId="578" dataCellStyle="Normal 3"/>
    <tableColumn id="5" name="CUIT" dataDxfId="577" totalsRowDxfId="576" dataCellStyle="Normal 3"/>
    <tableColumn id="6" name="RAZON SOCIAL" dataDxfId="575" totalsRowDxfId="574" dataCellStyle="Normal 3">
      <calculatedColumnFormula>IFERROR(IF(compras_mes10[[#This Row],[CUIT]]="","-",VLOOKUP(compras_mes10[[#This Row],[CUIT]],Lista_CUIT[#All],2,0)),"CUIT NO CARGADO")</calculatedColumnFormula>
    </tableColumn>
    <tableColumn id="7" name="NETO GRAVADO" totalsRowFunction="sum" dataDxfId="573" totalsRowDxfId="572" dataCellStyle="Normal 3"/>
    <tableColumn id="8" name="IVA 21 %" totalsRowFunction="sum" dataDxfId="571" totalsRowDxfId="570" dataCellStyle="Normal 3">
      <calculatedColumnFormula>IF(compras_mes10[[#This Row],[NETO GRAVADO]]="","",compras_mes10[[#This Row],[NETO GRAVADO]]*0.21)</calculatedColumnFormula>
    </tableColumn>
    <tableColumn id="9" name="IVA 27%" totalsRowFunction="sum" dataDxfId="569" totalsRowDxfId="568" dataCellStyle="Normal 3"/>
    <tableColumn id="10" name="IVA 10,5%" totalsRowFunction="sum" dataDxfId="567" totalsRowDxfId="566" dataCellStyle="Normal 3"/>
    <tableColumn id="11" name="PERC. IVA" totalsRowFunction="sum" dataDxfId="565" totalsRowDxfId="564" dataCellStyle="Normal 3"/>
    <tableColumn id="12" name="PERC IIBB _x000a_BS AS" totalsRowFunction="sum" dataDxfId="563" totalsRowDxfId="562" dataCellStyle="Normal 3"/>
    <tableColumn id="13" name="PERC. IIBB CABA" totalsRowFunction="sum" dataDxfId="561" totalsRowDxfId="560" dataCellStyle="Normal 3"/>
    <tableColumn id="14" name="Otros / No Grav." totalsRowFunction="sum" dataDxfId="559" totalsRowDxfId="558" dataCellStyle="Normal 3"/>
    <tableColumn id="15" name="TOTAL" totalsRowFunction="sum" dataDxfId="557" totalsRowDxfId="556" dataCellStyle="Normal 3">
      <calculatedColumnFormula>SUM(compras_mes10[[#This Row],[NETO GRAVADO]:[Otros / No Grav.]])</calculatedColumnFormula>
    </tableColumn>
    <tableColumn id="16" name="Tipo de Gasto" dataDxfId="555" totalsRowDxfId="554" dataCellStyle="Normal 3">
      <calculatedColumnFormula>IFERROR(IF(compras_mes10[[#This Row],[CUIT]]="","-",VLOOKUP(compras_mes10[[#This Row],[CUIT]],Lista_CUIT[#All],3,0)),"CUIT NO CARGADO")</calculatedColumnFormula>
    </tableColumn>
    <tableColumn id="17" name="Provincia" dataDxfId="553" totalsRowDxfId="552" dataCellStyle="Normal 3">
      <calculatedColumnFormula>IFERROR(IF(compras_mes10[[#This Row],[CUIT]]="","-",VLOOKUP(compras_mes10[[#This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0.xml><?xml version="1.0" encoding="utf-8"?>
<table xmlns="http://schemas.openxmlformats.org/spreadsheetml/2006/main" id="34" name="factura_c_mes10" displayName="factura_c_mes10" ref="D205:K229" totalsRowCount="1" headerRowDxfId="551" totalsRowDxfId="550" headerRowCellStyle="Normal 3">
  <autoFilter ref="D205:K228"/>
  <sortState ref="D207:K232">
    <sortCondition ref="F207:F232"/>
  </sortState>
  <tableColumns count="8">
    <tableColumn id="1" name="FECHA" totalsRowLabel="Total" dataDxfId="549" totalsRowDxfId="548" dataCellStyle="Normal 3"/>
    <tableColumn id="2" name="PTO VTA" dataDxfId="547" totalsRowDxfId="546" dataCellStyle="Normal 3"/>
    <tableColumn id="3" name="FC Nº" dataDxfId="545" totalsRowDxfId="544" dataCellStyle="Normal 3"/>
    <tableColumn id="4" name="CUIT" dataDxfId="543" totalsRowDxfId="542" dataCellStyle="Normal 3"/>
    <tableColumn id="5" name="RAZON SOCIAL" dataDxfId="541" totalsRowDxfId="540" dataCellStyle="Normal 3">
      <calculatedColumnFormula>IFERROR(IF(factura_c_mes10[[#This Row],[CUIT]]="","-",VLOOKUP(factura_c_mes10[[#This Row],[CUIT]],Lista_CUIT[#All],2,0)),"CUIT NO CARGADO")</calculatedColumnFormula>
    </tableColumn>
    <tableColumn id="6" name="TOTAL" totalsRowFunction="sum" dataDxfId="539" totalsRowDxfId="538" dataCellStyle="Normal 3"/>
    <tableColumn id="7" name="TIPO DE GASTO" dataDxfId="537" totalsRowDxfId="536" dataCellStyle="Normal 3">
      <calculatedColumnFormula>IFERROR(IF(factura_c_mes10[[#This Row],[CUIT]]="","-",VLOOKUP(factura_c_mes10[[#This Row],[CUIT]],Lista_CUIT[#All],3,0)),"CUIT NO CARGADO")</calculatedColumnFormula>
    </tableColumn>
    <tableColumn id="8" name="Provincia" dataDxfId="535" totalsRowDxfId="534" dataCellStyle="Normal 3">
      <calculatedColumnFormula>IFERROR(IF(factura_c_mes10[[#This Row],[CUIT]]="","-",VLOOKUP(factura_c_mes10[[#This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1.xml><?xml version="1.0" encoding="utf-8"?>
<table xmlns="http://schemas.openxmlformats.org/spreadsheetml/2006/main" id="35" name="venta_a_mes10" displayName="venta_a_mes10" ref="B238:M248" totalsRowCount="1" headerRowDxfId="533" dataDxfId="531" headerRowBorderDxfId="532" tableBorderDxfId="530" totalsRowBorderDxfId="529" dataCellStyle="Normal 3">
  <autoFilter ref="B238:M247"/>
  <tableColumns count="12">
    <tableColumn id="1" name="FECHA" totalsRowLabel="Total" dataDxfId="528" totalsRowDxfId="527" dataCellStyle="Normal 3"/>
    <tableColumn id="2" name="TIPO" dataDxfId="526" totalsRowDxfId="525" dataCellStyle="Normal 3"/>
    <tableColumn id="3" name="PTO VENTA" dataDxfId="524" totalsRowDxfId="523" dataCellStyle="Normal 3"/>
    <tableColumn id="4" name="Nº FACTURA" dataDxfId="522" totalsRowDxfId="521" dataCellStyle="Normal 3"/>
    <tableColumn id="5" name="CUIT" dataDxfId="520" totalsRowDxfId="519" dataCellStyle="Normal 3"/>
    <tableColumn id="6" name="RAZON SOCIAL" dataDxfId="518" totalsRowDxfId="517" dataCellStyle="Normal 3">
      <calculatedColumnFormula>IFERROR(IF(venta_a_mes10[[#This Row],[CUIT]]="","-",VLOOKUP(venta_a_mes10[[#This Row],[CUIT]],Lista_CUIT[#All],2,0)),"CUIT NO CARGADO")</calculatedColumnFormula>
    </tableColumn>
    <tableColumn id="7" name="IMPORTE NETO" totalsRowFunction="sum" dataDxfId="516" totalsRowDxfId="515" dataCellStyle="Normal 3"/>
    <tableColumn id="8" name="IVA 21%" totalsRowFunction="sum" dataDxfId="514" totalsRowDxfId="513" dataCellStyle="Normal 3">
      <calculatedColumnFormula>venta_a_mes10[[#This Row],[IMPORTE NETO]]*0.21</calculatedColumnFormula>
    </tableColumn>
    <tableColumn id="9" name="IVA 10,5%" totalsRowFunction="sum" dataDxfId="512" totalsRowDxfId="511" dataCellStyle="Normal 3"/>
    <tableColumn id="10" name="EXENTO" totalsRowFunction="sum" dataDxfId="510" totalsRowDxfId="509" dataCellStyle="Normal 3"/>
    <tableColumn id="11" name="TOTAL" totalsRowFunction="sum" dataDxfId="508" totalsRowDxfId="507" dataCellStyle="Normal 3">
      <calculatedColumnFormula>SUM(venta_a_mes10[[#This Row],[IMPORTE NETO]:[EXENTO]])</calculatedColumnFormula>
    </tableColumn>
    <tableColumn id="12" name="Provincia" totalsRowFunction="count" dataDxfId="506" totalsRowDxfId="505" dataCellStyle="Normal 3"/>
  </tableColumns>
  <tableStyleInfo name="Tabla Ventas" showFirstColumn="0" showLastColumn="0" showRowStripes="1" showColumnStripes="0"/>
</table>
</file>

<file path=xl/tables/table52.xml><?xml version="1.0" encoding="utf-8"?>
<table xmlns="http://schemas.openxmlformats.org/spreadsheetml/2006/main" id="36" name="ventas_b_mes10" displayName="ventas_b_mes10" ref="B252:M259" totalsRowCount="1" headerRowDxfId="504" dataDxfId="502" headerRowBorderDxfId="503" tableBorderDxfId="501" totalsRowBorderDxfId="500" dataCellStyle="Normal 3">
  <autoFilter ref="B252:M258"/>
  <tableColumns count="12">
    <tableColumn id="1" name="FECHA" totalsRowLabel="Total" dataDxfId="499" totalsRowDxfId="498" dataCellStyle="Normal 3"/>
    <tableColumn id="2" name="TIPO" dataDxfId="497" totalsRowDxfId="496" dataCellStyle="Normal 3"/>
    <tableColumn id="3" name="PTO VENTA" dataDxfId="495" totalsRowDxfId="494" dataCellStyle="Normal 3"/>
    <tableColumn id="4" name="Nº FACTURA" dataDxfId="493" totalsRowDxfId="492" dataCellStyle="Normal 3"/>
    <tableColumn id="5" name="CUIT" dataDxfId="491" totalsRowDxfId="490" dataCellStyle="Normal 3"/>
    <tableColumn id="6" name="RAZON SOCIAL" dataDxfId="489" totalsRowDxfId="488" dataCellStyle="Normal 3">
      <calculatedColumnFormula>IFERROR(IF(ventas_b_mes10[[#This Row],[CUIT]]="","-",VLOOKUP(ventas_b_mes10[[#This Row],[CUIT]],Lista_CUIT[#All],2,0)),"CUIT NO CARGADO")</calculatedColumnFormula>
    </tableColumn>
    <tableColumn id="7" name="IMPORTE NETO" totalsRowFunction="sum" dataDxfId="487" totalsRowDxfId="486" dataCellStyle="Normal 3"/>
    <tableColumn id="8" name="IVA 21%" totalsRowFunction="sum" dataDxfId="485" totalsRowDxfId="484" dataCellStyle="Normal 3"/>
    <tableColumn id="9" name="IVA 10,5%" totalsRowFunction="sum" dataDxfId="483" totalsRowDxfId="482" dataCellStyle="Normal 3"/>
    <tableColumn id="10" name="EXENTO" totalsRowFunction="sum" dataDxfId="481" totalsRowDxfId="480" dataCellStyle="Normal 3"/>
    <tableColumn id="11" name="TOTAL" totalsRowFunction="sum" dataDxfId="479" totalsRowDxfId="478" dataCellStyle="Normal 3">
      <calculatedColumnFormula>SUM(ventas_b_mes10[[#This Row],[IMPORTE NETO]:[EXENTO]])</calculatedColumnFormula>
    </tableColumn>
    <tableColumn id="12" name="Provincia" totalsRowFunction="count" dataDxfId="477" totalsRowDxfId="476" dataCellStyle="Normal 3"/>
  </tableColumns>
  <tableStyleInfo name="Tabla Ventas" showFirstColumn="0" showLastColumn="0" showRowStripes="1" showColumnStripes="0"/>
</table>
</file>

<file path=xl/tables/table53.xml><?xml version="1.0" encoding="utf-8"?>
<table xmlns="http://schemas.openxmlformats.org/spreadsheetml/2006/main" id="37" name="extracto_banco_mes10" displayName="extracto_banco_mes10" ref="D192:L200" totalsRowCount="1" headerRowDxfId="475" dataDxfId="474" tableBorderDxfId="473" dataCellStyle="Normal 3">
  <autoFilter ref="D192:L199"/>
  <tableColumns count="9">
    <tableColumn id="1" name="FECHA" totalsRowLabel="Total" dataDxfId="472" totalsRowDxfId="471" dataCellStyle="Normal 3"/>
    <tableColumn id="2" name="NRO CPTE" dataDxfId="470" totalsRowDxfId="469"/>
    <tableColumn id="3" name="BANCO" dataDxfId="468" totalsRowDxfId="467"/>
    <tableColumn id="4" name="NETO" totalsRowFunction="sum" dataDxfId="466" totalsRowDxfId="465" dataCellStyle="Normal 3">
      <calculatedColumnFormula>extracto_banco_mes10[[#This Row],[IVA 21%]]*100/21</calculatedColumnFormula>
    </tableColumn>
    <tableColumn id="5" name="IVA 21%" totalsRowFunction="sum" dataDxfId="464" totalsRowDxfId="463" dataCellStyle="Normal 3"/>
    <tableColumn id="6" name="IVA 10,5%" totalsRowFunction="sum" dataDxfId="462" totalsRowDxfId="461" dataCellStyle="Normal 3"/>
    <tableColumn id="7" name="RET IIBB CABA" totalsRowFunction="sum" dataDxfId="460" totalsRowDxfId="459" dataCellStyle="Normal 3"/>
    <tableColumn id="8" name="PERC IVA" totalsRowFunction="sum" dataDxfId="458" totalsRowDxfId="457" dataCellStyle="Normal 3"/>
    <tableColumn id="9" name="PERC IIBB" totalsRowFunction="sum" dataDxfId="456" totalsRowDxfId="455" dataCellStyle="Normal 3"/>
  </tableColumns>
  <tableStyleInfo name="Estilo de tabla 1" showFirstColumn="0" showLastColumn="0" showRowStripes="1" showColumnStripes="0"/>
</table>
</file>

<file path=xl/tables/table54.xml><?xml version="1.0" encoding="utf-8"?>
<table xmlns="http://schemas.openxmlformats.org/spreadsheetml/2006/main" id="38" name="Retenciones_mes10" displayName="Retenciones_mes10" ref="C268:L273" totalsRowShown="0" headerRowDxfId="454" dataDxfId="453" headerRowCellStyle="Normal 3" dataCellStyle="Normal 3">
  <autoFilter ref="C268:L273"/>
  <tableColumns count="10">
    <tableColumn id="1" name="FECHA " dataDxfId="452" dataCellStyle="Normal 3"/>
    <tableColumn id="2" name="COMP Nº" dataDxfId="451" dataCellStyle="Normal 3"/>
    <tableColumn id="3" name="Columna1" dataDxfId="450" dataCellStyle="Normal 3"/>
    <tableColumn id="4" name="CUIT" dataDxfId="449" dataCellStyle="Normal 3"/>
    <tableColumn id="5" name="RAZON SOCIAL" dataDxfId="448" dataCellStyle="Normal 3">
      <calculatedColumnFormula>IFERROR(IF(Retenciones_mes10[[#This Row],[CUIT]]="","-",VLOOKUP(Retenciones_mes10[[#This Row],[CUIT]],Lista_CUIT[#All],2,0)),"CUIT NO CARGADO")</calculatedColumnFormula>
    </tableColumn>
    <tableColumn id="6" name="Ganancias" dataDxfId="447" dataCellStyle="Normal 3"/>
    <tableColumn id="7" name="IVA" dataDxfId="446" dataCellStyle="Normal 3"/>
    <tableColumn id="8" name="SUSS" dataDxfId="445" dataCellStyle="Normal 3"/>
    <tableColumn id="9" name="IIBB BSAS" dataDxfId="444" dataCellStyle="Normal 3"/>
    <tableColumn id="10" name="IIBB CABA" dataDxfId="443" dataCellStyle="Normal 3"/>
  </tableColumns>
  <tableStyleInfo name="Estilo de tabla 1" showFirstColumn="0" showLastColumn="0" showRowStripes="1" showColumnStripes="0"/>
</table>
</file>

<file path=xl/tables/table55.xml><?xml version="1.0" encoding="utf-8"?>
<table xmlns="http://schemas.openxmlformats.org/spreadsheetml/2006/main" id="75" name="compras_mes11" displayName="compras_mes11" ref="B8:R153" totalsRowCount="1" headerRowDxfId="442" totalsRowDxfId="441">
  <autoFilter ref="B8:R152"/>
  <sortState ref="B9:R152">
    <sortCondition ref="Q8:Q152"/>
  </sortState>
  <tableColumns count="17">
    <tableColumn id="1" name="FECHA" totalsRowLabel="Total" dataDxfId="440" totalsRowDxfId="439" dataCellStyle="Normal 3"/>
    <tableColumn id="2" name="TIPO" dataDxfId="438" totalsRowDxfId="437" dataCellStyle="Normal 3"/>
    <tableColumn id="3" name="PTO VTA" dataDxfId="436" totalsRowDxfId="435" dataCellStyle="Normal 3"/>
    <tableColumn id="4" name="NRO. CPTE" dataDxfId="434" totalsRowDxfId="433" dataCellStyle="Normal 3"/>
    <tableColumn id="5" name="CUIT" dataDxfId="432" totalsRowDxfId="431" dataCellStyle="Normal 3"/>
    <tableColumn id="6" name="RAZON SOCIAL" dataDxfId="430" totalsRowDxfId="429" dataCellStyle="Normal 3">
      <calculatedColumnFormula>IFERROR(IF(compras_mes11[[#This Row],[CUIT]]="","-",VLOOKUP(compras_mes11[[#This Row],[CUIT]],Lista_CUIT[#All],2,0)),"CUIT NO CARGADO")</calculatedColumnFormula>
    </tableColumn>
    <tableColumn id="7" name="NETO GRAVADO" totalsRowFunction="sum" dataDxfId="428" totalsRowDxfId="427" dataCellStyle="Normal 3"/>
    <tableColumn id="8" name="IVA 21 %" totalsRowFunction="sum" dataDxfId="426" totalsRowDxfId="425" dataCellStyle="Normal 3">
      <calculatedColumnFormula>IF(compras_mes11[[#This Row],[NETO GRAVADO]]="","",compras_mes11[[#This Row],[NETO GRAVADO]]*0.21)</calculatedColumnFormula>
    </tableColumn>
    <tableColumn id="9" name="IVA 27%" totalsRowFunction="sum" dataDxfId="424" totalsRowDxfId="423" dataCellStyle="Normal 3"/>
    <tableColumn id="10" name="IVA 10,5%" totalsRowFunction="sum" dataDxfId="422" totalsRowDxfId="421" dataCellStyle="Normal 3"/>
    <tableColumn id="11" name="PERC. IVA" totalsRowFunction="sum" dataDxfId="420" totalsRowDxfId="419" dataCellStyle="Normal 3"/>
    <tableColumn id="12" name="PERC IIBB _x000a_BS AS" totalsRowFunction="sum" dataDxfId="418" totalsRowDxfId="417" dataCellStyle="Normal 3"/>
    <tableColumn id="13" name="PERC. IIBB CABA" totalsRowFunction="sum" dataDxfId="416" totalsRowDxfId="415" dataCellStyle="Normal 3"/>
    <tableColumn id="14" name="Otros / No Grav." totalsRowFunction="sum" dataDxfId="414" totalsRowDxfId="413" dataCellStyle="Normal 3"/>
    <tableColumn id="15" name="TOTAL" totalsRowFunction="sum" dataDxfId="412" totalsRowDxfId="411" dataCellStyle="Normal 3">
      <calculatedColumnFormula>SUM(compras_mes11[[#This Row],[NETO GRAVADO]:[Otros / No Grav.]])</calculatedColumnFormula>
    </tableColumn>
    <tableColumn id="16" name="Tipo de Gasto" dataDxfId="410" totalsRowDxfId="409" dataCellStyle="Normal 3">
      <calculatedColumnFormula>IFERROR(IF(compras_mes11[[#This Row],[CUIT]]="","-",VLOOKUP(compras_mes11[[#This Row],[CUIT]],Lista_CUIT[#All],3,0)),"CUIT NO CARGADO")</calculatedColumnFormula>
    </tableColumn>
    <tableColumn id="17" name="Provincia" dataDxfId="408" totalsRowDxfId="407" dataCellStyle="Normal 3">
      <calculatedColumnFormula>IFERROR(IF(compras_mes11[[#This Row],[CUIT]]="","-",VLOOKUP(compras_mes11[[#This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6.xml><?xml version="1.0" encoding="utf-8"?>
<table xmlns="http://schemas.openxmlformats.org/spreadsheetml/2006/main" id="76" name="factura_c_mes11" displayName="factura_c_mes11" ref="D177:K204" totalsRowCount="1" headerRowDxfId="406" totalsRowDxfId="405" headerRowCellStyle="Normal 3">
  <autoFilter ref="D177:K203"/>
  <sortState ref="D169:K211">
    <sortCondition ref="F169:F211"/>
  </sortState>
  <tableColumns count="8">
    <tableColumn id="1" name="FECHA" totalsRowLabel="Total" dataDxfId="404" totalsRowDxfId="403" dataCellStyle="Normal 3"/>
    <tableColumn id="2" name="PTO VTA" dataDxfId="402" totalsRowDxfId="401" dataCellStyle="Normal 3"/>
    <tableColumn id="3" name="FC Nº" dataDxfId="400" totalsRowDxfId="399" dataCellStyle="Normal 3"/>
    <tableColumn id="4" name="CUIT" dataDxfId="398" totalsRowDxfId="397" dataCellStyle="Normal 3"/>
    <tableColumn id="5" name="RAZON SOCIAL" dataDxfId="396" totalsRowDxfId="395" dataCellStyle="Normal 3">
      <calculatedColumnFormula>IFERROR(IF(factura_c_mes11[[#This Row],[CUIT]]="","-",VLOOKUP(factura_c_mes11[[#This Row],[CUIT]],Lista_CUIT[#All],2,0)),"CUIT NO CARGADO")</calculatedColumnFormula>
    </tableColumn>
    <tableColumn id="6" name="TOTAL" totalsRowFunction="sum" dataDxfId="394" totalsRowDxfId="393" dataCellStyle="Normal 3"/>
    <tableColumn id="7" name="TIPO DE GASTO" dataDxfId="392" totalsRowDxfId="391" dataCellStyle="Normal 3">
      <calculatedColumnFormula>IFERROR(IF(factura_c_mes11[[#This Row],[CUIT]]="","-",VLOOKUP(factura_c_mes11[[#This Row],[CUIT]],Lista_CUIT[#All],3,0)),"CUIT NO CARGADO")</calculatedColumnFormula>
    </tableColumn>
    <tableColumn id="8" name="Provincia" dataDxfId="390" totalsRowDxfId="389" dataCellStyle="Normal 3">
      <calculatedColumnFormula>IFERROR(IF(factura_c_mes11[[#This Row],[CUIT]]="","-",VLOOKUP(factura_c_mes11[[#This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id="77" name="venta_a_mes11" displayName="venta_a_mes11" ref="B214:M403" totalsRowCount="1" headerRowDxfId="388" dataDxfId="386" headerRowBorderDxfId="387" tableBorderDxfId="385" totalsRowBorderDxfId="384" dataCellStyle="Normal 3">
  <autoFilter ref="B214:M402"/>
  <sortState ref="B206:M393">
    <sortCondition ref="D206:D393"/>
  </sortState>
  <tableColumns count="12">
    <tableColumn id="1" name="FECHA" totalsRowLabel="Total" dataDxfId="383" totalsRowDxfId="382" dataCellStyle="Normal 3"/>
    <tableColumn id="2" name="TIPO" dataDxfId="381" totalsRowDxfId="380" dataCellStyle="Normal 3"/>
    <tableColumn id="3" name="PTO VENTA" dataDxfId="379" totalsRowDxfId="378" dataCellStyle="Normal 3"/>
    <tableColumn id="4" name="Nº FACTURA" dataDxfId="377" totalsRowDxfId="376" dataCellStyle="Normal 3"/>
    <tableColumn id="5" name="CUIT" dataDxfId="375" totalsRowDxfId="374" dataCellStyle="Normal 3"/>
    <tableColumn id="6" name="RAZON SOCIAL" dataDxfId="373" totalsRowDxfId="372" dataCellStyle="Normal 3">
      <calculatedColumnFormula>IFERROR(IF(venta_a_mes11[[#This Row],[CUIT]]="","-",VLOOKUP(venta_a_mes11[[#This Row],[CUIT]],Lista_CUIT[#All],2,0)),"CUIT NO CARGADO")</calculatedColumnFormula>
    </tableColumn>
    <tableColumn id="7" name="IMPORTE NETO" totalsRowFunction="sum" dataDxfId="371" totalsRowDxfId="370" dataCellStyle="Normal 3"/>
    <tableColumn id="8" name="IVA 21%" totalsRowFunction="sum" dataDxfId="369" totalsRowDxfId="368" dataCellStyle="Normal 3">
      <calculatedColumnFormula>venta_a_mes11[[#This Row],[IMPORTE NETO]]*0.21</calculatedColumnFormula>
    </tableColumn>
    <tableColumn id="9" name="IVA 10,5%" totalsRowFunction="sum" dataDxfId="367" totalsRowDxfId="366" dataCellStyle="Normal 3"/>
    <tableColumn id="10" name="EXENTO" totalsRowFunction="sum" dataDxfId="365" totalsRowDxfId="364" dataCellStyle="Normal 3"/>
    <tableColumn id="11" name="TOTAL" totalsRowFunction="sum" dataDxfId="363" totalsRowDxfId="362" dataCellStyle="Normal 3">
      <calculatedColumnFormula>SUM(venta_a_mes11[[#This Row],[IMPORTE NETO]:[EXENTO]])</calculatedColumnFormula>
    </tableColumn>
    <tableColumn id="12" name="Provincia" totalsRowFunction="count" dataDxfId="361" totalsRowDxfId="360" dataCellStyle="Normal 3"/>
  </tableColumns>
  <tableStyleInfo name="Tabla Ventas" showFirstColumn="0" showLastColumn="0" showRowStripes="1" showColumnStripes="0"/>
</table>
</file>

<file path=xl/tables/table58.xml><?xml version="1.0" encoding="utf-8"?>
<table xmlns="http://schemas.openxmlformats.org/spreadsheetml/2006/main" id="78" name="ventas_b_mes11" displayName="ventas_b_mes11" ref="B406:M3026" totalsRowCount="1" headerRowDxfId="359" dataDxfId="357" headerRowBorderDxfId="358" tableBorderDxfId="356" totalsRowBorderDxfId="355" dataCellStyle="Normal 3">
  <autoFilter ref="B406:M3025"/>
  <sortState ref="B398:M3016">
    <sortCondition ref="E398:E3016"/>
  </sortState>
  <tableColumns count="12">
    <tableColumn id="1" name="FECHA" totalsRowLabel="Total" dataDxfId="354" totalsRowDxfId="353" dataCellStyle="Normal 3"/>
    <tableColumn id="2" name="TIPO" dataDxfId="352" totalsRowDxfId="351" dataCellStyle="Normal 3"/>
    <tableColumn id="3" name="PTO VENTA" dataDxfId="350" totalsRowDxfId="349" dataCellStyle="Normal 3"/>
    <tableColumn id="4" name="Nº FACTURA" dataDxfId="348" totalsRowDxfId="347" dataCellStyle="Normal 3"/>
    <tableColumn id="5" name="CUIT" dataDxfId="346" totalsRowDxfId="345" dataCellStyle="Normal 3"/>
    <tableColumn id="6" name="RAZON SOCIAL" dataDxfId="344" totalsRowDxfId="343" dataCellStyle="Normal 3">
      <calculatedColumnFormula>IFERROR(IF(ventas_b_mes11[[#This Row],[CUIT]]="","-",VLOOKUP(ventas_b_mes11[[#This Row],[CUIT]],Lista_CUIT[#All],2,0)),"CUIT NO CARGADO")</calculatedColumnFormula>
    </tableColumn>
    <tableColumn id="7" name="IMPORTE NETO" totalsRowFunction="sum" dataDxfId="342" totalsRowDxfId="341" dataCellStyle="Normal 3"/>
    <tableColumn id="8" name="IVA 21%" totalsRowFunction="sum" dataDxfId="340" totalsRowDxfId="339" dataCellStyle="Normal 3"/>
    <tableColumn id="9" name="IVA 10,5%" totalsRowFunction="sum" dataDxfId="338" totalsRowDxfId="337" dataCellStyle="Normal 3"/>
    <tableColumn id="10" name="EXENTO" totalsRowFunction="sum" dataDxfId="336" totalsRowDxfId="335" dataCellStyle="Normal 3"/>
    <tableColumn id="11" name="TOTAL" totalsRowFunction="sum" dataDxfId="334" totalsRowDxfId="333" dataCellStyle="Normal 3">
      <calculatedColumnFormula>SUM(ventas_b_mes11[[#This Row],[IMPORTE NETO]:[EXENTO]])</calculatedColumnFormula>
    </tableColumn>
    <tableColumn id="12" name="Provincia" totalsRowFunction="count" dataDxfId="332" totalsRowDxfId="331" dataCellStyle="Normal 3"/>
  </tableColumns>
  <tableStyleInfo name="Tabla Ventas" showFirstColumn="0" showLastColumn="0" showRowStripes="1" showColumnStripes="0"/>
</table>
</file>

<file path=xl/tables/table59.xml><?xml version="1.0" encoding="utf-8"?>
<table xmlns="http://schemas.openxmlformats.org/spreadsheetml/2006/main" id="80" name="Retenciones_mes11" displayName="Retenciones_mes11" ref="C3029:L3034" totalsRowShown="0" headerRowDxfId="330" dataDxfId="329" headerRowCellStyle="Normal 3" dataCellStyle="Normal 3">
  <autoFilter ref="C3029:L3034"/>
  <tableColumns count="10">
    <tableColumn id="1" name="FECHA " dataDxfId="328" dataCellStyle="Normal 3"/>
    <tableColumn id="2" name="COMP Nº" dataDxfId="327" dataCellStyle="Normal 3"/>
    <tableColumn id="3" name="Columna1" dataDxfId="326" dataCellStyle="Normal 3"/>
    <tableColumn id="4" name="CUIT" dataDxfId="325" dataCellStyle="Normal 3"/>
    <tableColumn id="5" name="RAZON SOCIAL" dataDxfId="324" dataCellStyle="Normal 3">
      <calculatedColumnFormula>IFERROR(IF(Retenciones_mes11[[#This Row],[CUIT]]="","-",VLOOKUP(Retenciones_mes11[[#This Row],[CUIT]],Lista_CUIT[#All],2,0)),"CUIT NO CARGADO")</calculatedColumnFormula>
    </tableColumn>
    <tableColumn id="6" name="Ganancias" dataDxfId="323" dataCellStyle="Normal 3"/>
    <tableColumn id="7" name="IVA" dataDxfId="322" dataCellStyle="Normal 3"/>
    <tableColumn id="8" name="SUSS" dataDxfId="321" dataCellStyle="Normal 3"/>
    <tableColumn id="9" name="IIBB BSAS" dataDxfId="320" dataCellStyle="Normal 3"/>
    <tableColumn id="10" name="IIBB CABA" dataDxfId="319" dataCellStyle="Normal 3"/>
  </tableColumns>
  <tableStyleInfo name="Estilo de tabla 1" showFirstColumn="0" showLastColumn="0" showRowStripes="1" showColumnStripes="0"/>
</table>
</file>

<file path=xl/tables/table60.xml><?xml version="1.0" encoding="utf-8"?>
<table xmlns="http://schemas.openxmlformats.org/spreadsheetml/2006/main" id="20" name="extracto_banco_mes1551617182021" displayName="extracto_banco_mes1551617182021" ref="D159:N172" totalsRowCount="1" headerRowDxfId="318" dataDxfId="317" tableBorderDxfId="316" dataCellStyle="Normal 3">
  <autoFilter ref="D159:N171"/>
  <tableColumns count="11">
    <tableColumn id="1" name="FECHA" totalsRowLabel="Total" dataDxfId="315" totalsRowDxfId="314" dataCellStyle="Normal 3"/>
    <tableColumn id="2" name="NRO CPTE" dataDxfId="313" totalsRowDxfId="312"/>
    <tableColumn id="3" name="BANCO" dataDxfId="311" totalsRowDxfId="310"/>
    <tableColumn id="4" name="NETO" totalsRowFunction="sum" dataDxfId="309" totalsRowDxfId="308" dataCellStyle="Normal 3"/>
    <tableColumn id="5" name="IVA 21%" totalsRowFunction="sum" dataDxfId="307" totalsRowDxfId="306" dataCellStyle="Normal 3"/>
    <tableColumn id="6" name="IVA 10,5%" totalsRowFunction="sum" dataDxfId="305" totalsRowDxfId="304" dataCellStyle="Normal 3"/>
    <tableColumn id="7" name="RET IIBB CABA" totalsRowFunction="sum" dataDxfId="303" totalsRowDxfId="302" dataCellStyle="Normal 3"/>
    <tableColumn id="8" name="PERC IVA" totalsRowFunction="sum" dataDxfId="301" totalsRowDxfId="300" dataCellStyle="Normal 3"/>
    <tableColumn id="9" name="PERC IIBB" totalsRowFunction="sum" dataDxfId="299" totalsRowDxfId="298" dataCellStyle="Normal 3"/>
    <tableColumn id="10" name="RET IIBB BS AS" totalsRowFunction="custom" dataDxfId="297" totalsRowDxfId="296" dataCellStyle="Normal 3">
      <totalsRowFormula>SUM(extracto_banco_mes1551617182021[RET IIBB BS AS])</totalsRowFormula>
    </tableColumn>
    <tableColumn id="11" name="RET. GAN" totalsRowFunction="custom" dataDxfId="295" totalsRowDxfId="294" dataCellStyle="Normal 3">
      <totalsRowFormula>SUM(extracto_banco_mes1551617182021[RET. GAN])</totalsRowFormula>
    </tableColumn>
  </tableColumns>
  <tableStyleInfo name="Estilo de tabla 1" showFirstColumn="0" showLastColumn="0" showRowStripes="1" showColumnStripes="0"/>
</table>
</file>

<file path=xl/tables/table61.xml><?xml version="1.0" encoding="utf-8"?>
<table xmlns="http://schemas.openxmlformats.org/spreadsheetml/2006/main" id="69" name="compras_mes12" displayName="compras_mes12" ref="B8:R161" totalsRowCount="1" headerRowDxfId="293" dataDxfId="292" totalsRowDxfId="291">
  <autoFilter ref="B8:R160"/>
  <sortState ref="B9:R160">
    <sortCondition ref="Q8:Q160"/>
  </sortState>
  <tableColumns count="17">
    <tableColumn id="1" name="FECHA" totalsRowLabel="Total" dataDxfId="290" totalsRowDxfId="289" dataCellStyle="Normal 3"/>
    <tableColumn id="2" name="TIPO" dataDxfId="288" totalsRowDxfId="287" dataCellStyle="Normal 3"/>
    <tableColumn id="3" name="PTO VTA" dataDxfId="286" totalsRowDxfId="285" dataCellStyle="Normal 3"/>
    <tableColumn id="4" name="NRO. CPTE" dataDxfId="284" totalsRowDxfId="283" dataCellStyle="Normal 3"/>
    <tableColumn id="5" name="CUIT" dataDxfId="282" totalsRowDxfId="281" dataCellStyle="Normal 3"/>
    <tableColumn id="6" name="RAZON SOCIAL" dataDxfId="280" totalsRowDxfId="279" dataCellStyle="Normal 3">
      <calculatedColumnFormula>IFERROR(IF(compras_mes12[[#This Row],[CUIT]]="","-",VLOOKUP(compras_mes12[[#This Row],[CUIT]],Lista_CUIT[#All],2,0)),"CUIT NO CARGADO")</calculatedColumnFormula>
    </tableColumn>
    <tableColumn id="7" name="NETO GRAVADO" totalsRowFunction="sum" dataDxfId="278" totalsRowDxfId="277" dataCellStyle="Normal 3"/>
    <tableColumn id="8" name="IVA 21 %" totalsRowFunction="sum" dataDxfId="276" totalsRowDxfId="275" dataCellStyle="Normal 3">
      <calculatedColumnFormula>IF(compras_mes12[[#This Row],[NETO GRAVADO]]="","",compras_mes12[[#This Row],[NETO GRAVADO]]*0.21)</calculatedColumnFormula>
    </tableColumn>
    <tableColumn id="9" name="IVA 27%" totalsRowFunction="sum" dataDxfId="274" totalsRowDxfId="273" dataCellStyle="Normal 3"/>
    <tableColumn id="10" name="IVA 10,5%" totalsRowFunction="sum" dataDxfId="272" totalsRowDxfId="271" dataCellStyle="Normal 3"/>
    <tableColumn id="11" name="PERC. IVA" totalsRowFunction="sum" dataDxfId="270" totalsRowDxfId="269" dataCellStyle="Normal 3"/>
    <tableColumn id="12" name="PERC IIBB _x000a_BS AS" totalsRowFunction="sum" dataDxfId="268" totalsRowDxfId="267" dataCellStyle="Normal 3"/>
    <tableColumn id="13" name="PERC. IIBB CABA" totalsRowFunction="sum" dataDxfId="266" totalsRowDxfId="265" dataCellStyle="Normal 3"/>
    <tableColumn id="14" name="Otros / No Grav." totalsRowFunction="sum" dataDxfId="264" totalsRowDxfId="263" dataCellStyle="Normal 3"/>
    <tableColumn id="15" name="TOTAL" totalsRowFunction="sum" dataDxfId="262" totalsRowDxfId="261" dataCellStyle="Normal 3">
      <calculatedColumnFormula>SUM(compras_mes12[[#This Row],[NETO GRAVADO]:[Otros / No Grav.]])</calculatedColumnFormula>
    </tableColumn>
    <tableColumn id="16" name="Tipo de Gasto" dataDxfId="260" totalsRowDxfId="259" dataCellStyle="Normal 3">
      <calculatedColumnFormula>IFERROR(IF(compras_mes12[[#This Row],[CUIT]]="","-",VLOOKUP(compras_mes12[[#This Row],[CUIT]],Lista_CUIT[#All],3,0)),"CUIT NO CARGADO")</calculatedColumnFormula>
    </tableColumn>
    <tableColumn id="17" name="Provincia" dataDxfId="258" totalsRowDxfId="257" dataCellStyle="Normal 3">
      <calculatedColumnFormula>IFERROR(IF(compras_mes12[[#This Row],[CUIT]]="","-",VLOOKUP(compras_mes12[[#This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2.xml><?xml version="1.0" encoding="utf-8"?>
<table xmlns="http://schemas.openxmlformats.org/spreadsheetml/2006/main" id="70" name="factura_c_mes12" displayName="factura_c_mes12" ref="D182:K202" totalsRowCount="1" headerRowDxfId="256" totalsRowDxfId="255" headerRowCellStyle="Normal 3">
  <autoFilter ref="D182:K201"/>
  <sortState ref="D190:K211">
    <sortCondition ref="F190:F211"/>
  </sortState>
  <tableColumns count="8">
    <tableColumn id="1" name="FECHA" totalsRowLabel="Total" dataDxfId="254" totalsRowDxfId="253" dataCellStyle="Normal 3"/>
    <tableColumn id="2" name="PTO VTA" dataDxfId="252" totalsRowDxfId="251" dataCellStyle="Normal 3"/>
    <tableColumn id="3" name="FC Nº" dataDxfId="250" totalsRowDxfId="249" dataCellStyle="Normal 3"/>
    <tableColumn id="4" name="CUIT" dataDxfId="248" totalsRowDxfId="247" dataCellStyle="Normal 3"/>
    <tableColumn id="5" name="RAZON SOCIAL" dataDxfId="246" totalsRowDxfId="245" dataCellStyle="Normal 3">
      <calculatedColumnFormula>IFERROR(IF(factura_c_mes12[[#This Row],[CUIT]]="","-",VLOOKUP(factura_c_mes12[[#This Row],[CUIT]],Lista_CUIT[#All],2,0)),"CUIT NO CARGADO")</calculatedColumnFormula>
    </tableColumn>
    <tableColumn id="6" name="TOTAL" totalsRowFunction="sum" dataDxfId="244" totalsRowDxfId="243" dataCellStyle="Normal 3"/>
    <tableColumn id="7" name="TIPO DE GASTO" dataDxfId="242" totalsRowDxfId="241" dataCellStyle="Normal 3">
      <calculatedColumnFormula>IFERROR(IF(factura_c_mes12[[#This Row],[CUIT]]="","-",VLOOKUP(factura_c_mes12[[#This Row],[CUIT]],Lista_CUIT[#All],3,0)),"CUIT NO CARGADO")</calculatedColumnFormula>
    </tableColumn>
    <tableColumn id="8" name="Provincia" dataDxfId="240" totalsRowDxfId="239" dataCellStyle="Normal 3">
      <calculatedColumnFormula>IFERROR(IF(factura_c_mes12[[#This Row],[CUIT]]="","-",VLOOKUP(factura_c_mes12[[#This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id="71" name="venta_a_mes12" displayName="venta_a_mes12" ref="B210:M398" totalsRowCount="1" headerRowDxfId="238" dataDxfId="236" headerRowBorderDxfId="237" tableBorderDxfId="235" totalsRowBorderDxfId="234" dataCellStyle="Normal 3">
  <autoFilter ref="B210:M397"/>
  <tableColumns count="12">
    <tableColumn id="1" name="FECHA" totalsRowLabel="Total" dataDxfId="233" totalsRowDxfId="232" dataCellStyle="Normal 3"/>
    <tableColumn id="2" name="TIPO" dataDxfId="231" totalsRowDxfId="230" dataCellStyle="Normal 3"/>
    <tableColumn id="3" name="PTO VENTA" dataDxfId="229" totalsRowDxfId="228" dataCellStyle="Normal 3"/>
    <tableColumn id="4" name="Nº FACTURA" dataDxfId="227" totalsRowDxfId="226" dataCellStyle="Normal 3"/>
    <tableColumn id="5" name="CUIT" dataDxfId="225" totalsRowDxfId="224" dataCellStyle="Normal 3"/>
    <tableColumn id="6" name="RAZON SOCIAL" dataDxfId="223" totalsRowDxfId="222" dataCellStyle="Normal 3">
      <calculatedColumnFormula>IFERROR(IF(venta_a_mes12[[#This Row],[CUIT]]="","-",VLOOKUP(venta_a_mes12[[#This Row],[CUIT]],Lista_CUIT[#All],2,0)),"CUIT NO CARGADO")</calculatedColumnFormula>
    </tableColumn>
    <tableColumn id="7" name="IMPORTE NETO" totalsRowFunction="sum" dataDxfId="221" totalsRowDxfId="220" dataCellStyle="Normal 3"/>
    <tableColumn id="8" name="IVA 21%" totalsRowFunction="sum" dataDxfId="219" totalsRowDxfId="218" dataCellStyle="Normal 3">
      <calculatedColumnFormula>venta_a_mes12[[#This Row],[IMPORTE NETO]]*0.21</calculatedColumnFormula>
    </tableColumn>
    <tableColumn id="9" name="IVA 10,5%" totalsRowFunction="sum" dataDxfId="217" totalsRowDxfId="216" dataCellStyle="Normal 3"/>
    <tableColumn id="10" name="EXENTO" totalsRowFunction="sum" dataDxfId="215" totalsRowDxfId="214" dataCellStyle="Normal 3"/>
    <tableColumn id="11" name="TOTAL" totalsRowFunction="sum" dataDxfId="213" totalsRowDxfId="212" dataCellStyle="Normal 3">
      <calculatedColumnFormula>SUM(venta_a_mes12[[#This Row],[IMPORTE NETO]:[EXENTO]])</calculatedColumnFormula>
    </tableColumn>
    <tableColumn id="12" name="Provincia" totalsRowFunction="count" dataDxfId="211" totalsRowDxfId="210" dataCellStyle="Normal 3"/>
  </tableColumns>
  <tableStyleInfo name="Tabla Ventas" showFirstColumn="0" showLastColumn="0" showRowStripes="1" showColumnStripes="0"/>
</table>
</file>

<file path=xl/tables/table64.xml><?xml version="1.0" encoding="utf-8"?>
<table xmlns="http://schemas.openxmlformats.org/spreadsheetml/2006/main" id="72" name="ventas_b_mes12" displayName="ventas_b_mes12" ref="B401:M2523" totalsRowCount="1" headerRowDxfId="209" dataDxfId="207" headerRowBorderDxfId="208" tableBorderDxfId="206" totalsRowBorderDxfId="205" dataCellStyle="Normal 3">
  <autoFilter ref="B401:M2522">
    <filterColumn colId="3">
      <filters>
        <filter val="00007124"/>
        <filter val="00007125"/>
        <filter val="00007126"/>
        <filter val="00007127"/>
        <filter val="00007128"/>
        <filter val="00007129"/>
        <filter val="00007130"/>
        <filter val="00007131"/>
        <filter val="00007132"/>
        <filter val="00007133"/>
        <filter val="00007134"/>
        <filter val="00007135"/>
        <filter val="00007136"/>
        <filter val="00007137"/>
        <filter val="00007138"/>
        <filter val="00007139"/>
        <filter val="00007140"/>
        <filter val="00007141"/>
        <filter val="00007142"/>
        <filter val="00007143"/>
        <filter val="00007144"/>
        <filter val="00007145"/>
        <filter val="00007146"/>
        <filter val="00007147"/>
        <filter val="00007148"/>
        <filter val="00007149"/>
        <filter val="00007150"/>
        <filter val="00007151"/>
        <filter val="00007152"/>
        <filter val="00007153"/>
        <filter val="00007154"/>
        <filter val="00007155"/>
        <filter val="00007156"/>
        <filter val="00007157"/>
        <filter val="00007158"/>
        <filter val="00007159"/>
        <filter val="00007160"/>
        <filter val="00007161"/>
        <filter val="00007162"/>
        <filter val="00007163"/>
        <filter val="00007164"/>
        <filter val="00007165"/>
        <filter val="00007166"/>
        <filter val="00007167"/>
        <filter val="00007168"/>
        <filter val="00007169"/>
        <filter val="00007170"/>
        <filter val="00007171"/>
        <filter val="00007172"/>
        <filter val="00007173"/>
        <filter val="00007174"/>
        <filter val="00007175"/>
        <filter val="00007176"/>
        <filter val="00007177"/>
        <filter val="00007178"/>
        <filter val="00007179"/>
        <filter val="00007180"/>
        <filter val="00007181"/>
        <filter val="00007182"/>
        <filter val="00007183"/>
        <filter val="00007184"/>
        <filter val="00007185"/>
        <filter val="00007186"/>
        <filter val="00007187"/>
        <filter val="00007188"/>
        <filter val="00007189"/>
        <filter val="00007190"/>
        <filter val="00007191"/>
        <filter val="00007192"/>
        <filter val="00007193"/>
        <filter val="00007194"/>
        <filter val="00007195"/>
        <filter val="00007196"/>
        <filter val="00007197"/>
        <filter val="00007198"/>
        <filter val="00007199"/>
        <filter val="00007200"/>
        <filter val="00007201"/>
        <filter val="00007202"/>
        <filter val="00007203"/>
        <filter val="00007204"/>
        <filter val="00007205"/>
        <filter val="00007206"/>
        <filter val="00007207"/>
        <filter val="00007208"/>
        <filter val="00007209"/>
        <filter val="00007210"/>
        <filter val="00007211"/>
        <filter val="00007212"/>
        <filter val="00007213"/>
        <filter val="00007214"/>
        <filter val="00007215"/>
        <filter val="00007216"/>
        <filter val="00007217"/>
        <filter val="00007218"/>
        <filter val="00007219"/>
        <filter val="00007220"/>
        <filter val="00007221"/>
        <filter val="00007222"/>
        <filter val="00007223"/>
        <filter val="00007224"/>
        <filter val="00007225"/>
        <filter val="00007226"/>
        <filter val="00007227"/>
        <filter val="00007228"/>
        <filter val="00007229"/>
        <filter val="00007230"/>
        <filter val="00007231"/>
        <filter val="00007232"/>
        <filter val="00007233"/>
        <filter val="00007234"/>
        <filter val="00007235"/>
        <filter val="00007236"/>
        <filter val="00007237"/>
        <filter val="00007238"/>
        <filter val="00007239"/>
        <filter val="00007240"/>
        <filter val="00007241"/>
        <filter val="00007242"/>
        <filter val="00007243"/>
        <filter val="00007244"/>
        <filter val="00007245"/>
        <filter val="00007246"/>
        <filter val="00007247"/>
        <filter val="00007248"/>
        <filter val="00007249"/>
        <filter val="00007250"/>
        <filter val="00007251"/>
        <filter val="00007252"/>
        <filter val="00007253"/>
        <filter val="00007254"/>
        <filter val="00007255"/>
        <filter val="00007256"/>
        <filter val="00007257"/>
        <filter val="00007258"/>
        <filter val="00007259"/>
        <filter val="00007260"/>
        <filter val="00007261"/>
        <filter val="00007262"/>
        <filter val="00007263"/>
        <filter val="00007264"/>
        <filter val="00007265"/>
        <filter val="00007266"/>
        <filter val="00007267"/>
        <filter val="00007268"/>
        <filter val="00007269"/>
        <filter val="00007270"/>
        <filter val="00007271"/>
        <filter val="00007272"/>
        <filter val="00007273"/>
        <filter val="00007274"/>
        <filter val="00007275"/>
        <filter val="00007276"/>
        <filter val="00007277"/>
        <filter val="00007278"/>
        <filter val="00007279"/>
        <filter val="00007280"/>
        <filter val="00007281"/>
        <filter val="00007282"/>
        <filter val="00007283"/>
        <filter val="00007284"/>
        <filter val="00007285"/>
        <filter val="00007286"/>
        <filter val="00007287"/>
        <filter val="00007288"/>
        <filter val="00007289"/>
        <filter val="00007290"/>
        <filter val="00007291"/>
        <filter val="00007292"/>
        <filter val="00007293"/>
        <filter val="00007294"/>
        <filter val="00007295"/>
        <filter val="00007296"/>
        <filter val="00007297"/>
        <filter val="00007298"/>
        <filter val="00007299"/>
        <filter val="00007300"/>
        <filter val="00007310"/>
        <filter val="00007311"/>
        <filter val="00007312"/>
        <filter val="00007313"/>
        <filter val="00007314"/>
        <filter val="00007315"/>
        <filter val="00007316"/>
        <filter val="00007317"/>
        <filter val="00007318"/>
        <filter val="00007319"/>
        <filter val="00007320"/>
        <filter val="00007321"/>
        <filter val="00007322"/>
        <filter val="00007323"/>
        <filter val="00007324"/>
        <filter val="00007325"/>
        <filter val="00007326"/>
        <filter val="00007327"/>
        <filter val="00007328"/>
        <filter val="00007329"/>
        <filter val="00007330"/>
        <filter val="00007331"/>
        <filter val="00007332"/>
        <filter val="00007333"/>
        <filter val="00007334"/>
        <filter val="00007335"/>
        <filter val="00007336"/>
        <filter val="00007337"/>
        <filter val="00007338"/>
        <filter val="00007339"/>
        <filter val="00007340"/>
        <filter val="00007341"/>
        <filter val="00007342"/>
        <filter val="00007343"/>
        <filter val="00007344"/>
        <filter val="00007345"/>
        <filter val="00007346"/>
        <filter val="00007347"/>
        <filter val="00007348"/>
        <filter val="00007349"/>
        <filter val="00007350"/>
        <filter val="00007351"/>
        <filter val="00007352"/>
        <filter val="00007353"/>
        <filter val="00007354"/>
        <filter val="00007355"/>
        <filter val="00007356"/>
        <filter val="00007357"/>
        <filter val="00007358"/>
        <filter val="00007359"/>
        <filter val="00007360"/>
        <filter val="00007361"/>
        <filter val="00007362"/>
        <filter val="00007363"/>
        <filter val="00007364"/>
        <filter val="00007365"/>
        <filter val="00007366"/>
        <filter val="00007367"/>
        <filter val="00007368"/>
        <filter val="00007369"/>
        <filter val="00007370"/>
        <filter val="00007371"/>
        <filter val="00007372"/>
        <filter val="00007373"/>
        <filter val="00007374"/>
        <filter val="00007375"/>
        <filter val="00007376"/>
        <filter val="00007377"/>
        <filter val="00007378"/>
        <filter val="00007379"/>
        <filter val="00007380"/>
        <filter val="00007381"/>
      </filters>
    </filterColumn>
  </autoFilter>
  <tableColumns count="12">
    <tableColumn id="1" name="FECHA" totalsRowLabel="Total" dataDxfId="204" totalsRowDxfId="203" dataCellStyle="Normal 3"/>
    <tableColumn id="2" name="TIPO" dataDxfId="202" totalsRowDxfId="201" dataCellStyle="Normal 3"/>
    <tableColumn id="3" name="PTO VENTA" dataDxfId="200" totalsRowDxfId="199" dataCellStyle="Normal 3"/>
    <tableColumn id="4" name="Nº FACTURA" dataDxfId="198" totalsRowDxfId="197" dataCellStyle="Normal 3"/>
    <tableColumn id="5" name="CUIT" dataDxfId="196" totalsRowDxfId="195" dataCellStyle="Normal 3"/>
    <tableColumn id="6" name="RAZON SOCIAL" dataDxfId="194" totalsRowDxfId="193" dataCellStyle="Normal 3">
      <calculatedColumnFormula>IFERROR(IF(ventas_b_mes12[[#This Row],[CUIT]]="","-",VLOOKUP(ventas_b_mes12[[#This Row],[CUIT]],Lista_CUIT[#All],2,0)),"CUIT NO CARGADO")</calculatedColumnFormula>
    </tableColumn>
    <tableColumn id="7" name="IMPORTE NETO" totalsRowFunction="sum" dataDxfId="192" totalsRowDxfId="191" dataCellStyle="Normal 3"/>
    <tableColumn id="8" name="IVA 21%" totalsRowFunction="sum" dataDxfId="190" totalsRowDxfId="189" dataCellStyle="Normal 3"/>
    <tableColumn id="9" name="IVA 10,5%" totalsRowFunction="sum" dataDxfId="188" totalsRowDxfId="187" dataCellStyle="Normal 3"/>
    <tableColumn id="10" name="EXENTO" totalsRowFunction="sum" dataDxfId="186" totalsRowDxfId="185" dataCellStyle="Normal 3"/>
    <tableColumn id="11" name="TOTAL" totalsRowFunction="sum" dataDxfId="184" totalsRowDxfId="183" dataCellStyle="Normal 3"/>
    <tableColumn id="12" name="Provincia" totalsRowFunction="count" dataDxfId="182" totalsRowDxfId="181" dataCellStyle="Normal 3"/>
  </tableColumns>
  <tableStyleInfo name="Tabla Ventas" showFirstColumn="0" showLastColumn="0" showRowStripes="1" showColumnStripes="0"/>
</table>
</file>

<file path=xl/tables/table65.xml><?xml version="1.0" encoding="utf-8"?>
<table xmlns="http://schemas.openxmlformats.org/spreadsheetml/2006/main" id="73" name="extracto_banco_mes12" displayName="extracto_banco_mes12" ref="D167:L177" totalsRowCount="1" headerRowDxfId="180" dataDxfId="179" tableBorderDxfId="178" dataCellStyle="Normal 3">
  <autoFilter ref="D167:L176"/>
  <sortState ref="D170:L178">
    <sortCondition ref="F169:F178"/>
  </sortState>
  <tableColumns count="9">
    <tableColumn id="1" name="FECHA" totalsRowLabel="Total" dataDxfId="177" totalsRowDxfId="176" dataCellStyle="Normal 3"/>
    <tableColumn id="2" name="NRO CPTE" dataDxfId="175" totalsRowDxfId="174"/>
    <tableColumn id="3" name="BANCO" dataDxfId="173" totalsRowDxfId="172"/>
    <tableColumn id="4" name="NETO" totalsRowFunction="sum" dataDxfId="171" totalsRowDxfId="170" dataCellStyle="Normal 3">
      <calculatedColumnFormula>extracto_banco_mes12[[#This Row],[IVA 21%]]*100/21</calculatedColumnFormula>
    </tableColumn>
    <tableColumn id="5" name="IVA 21%" totalsRowFunction="sum" dataDxfId="169" totalsRowDxfId="168" dataCellStyle="Normal 3"/>
    <tableColumn id="6" name="IVA 10,5%" totalsRowFunction="sum" dataDxfId="167" totalsRowDxfId="166" dataCellStyle="Normal 3"/>
    <tableColumn id="7" name="RET IIBB CABA" totalsRowFunction="sum" dataDxfId="165" totalsRowDxfId="164" dataCellStyle="Normal 3"/>
    <tableColumn id="8" name="PERC IVA" totalsRowFunction="sum" dataDxfId="163" totalsRowDxfId="162" dataCellStyle="Normal 3"/>
    <tableColumn id="9" name="PERC IIBB" totalsRowFunction="sum" dataDxfId="161" totalsRowDxfId="160" dataCellStyle="Normal 3"/>
  </tableColumns>
  <tableStyleInfo name="Estilo de tabla 1" showFirstColumn="0" showLastColumn="0" showRowStripes="1" showColumnStripes="0"/>
</table>
</file>

<file path=xl/tables/table66.xml><?xml version="1.0" encoding="utf-8"?>
<table xmlns="http://schemas.openxmlformats.org/spreadsheetml/2006/main" id="74" name="Retenciones_mes12" displayName="Retenciones_mes12" ref="C2526:L2531" totalsRowShown="0" headerRowDxfId="159" dataDxfId="158" headerRowCellStyle="Normal 3" dataCellStyle="Normal 3">
  <autoFilter ref="C2526:L2531"/>
  <tableColumns count="10">
    <tableColumn id="1" name="FECHA " dataDxfId="157" dataCellStyle="Normal 3"/>
    <tableColumn id="2" name="COMP Nº" dataDxfId="156" dataCellStyle="Normal 3"/>
    <tableColumn id="3" name="Columna1" dataDxfId="155" dataCellStyle="Normal 3"/>
    <tableColumn id="4" name="CUIT" dataDxfId="154" dataCellStyle="Normal 3"/>
    <tableColumn id="5" name="RAZON SOCIAL" dataDxfId="153" dataCellStyle="Normal 3">
      <calculatedColumnFormula>IFERROR(IF(Retenciones_mes12[[#This Row],[CUIT]]="","-",VLOOKUP(Retenciones_mes12[[#This Row],[CUIT]],Lista_CUIT[#All],2,0)),"CUIT NO CARGADO")</calculatedColumnFormula>
    </tableColumn>
    <tableColumn id="6" name="Ganancias" dataDxfId="152" dataCellStyle="Normal 3"/>
    <tableColumn id="7" name="IVA" dataDxfId="151" dataCellStyle="Normal 3"/>
    <tableColumn id="8" name="SUSS" dataDxfId="150" dataCellStyle="Normal 3"/>
    <tableColumn id="9" name="IIBB BSAS" dataDxfId="149" dataCellStyle="Normal 3"/>
    <tableColumn id="10" name="IIBB CABA" dataDxfId="148" dataCellStyle="Normal 3"/>
  </tableColumns>
  <tableStyleInfo name="Estilo de tabla 1" showFirstColumn="0" showLastColumn="0" showRowStripes="1" showColumnStripes="0"/>
</table>
</file>

<file path=xl/tables/table67.xml><?xml version="1.0" encoding="utf-8"?>
<table xmlns="http://schemas.openxmlformats.org/spreadsheetml/2006/main" id="63" name="compras_mes9" displayName="compras_mes9" ref="B8:R168" totalsRowCount="1" headerRowDxfId="147" totalsRowDxfId="146">
  <autoFilter ref="B8:R167"/>
  <sortState ref="B9:R167">
    <sortCondition ref="Q8:Q167"/>
  </sortState>
  <tableColumns count="17">
    <tableColumn id="1" name="FECHA" totalsRowLabel="Total" dataDxfId="145" totalsRowDxfId="144" dataCellStyle="Normal 3"/>
    <tableColumn id="2" name="TIPO" dataDxfId="143" totalsRowDxfId="142" dataCellStyle="Normal 3"/>
    <tableColumn id="3" name="PTO VTA" dataDxfId="141" totalsRowDxfId="140" dataCellStyle="Normal 3"/>
    <tableColumn id="4" name="NRO. CPTE" dataDxfId="139" totalsRowDxfId="138" dataCellStyle="Normal 3"/>
    <tableColumn id="5" name="CUIT" dataDxfId="137" totalsRowDxfId="136" dataCellStyle="Normal 3"/>
    <tableColumn id="6" name="RAZON SOCIAL" dataDxfId="135" totalsRowDxfId="134" dataCellStyle="Normal 3">
      <calculatedColumnFormula>IFERROR(IF(compras_mes9[[#This Row],[CUIT]]="","-",VLOOKUP(compras_mes9[[#This Row],[CUIT]],Lista_CUIT[#All],2,0)),"CUIT NO CARGADO")</calculatedColumnFormula>
    </tableColumn>
    <tableColumn id="7" name="NETO GRAVADO" totalsRowFunction="sum" dataDxfId="133" totalsRowDxfId="132" dataCellStyle="Normal 3"/>
    <tableColumn id="8" name="IVA 21 %" totalsRowFunction="sum" dataDxfId="131" totalsRowDxfId="130" dataCellStyle="Normal 3">
      <calculatedColumnFormula>IF(compras_mes9[[#This Row],[NETO GRAVADO]]="","",compras_mes9[[#This Row],[NETO GRAVADO]]*0.21)</calculatedColumnFormula>
    </tableColumn>
    <tableColumn id="9" name="IVA 27%" totalsRowFunction="sum" dataDxfId="129" totalsRowDxfId="128" dataCellStyle="Normal 3"/>
    <tableColumn id="10" name="IVA 10,5%" totalsRowFunction="sum" dataDxfId="127" totalsRowDxfId="126" dataCellStyle="Normal 3"/>
    <tableColumn id="11" name="PERC. IVA" totalsRowFunction="sum" dataDxfId="125" totalsRowDxfId="124" dataCellStyle="Normal 3"/>
    <tableColumn id="12" name="PERC IIBB _x000a_BS AS" totalsRowFunction="sum" dataDxfId="123" totalsRowDxfId="122" dataCellStyle="Normal 3"/>
    <tableColumn id="13" name="PERC. IIBB CABA" totalsRowFunction="sum" dataDxfId="121" totalsRowDxfId="120" dataCellStyle="Normal 3"/>
    <tableColumn id="14" name="Otros / No Grav." totalsRowFunction="sum" dataDxfId="119" totalsRowDxfId="118" dataCellStyle="Normal 3"/>
    <tableColumn id="15" name="TOTAL" totalsRowFunction="sum" dataDxfId="117" totalsRowDxfId="116" dataCellStyle="Normal 3">
      <calculatedColumnFormula>SUM(compras_mes9[[#This Row],[NETO GRAVADO]:[Otros / No Grav.]])</calculatedColumnFormula>
    </tableColumn>
    <tableColumn id="16" name="Tipo de Gasto" dataDxfId="115" totalsRowDxfId="114" dataCellStyle="Normal 3">
      <calculatedColumnFormula>IFERROR(IF(compras_mes9[[#This Row],[CUIT]]="","-",VLOOKUP(compras_mes9[[#This Row],[CUIT]],Lista_CUIT[#All],3,0)),"CUIT NO CARGADO")</calculatedColumnFormula>
    </tableColumn>
    <tableColumn id="17" name="Provincia" dataDxfId="113" totalsRowDxfId="112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8.xml><?xml version="1.0" encoding="utf-8"?>
<table xmlns="http://schemas.openxmlformats.org/spreadsheetml/2006/main" id="64" name="factura_c_mes9" displayName="factura_c_mes9" ref="D185:K210" totalsRowCount="1" headerRowDxfId="111" totalsRowDxfId="110" headerRowCellStyle="Normal 3">
  <autoFilter ref="D185:K209"/>
  <tableColumns count="8">
    <tableColumn id="1" name="FECHA" totalsRowLabel="Total" dataDxfId="109" totalsRowDxfId="108" dataCellStyle="Normal 3"/>
    <tableColumn id="2" name="PTO VTA" dataDxfId="107" totalsRowDxfId="106" dataCellStyle="Normal 3"/>
    <tableColumn id="3" name="FC Nº" dataDxfId="105" totalsRowDxfId="104" dataCellStyle="Normal 3"/>
    <tableColumn id="4" name="CUIT" dataDxfId="103" totalsRowDxfId="102" dataCellStyle="Normal 3"/>
    <tableColumn id="5" name="RAZON SOCIAL" dataDxfId="101" totalsRowDxfId="100" dataCellStyle="Normal 3">
      <calculatedColumnFormula>IFERROR(IF(factura_c_mes9[[#This Row],[CUIT]]="","-",VLOOKUP(factura_c_mes9[[#This Row],[CUIT]],Lista_CUIT[#All],2,0)),"CUIT NO CARGADO")</calculatedColumnFormula>
    </tableColumn>
    <tableColumn id="6" name="TOTAL" totalsRowFunction="sum" dataDxfId="99" totalsRowDxfId="98" dataCellStyle="Normal 3"/>
    <tableColumn id="7" name="TIPO DE GASTO" dataDxfId="97" totalsRowDxfId="96" dataCellStyle="Normal 3">
      <calculatedColumnFormula>IFERROR(IF(factura_c_mes9[[#This Row],[CUIT]]="","-",VLOOKUP(factura_c_mes9[[#This Row],[CUIT]],Lista_CUIT[#All],3,0)),"CUIT NO CARGADO")</calculatedColumnFormula>
    </tableColumn>
    <tableColumn id="8" name="Provincia" dataDxfId="95" totalsRowDxfId="94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id="65" name="venta_a_mes9" displayName="venta_a_mes9" ref="B219:M341" totalsRowCount="1" headerRowDxfId="93" dataDxfId="91" headerRowBorderDxfId="92" tableBorderDxfId="90" totalsRowBorderDxfId="89" dataCellStyle="Normal 3">
  <autoFilter ref="B219:M340"/>
  <tableColumns count="12">
    <tableColumn id="1" name="FECHA" totalsRowLabel="Total" dataDxfId="88" totalsRowDxfId="87" dataCellStyle="Normal 3"/>
    <tableColumn id="2" name="TIPO" dataDxfId="86" totalsRowDxfId="85" dataCellStyle="Normal 3"/>
    <tableColumn id="3" name="PTO VENTA" dataDxfId="84" totalsRowDxfId="83" dataCellStyle="Normal 3"/>
    <tableColumn id="4" name="Nº FACTURA" dataDxfId="82" totalsRowDxfId="81" dataCellStyle="Normal 3"/>
    <tableColumn id="5" name="CUIT" dataDxfId="80" totalsRowDxfId="79" dataCellStyle="Normal 3"/>
    <tableColumn id="6" name="RAZON SOCIAL" dataDxfId="78" totalsRowDxfId="77" dataCellStyle="Normal 3">
      <calculatedColumnFormula>IFERROR(IF(venta_a_mes9[[#This Row],[CUIT]]="","-",VLOOKUP(venta_a_mes9[[#This Row],[CUIT]],Lista_CUIT[#All],2,0)),"CUIT NO CARGADO")</calculatedColumnFormula>
    </tableColumn>
    <tableColumn id="7" name="IMPORTE NETO" totalsRowFunction="sum" dataDxfId="76" totalsRowDxfId="75" dataCellStyle="Normal 3"/>
    <tableColumn id="8" name="IVA 21%" totalsRowFunction="sum" dataDxfId="74" totalsRowDxfId="73" dataCellStyle="Normal 3">
      <calculatedColumnFormula>venta_a_mes9[[#This Row],[IMPORTE NETO]]*0.21</calculatedColumnFormula>
    </tableColumn>
    <tableColumn id="9" name="IVA 10,5%" totalsRowFunction="sum" dataDxfId="72" totalsRowDxfId="71" dataCellStyle="Normal 3"/>
    <tableColumn id="10" name="EXENTO" totalsRowFunction="sum" dataDxfId="70" totalsRowDxfId="69" dataCellStyle="Normal 3"/>
    <tableColumn id="11" name="TOTAL" totalsRowFunction="sum" dataDxfId="68" totalsRowDxfId="67" dataCellStyle="Normal 3">
      <calculatedColumnFormula>SUM(venta_a_mes9[[#This Row],[IMPORTE NETO]:[EXENTO]])</calculatedColumnFormula>
    </tableColumn>
    <tableColumn id="12" name="Provincia" totalsRowFunction="count" dataDxfId="66" totalsRowDxfId="65" dataCellStyle="Normal 3"/>
  </tableColumns>
  <tableStyleInfo name="Tabla Ventas" showFirstColumn="0" showLastColumn="0" showRowStripes="1" showColumnStripes="0"/>
</table>
</file>

<file path=xl/tables/table70.xml><?xml version="1.0" encoding="utf-8"?>
<table xmlns="http://schemas.openxmlformats.org/spreadsheetml/2006/main" id="66" name="ventas_b_mes9" displayName="ventas_b_mes9" ref="B345:M1863" totalsRowCount="1" headerRowDxfId="64" dataDxfId="62" headerRowBorderDxfId="63" tableBorderDxfId="61" totalsRowBorderDxfId="60" dataCellStyle="Normal 3">
  <autoFilter ref="B345:M1862"/>
  <tableColumns count="12">
    <tableColumn id="1" name="FECHA" totalsRowLabel="Total" dataDxfId="59" totalsRowDxfId="58" dataCellStyle="Normal 3"/>
    <tableColumn id="2" name="TIPO" dataDxfId="57" totalsRowDxfId="56" dataCellStyle="Normal 3"/>
    <tableColumn id="3" name="PTO VENTA" dataDxfId="55" totalsRowDxfId="54" dataCellStyle="Normal 3"/>
    <tableColumn id="4" name="Nº FACTURA" dataDxfId="53" totalsRowDxfId="52" dataCellStyle="Normal 3"/>
    <tableColumn id="5" name="CUIT" dataDxfId="51" totalsRowDxfId="50" dataCellStyle="Normal 3"/>
    <tableColumn id="6" name="RAZON SOCIAL" dataDxfId="49" totalsRowDxfId="48" dataCellStyle="Normal 3">
      <calculatedColumnFormula>IFERROR(IF(ventas_b_mes9[[#This Row],[CUIT]]="","-",VLOOKUP(ventas_b_mes9[[#This Row],[CUIT]],Lista_CUIT[#All],2,0)),"CUIT NO CARGADO")</calculatedColumnFormula>
    </tableColumn>
    <tableColumn id="7" name="IMPORTE NETO" totalsRowFunction="sum" dataDxfId="47" totalsRowDxfId="46" dataCellStyle="Normal 3">
      <calculatedColumnFormula>ventas_b_mes9[[#This Row],[TOTAL]]/1.21</calculatedColumnFormula>
    </tableColumn>
    <tableColumn id="8" name="IVA 21%" totalsRowFunction="sum" dataDxfId="45" totalsRowDxfId="44" dataCellStyle="Normal 3">
      <calculatedColumnFormula>ventas_b_mes9[[#This Row],[IMPORTE NETO]]*0.21</calculatedColumnFormula>
    </tableColumn>
    <tableColumn id="9" name="IVA 10,5%" totalsRowFunction="sum" dataDxfId="43" totalsRowDxfId="42" dataCellStyle="Normal 3"/>
    <tableColumn id="10" name="EXENTO" totalsRowFunction="sum" dataDxfId="41" totalsRowDxfId="40" dataCellStyle="Normal 3"/>
    <tableColumn id="11" name="TOTAL" totalsRowFunction="sum" dataDxfId="39" totalsRowDxfId="38" dataCellStyle="Normal 3"/>
    <tableColumn id="12" name="Provincia" totalsRowFunction="count" dataDxfId="37" totalsRowDxfId="36" dataCellStyle="Normal 3"/>
  </tableColumns>
  <tableStyleInfo name="Tabla Ventas" showFirstColumn="0" showLastColumn="0" showRowStripes="1" showColumnStripes="0"/>
</table>
</file>

<file path=xl/tables/table71.xml><?xml version="1.0" encoding="utf-8"?>
<table xmlns="http://schemas.openxmlformats.org/spreadsheetml/2006/main" id="67" name="extracto_banco_mes9" displayName="extracto_banco_mes9" ref="D174:L182" totalsRowCount="1" headerRowDxfId="35" dataDxfId="34" tableBorderDxfId="33" dataCellStyle="Normal 3">
  <autoFilter ref="D174:L181"/>
  <tableColumns count="9">
    <tableColumn id="1" name="FECHA" totalsRowLabel="Total" dataDxfId="32" totalsRowDxfId="31" dataCellStyle="Normal 3"/>
    <tableColumn id="2" name="NRO CPTE" dataDxfId="30" totalsRowDxfId="29"/>
    <tableColumn id="3" name="BANCO" dataDxfId="28" totalsRowDxfId="27"/>
    <tableColumn id="4" name="NETO" totalsRowFunction="sum" dataDxfId="26" totalsRowDxfId="25" dataCellStyle="Normal 3"/>
    <tableColumn id="5" name="IVA 21%" totalsRowFunction="sum" dataDxfId="24" totalsRowDxfId="23" dataCellStyle="Normal 3"/>
    <tableColumn id="6" name="IVA 10,5%" totalsRowFunction="sum" dataDxfId="22" totalsRowDxfId="21" dataCellStyle="Normal 3"/>
    <tableColumn id="7" name="RET IIBB CABA" totalsRowFunction="sum" dataDxfId="20" totalsRowDxfId="19" dataCellStyle="Normal 3"/>
    <tableColumn id="8" name="PERC IVA" totalsRowFunction="sum" dataDxfId="18" totalsRowDxfId="17" dataCellStyle="Normal 3"/>
    <tableColumn id="9" name="PERC IIBB" totalsRowFunction="sum" dataDxfId="16" totalsRowDxfId="15" dataCellStyle="Normal 3"/>
  </tableColumns>
  <tableStyleInfo name="Estilo de tabla 1" showFirstColumn="0" showLastColumn="0" showRowStripes="1" showColumnStripes="0"/>
</table>
</file>

<file path=xl/tables/table72.xml><?xml version="1.0" encoding="utf-8"?>
<table xmlns="http://schemas.openxmlformats.org/spreadsheetml/2006/main" id="68" name="Retenciones_mes9" displayName="Retenciones_mes9" ref="C1872:L1877" totalsRowShown="0" headerRowDxfId="14" dataDxfId="13" headerRowCellStyle="Normal 3" dataCellStyle="Normal 3">
  <autoFilter ref="C1872:L1877"/>
  <tableColumns count="10">
    <tableColumn id="1" name="FECHA " dataDxfId="12" dataCellStyle="Normal 3"/>
    <tableColumn id="2" name="COMP Nº" dataDxfId="11" dataCellStyle="Normal 3"/>
    <tableColumn id="3" name="Columna1" dataDxfId="10" dataCellStyle="Normal 3"/>
    <tableColumn id="4" name="CUIT" dataDxfId="9" dataCellStyle="Normal 3"/>
    <tableColumn id="5" name="RAZON SOCIAL" dataDxfId="8" dataCellStyle="Normal 3">
      <calculatedColumnFormula>IFERROR(IF(Retenciones_mes9[[#This Row],[CUIT]]="","-",VLOOKUP(Retenciones_mes9[[#This Row],[CUIT]],Lista_CUIT[#All],2,0)),"CUIT NO CARGADO")</calculatedColumnFormula>
    </tableColumn>
    <tableColumn id="6" name="Ganancias" dataDxfId="7" dataCellStyle="Normal 3"/>
    <tableColumn id="7" name="IVA" dataDxfId="6" dataCellStyle="Normal 3"/>
    <tableColumn id="8" name="SUSS" dataDxfId="5" dataCellStyle="Normal 3"/>
    <tableColumn id="9" name="IIBB BSAS" dataDxfId="4" dataCellStyle="Normal 3"/>
    <tableColumn id="10" name="IIBB CABA" dataDxfId="3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G2732"/>
  <sheetViews>
    <sheetView zoomScaleNormal="100" workbookViewId="0">
      <selection activeCell="B2745" sqref="B2745"/>
    </sheetView>
  </sheetViews>
  <sheetFormatPr baseColWidth="10" defaultRowHeight="14.4" x14ac:dyDescent="0.3"/>
  <cols>
    <col min="1" max="1" width="13.33203125" style="32" bestFit="1" customWidth="1"/>
    <col min="2" max="2" width="54.33203125" customWidth="1"/>
    <col min="3" max="3" width="20" style="32" bestFit="1" customWidth="1"/>
    <col min="4" max="4" width="15" bestFit="1" customWidth="1"/>
    <col min="7" max="7" width="22.6640625" bestFit="1" customWidth="1"/>
  </cols>
  <sheetData>
    <row r="1" spans="1:7" x14ac:dyDescent="0.3">
      <c r="A1" s="32" t="s">
        <v>3</v>
      </c>
      <c r="B1" s="32" t="s">
        <v>4</v>
      </c>
      <c r="C1" s="32" t="s">
        <v>11</v>
      </c>
      <c r="D1" s="32" t="s">
        <v>32</v>
      </c>
      <c r="E1" s="32" t="s">
        <v>85</v>
      </c>
    </row>
    <row r="2" spans="1:7" hidden="1" x14ac:dyDescent="0.3">
      <c r="A2" s="373">
        <v>27309896063</v>
      </c>
      <c r="B2" t="s">
        <v>2376</v>
      </c>
      <c r="C2" s="32" t="s">
        <v>67</v>
      </c>
      <c r="G2" s="118" t="s">
        <v>63</v>
      </c>
    </row>
    <row r="3" spans="1:7" hidden="1" x14ac:dyDescent="0.3">
      <c r="A3" s="373">
        <v>27309896063</v>
      </c>
      <c r="B3" t="s">
        <v>2376</v>
      </c>
      <c r="C3" s="32" t="s">
        <v>67</v>
      </c>
      <c r="G3" s="119" t="s">
        <v>60</v>
      </c>
    </row>
    <row r="4" spans="1:7" hidden="1" x14ac:dyDescent="0.3">
      <c r="A4" s="374">
        <v>27309896063</v>
      </c>
      <c r="B4" s="375" t="s">
        <v>2376</v>
      </c>
      <c r="C4" s="409" t="s">
        <v>67</v>
      </c>
      <c r="G4" s="118" t="s">
        <v>86</v>
      </c>
    </row>
    <row r="5" spans="1:7" hidden="1" x14ac:dyDescent="0.3">
      <c r="A5" s="373">
        <v>20131206144</v>
      </c>
      <c r="B5" t="s">
        <v>2124</v>
      </c>
      <c r="C5" s="32" t="s">
        <v>67</v>
      </c>
      <c r="G5" s="119" t="s">
        <v>64</v>
      </c>
    </row>
    <row r="6" spans="1:7" hidden="1" x14ac:dyDescent="0.3">
      <c r="A6" s="373">
        <v>30716010313</v>
      </c>
      <c r="B6" t="s">
        <v>2142</v>
      </c>
      <c r="C6" s="32" t="s">
        <v>67</v>
      </c>
      <c r="G6" s="118" t="s">
        <v>59</v>
      </c>
    </row>
    <row r="7" spans="1:7" hidden="1" x14ac:dyDescent="0.3">
      <c r="A7" s="373">
        <v>30716010313</v>
      </c>
      <c r="B7" t="s">
        <v>2177</v>
      </c>
      <c r="C7" s="32" t="s">
        <v>67</v>
      </c>
      <c r="G7" s="119" t="s">
        <v>87</v>
      </c>
    </row>
    <row r="8" spans="1:7" hidden="1" x14ac:dyDescent="0.3">
      <c r="A8" s="373">
        <v>30716010313</v>
      </c>
      <c r="B8" t="s">
        <v>2142</v>
      </c>
      <c r="C8" s="32" t="s">
        <v>67</v>
      </c>
      <c r="G8" s="118" t="s">
        <v>70</v>
      </c>
    </row>
    <row r="9" spans="1:7" hidden="1" x14ac:dyDescent="0.3">
      <c r="A9" s="373">
        <v>30716010313</v>
      </c>
      <c r="B9" t="s">
        <v>2177</v>
      </c>
      <c r="C9" s="32" t="s">
        <v>67</v>
      </c>
      <c r="G9" s="119" t="s">
        <v>58</v>
      </c>
    </row>
    <row r="10" spans="1:7" hidden="1" x14ac:dyDescent="0.3">
      <c r="A10" s="373">
        <v>20174208094</v>
      </c>
      <c r="B10" t="s">
        <v>2900</v>
      </c>
      <c r="C10" s="32" t="s">
        <v>67</v>
      </c>
      <c r="G10" s="118" t="s">
        <v>88</v>
      </c>
    </row>
    <row r="11" spans="1:7" hidden="1" x14ac:dyDescent="0.3">
      <c r="A11" s="373">
        <v>30709245682</v>
      </c>
      <c r="B11" t="s">
        <v>2907</v>
      </c>
      <c r="C11" s="32" t="s">
        <v>67</v>
      </c>
      <c r="G11" s="119" t="s">
        <v>67</v>
      </c>
    </row>
    <row r="12" spans="1:7" hidden="1" x14ac:dyDescent="0.3">
      <c r="A12" s="373">
        <v>20400073776</v>
      </c>
      <c r="B12" t="s">
        <v>2164</v>
      </c>
      <c r="C12" s="32" t="s">
        <v>2827</v>
      </c>
      <c r="G12" s="118" t="s">
        <v>84</v>
      </c>
    </row>
    <row r="13" spans="1:7" hidden="1" x14ac:dyDescent="0.3">
      <c r="A13" s="373">
        <v>20400073776</v>
      </c>
      <c r="B13" t="s">
        <v>2380</v>
      </c>
      <c r="C13" s="32" t="s">
        <v>2827</v>
      </c>
      <c r="G13" s="119" t="s">
        <v>89</v>
      </c>
    </row>
    <row r="14" spans="1:7" hidden="1" x14ac:dyDescent="0.3">
      <c r="A14" s="373">
        <v>20400073776</v>
      </c>
      <c r="B14" t="s">
        <v>2164</v>
      </c>
      <c r="C14" s="32" t="s">
        <v>2827</v>
      </c>
      <c r="G14" s="118" t="s">
        <v>90</v>
      </c>
    </row>
    <row r="15" spans="1:7" hidden="1" x14ac:dyDescent="0.3">
      <c r="A15" s="373">
        <v>20334416632</v>
      </c>
      <c r="B15" t="s">
        <v>2379</v>
      </c>
      <c r="C15" s="32" t="s">
        <v>2827</v>
      </c>
      <c r="G15" s="119" t="s">
        <v>65</v>
      </c>
    </row>
    <row r="16" spans="1:7" hidden="1" x14ac:dyDescent="0.3">
      <c r="A16" s="373">
        <v>20334416632</v>
      </c>
      <c r="B16" t="s">
        <v>2379</v>
      </c>
      <c r="C16" s="32" t="s">
        <v>2827</v>
      </c>
      <c r="G16" s="118" t="s">
        <v>62</v>
      </c>
    </row>
    <row r="17" spans="1:7" hidden="1" x14ac:dyDescent="0.3">
      <c r="A17" s="373">
        <v>20334416632</v>
      </c>
      <c r="B17" t="s">
        <v>2379</v>
      </c>
      <c r="C17" s="32" t="s">
        <v>2827</v>
      </c>
      <c r="G17" s="119" t="s">
        <v>91</v>
      </c>
    </row>
    <row r="18" spans="1:7" hidden="1" x14ac:dyDescent="0.3">
      <c r="A18" s="373">
        <v>20334416632</v>
      </c>
      <c r="B18" t="s">
        <v>2379</v>
      </c>
      <c r="C18" s="32" t="s">
        <v>2827</v>
      </c>
      <c r="G18" s="118" t="s">
        <v>61</v>
      </c>
    </row>
    <row r="19" spans="1:7" hidden="1" x14ac:dyDescent="0.3">
      <c r="A19" s="373">
        <v>20334416632</v>
      </c>
      <c r="B19" t="s">
        <v>2379</v>
      </c>
      <c r="C19" s="32" t="s">
        <v>2827</v>
      </c>
      <c r="G19" s="119" t="s">
        <v>92</v>
      </c>
    </row>
    <row r="20" spans="1:7" hidden="1" x14ac:dyDescent="0.3">
      <c r="A20" s="373">
        <v>30716160889</v>
      </c>
      <c r="B20" t="s">
        <v>2135</v>
      </c>
      <c r="C20" s="32" t="s">
        <v>2749</v>
      </c>
      <c r="G20" s="118" t="s">
        <v>66</v>
      </c>
    </row>
    <row r="21" spans="1:7" hidden="1" x14ac:dyDescent="0.3">
      <c r="A21" s="373">
        <v>30716160889</v>
      </c>
      <c r="B21" t="s">
        <v>2135</v>
      </c>
      <c r="C21" s="32" t="s">
        <v>2749</v>
      </c>
      <c r="G21" s="119" t="s">
        <v>68</v>
      </c>
    </row>
    <row r="22" spans="1:7" hidden="1" x14ac:dyDescent="0.3">
      <c r="A22" s="373">
        <v>30716160889</v>
      </c>
      <c r="B22" t="s">
        <v>2135</v>
      </c>
      <c r="C22" s="32" t="s">
        <v>2749</v>
      </c>
      <c r="G22" s="118" t="s">
        <v>93</v>
      </c>
    </row>
    <row r="23" spans="1:7" hidden="1" x14ac:dyDescent="0.3">
      <c r="A23" s="373">
        <v>30716160889</v>
      </c>
      <c r="B23" t="s">
        <v>2135</v>
      </c>
      <c r="C23" s="32" t="s">
        <v>2749</v>
      </c>
    </row>
    <row r="24" spans="1:7" hidden="1" x14ac:dyDescent="0.3">
      <c r="A24" s="373">
        <v>30715048066</v>
      </c>
      <c r="B24" t="s">
        <v>79</v>
      </c>
      <c r="C24" s="32" t="s">
        <v>2749</v>
      </c>
    </row>
    <row r="25" spans="1:7" hidden="1" x14ac:dyDescent="0.3">
      <c r="A25" s="373">
        <v>30680690967</v>
      </c>
      <c r="B25" s="2" t="s">
        <v>2705</v>
      </c>
      <c r="C25" s="32" t="s">
        <v>2706</v>
      </c>
    </row>
    <row r="26" spans="1:7" hidden="1" x14ac:dyDescent="0.3">
      <c r="A26" s="40">
        <v>30685433296</v>
      </c>
      <c r="B26" s="41" t="s">
        <v>2710</v>
      </c>
      <c r="C26" s="32" t="s">
        <v>2706</v>
      </c>
    </row>
    <row r="27" spans="1:7" hidden="1" x14ac:dyDescent="0.3">
      <c r="A27" s="373">
        <v>33707010059</v>
      </c>
      <c r="B27" t="s">
        <v>2735</v>
      </c>
      <c r="C27" s="32" t="s">
        <v>2706</v>
      </c>
    </row>
    <row r="28" spans="1:7" hidden="1" x14ac:dyDescent="0.3">
      <c r="A28" s="40">
        <v>30708251697</v>
      </c>
      <c r="B28" t="s">
        <v>2748</v>
      </c>
      <c r="C28" s="32" t="s">
        <v>2706</v>
      </c>
    </row>
    <row r="29" spans="1:7" hidden="1" x14ac:dyDescent="0.3">
      <c r="A29" s="373">
        <v>30550847589</v>
      </c>
      <c r="B29" t="s">
        <v>2640</v>
      </c>
      <c r="C29" s="32" t="s">
        <v>2706</v>
      </c>
      <c r="D29" t="s">
        <v>2739</v>
      </c>
    </row>
    <row r="30" spans="1:7" hidden="1" x14ac:dyDescent="0.3">
      <c r="A30" s="40">
        <v>30701367193</v>
      </c>
      <c r="B30" s="41" t="s">
        <v>2754</v>
      </c>
      <c r="C30" s="32" t="s">
        <v>2706</v>
      </c>
    </row>
    <row r="31" spans="1:7" hidden="1" x14ac:dyDescent="0.3">
      <c r="A31" s="373">
        <v>30516186670</v>
      </c>
      <c r="B31" t="s">
        <v>2171</v>
      </c>
      <c r="C31" s="32" t="s">
        <v>2706</v>
      </c>
    </row>
    <row r="32" spans="1:7" hidden="1" x14ac:dyDescent="0.3">
      <c r="A32" s="373">
        <v>30516186670</v>
      </c>
      <c r="B32" t="s">
        <v>2171</v>
      </c>
      <c r="C32" s="32" t="s">
        <v>2706</v>
      </c>
    </row>
    <row r="33" spans="1:3" hidden="1" x14ac:dyDescent="0.3">
      <c r="A33" s="373">
        <v>30708077883</v>
      </c>
      <c r="B33" t="s">
        <v>2764</v>
      </c>
      <c r="C33" s="32" t="s">
        <v>2706</v>
      </c>
    </row>
    <row r="34" spans="1:3" hidden="1" x14ac:dyDescent="0.3">
      <c r="A34" s="373">
        <v>30709781428</v>
      </c>
      <c r="B34" t="s">
        <v>2629</v>
      </c>
      <c r="C34" s="32" t="s">
        <v>2706</v>
      </c>
    </row>
    <row r="35" spans="1:3" hidden="1" x14ac:dyDescent="0.3">
      <c r="A35" s="373">
        <v>30551016117</v>
      </c>
      <c r="B35" t="s">
        <v>2408</v>
      </c>
      <c r="C35" s="32" t="s">
        <v>2706</v>
      </c>
    </row>
    <row r="36" spans="1:3" hidden="1" x14ac:dyDescent="0.3">
      <c r="A36" s="373">
        <v>30551016117</v>
      </c>
      <c r="B36" t="s">
        <v>2408</v>
      </c>
      <c r="C36" s="32" t="s">
        <v>2706</v>
      </c>
    </row>
    <row r="37" spans="1:3" hidden="1" x14ac:dyDescent="0.3">
      <c r="A37" s="373">
        <v>30708260785</v>
      </c>
      <c r="B37" t="s">
        <v>2772</v>
      </c>
      <c r="C37" s="32" t="s">
        <v>2706</v>
      </c>
    </row>
    <row r="38" spans="1:3" hidden="1" x14ac:dyDescent="0.3">
      <c r="A38" s="373">
        <v>30568586391</v>
      </c>
      <c r="B38" t="s">
        <v>2673</v>
      </c>
      <c r="C38" s="32" t="s">
        <v>2706</v>
      </c>
    </row>
    <row r="39" spans="1:3" hidden="1" x14ac:dyDescent="0.3">
      <c r="A39" s="373">
        <v>30708549041</v>
      </c>
      <c r="B39" t="s">
        <v>2782</v>
      </c>
      <c r="C39" s="32" t="s">
        <v>2706</v>
      </c>
    </row>
    <row r="40" spans="1:3" hidden="1" x14ac:dyDescent="0.3">
      <c r="A40" s="373">
        <v>30650296997</v>
      </c>
      <c r="B40" t="s">
        <v>2614</v>
      </c>
      <c r="C40" s="32" t="s">
        <v>2706</v>
      </c>
    </row>
    <row r="41" spans="1:3" hidden="1" x14ac:dyDescent="0.3">
      <c r="A41" s="40">
        <v>30653466931</v>
      </c>
      <c r="B41" t="s">
        <v>2793</v>
      </c>
      <c r="C41" s="32" t="s">
        <v>2706</v>
      </c>
    </row>
    <row r="42" spans="1:3" hidden="1" x14ac:dyDescent="0.3">
      <c r="A42" s="373">
        <v>30713628804</v>
      </c>
      <c r="B42" t="s">
        <v>2130</v>
      </c>
      <c r="C42" s="32" t="s">
        <v>2706</v>
      </c>
    </row>
    <row r="43" spans="1:3" hidden="1" x14ac:dyDescent="0.3">
      <c r="A43" s="373">
        <v>30713628804</v>
      </c>
      <c r="B43" t="s">
        <v>2130</v>
      </c>
      <c r="C43" s="32" t="s">
        <v>2706</v>
      </c>
    </row>
    <row r="44" spans="1:3" hidden="1" x14ac:dyDescent="0.3">
      <c r="A44" s="373">
        <v>33714488819</v>
      </c>
      <c r="B44" t="s">
        <v>2794</v>
      </c>
      <c r="C44" s="32" t="s">
        <v>2706</v>
      </c>
    </row>
    <row r="45" spans="1:3" hidden="1" x14ac:dyDescent="0.3">
      <c r="A45" s="373">
        <v>30643827197</v>
      </c>
      <c r="B45" t="s">
        <v>1196</v>
      </c>
      <c r="C45" s="32" t="s">
        <v>2706</v>
      </c>
    </row>
    <row r="46" spans="1:3" hidden="1" x14ac:dyDescent="0.3">
      <c r="A46" s="373">
        <v>30515800219</v>
      </c>
      <c r="B46" t="s">
        <v>2131</v>
      </c>
      <c r="C46" s="32" t="s">
        <v>2706</v>
      </c>
    </row>
    <row r="47" spans="1:3" hidden="1" x14ac:dyDescent="0.3">
      <c r="A47" s="373">
        <v>30515800219</v>
      </c>
      <c r="B47" t="s">
        <v>2131</v>
      </c>
      <c r="C47" s="32" t="s">
        <v>2706</v>
      </c>
    </row>
    <row r="48" spans="1:3" hidden="1" x14ac:dyDescent="0.3">
      <c r="A48" s="373">
        <v>33649669029</v>
      </c>
      <c r="B48" t="s">
        <v>1267</v>
      </c>
      <c r="C48" s="32" t="s">
        <v>2706</v>
      </c>
    </row>
    <row r="49" spans="1:4" hidden="1" x14ac:dyDescent="0.3">
      <c r="A49" s="373">
        <v>33649669029</v>
      </c>
      <c r="B49" t="s">
        <v>1268</v>
      </c>
      <c r="C49" s="32" t="s">
        <v>2706</v>
      </c>
    </row>
    <row r="50" spans="1:4" hidden="1" x14ac:dyDescent="0.3">
      <c r="A50" s="373">
        <v>33649669029</v>
      </c>
      <c r="B50" t="s">
        <v>1268</v>
      </c>
      <c r="C50" s="32" t="s">
        <v>2706</v>
      </c>
    </row>
    <row r="51" spans="1:4" hidden="1" x14ac:dyDescent="0.3">
      <c r="A51" s="373">
        <v>33649669029</v>
      </c>
      <c r="B51" t="s">
        <v>1268</v>
      </c>
      <c r="C51" s="32" t="s">
        <v>2706</v>
      </c>
    </row>
    <row r="52" spans="1:4" hidden="1" x14ac:dyDescent="0.3">
      <c r="A52" s="373">
        <v>33649669029</v>
      </c>
      <c r="B52" t="s">
        <v>1269</v>
      </c>
      <c r="C52" s="32" t="s">
        <v>2706</v>
      </c>
    </row>
    <row r="53" spans="1:4" hidden="1" x14ac:dyDescent="0.3">
      <c r="A53" s="374">
        <v>30715482653</v>
      </c>
      <c r="B53" s="375" t="s">
        <v>2811</v>
      </c>
      <c r="C53" s="32" t="s">
        <v>2706</v>
      </c>
    </row>
    <row r="54" spans="1:4" hidden="1" x14ac:dyDescent="0.3">
      <c r="A54" s="373">
        <v>30568459500</v>
      </c>
      <c r="B54" t="s">
        <v>2701</v>
      </c>
      <c r="C54" s="32" t="s">
        <v>2706</v>
      </c>
    </row>
    <row r="55" spans="1:4" hidden="1" x14ac:dyDescent="0.3">
      <c r="A55" s="373">
        <v>30709465801</v>
      </c>
      <c r="B55" t="s">
        <v>2815</v>
      </c>
      <c r="C55" s="32" t="s">
        <v>2706</v>
      </c>
    </row>
    <row r="56" spans="1:4" hidden="1" x14ac:dyDescent="0.3">
      <c r="A56" s="373">
        <v>30627539629</v>
      </c>
      <c r="B56" t="s">
        <v>2817</v>
      </c>
      <c r="C56" s="32" t="s">
        <v>2706</v>
      </c>
    </row>
    <row r="57" spans="1:4" hidden="1" x14ac:dyDescent="0.3">
      <c r="A57" s="373">
        <v>30712212817</v>
      </c>
      <c r="B57" t="s">
        <v>2664</v>
      </c>
      <c r="C57" s="32" t="s">
        <v>2706</v>
      </c>
      <c r="D57" t="s">
        <v>2763</v>
      </c>
    </row>
    <row r="58" spans="1:4" hidden="1" x14ac:dyDescent="0.3">
      <c r="A58" s="373">
        <v>30707949550</v>
      </c>
      <c r="B58" t="s">
        <v>2669</v>
      </c>
      <c r="C58" s="32" t="s">
        <v>2706</v>
      </c>
      <c r="D58" t="s">
        <v>2763</v>
      </c>
    </row>
    <row r="59" spans="1:4" hidden="1" x14ac:dyDescent="0.3">
      <c r="A59" s="373">
        <v>30716825309</v>
      </c>
      <c r="B59" t="s">
        <v>2818</v>
      </c>
      <c r="C59" s="32" t="s">
        <v>2706</v>
      </c>
    </row>
    <row r="60" spans="1:4" hidden="1" x14ac:dyDescent="0.3">
      <c r="A60" s="373">
        <v>30709465801</v>
      </c>
      <c r="B60" t="s">
        <v>2819</v>
      </c>
      <c r="C60" s="32" t="s">
        <v>2706</v>
      </c>
    </row>
    <row r="61" spans="1:4" hidden="1" x14ac:dyDescent="0.3">
      <c r="A61" s="373">
        <v>30712450327</v>
      </c>
      <c r="B61" t="s">
        <v>2700</v>
      </c>
      <c r="C61" s="32" t="s">
        <v>2706</v>
      </c>
    </row>
    <row r="62" spans="1:4" hidden="1" x14ac:dyDescent="0.3">
      <c r="A62" s="373">
        <v>20217165114</v>
      </c>
      <c r="B62" t="s">
        <v>1429</v>
      </c>
      <c r="C62" s="32" t="s">
        <v>2706</v>
      </c>
    </row>
    <row r="63" spans="1:4" hidden="1" x14ac:dyDescent="0.3">
      <c r="A63" s="373">
        <v>30685116657</v>
      </c>
      <c r="B63" t="s">
        <v>1486</v>
      </c>
      <c r="C63" s="32" t="s">
        <v>2706</v>
      </c>
    </row>
    <row r="64" spans="1:4" hidden="1" x14ac:dyDescent="0.3">
      <c r="A64" s="374">
        <v>30708456329</v>
      </c>
      <c r="B64" s="375" t="s">
        <v>2831</v>
      </c>
      <c r="C64" s="32" t="s">
        <v>2706</v>
      </c>
    </row>
    <row r="65" spans="1:3" hidden="1" x14ac:dyDescent="0.3">
      <c r="A65" s="373">
        <v>33608724279</v>
      </c>
      <c r="B65" t="s">
        <v>1520</v>
      </c>
      <c r="C65" s="32" t="s">
        <v>2706</v>
      </c>
    </row>
    <row r="66" spans="1:3" hidden="1" x14ac:dyDescent="0.3">
      <c r="A66" s="373">
        <v>30707983732</v>
      </c>
      <c r="B66" t="s">
        <v>1521</v>
      </c>
      <c r="C66" s="32" t="s">
        <v>2706</v>
      </c>
    </row>
    <row r="67" spans="1:3" hidden="1" x14ac:dyDescent="0.3">
      <c r="A67" s="373">
        <v>30717535649</v>
      </c>
      <c r="B67" t="s">
        <v>2126</v>
      </c>
      <c r="C67" s="32" t="s">
        <v>2706</v>
      </c>
    </row>
    <row r="68" spans="1:3" hidden="1" x14ac:dyDescent="0.3">
      <c r="A68" s="373">
        <v>30717535649</v>
      </c>
      <c r="B68" t="s">
        <v>2126</v>
      </c>
      <c r="C68" s="32" t="s">
        <v>2706</v>
      </c>
    </row>
    <row r="69" spans="1:3" hidden="1" x14ac:dyDescent="0.3">
      <c r="A69" s="373">
        <v>30678774495</v>
      </c>
      <c r="B69" t="s">
        <v>75</v>
      </c>
      <c r="C69" s="32" t="s">
        <v>2706</v>
      </c>
    </row>
    <row r="70" spans="1:3" hidden="1" x14ac:dyDescent="0.3">
      <c r="A70" s="373">
        <v>30678774495</v>
      </c>
      <c r="B70" t="s">
        <v>2392</v>
      </c>
      <c r="C70" s="32" t="s">
        <v>2706</v>
      </c>
    </row>
    <row r="71" spans="1:3" hidden="1" x14ac:dyDescent="0.3">
      <c r="A71" s="373">
        <v>30678774495</v>
      </c>
      <c r="B71" t="s">
        <v>2392</v>
      </c>
      <c r="C71" s="32" t="s">
        <v>2706</v>
      </c>
    </row>
    <row r="72" spans="1:3" hidden="1" x14ac:dyDescent="0.3">
      <c r="A72" s="373">
        <v>30695542476</v>
      </c>
      <c r="B72" t="s">
        <v>2642</v>
      </c>
      <c r="C72" s="32" t="s">
        <v>2706</v>
      </c>
    </row>
    <row r="73" spans="1:3" hidden="1" x14ac:dyDescent="0.3">
      <c r="A73" s="373">
        <v>30695542476</v>
      </c>
      <c r="B73" t="s">
        <v>76</v>
      </c>
      <c r="C73" s="32" t="s">
        <v>2706</v>
      </c>
    </row>
    <row r="74" spans="1:3" hidden="1" x14ac:dyDescent="0.3">
      <c r="A74" s="373">
        <v>33519459529</v>
      </c>
      <c r="B74" t="s">
        <v>2842</v>
      </c>
      <c r="C74" s="32" t="s">
        <v>2706</v>
      </c>
    </row>
    <row r="75" spans="1:3" hidden="1" x14ac:dyDescent="0.3">
      <c r="A75" s="373">
        <v>30707841105</v>
      </c>
      <c r="B75" t="s">
        <v>2147</v>
      </c>
      <c r="C75" s="32" t="s">
        <v>2706</v>
      </c>
    </row>
    <row r="76" spans="1:3" hidden="1" x14ac:dyDescent="0.3">
      <c r="A76" s="373">
        <v>30707841105</v>
      </c>
      <c r="B76" t="s">
        <v>2147</v>
      </c>
      <c r="C76" s="32" t="s">
        <v>2706</v>
      </c>
    </row>
    <row r="77" spans="1:3" hidden="1" x14ac:dyDescent="0.3">
      <c r="A77" s="373">
        <v>30696131003</v>
      </c>
      <c r="B77" t="s">
        <v>2643</v>
      </c>
      <c r="C77" s="32" t="s">
        <v>2706</v>
      </c>
    </row>
    <row r="78" spans="1:3" hidden="1" x14ac:dyDescent="0.3">
      <c r="A78" s="373">
        <v>30696131003</v>
      </c>
      <c r="B78" t="s">
        <v>2158</v>
      </c>
      <c r="C78" s="32" t="s">
        <v>2706</v>
      </c>
    </row>
    <row r="79" spans="1:3" hidden="1" x14ac:dyDescent="0.3">
      <c r="A79" s="373">
        <v>30696131003</v>
      </c>
      <c r="B79" t="s">
        <v>2158</v>
      </c>
      <c r="C79" s="32" t="s">
        <v>2706</v>
      </c>
    </row>
    <row r="80" spans="1:3" hidden="1" x14ac:dyDescent="0.3">
      <c r="A80" s="373">
        <v>30696131003</v>
      </c>
      <c r="B80" t="s">
        <v>2158</v>
      </c>
      <c r="C80" s="32" t="s">
        <v>2706</v>
      </c>
    </row>
    <row r="81" spans="1:3" hidden="1" x14ac:dyDescent="0.3">
      <c r="A81" s="373">
        <v>30696131003</v>
      </c>
      <c r="B81" t="s">
        <v>2158</v>
      </c>
      <c r="C81" s="32" t="s">
        <v>2706</v>
      </c>
    </row>
    <row r="82" spans="1:3" hidden="1" x14ac:dyDescent="0.3">
      <c r="A82" s="373">
        <v>30696131003</v>
      </c>
      <c r="B82" t="s">
        <v>2158</v>
      </c>
      <c r="C82" s="32" t="s">
        <v>2706</v>
      </c>
    </row>
    <row r="83" spans="1:3" hidden="1" x14ac:dyDescent="0.3">
      <c r="A83" s="373">
        <v>30696131003</v>
      </c>
      <c r="B83" t="s">
        <v>2158</v>
      </c>
      <c r="C83" s="32" t="s">
        <v>2706</v>
      </c>
    </row>
    <row r="84" spans="1:3" hidden="1" x14ac:dyDescent="0.3">
      <c r="A84" s="373">
        <v>30696131003</v>
      </c>
      <c r="B84" t="s">
        <v>2158</v>
      </c>
      <c r="C84" s="32" t="s">
        <v>2706</v>
      </c>
    </row>
    <row r="85" spans="1:3" hidden="1" x14ac:dyDescent="0.3">
      <c r="A85" s="373">
        <v>30696131003</v>
      </c>
      <c r="B85" t="s">
        <v>2158</v>
      </c>
      <c r="C85" s="32" t="s">
        <v>2706</v>
      </c>
    </row>
    <row r="86" spans="1:3" hidden="1" x14ac:dyDescent="0.3">
      <c r="A86" s="373" t="s">
        <v>103</v>
      </c>
      <c r="B86" t="s">
        <v>2844</v>
      </c>
      <c r="C86" s="32" t="s">
        <v>2706</v>
      </c>
    </row>
    <row r="87" spans="1:3" hidden="1" x14ac:dyDescent="0.3">
      <c r="A87" s="373">
        <v>30696131003</v>
      </c>
      <c r="B87" t="s">
        <v>2128</v>
      </c>
      <c r="C87" s="32" t="s">
        <v>2706</v>
      </c>
    </row>
    <row r="88" spans="1:3" hidden="1" x14ac:dyDescent="0.3">
      <c r="A88" s="373">
        <v>30696131003</v>
      </c>
      <c r="B88" t="s">
        <v>2128</v>
      </c>
      <c r="C88" s="32" t="s">
        <v>2706</v>
      </c>
    </row>
    <row r="89" spans="1:3" hidden="1" x14ac:dyDescent="0.3">
      <c r="A89" s="373">
        <v>30696131003</v>
      </c>
      <c r="B89" t="s">
        <v>2128</v>
      </c>
      <c r="C89" s="32" t="s">
        <v>2706</v>
      </c>
    </row>
    <row r="90" spans="1:3" hidden="1" x14ac:dyDescent="0.3">
      <c r="A90" s="373">
        <v>30696131003</v>
      </c>
      <c r="B90" t="s">
        <v>2128</v>
      </c>
      <c r="C90" s="32" t="s">
        <v>2706</v>
      </c>
    </row>
    <row r="91" spans="1:3" hidden="1" x14ac:dyDescent="0.3">
      <c r="A91" s="373">
        <v>30572365391</v>
      </c>
      <c r="B91" t="s">
        <v>2686</v>
      </c>
      <c r="C91" s="32" t="s">
        <v>2706</v>
      </c>
    </row>
    <row r="92" spans="1:3" hidden="1" x14ac:dyDescent="0.3">
      <c r="A92" s="374">
        <v>30572365391</v>
      </c>
      <c r="B92" s="375" t="s">
        <v>2686</v>
      </c>
      <c r="C92" s="32" t="s">
        <v>2706</v>
      </c>
    </row>
    <row r="93" spans="1:3" hidden="1" x14ac:dyDescent="0.3">
      <c r="A93" s="373">
        <v>33709344809</v>
      </c>
      <c r="B93" t="s">
        <v>2407</v>
      </c>
      <c r="C93" s="32" t="s">
        <v>2706</v>
      </c>
    </row>
    <row r="94" spans="1:3" hidden="1" x14ac:dyDescent="0.3">
      <c r="A94" s="373">
        <v>33709344809</v>
      </c>
      <c r="B94" t="s">
        <v>2407</v>
      </c>
      <c r="C94" s="32" t="s">
        <v>2706</v>
      </c>
    </row>
    <row r="95" spans="1:3" hidden="1" x14ac:dyDescent="0.3">
      <c r="A95" s="373">
        <v>30574300858</v>
      </c>
      <c r="B95" t="s">
        <v>1872</v>
      </c>
      <c r="C95" s="32" t="s">
        <v>2706</v>
      </c>
    </row>
    <row r="96" spans="1:3" hidden="1" x14ac:dyDescent="0.3">
      <c r="A96" s="373">
        <v>30574300858</v>
      </c>
      <c r="B96" t="s">
        <v>1872</v>
      </c>
      <c r="C96" s="32" t="s">
        <v>2706</v>
      </c>
    </row>
    <row r="97" spans="1:3" hidden="1" x14ac:dyDescent="0.3">
      <c r="A97" s="40">
        <v>30697289433</v>
      </c>
      <c r="B97" s="41" t="s">
        <v>2869</v>
      </c>
      <c r="C97" s="32" t="s">
        <v>2706</v>
      </c>
    </row>
    <row r="98" spans="1:3" hidden="1" x14ac:dyDescent="0.3">
      <c r="A98" s="373">
        <v>30517264160</v>
      </c>
      <c r="B98" t="s">
        <v>2011</v>
      </c>
      <c r="C98" s="32" t="s">
        <v>2706</v>
      </c>
    </row>
    <row r="99" spans="1:3" hidden="1" x14ac:dyDescent="0.3">
      <c r="A99" s="373">
        <v>30517264160</v>
      </c>
      <c r="B99" t="s">
        <v>2011</v>
      </c>
      <c r="C99" s="32" t="s">
        <v>2706</v>
      </c>
    </row>
    <row r="100" spans="1:3" hidden="1" x14ac:dyDescent="0.3">
      <c r="A100" s="372">
        <v>30695243673</v>
      </c>
      <c r="B100" s="375" t="s">
        <v>2109</v>
      </c>
      <c r="C100" s="32" t="s">
        <v>2706</v>
      </c>
    </row>
    <row r="101" spans="1:3" hidden="1" x14ac:dyDescent="0.3">
      <c r="A101" s="373">
        <v>30678774495</v>
      </c>
      <c r="B101" t="s">
        <v>2631</v>
      </c>
      <c r="C101" s="32" t="s">
        <v>2706</v>
      </c>
    </row>
    <row r="102" spans="1:3" hidden="1" x14ac:dyDescent="0.3">
      <c r="A102" s="373">
        <v>20130138005</v>
      </c>
      <c r="B102" t="s">
        <v>2658</v>
      </c>
      <c r="C102" s="32" t="s">
        <v>2706</v>
      </c>
    </row>
    <row r="103" spans="1:3" hidden="1" x14ac:dyDescent="0.3">
      <c r="A103" s="406">
        <v>30708391685</v>
      </c>
      <c r="B103" t="s">
        <v>2883</v>
      </c>
      <c r="C103" s="32" t="s">
        <v>2706</v>
      </c>
    </row>
    <row r="104" spans="1:3" hidden="1" x14ac:dyDescent="0.3">
      <c r="A104" s="373">
        <v>30546689979</v>
      </c>
      <c r="B104" t="s">
        <v>2113</v>
      </c>
      <c r="C104" s="32" t="s">
        <v>2706</v>
      </c>
    </row>
    <row r="105" spans="1:3" hidden="1" x14ac:dyDescent="0.3">
      <c r="A105" s="373">
        <v>30546689979</v>
      </c>
      <c r="B105" t="s">
        <v>2113</v>
      </c>
      <c r="C105" s="32" t="s">
        <v>2706</v>
      </c>
    </row>
    <row r="106" spans="1:3" hidden="1" x14ac:dyDescent="0.3">
      <c r="A106" s="373">
        <v>30686321866</v>
      </c>
      <c r="B106" t="s">
        <v>2910</v>
      </c>
      <c r="C106" s="32" t="s">
        <v>2706</v>
      </c>
    </row>
    <row r="107" spans="1:3" hidden="1" x14ac:dyDescent="0.3">
      <c r="A107" s="373">
        <v>30709585688</v>
      </c>
      <c r="B107" t="s">
        <v>2913</v>
      </c>
      <c r="C107" s="32" t="s">
        <v>2706</v>
      </c>
    </row>
    <row r="108" spans="1:3" hidden="1" x14ac:dyDescent="0.3">
      <c r="A108" s="373">
        <v>30712289046</v>
      </c>
      <c r="B108" t="s">
        <v>2914</v>
      </c>
      <c r="C108" s="32" t="s">
        <v>2706</v>
      </c>
    </row>
    <row r="109" spans="1:3" hidden="1" x14ac:dyDescent="0.3">
      <c r="A109" s="373">
        <v>30716654105</v>
      </c>
      <c r="B109" t="s">
        <v>2388</v>
      </c>
      <c r="C109" s="32" t="s">
        <v>2738</v>
      </c>
    </row>
    <row r="110" spans="1:3" hidden="1" x14ac:dyDescent="0.3">
      <c r="A110" s="373">
        <v>30716654105</v>
      </c>
      <c r="B110" t="s">
        <v>2388</v>
      </c>
      <c r="C110" s="32" t="s">
        <v>2738</v>
      </c>
    </row>
    <row r="111" spans="1:3" hidden="1" x14ac:dyDescent="0.3">
      <c r="A111" s="373">
        <v>30714734446</v>
      </c>
      <c r="B111" t="s">
        <v>2420</v>
      </c>
      <c r="C111" s="32" t="s">
        <v>2738</v>
      </c>
    </row>
    <row r="112" spans="1:3" hidden="1" x14ac:dyDescent="0.3">
      <c r="A112" s="373">
        <v>30717110052</v>
      </c>
      <c r="B112" t="s">
        <v>2872</v>
      </c>
      <c r="C112" s="32" t="s">
        <v>2738</v>
      </c>
    </row>
    <row r="113" spans="1:3" hidden="1" x14ac:dyDescent="0.3">
      <c r="A113" s="373" t="s">
        <v>2606</v>
      </c>
      <c r="B113" t="s">
        <v>2624</v>
      </c>
      <c r="C113" s="32" t="s">
        <v>2745</v>
      </c>
    </row>
    <row r="114" spans="1:3" hidden="1" x14ac:dyDescent="0.3">
      <c r="A114" s="373">
        <v>30715124919</v>
      </c>
      <c r="B114" t="s">
        <v>2425</v>
      </c>
      <c r="C114" s="32" t="s">
        <v>2745</v>
      </c>
    </row>
    <row r="115" spans="1:3" hidden="1" x14ac:dyDescent="0.3">
      <c r="A115" s="373">
        <v>30715124919</v>
      </c>
      <c r="B115" t="s">
        <v>2425</v>
      </c>
      <c r="C115" s="32" t="s">
        <v>2745</v>
      </c>
    </row>
    <row r="116" spans="1:3" hidden="1" x14ac:dyDescent="0.3">
      <c r="A116" s="373" t="s">
        <v>2608</v>
      </c>
      <c r="B116" t="s">
        <v>2628</v>
      </c>
      <c r="C116" s="32" t="s">
        <v>2745</v>
      </c>
    </row>
    <row r="117" spans="1:3" hidden="1" x14ac:dyDescent="0.3">
      <c r="A117" s="373">
        <v>20134664518</v>
      </c>
      <c r="B117" t="s">
        <v>2141</v>
      </c>
      <c r="C117" s="32" t="s">
        <v>2745</v>
      </c>
    </row>
    <row r="118" spans="1:3" hidden="1" x14ac:dyDescent="0.3">
      <c r="A118" s="373">
        <v>20134664518</v>
      </c>
      <c r="B118" t="s">
        <v>2141</v>
      </c>
      <c r="C118" s="32" t="s">
        <v>2745</v>
      </c>
    </row>
    <row r="119" spans="1:3" hidden="1" x14ac:dyDescent="0.3">
      <c r="A119" s="373">
        <v>20134664518</v>
      </c>
      <c r="B119" t="s">
        <v>2141</v>
      </c>
      <c r="C119" s="32" t="s">
        <v>2745</v>
      </c>
    </row>
    <row r="120" spans="1:3" hidden="1" x14ac:dyDescent="0.3">
      <c r="A120" s="373">
        <v>20134664518</v>
      </c>
      <c r="B120" t="s">
        <v>2141</v>
      </c>
      <c r="C120" s="32" t="s">
        <v>2745</v>
      </c>
    </row>
    <row r="121" spans="1:3" hidden="1" x14ac:dyDescent="0.3">
      <c r="A121" s="373">
        <v>20134664518</v>
      </c>
      <c r="B121" t="s">
        <v>2141</v>
      </c>
      <c r="C121" s="32" t="s">
        <v>2745</v>
      </c>
    </row>
    <row r="122" spans="1:3" hidden="1" x14ac:dyDescent="0.3">
      <c r="A122" s="373">
        <v>20134664518</v>
      </c>
      <c r="B122" t="s">
        <v>2141</v>
      </c>
      <c r="C122" s="32" t="s">
        <v>2745</v>
      </c>
    </row>
    <row r="123" spans="1:3" hidden="1" x14ac:dyDescent="0.3">
      <c r="A123" s="373" t="s">
        <v>2604</v>
      </c>
      <c r="B123" t="s">
        <v>2622</v>
      </c>
      <c r="C123" s="32" t="s">
        <v>2745</v>
      </c>
    </row>
    <row r="124" spans="1:3" hidden="1" x14ac:dyDescent="0.3">
      <c r="A124" s="373">
        <v>30589621499</v>
      </c>
      <c r="B124" t="s">
        <v>71</v>
      </c>
      <c r="C124" s="32" t="s">
        <v>2745</v>
      </c>
    </row>
    <row r="125" spans="1:3" hidden="1" x14ac:dyDescent="0.3">
      <c r="A125" s="374">
        <v>30574816870</v>
      </c>
      <c r="B125" s="375" t="s">
        <v>2638</v>
      </c>
      <c r="C125" s="409" t="s">
        <v>2712</v>
      </c>
    </row>
    <row r="126" spans="1:3" hidden="1" x14ac:dyDescent="0.3">
      <c r="A126" s="374">
        <v>30500001735</v>
      </c>
      <c r="B126" s="375" t="s">
        <v>2671</v>
      </c>
      <c r="C126" s="409" t="s">
        <v>2712</v>
      </c>
    </row>
    <row r="127" spans="1:3" hidden="1" x14ac:dyDescent="0.3">
      <c r="A127" s="374">
        <v>30500003193</v>
      </c>
      <c r="B127" s="375" t="s">
        <v>2644</v>
      </c>
      <c r="C127" s="409" t="s">
        <v>2712</v>
      </c>
    </row>
    <row r="128" spans="1:3" hidden="1" x14ac:dyDescent="0.3">
      <c r="A128" s="374">
        <v>30681484635</v>
      </c>
      <c r="B128" s="375" t="s">
        <v>2432</v>
      </c>
      <c r="C128" s="409" t="s">
        <v>2806</v>
      </c>
    </row>
    <row r="129" spans="1:3" hidden="1" x14ac:dyDescent="0.3">
      <c r="A129" s="374">
        <v>30711005966</v>
      </c>
      <c r="B129" s="375" t="s">
        <v>2414</v>
      </c>
      <c r="C129" s="409" t="s">
        <v>2806</v>
      </c>
    </row>
    <row r="130" spans="1:3" hidden="1" x14ac:dyDescent="0.3">
      <c r="A130" s="40">
        <v>30707603123</v>
      </c>
      <c r="B130" t="s">
        <v>2727</v>
      </c>
      <c r="C130" s="32" t="s">
        <v>2728</v>
      </c>
    </row>
    <row r="131" spans="1:3" hidden="1" x14ac:dyDescent="0.3">
      <c r="A131" s="373">
        <v>30694547903</v>
      </c>
      <c r="B131" t="s">
        <v>2555</v>
      </c>
      <c r="C131" s="32" t="s">
        <v>2728</v>
      </c>
    </row>
    <row r="132" spans="1:3" hidden="1" x14ac:dyDescent="0.3">
      <c r="A132" s="373">
        <v>30709863076</v>
      </c>
      <c r="B132" t="s">
        <v>2151</v>
      </c>
      <c r="C132" s="32" t="s">
        <v>2728</v>
      </c>
    </row>
    <row r="133" spans="1:3" hidden="1" x14ac:dyDescent="0.3">
      <c r="A133" s="373">
        <v>30709863076</v>
      </c>
      <c r="B133" t="s">
        <v>2151</v>
      </c>
      <c r="C133" s="32" t="s">
        <v>2728</v>
      </c>
    </row>
    <row r="134" spans="1:3" hidden="1" x14ac:dyDescent="0.3">
      <c r="A134" s="373">
        <v>30709863076</v>
      </c>
      <c r="B134" t="s">
        <v>2151</v>
      </c>
      <c r="C134" s="32" t="s">
        <v>2728</v>
      </c>
    </row>
    <row r="135" spans="1:3" hidden="1" x14ac:dyDescent="0.3">
      <c r="A135" s="373">
        <v>30709863076</v>
      </c>
      <c r="B135" t="s">
        <v>2151</v>
      </c>
      <c r="C135" s="32" t="s">
        <v>2728</v>
      </c>
    </row>
    <row r="136" spans="1:3" hidden="1" x14ac:dyDescent="0.3">
      <c r="A136" s="373">
        <v>30711069360</v>
      </c>
      <c r="B136" t="s">
        <v>2619</v>
      </c>
      <c r="C136" s="32" t="s">
        <v>2729</v>
      </c>
    </row>
    <row r="137" spans="1:3" hidden="1" x14ac:dyDescent="0.3">
      <c r="A137" s="40">
        <v>30711398992</v>
      </c>
      <c r="B137" t="s">
        <v>2746</v>
      </c>
      <c r="C137" s="32" t="s">
        <v>2729</v>
      </c>
    </row>
    <row r="138" spans="1:3" hidden="1" x14ac:dyDescent="0.3">
      <c r="A138" s="40">
        <v>20078694255</v>
      </c>
      <c r="B138" s="41" t="s">
        <v>2755</v>
      </c>
      <c r="C138" s="32" t="s">
        <v>2729</v>
      </c>
    </row>
    <row r="139" spans="1:3" hidden="1" x14ac:dyDescent="0.3">
      <c r="A139" s="373">
        <v>20350875078</v>
      </c>
      <c r="B139" t="s">
        <v>2771</v>
      </c>
      <c r="C139" s="32" t="s">
        <v>2729</v>
      </c>
    </row>
    <row r="140" spans="1:3" hidden="1" x14ac:dyDescent="0.3">
      <c r="A140" s="373">
        <v>30526874249</v>
      </c>
      <c r="B140" t="s">
        <v>2362</v>
      </c>
      <c r="C140" s="32" t="s">
        <v>2729</v>
      </c>
    </row>
    <row r="141" spans="1:3" hidden="1" x14ac:dyDescent="0.3">
      <c r="A141" s="373">
        <v>30704973825</v>
      </c>
      <c r="B141" t="s">
        <v>2785</v>
      </c>
      <c r="C141" s="32" t="s">
        <v>2729</v>
      </c>
    </row>
    <row r="142" spans="1:3" hidden="1" x14ac:dyDescent="0.3">
      <c r="A142" s="40">
        <v>30709710881</v>
      </c>
      <c r="B142" s="41" t="s">
        <v>2790</v>
      </c>
      <c r="C142" s="32" t="s">
        <v>2729</v>
      </c>
    </row>
    <row r="143" spans="1:3" hidden="1" x14ac:dyDescent="0.3">
      <c r="A143" s="373">
        <v>30711651779</v>
      </c>
      <c r="B143" t="s">
        <v>2372</v>
      </c>
      <c r="C143" s="32" t="s">
        <v>2729</v>
      </c>
    </row>
    <row r="144" spans="1:3" hidden="1" x14ac:dyDescent="0.3">
      <c r="A144" s="373">
        <v>30711651779</v>
      </c>
      <c r="B144" t="s">
        <v>2372</v>
      </c>
      <c r="C144" s="32" t="s">
        <v>2729</v>
      </c>
    </row>
    <row r="145" spans="1:3" hidden="1" x14ac:dyDescent="0.3">
      <c r="A145" s="373">
        <v>30711651779</v>
      </c>
      <c r="B145" t="s">
        <v>2155</v>
      </c>
      <c r="C145" s="32" t="s">
        <v>2729</v>
      </c>
    </row>
    <row r="146" spans="1:3" hidden="1" x14ac:dyDescent="0.3">
      <c r="A146" s="373">
        <v>30711651779</v>
      </c>
      <c r="B146" t="s">
        <v>2155</v>
      </c>
      <c r="C146" s="32" t="s">
        <v>2729</v>
      </c>
    </row>
    <row r="147" spans="1:3" hidden="1" x14ac:dyDescent="0.3">
      <c r="A147" s="373">
        <v>30715723871</v>
      </c>
      <c r="B147" t="s">
        <v>1353</v>
      </c>
      <c r="C147" s="32" t="s">
        <v>2729</v>
      </c>
    </row>
    <row r="148" spans="1:3" hidden="1" x14ac:dyDescent="0.3">
      <c r="A148" s="374">
        <v>30716292319</v>
      </c>
      <c r="B148" s="375" t="s">
        <v>2835</v>
      </c>
      <c r="C148" s="409" t="s">
        <v>2729</v>
      </c>
    </row>
    <row r="149" spans="1:3" hidden="1" x14ac:dyDescent="0.3">
      <c r="A149" s="373">
        <v>30715933140</v>
      </c>
      <c r="B149" t="s">
        <v>2840</v>
      </c>
      <c r="C149" s="32" t="s">
        <v>2729</v>
      </c>
    </row>
    <row r="150" spans="1:3" hidden="1" x14ac:dyDescent="0.3">
      <c r="A150" s="373">
        <v>30697262063</v>
      </c>
      <c r="B150" t="s">
        <v>2860</v>
      </c>
      <c r="C150" s="32" t="s">
        <v>2861</v>
      </c>
    </row>
    <row r="151" spans="1:3" hidden="1" x14ac:dyDescent="0.3">
      <c r="A151" s="373">
        <v>30710244401</v>
      </c>
      <c r="B151" t="s">
        <v>2870</v>
      </c>
      <c r="C151" s="32" t="s">
        <v>2729</v>
      </c>
    </row>
    <row r="152" spans="1:3" hidden="1" x14ac:dyDescent="0.3">
      <c r="A152" s="373">
        <v>30715889486</v>
      </c>
      <c r="B152" t="s">
        <v>2136</v>
      </c>
      <c r="C152" s="32" t="s">
        <v>2775</v>
      </c>
    </row>
    <row r="153" spans="1:3" hidden="1" x14ac:dyDescent="0.3">
      <c r="A153" s="373">
        <v>30715889486</v>
      </c>
      <c r="B153" t="s">
        <v>2178</v>
      </c>
      <c r="C153" s="32" t="s">
        <v>2775</v>
      </c>
    </row>
    <row r="154" spans="1:3" hidden="1" x14ac:dyDescent="0.3">
      <c r="A154" s="373">
        <v>30715889486</v>
      </c>
      <c r="B154" t="s">
        <v>2136</v>
      </c>
      <c r="C154" s="32" t="s">
        <v>2775</v>
      </c>
    </row>
    <row r="155" spans="1:3" hidden="1" x14ac:dyDescent="0.3">
      <c r="A155" s="373">
        <v>30715889486</v>
      </c>
      <c r="B155" t="s">
        <v>2136</v>
      </c>
      <c r="C155" s="32" t="s">
        <v>2775</v>
      </c>
    </row>
    <row r="156" spans="1:3" hidden="1" x14ac:dyDescent="0.3">
      <c r="A156" s="373">
        <v>30715889486</v>
      </c>
      <c r="B156" t="s">
        <v>2178</v>
      </c>
      <c r="C156" s="32" t="s">
        <v>2775</v>
      </c>
    </row>
    <row r="157" spans="1:3" hidden="1" x14ac:dyDescent="0.3">
      <c r="A157" s="373">
        <v>30715889486</v>
      </c>
      <c r="B157" t="s">
        <v>2136</v>
      </c>
      <c r="C157" s="32" t="s">
        <v>2775</v>
      </c>
    </row>
    <row r="158" spans="1:3" hidden="1" x14ac:dyDescent="0.3">
      <c r="A158" s="373">
        <v>30697583048</v>
      </c>
      <c r="B158" t="s">
        <v>1316</v>
      </c>
      <c r="C158" s="32" t="s">
        <v>2775</v>
      </c>
    </row>
    <row r="159" spans="1:3" hidden="1" x14ac:dyDescent="0.3">
      <c r="A159" s="373">
        <v>30707826890</v>
      </c>
      <c r="B159" t="s">
        <v>2635</v>
      </c>
      <c r="C159" s="32" t="s">
        <v>2809</v>
      </c>
    </row>
    <row r="160" spans="1:3" hidden="1" x14ac:dyDescent="0.3">
      <c r="A160" s="373">
        <v>20109190110</v>
      </c>
      <c r="B160" t="s">
        <v>2545</v>
      </c>
      <c r="C160" s="32" t="s">
        <v>2718</v>
      </c>
    </row>
    <row r="161" spans="1:4" hidden="1" x14ac:dyDescent="0.3">
      <c r="A161" s="373">
        <v>20235723906</v>
      </c>
      <c r="B161" t="s">
        <v>2734</v>
      </c>
      <c r="C161" s="32" t="s">
        <v>2718</v>
      </c>
    </row>
    <row r="162" spans="1:4" hidden="1" x14ac:dyDescent="0.3">
      <c r="A162" s="373">
        <v>20931803124</v>
      </c>
      <c r="B162" t="s">
        <v>2667</v>
      </c>
      <c r="C162" s="32" t="s">
        <v>2718</v>
      </c>
      <c r="D162" t="s">
        <v>2739</v>
      </c>
    </row>
    <row r="163" spans="1:4" hidden="1" x14ac:dyDescent="0.3">
      <c r="A163" s="40">
        <v>33716633379</v>
      </c>
      <c r="B163" s="41" t="s">
        <v>2799</v>
      </c>
      <c r="C163" s="32" t="s">
        <v>2718</v>
      </c>
    </row>
    <row r="164" spans="1:4" hidden="1" x14ac:dyDescent="0.3">
      <c r="A164" s="373">
        <v>30715342983</v>
      </c>
      <c r="B164" t="s">
        <v>2694</v>
      </c>
      <c r="C164" s="32" t="s">
        <v>2718</v>
      </c>
      <c r="D164" t="s">
        <v>2763</v>
      </c>
    </row>
    <row r="165" spans="1:4" hidden="1" x14ac:dyDescent="0.3">
      <c r="A165" s="373">
        <v>27293936450</v>
      </c>
      <c r="B165" t="s">
        <v>2627</v>
      </c>
      <c r="C165" s="32" t="s">
        <v>2718</v>
      </c>
      <c r="D165" t="s">
        <v>2711</v>
      </c>
    </row>
    <row r="166" spans="1:4" hidden="1" x14ac:dyDescent="0.3">
      <c r="A166" s="373">
        <v>20117862578</v>
      </c>
      <c r="B166" t="s">
        <v>2851</v>
      </c>
      <c r="C166" s="32" t="s">
        <v>2718</v>
      </c>
    </row>
    <row r="167" spans="1:4" hidden="1" x14ac:dyDescent="0.3">
      <c r="A167" s="373">
        <v>30710802404</v>
      </c>
      <c r="B167" t="s">
        <v>2438</v>
      </c>
      <c r="C167" s="32" t="s">
        <v>2718</v>
      </c>
    </row>
    <row r="168" spans="1:4" hidden="1" x14ac:dyDescent="0.3">
      <c r="A168" s="373">
        <v>30710802404</v>
      </c>
      <c r="B168" t="s">
        <v>2438</v>
      </c>
      <c r="C168" s="32" t="s">
        <v>2718</v>
      </c>
    </row>
    <row r="169" spans="1:4" hidden="1" x14ac:dyDescent="0.3">
      <c r="A169" s="373">
        <v>20259150249</v>
      </c>
      <c r="B169" t="s">
        <v>2911</v>
      </c>
      <c r="C169" s="32" t="s">
        <v>2718</v>
      </c>
    </row>
    <row r="170" spans="1:4" hidden="1" x14ac:dyDescent="0.3">
      <c r="A170" s="373">
        <v>30579939008</v>
      </c>
      <c r="B170" t="s">
        <v>2893</v>
      </c>
      <c r="C170" s="32" t="s">
        <v>2704</v>
      </c>
    </row>
    <row r="171" spans="1:4" hidden="1" x14ac:dyDescent="0.3">
      <c r="A171" s="374">
        <v>30682116028</v>
      </c>
      <c r="B171" s="375" t="s">
        <v>2693</v>
      </c>
      <c r="C171" s="32" t="s">
        <v>2704</v>
      </c>
    </row>
    <row r="172" spans="1:4" hidden="1" x14ac:dyDescent="0.3">
      <c r="A172" s="373">
        <v>33707675069</v>
      </c>
      <c r="B172" t="s">
        <v>2695</v>
      </c>
      <c r="C172" s="32" t="s">
        <v>2704</v>
      </c>
    </row>
    <row r="173" spans="1:4" hidden="1" x14ac:dyDescent="0.3">
      <c r="A173" s="373">
        <v>30717264122</v>
      </c>
      <c r="B173" t="s">
        <v>2647</v>
      </c>
      <c r="C173" s="32" t="s">
        <v>2704</v>
      </c>
    </row>
    <row r="174" spans="1:4" hidden="1" x14ac:dyDescent="0.3">
      <c r="A174" s="202">
        <v>33699685459</v>
      </c>
      <c r="B174" t="s">
        <v>2751</v>
      </c>
      <c r="C174" s="32" t="s">
        <v>2704</v>
      </c>
    </row>
    <row r="175" spans="1:4" hidden="1" x14ac:dyDescent="0.3">
      <c r="A175" s="373">
        <v>30692296377</v>
      </c>
      <c r="B175" t="s">
        <v>2752</v>
      </c>
      <c r="C175" s="32" t="s">
        <v>2704</v>
      </c>
    </row>
    <row r="176" spans="1:4" hidden="1" x14ac:dyDescent="0.3">
      <c r="A176" s="373">
        <v>30708574836</v>
      </c>
      <c r="B176" t="s">
        <v>2367</v>
      </c>
      <c r="C176" s="32" t="s">
        <v>2704</v>
      </c>
    </row>
    <row r="177" spans="1:4" hidden="1" x14ac:dyDescent="0.3">
      <c r="A177" s="373">
        <v>30708574836</v>
      </c>
      <c r="B177" t="s">
        <v>2367</v>
      </c>
      <c r="C177" s="32" t="s">
        <v>2704</v>
      </c>
    </row>
    <row r="178" spans="1:4" hidden="1" x14ac:dyDescent="0.3">
      <c r="A178" s="374">
        <v>30544110035</v>
      </c>
      <c r="B178" s="375" t="s">
        <v>2446</v>
      </c>
      <c r="C178" s="32" t="s">
        <v>2704</v>
      </c>
    </row>
    <row r="179" spans="1:4" hidden="1" x14ac:dyDescent="0.3">
      <c r="A179" s="373">
        <v>20044410932</v>
      </c>
      <c r="B179" t="s">
        <v>2784</v>
      </c>
      <c r="C179" s="32" t="s">
        <v>2704</v>
      </c>
    </row>
    <row r="180" spans="1:4" hidden="1" x14ac:dyDescent="0.3">
      <c r="A180" s="373">
        <v>20261696828</v>
      </c>
      <c r="B180" t="s">
        <v>2787</v>
      </c>
      <c r="C180" s="32" t="s">
        <v>2704</v>
      </c>
      <c r="D180" t="s">
        <v>2739</v>
      </c>
    </row>
    <row r="181" spans="1:4" hidden="1" x14ac:dyDescent="0.3">
      <c r="A181" s="373">
        <v>30711731217</v>
      </c>
      <c r="B181" t="s">
        <v>1440</v>
      </c>
      <c r="C181" s="32" t="s">
        <v>2704</v>
      </c>
    </row>
    <row r="182" spans="1:4" hidden="1" x14ac:dyDescent="0.3">
      <c r="A182" s="373">
        <v>30715686054</v>
      </c>
      <c r="B182" t="s">
        <v>1455</v>
      </c>
      <c r="C182" s="32" t="s">
        <v>2704</v>
      </c>
    </row>
    <row r="183" spans="1:4" hidden="1" x14ac:dyDescent="0.3">
      <c r="A183" s="373">
        <v>30707215689</v>
      </c>
      <c r="B183" t="s">
        <v>1567</v>
      </c>
      <c r="C183" s="32" t="s">
        <v>2704</v>
      </c>
    </row>
    <row r="184" spans="1:4" hidden="1" x14ac:dyDescent="0.3">
      <c r="A184" s="373">
        <v>30686978350</v>
      </c>
      <c r="B184" t="s">
        <v>2394</v>
      </c>
      <c r="C184" s="32" t="s">
        <v>2704</v>
      </c>
    </row>
    <row r="185" spans="1:4" hidden="1" x14ac:dyDescent="0.3">
      <c r="A185" s="373">
        <v>30709981141</v>
      </c>
      <c r="B185" t="s">
        <v>1934</v>
      </c>
      <c r="C185" s="32" t="s">
        <v>2704</v>
      </c>
    </row>
    <row r="186" spans="1:4" hidden="1" x14ac:dyDescent="0.3">
      <c r="A186" s="373">
        <v>30709981141</v>
      </c>
      <c r="B186" t="s">
        <v>1934</v>
      </c>
      <c r="C186" s="32" t="s">
        <v>2704</v>
      </c>
    </row>
    <row r="187" spans="1:4" hidden="1" x14ac:dyDescent="0.3">
      <c r="A187" s="373">
        <v>30683612916</v>
      </c>
      <c r="B187" t="s">
        <v>2001</v>
      </c>
      <c r="C187" s="32" t="s">
        <v>2704</v>
      </c>
    </row>
    <row r="188" spans="1:4" hidden="1" x14ac:dyDescent="0.3">
      <c r="A188" s="373">
        <v>30683612916</v>
      </c>
      <c r="B188" t="s">
        <v>2001</v>
      </c>
      <c r="C188" s="32" t="s">
        <v>2704</v>
      </c>
    </row>
    <row r="189" spans="1:4" hidden="1" x14ac:dyDescent="0.3">
      <c r="A189" s="373">
        <v>20141513177</v>
      </c>
      <c r="B189" t="s">
        <v>2007</v>
      </c>
      <c r="C189" s="32" t="s">
        <v>2704</v>
      </c>
    </row>
    <row r="190" spans="1:4" hidden="1" x14ac:dyDescent="0.3">
      <c r="A190" s="373">
        <v>20141513177</v>
      </c>
      <c r="B190" t="s">
        <v>2007</v>
      </c>
      <c r="C190" s="32" t="s">
        <v>2704</v>
      </c>
    </row>
    <row r="191" spans="1:4" hidden="1" x14ac:dyDescent="0.3">
      <c r="A191" s="373">
        <v>30643922157</v>
      </c>
      <c r="B191" t="s">
        <v>2066</v>
      </c>
      <c r="C191" s="32" t="s">
        <v>2704</v>
      </c>
    </row>
    <row r="192" spans="1:4" hidden="1" x14ac:dyDescent="0.3">
      <c r="A192" s="373">
        <v>30643922157</v>
      </c>
      <c r="B192" t="s">
        <v>2066</v>
      </c>
      <c r="C192" s="32" t="s">
        <v>2704</v>
      </c>
    </row>
    <row r="193" spans="1:3" hidden="1" x14ac:dyDescent="0.3">
      <c r="A193" s="373">
        <v>33711043069</v>
      </c>
      <c r="B193" t="s">
        <v>2067</v>
      </c>
      <c r="C193" s="32" t="s">
        <v>2704</v>
      </c>
    </row>
    <row r="194" spans="1:3" hidden="1" x14ac:dyDescent="0.3">
      <c r="A194" s="373">
        <v>33711043069</v>
      </c>
      <c r="B194" t="s">
        <v>2067</v>
      </c>
      <c r="C194" s="32" t="s">
        <v>2704</v>
      </c>
    </row>
    <row r="195" spans="1:3" hidden="1" x14ac:dyDescent="0.3">
      <c r="A195" s="373">
        <v>20266613866</v>
      </c>
      <c r="B195" t="s">
        <v>2552</v>
      </c>
      <c r="C195" s="32" t="s">
        <v>2704</v>
      </c>
    </row>
    <row r="196" spans="1:3" hidden="1" x14ac:dyDescent="0.3">
      <c r="A196" s="373">
        <v>20226549758</v>
      </c>
      <c r="B196" t="s">
        <v>2137</v>
      </c>
      <c r="C196" s="32" t="s">
        <v>2808</v>
      </c>
    </row>
    <row r="197" spans="1:3" hidden="1" x14ac:dyDescent="0.3">
      <c r="A197" s="373">
        <v>20226549758</v>
      </c>
      <c r="B197" t="s">
        <v>2137</v>
      </c>
      <c r="C197" s="32" t="s">
        <v>2808</v>
      </c>
    </row>
    <row r="198" spans="1:3" hidden="1" x14ac:dyDescent="0.3">
      <c r="A198" s="373">
        <v>27409592487</v>
      </c>
      <c r="B198" t="s">
        <v>2143</v>
      </c>
      <c r="C198" s="32" t="s">
        <v>2899</v>
      </c>
    </row>
    <row r="199" spans="1:3" hidden="1" x14ac:dyDescent="0.3">
      <c r="A199" s="373">
        <v>27409592487</v>
      </c>
      <c r="B199" t="s">
        <v>2143</v>
      </c>
      <c r="C199" s="32" t="s">
        <v>2899</v>
      </c>
    </row>
    <row r="200" spans="1:3" hidden="1" x14ac:dyDescent="0.3">
      <c r="A200" s="373">
        <v>30686965801</v>
      </c>
      <c r="B200" s="405" t="s">
        <v>2779</v>
      </c>
      <c r="C200" s="32" t="s">
        <v>2899</v>
      </c>
    </row>
    <row r="201" spans="1:3" hidden="1" x14ac:dyDescent="0.3">
      <c r="A201" s="373">
        <v>30516336885</v>
      </c>
      <c r="B201" t="s">
        <v>2401</v>
      </c>
      <c r="C201" s="32" t="s">
        <v>2899</v>
      </c>
    </row>
    <row r="202" spans="1:3" hidden="1" x14ac:dyDescent="0.3">
      <c r="A202" s="373">
        <v>30646718151</v>
      </c>
      <c r="B202" t="s">
        <v>2569</v>
      </c>
      <c r="C202" s="32" t="s">
        <v>2899</v>
      </c>
    </row>
    <row r="203" spans="1:3" hidden="1" x14ac:dyDescent="0.3">
      <c r="A203" s="373">
        <v>21779325</v>
      </c>
      <c r="B203" t="s">
        <v>2894</v>
      </c>
      <c r="C203" s="32" t="s">
        <v>2890</v>
      </c>
    </row>
    <row r="204" spans="1:3" hidden="1" x14ac:dyDescent="0.3">
      <c r="A204" s="373">
        <v>30714284963</v>
      </c>
      <c r="B204" t="s">
        <v>2422</v>
      </c>
      <c r="C204" s="32" t="s">
        <v>2890</v>
      </c>
    </row>
    <row r="205" spans="1:3" hidden="1" x14ac:dyDescent="0.3">
      <c r="A205" s="373">
        <v>30714284963</v>
      </c>
      <c r="B205" t="s">
        <v>2422</v>
      </c>
      <c r="C205" s="32" t="s">
        <v>2890</v>
      </c>
    </row>
    <row r="206" spans="1:3" hidden="1" x14ac:dyDescent="0.3">
      <c r="A206" s="373">
        <v>23940960509</v>
      </c>
      <c r="B206" t="s">
        <v>1190</v>
      </c>
      <c r="C206" s="32" t="s">
        <v>2890</v>
      </c>
    </row>
    <row r="207" spans="1:3" hidden="1" x14ac:dyDescent="0.3">
      <c r="A207" s="373">
        <v>33714935009</v>
      </c>
      <c r="B207" t="s">
        <v>1208</v>
      </c>
      <c r="C207" s="32" t="s">
        <v>2890</v>
      </c>
    </row>
    <row r="208" spans="1:3" hidden="1" x14ac:dyDescent="0.3">
      <c r="A208" s="408">
        <v>30517306866</v>
      </c>
      <c r="B208" t="s">
        <v>1475</v>
      </c>
      <c r="C208" s="32" t="s">
        <v>2890</v>
      </c>
    </row>
    <row r="209" spans="1:3" hidden="1" x14ac:dyDescent="0.3">
      <c r="A209" s="373">
        <v>20113715538</v>
      </c>
      <c r="B209" t="s">
        <v>2134</v>
      </c>
      <c r="C209" s="32" t="s">
        <v>2890</v>
      </c>
    </row>
    <row r="210" spans="1:3" hidden="1" x14ac:dyDescent="0.3">
      <c r="A210" s="373">
        <v>20113715538</v>
      </c>
      <c r="B210" t="s">
        <v>2134</v>
      </c>
      <c r="C210" s="32" t="s">
        <v>2890</v>
      </c>
    </row>
    <row r="211" spans="1:3" hidden="1" x14ac:dyDescent="0.3">
      <c r="A211" s="373">
        <v>30709822116</v>
      </c>
      <c r="B211" t="s">
        <v>1541</v>
      </c>
      <c r="C211" s="32" t="s">
        <v>2890</v>
      </c>
    </row>
    <row r="212" spans="1:3" hidden="1" x14ac:dyDescent="0.3">
      <c r="A212" s="373">
        <v>30714654701</v>
      </c>
      <c r="B212" t="s">
        <v>1793</v>
      </c>
      <c r="C212" s="32" t="s">
        <v>2890</v>
      </c>
    </row>
    <row r="213" spans="1:3" hidden="1" x14ac:dyDescent="0.3">
      <c r="A213" s="373">
        <v>30710114176</v>
      </c>
      <c r="B213" t="s">
        <v>1938</v>
      </c>
      <c r="C213" s="32" t="s">
        <v>2890</v>
      </c>
    </row>
    <row r="214" spans="1:3" hidden="1" x14ac:dyDescent="0.3">
      <c r="A214" s="373">
        <v>30710114176</v>
      </c>
      <c r="B214" t="s">
        <v>1938</v>
      </c>
      <c r="C214" s="32" t="s">
        <v>2890</v>
      </c>
    </row>
    <row r="215" spans="1:3" hidden="1" x14ac:dyDescent="0.3">
      <c r="A215" s="373">
        <v>30708447036</v>
      </c>
      <c r="B215" t="s">
        <v>1958</v>
      </c>
      <c r="C215" s="32" t="s">
        <v>2890</v>
      </c>
    </row>
    <row r="216" spans="1:3" hidden="1" x14ac:dyDescent="0.3">
      <c r="A216" s="373">
        <v>30708447036</v>
      </c>
      <c r="B216" t="s">
        <v>1958</v>
      </c>
      <c r="C216" s="32" t="s">
        <v>2890</v>
      </c>
    </row>
    <row r="217" spans="1:3" hidden="1" x14ac:dyDescent="0.3">
      <c r="A217" s="373">
        <v>30715689045</v>
      </c>
      <c r="B217" t="s">
        <v>2021</v>
      </c>
      <c r="C217" s="32" t="s">
        <v>2890</v>
      </c>
    </row>
    <row r="218" spans="1:3" hidden="1" x14ac:dyDescent="0.3">
      <c r="A218" s="373">
        <v>30715689045</v>
      </c>
      <c r="B218" t="s">
        <v>2021</v>
      </c>
      <c r="C218" s="32" t="s">
        <v>2890</v>
      </c>
    </row>
    <row r="219" spans="1:3" hidden="1" x14ac:dyDescent="0.3">
      <c r="A219" s="373">
        <v>20105500336</v>
      </c>
      <c r="B219" t="s">
        <v>2068</v>
      </c>
      <c r="C219" s="32" t="s">
        <v>2890</v>
      </c>
    </row>
    <row r="220" spans="1:3" hidden="1" x14ac:dyDescent="0.3">
      <c r="A220" s="373">
        <v>20105500336</v>
      </c>
      <c r="B220" t="s">
        <v>2068</v>
      </c>
      <c r="C220" s="32" t="s">
        <v>2890</v>
      </c>
    </row>
    <row r="221" spans="1:3" hidden="1" x14ac:dyDescent="0.3">
      <c r="A221" s="373">
        <v>27065444777</v>
      </c>
      <c r="B221" t="s">
        <v>2904</v>
      </c>
      <c r="C221" s="32" t="s">
        <v>2890</v>
      </c>
    </row>
    <row r="222" spans="1:3" hidden="1" x14ac:dyDescent="0.3">
      <c r="A222" s="373">
        <v>20357275882</v>
      </c>
      <c r="B222" t="s">
        <v>2715</v>
      </c>
      <c r="C222" s="32" t="s">
        <v>59</v>
      </c>
    </row>
    <row r="223" spans="1:3" hidden="1" x14ac:dyDescent="0.3">
      <c r="A223" s="373">
        <v>30714930490</v>
      </c>
      <c r="B223" t="s">
        <v>2717</v>
      </c>
      <c r="C223" s="32" t="s">
        <v>59</v>
      </c>
    </row>
    <row r="224" spans="1:3" hidden="1" x14ac:dyDescent="0.3">
      <c r="A224" s="373">
        <v>20402435330</v>
      </c>
      <c r="B224" t="s">
        <v>2722</v>
      </c>
      <c r="C224" s="32" t="s">
        <v>59</v>
      </c>
    </row>
    <row r="225" spans="1:4" hidden="1" x14ac:dyDescent="0.3">
      <c r="A225" s="373">
        <v>30644823276</v>
      </c>
      <c r="B225" t="s">
        <v>2542</v>
      </c>
      <c r="C225" s="32" t="s">
        <v>59</v>
      </c>
    </row>
    <row r="226" spans="1:4" hidden="1" x14ac:dyDescent="0.3">
      <c r="A226" s="40">
        <v>30715884328</v>
      </c>
      <c r="B226" t="s">
        <v>2732</v>
      </c>
      <c r="C226" s="32" t="s">
        <v>59</v>
      </c>
    </row>
    <row r="227" spans="1:4" hidden="1" x14ac:dyDescent="0.3">
      <c r="A227" s="373">
        <v>27422248426</v>
      </c>
      <c r="B227" t="s">
        <v>2400</v>
      </c>
      <c r="C227" s="32" t="s">
        <v>59</v>
      </c>
    </row>
    <row r="228" spans="1:4" hidden="1" x14ac:dyDescent="0.3">
      <c r="A228" s="373">
        <v>27422248426</v>
      </c>
      <c r="B228" t="s">
        <v>2400</v>
      </c>
      <c r="C228" s="32" t="s">
        <v>59</v>
      </c>
    </row>
    <row r="229" spans="1:4" hidden="1" x14ac:dyDescent="0.3">
      <c r="A229" s="40">
        <v>30590360763</v>
      </c>
      <c r="B229" t="s">
        <v>2533</v>
      </c>
      <c r="C229" s="32" t="s">
        <v>59</v>
      </c>
    </row>
    <row r="230" spans="1:4" hidden="1" x14ac:dyDescent="0.3">
      <c r="A230" s="373">
        <v>30696692951</v>
      </c>
      <c r="B230" t="s">
        <v>2742</v>
      </c>
      <c r="C230" s="32" t="s">
        <v>2716</v>
      </c>
    </row>
    <row r="231" spans="1:4" hidden="1" x14ac:dyDescent="0.3">
      <c r="A231" s="373">
        <v>30716010739</v>
      </c>
      <c r="B231" t="s">
        <v>2544</v>
      </c>
      <c r="C231" s="32" t="s">
        <v>59</v>
      </c>
    </row>
    <row r="232" spans="1:4" hidden="1" x14ac:dyDescent="0.3">
      <c r="A232" s="40">
        <v>30710677227</v>
      </c>
      <c r="B232" s="41" t="s">
        <v>2744</v>
      </c>
      <c r="C232" s="32" t="s">
        <v>59</v>
      </c>
    </row>
    <row r="233" spans="1:4" hidden="1" x14ac:dyDescent="0.3">
      <c r="A233" s="373">
        <v>30577207190</v>
      </c>
      <c r="B233" t="s">
        <v>2397</v>
      </c>
      <c r="C233" s="32" t="s">
        <v>59</v>
      </c>
      <c r="D233" t="s">
        <v>2711</v>
      </c>
    </row>
    <row r="234" spans="1:4" hidden="1" x14ac:dyDescent="0.3">
      <c r="A234" s="373">
        <v>30548083156</v>
      </c>
      <c r="B234" t="s">
        <v>2641</v>
      </c>
      <c r="C234" s="32" t="s">
        <v>59</v>
      </c>
    </row>
    <row r="235" spans="1:4" hidden="1" x14ac:dyDescent="0.3">
      <c r="A235" s="373">
        <v>30548083156</v>
      </c>
      <c r="B235" t="s">
        <v>2368</v>
      </c>
      <c r="C235" s="32" t="s">
        <v>59</v>
      </c>
    </row>
    <row r="236" spans="1:4" hidden="1" x14ac:dyDescent="0.3">
      <c r="A236" s="373">
        <v>30548083156</v>
      </c>
      <c r="B236" t="s">
        <v>2368</v>
      </c>
      <c r="C236" s="32" t="s">
        <v>59</v>
      </c>
    </row>
    <row r="237" spans="1:4" hidden="1" x14ac:dyDescent="0.3">
      <c r="A237" s="373">
        <v>30548083156</v>
      </c>
      <c r="B237" t="s">
        <v>2368</v>
      </c>
      <c r="C237" s="32" t="s">
        <v>59</v>
      </c>
    </row>
    <row r="238" spans="1:4" hidden="1" x14ac:dyDescent="0.3">
      <c r="A238" s="373">
        <v>30548083156</v>
      </c>
      <c r="B238" t="s">
        <v>2368</v>
      </c>
      <c r="C238" s="32" t="s">
        <v>59</v>
      </c>
    </row>
    <row r="239" spans="1:4" hidden="1" x14ac:dyDescent="0.3">
      <c r="A239" s="373">
        <v>30548083156</v>
      </c>
      <c r="B239" t="s">
        <v>2368</v>
      </c>
      <c r="C239" s="32" t="s">
        <v>59</v>
      </c>
    </row>
    <row r="240" spans="1:4" hidden="1" x14ac:dyDescent="0.3">
      <c r="A240" s="373">
        <v>30548083156</v>
      </c>
      <c r="B240" t="s">
        <v>2368</v>
      </c>
      <c r="C240" s="32" t="s">
        <v>59</v>
      </c>
    </row>
    <row r="241" spans="1:4" hidden="1" x14ac:dyDescent="0.3">
      <c r="A241" s="373">
        <v>33662613199</v>
      </c>
      <c r="B241" t="s">
        <v>2374</v>
      </c>
      <c r="C241" s="32" t="s">
        <v>59</v>
      </c>
    </row>
    <row r="242" spans="1:4" hidden="1" x14ac:dyDescent="0.3">
      <c r="A242" s="373">
        <v>33662613199</v>
      </c>
      <c r="B242" t="s">
        <v>2374</v>
      </c>
      <c r="C242" s="32" t="s">
        <v>59</v>
      </c>
    </row>
    <row r="243" spans="1:4" hidden="1" x14ac:dyDescent="0.3">
      <c r="A243" s="373">
        <v>30707153675</v>
      </c>
      <c r="B243" t="s">
        <v>2756</v>
      </c>
      <c r="C243" s="32" t="s">
        <v>59</v>
      </c>
    </row>
    <row r="244" spans="1:4" hidden="1" x14ac:dyDescent="0.3">
      <c r="A244" s="373">
        <v>20299470645</v>
      </c>
      <c r="B244" t="s">
        <v>2757</v>
      </c>
      <c r="C244" s="32" t="s">
        <v>59</v>
      </c>
    </row>
    <row r="245" spans="1:4" hidden="1" x14ac:dyDescent="0.3">
      <c r="A245" s="373">
        <v>30685849751</v>
      </c>
      <c r="B245" t="s">
        <v>2356</v>
      </c>
      <c r="C245" s="32" t="s">
        <v>59</v>
      </c>
    </row>
    <row r="246" spans="1:4" hidden="1" x14ac:dyDescent="0.3">
      <c r="A246" s="373">
        <v>30685849751</v>
      </c>
      <c r="B246" t="s">
        <v>2356</v>
      </c>
      <c r="C246" s="32" t="s">
        <v>59</v>
      </c>
    </row>
    <row r="247" spans="1:4" hidden="1" x14ac:dyDescent="0.3">
      <c r="A247" s="373">
        <v>30711050767</v>
      </c>
      <c r="B247" t="s">
        <v>2687</v>
      </c>
      <c r="C247" s="32" t="s">
        <v>59</v>
      </c>
      <c r="D247" t="s">
        <v>2763</v>
      </c>
    </row>
    <row r="248" spans="1:4" hidden="1" x14ac:dyDescent="0.3">
      <c r="A248" s="373">
        <v>30708247770</v>
      </c>
      <c r="B248" t="s">
        <v>2554</v>
      </c>
      <c r="C248" s="32" t="s">
        <v>59</v>
      </c>
      <c r="D248" t="s">
        <v>2711</v>
      </c>
    </row>
    <row r="249" spans="1:4" hidden="1" x14ac:dyDescent="0.3">
      <c r="A249" s="373">
        <v>30714749206</v>
      </c>
      <c r="B249" t="s">
        <v>2765</v>
      </c>
      <c r="C249" s="32" t="s">
        <v>59</v>
      </c>
    </row>
    <row r="250" spans="1:4" hidden="1" x14ac:dyDescent="0.3">
      <c r="A250" s="373">
        <v>30707811621</v>
      </c>
      <c r="B250" t="s">
        <v>2767</v>
      </c>
      <c r="C250" s="32" t="s">
        <v>59</v>
      </c>
    </row>
    <row r="251" spans="1:4" hidden="1" x14ac:dyDescent="0.3">
      <c r="A251" s="373">
        <v>30616146447</v>
      </c>
      <c r="B251" t="s">
        <v>2556</v>
      </c>
      <c r="C251" s="32" t="s">
        <v>59</v>
      </c>
    </row>
    <row r="252" spans="1:4" hidden="1" x14ac:dyDescent="0.3">
      <c r="A252" s="373">
        <v>30710819552</v>
      </c>
      <c r="B252" t="s">
        <v>2390</v>
      </c>
      <c r="C252" s="32" t="s">
        <v>59</v>
      </c>
    </row>
    <row r="253" spans="1:4" hidden="1" x14ac:dyDescent="0.3">
      <c r="A253" s="373">
        <v>30709131865</v>
      </c>
      <c r="B253" t="s">
        <v>2546</v>
      </c>
      <c r="C253" s="32" t="s">
        <v>59</v>
      </c>
    </row>
    <row r="254" spans="1:4" hidden="1" x14ac:dyDescent="0.3">
      <c r="A254" s="374">
        <v>30714284963</v>
      </c>
      <c r="B254" s="375" t="s">
        <v>2422</v>
      </c>
      <c r="C254" s="32" t="s">
        <v>59</v>
      </c>
    </row>
    <row r="255" spans="1:4" hidden="1" x14ac:dyDescent="0.3">
      <c r="A255" s="40">
        <v>33714351309</v>
      </c>
      <c r="B255" t="s">
        <v>2780</v>
      </c>
      <c r="C255" s="32" t="s">
        <v>59</v>
      </c>
    </row>
    <row r="256" spans="1:4" hidden="1" x14ac:dyDescent="0.3">
      <c r="A256" s="373">
        <v>20352729451</v>
      </c>
      <c r="B256" t="s">
        <v>2781</v>
      </c>
      <c r="C256" s="32" t="s">
        <v>59</v>
      </c>
    </row>
    <row r="257" spans="1:4" hidden="1" x14ac:dyDescent="0.3">
      <c r="A257" s="373">
        <v>30708624353</v>
      </c>
      <c r="B257" t="s">
        <v>2783</v>
      </c>
      <c r="C257" s="32" t="s">
        <v>59</v>
      </c>
    </row>
    <row r="258" spans="1:4" hidden="1" x14ac:dyDescent="0.3">
      <c r="A258" s="373">
        <v>20136536320</v>
      </c>
      <c r="B258" t="s">
        <v>2404</v>
      </c>
      <c r="C258" s="32" t="s">
        <v>59</v>
      </c>
    </row>
    <row r="259" spans="1:4" hidden="1" x14ac:dyDescent="0.3">
      <c r="A259" s="373">
        <v>20136536320</v>
      </c>
      <c r="B259" t="s">
        <v>2404</v>
      </c>
      <c r="C259" s="32" t="s">
        <v>59</v>
      </c>
    </row>
    <row r="260" spans="1:4" hidden="1" x14ac:dyDescent="0.3">
      <c r="A260" s="373">
        <v>23231010939</v>
      </c>
      <c r="B260" t="s">
        <v>2618</v>
      </c>
      <c r="C260" s="32" t="s">
        <v>59</v>
      </c>
      <c r="D260" t="s">
        <v>2739</v>
      </c>
    </row>
    <row r="261" spans="1:4" hidden="1" x14ac:dyDescent="0.3">
      <c r="A261" s="373">
        <v>30716620162</v>
      </c>
      <c r="B261" t="s">
        <v>2789</v>
      </c>
      <c r="C261" s="32" t="s">
        <v>59</v>
      </c>
    </row>
    <row r="262" spans="1:4" hidden="1" x14ac:dyDescent="0.3">
      <c r="A262" s="373">
        <v>30710831919</v>
      </c>
      <c r="B262" t="s">
        <v>2791</v>
      </c>
      <c r="C262" s="32" t="s">
        <v>59</v>
      </c>
    </row>
    <row r="263" spans="1:4" hidden="1" x14ac:dyDescent="0.3">
      <c r="A263" s="373">
        <v>20929669933</v>
      </c>
      <c r="B263" t="s">
        <v>2892</v>
      </c>
      <c r="C263" s="32" t="s">
        <v>59</v>
      </c>
    </row>
    <row r="264" spans="1:4" hidden="1" x14ac:dyDescent="0.3">
      <c r="A264" s="373">
        <v>20388915413</v>
      </c>
      <c r="B264" t="s">
        <v>2633</v>
      </c>
      <c r="C264" s="32" t="s">
        <v>59</v>
      </c>
      <c r="D264" t="s">
        <v>2739</v>
      </c>
    </row>
    <row r="265" spans="1:4" hidden="1" x14ac:dyDescent="0.3">
      <c r="A265" s="373">
        <v>30717035018</v>
      </c>
      <c r="B265" t="s">
        <v>2549</v>
      </c>
      <c r="C265" s="32" t="s">
        <v>59</v>
      </c>
    </row>
    <row r="266" spans="1:4" hidden="1" x14ac:dyDescent="0.3">
      <c r="A266" s="373">
        <v>30578494185</v>
      </c>
      <c r="B266" t="s">
        <v>1154</v>
      </c>
      <c r="C266" s="32" t="s">
        <v>59</v>
      </c>
    </row>
    <row r="267" spans="1:4" hidden="1" x14ac:dyDescent="0.3">
      <c r="A267" s="373">
        <v>20275447057</v>
      </c>
      <c r="B267" t="s">
        <v>1166</v>
      </c>
      <c r="C267" s="32" t="s">
        <v>59</v>
      </c>
    </row>
    <row r="268" spans="1:4" hidden="1" x14ac:dyDescent="0.3">
      <c r="A268" s="373">
        <v>30717649490</v>
      </c>
      <c r="B268" t="s">
        <v>2377</v>
      </c>
      <c r="C268" s="32" t="s">
        <v>59</v>
      </c>
    </row>
    <row r="269" spans="1:4" hidden="1" x14ac:dyDescent="0.3">
      <c r="A269" s="373">
        <v>30717649490</v>
      </c>
      <c r="B269" t="s">
        <v>2377</v>
      </c>
      <c r="C269" s="32" t="s">
        <v>59</v>
      </c>
    </row>
    <row r="270" spans="1:4" hidden="1" x14ac:dyDescent="0.3">
      <c r="A270" s="373">
        <v>30714730548</v>
      </c>
      <c r="B270" t="s">
        <v>1198</v>
      </c>
      <c r="C270" s="32" t="s">
        <v>59</v>
      </c>
    </row>
    <row r="271" spans="1:4" hidden="1" x14ac:dyDescent="0.3">
      <c r="A271" s="40">
        <v>30716154102</v>
      </c>
      <c r="B271" s="41" t="s">
        <v>2803</v>
      </c>
      <c r="C271" s="32" t="s">
        <v>59</v>
      </c>
    </row>
    <row r="272" spans="1:4" hidden="1" x14ac:dyDescent="0.3">
      <c r="A272" s="40">
        <v>30648230326</v>
      </c>
      <c r="B272" s="41" t="s">
        <v>2804</v>
      </c>
      <c r="C272" s="32" t="s">
        <v>59</v>
      </c>
    </row>
    <row r="273" spans="1:4" hidden="1" x14ac:dyDescent="0.3">
      <c r="A273" s="373">
        <v>30687310434</v>
      </c>
      <c r="B273" t="s">
        <v>2439</v>
      </c>
      <c r="C273" s="32" t="s">
        <v>59</v>
      </c>
    </row>
    <row r="274" spans="1:4" hidden="1" x14ac:dyDescent="0.3">
      <c r="A274" s="373">
        <v>30688241614</v>
      </c>
      <c r="B274" t="s">
        <v>1223</v>
      </c>
      <c r="C274" s="32" t="s">
        <v>59</v>
      </c>
    </row>
    <row r="275" spans="1:4" hidden="1" x14ac:dyDescent="0.3">
      <c r="A275" s="373">
        <v>30714295957</v>
      </c>
      <c r="B275" t="s">
        <v>2807</v>
      </c>
      <c r="C275" s="32" t="s">
        <v>59</v>
      </c>
    </row>
    <row r="276" spans="1:4" hidden="1" x14ac:dyDescent="0.3">
      <c r="A276" s="373">
        <v>20183380231</v>
      </c>
      <c r="B276" t="s">
        <v>1271</v>
      </c>
      <c r="C276" s="32" t="s">
        <v>59</v>
      </c>
    </row>
    <row r="277" spans="1:4" hidden="1" x14ac:dyDescent="0.3">
      <c r="A277" s="373">
        <v>30639057999</v>
      </c>
      <c r="B277" t="s">
        <v>2670</v>
      </c>
      <c r="C277" s="32" t="s">
        <v>59</v>
      </c>
      <c r="D277" t="s">
        <v>2711</v>
      </c>
    </row>
    <row r="278" spans="1:4" hidden="1" x14ac:dyDescent="0.3">
      <c r="A278" s="373">
        <v>33531122599</v>
      </c>
      <c r="B278" t="s">
        <v>1304</v>
      </c>
      <c r="C278" s="32" t="s">
        <v>59</v>
      </c>
    </row>
    <row r="279" spans="1:4" hidden="1" x14ac:dyDescent="0.3">
      <c r="A279" s="373">
        <v>30710374801</v>
      </c>
      <c r="B279" t="s">
        <v>1336</v>
      </c>
      <c r="C279" s="32" t="s">
        <v>59</v>
      </c>
    </row>
    <row r="280" spans="1:4" hidden="1" x14ac:dyDescent="0.3">
      <c r="A280" s="40">
        <v>33707954839</v>
      </c>
      <c r="B280" s="41" t="s">
        <v>2816</v>
      </c>
      <c r="C280" s="32" t="s">
        <v>59</v>
      </c>
    </row>
    <row r="281" spans="1:4" hidden="1" x14ac:dyDescent="0.3">
      <c r="A281" s="373">
        <v>20222524564</v>
      </c>
      <c r="B281" t="s">
        <v>2419</v>
      </c>
      <c r="C281" s="32" t="s">
        <v>59</v>
      </c>
    </row>
    <row r="282" spans="1:4" hidden="1" x14ac:dyDescent="0.3">
      <c r="A282" s="373">
        <v>20222524564</v>
      </c>
      <c r="B282" t="s">
        <v>2419</v>
      </c>
      <c r="C282" s="32" t="s">
        <v>59</v>
      </c>
    </row>
    <row r="283" spans="1:4" hidden="1" x14ac:dyDescent="0.3">
      <c r="A283" s="373">
        <v>20041802082</v>
      </c>
      <c r="B283" t="s">
        <v>1346</v>
      </c>
      <c r="C283" s="32" t="s">
        <v>59</v>
      </c>
    </row>
    <row r="284" spans="1:4" hidden="1" x14ac:dyDescent="0.3">
      <c r="A284" s="373">
        <v>20262808557</v>
      </c>
      <c r="B284" t="s">
        <v>1358</v>
      </c>
      <c r="C284" s="32" t="s">
        <v>59</v>
      </c>
    </row>
    <row r="285" spans="1:4" hidden="1" x14ac:dyDescent="0.3">
      <c r="A285" s="373">
        <v>20345836404</v>
      </c>
      <c r="B285" t="s">
        <v>1379</v>
      </c>
      <c r="C285" s="32" t="s">
        <v>59</v>
      </c>
    </row>
    <row r="286" spans="1:4" hidden="1" x14ac:dyDescent="0.3">
      <c r="A286" s="373">
        <v>20932821851</v>
      </c>
      <c r="B286" t="s">
        <v>1389</v>
      </c>
      <c r="C286" s="32" t="s">
        <v>59</v>
      </c>
    </row>
    <row r="287" spans="1:4" hidden="1" x14ac:dyDescent="0.3">
      <c r="A287" s="373">
        <v>30711561494</v>
      </c>
      <c r="B287" t="s">
        <v>1396</v>
      </c>
      <c r="C287" s="32" t="s">
        <v>59</v>
      </c>
    </row>
    <row r="288" spans="1:4" hidden="1" x14ac:dyDescent="0.3">
      <c r="A288" s="373">
        <v>20309264666</v>
      </c>
      <c r="B288" t="s">
        <v>1401</v>
      </c>
      <c r="C288" s="32" t="s">
        <v>59</v>
      </c>
    </row>
    <row r="289" spans="1:3" hidden="1" x14ac:dyDescent="0.3">
      <c r="A289" s="373">
        <v>20251522899</v>
      </c>
      <c r="B289" t="s">
        <v>2423</v>
      </c>
      <c r="C289" s="32" t="s">
        <v>59</v>
      </c>
    </row>
    <row r="290" spans="1:3" hidden="1" x14ac:dyDescent="0.3">
      <c r="A290" s="373">
        <v>30707880224</v>
      </c>
      <c r="B290" t="s">
        <v>2821</v>
      </c>
      <c r="C290" s="32" t="s">
        <v>59</v>
      </c>
    </row>
    <row r="291" spans="1:3" hidden="1" x14ac:dyDescent="0.3">
      <c r="A291" s="373">
        <v>20173025557</v>
      </c>
      <c r="B291" t="s">
        <v>2129</v>
      </c>
      <c r="C291" s="32" t="s">
        <v>59</v>
      </c>
    </row>
    <row r="292" spans="1:3" hidden="1" x14ac:dyDescent="0.3">
      <c r="A292" s="373">
        <v>20173025557</v>
      </c>
      <c r="B292" t="s">
        <v>2129</v>
      </c>
      <c r="C292" s="32" t="s">
        <v>59</v>
      </c>
    </row>
    <row r="293" spans="1:3" hidden="1" x14ac:dyDescent="0.3">
      <c r="A293" s="373">
        <v>30715893963</v>
      </c>
      <c r="B293" t="s">
        <v>2442</v>
      </c>
      <c r="C293" s="32" t="s">
        <v>59</v>
      </c>
    </row>
    <row r="294" spans="1:3" hidden="1" x14ac:dyDescent="0.3">
      <c r="A294" s="373">
        <v>30715893963</v>
      </c>
      <c r="B294" t="s">
        <v>2442</v>
      </c>
      <c r="C294" s="32" t="s">
        <v>59</v>
      </c>
    </row>
    <row r="295" spans="1:3" hidden="1" x14ac:dyDescent="0.3">
      <c r="A295" s="373">
        <v>30687282279</v>
      </c>
      <c r="B295" t="s">
        <v>2416</v>
      </c>
      <c r="C295" s="32" t="s">
        <v>59</v>
      </c>
    </row>
    <row r="296" spans="1:3" hidden="1" x14ac:dyDescent="0.3">
      <c r="A296" s="373">
        <v>30687282279</v>
      </c>
      <c r="B296" t="s">
        <v>2416</v>
      </c>
      <c r="C296" s="32" t="s">
        <v>59</v>
      </c>
    </row>
    <row r="297" spans="1:3" hidden="1" x14ac:dyDescent="0.3">
      <c r="A297" s="373">
        <v>30709405108</v>
      </c>
      <c r="B297" t="s">
        <v>2825</v>
      </c>
      <c r="C297" s="32" t="s">
        <v>59</v>
      </c>
    </row>
    <row r="298" spans="1:3" hidden="1" x14ac:dyDescent="0.3">
      <c r="A298" s="373">
        <v>30612865333</v>
      </c>
      <c r="B298" t="s">
        <v>1435</v>
      </c>
      <c r="C298" s="32" t="s">
        <v>59</v>
      </c>
    </row>
    <row r="299" spans="1:3" hidden="1" x14ac:dyDescent="0.3">
      <c r="A299" s="373">
        <v>20131581298</v>
      </c>
      <c r="B299" t="s">
        <v>1441</v>
      </c>
      <c r="C299" s="32" t="s">
        <v>59</v>
      </c>
    </row>
    <row r="300" spans="1:3" hidden="1" x14ac:dyDescent="0.3">
      <c r="A300" s="40">
        <v>30716595648</v>
      </c>
      <c r="B300" s="41" t="s">
        <v>2826</v>
      </c>
      <c r="C300" s="32" t="s">
        <v>59</v>
      </c>
    </row>
    <row r="301" spans="1:3" hidden="1" x14ac:dyDescent="0.3">
      <c r="A301" s="373">
        <v>27101205733</v>
      </c>
      <c r="B301" t="s">
        <v>1485</v>
      </c>
      <c r="C301" s="32" t="s">
        <v>59</v>
      </c>
    </row>
    <row r="302" spans="1:3" hidden="1" x14ac:dyDescent="0.3">
      <c r="A302" s="40">
        <v>20236922880</v>
      </c>
      <c r="B302" s="41" t="s">
        <v>2833</v>
      </c>
      <c r="C302" s="32" t="s">
        <v>59</v>
      </c>
    </row>
    <row r="303" spans="1:3" hidden="1" x14ac:dyDescent="0.3">
      <c r="A303" s="373">
        <v>20205670247</v>
      </c>
      <c r="B303" t="s">
        <v>2381</v>
      </c>
      <c r="C303" s="32" t="s">
        <v>59</v>
      </c>
    </row>
    <row r="304" spans="1:3" hidden="1" x14ac:dyDescent="0.3">
      <c r="A304" s="373">
        <v>20205670247</v>
      </c>
      <c r="B304" t="s">
        <v>2381</v>
      </c>
      <c r="C304" s="32" t="s">
        <v>59</v>
      </c>
    </row>
    <row r="305" spans="1:4" hidden="1" x14ac:dyDescent="0.3">
      <c r="A305" s="373">
        <v>30652010489</v>
      </c>
      <c r="B305" t="s">
        <v>1528</v>
      </c>
      <c r="C305" s="32" t="s">
        <v>59</v>
      </c>
    </row>
    <row r="306" spans="1:4" hidden="1" x14ac:dyDescent="0.3">
      <c r="A306" s="373">
        <v>30546764040</v>
      </c>
      <c r="B306" t="s">
        <v>1537</v>
      </c>
      <c r="C306" s="32" t="s">
        <v>59</v>
      </c>
    </row>
    <row r="307" spans="1:4" hidden="1" x14ac:dyDescent="0.3">
      <c r="A307" s="40">
        <v>20381564224</v>
      </c>
      <c r="B307" s="41" t="s">
        <v>2558</v>
      </c>
      <c r="C307" s="32" t="s">
        <v>59</v>
      </c>
    </row>
    <row r="308" spans="1:4" hidden="1" x14ac:dyDescent="0.3">
      <c r="A308" s="373">
        <v>20309026897</v>
      </c>
      <c r="B308" t="s">
        <v>2373</v>
      </c>
      <c r="C308" s="32" t="s">
        <v>59</v>
      </c>
    </row>
    <row r="309" spans="1:4" hidden="1" x14ac:dyDescent="0.3">
      <c r="A309" s="373">
        <v>20309026897</v>
      </c>
      <c r="B309" t="s">
        <v>2373</v>
      </c>
      <c r="C309" s="32" t="s">
        <v>59</v>
      </c>
    </row>
    <row r="310" spans="1:4" hidden="1" x14ac:dyDescent="0.3">
      <c r="A310" s="373">
        <v>30714988936</v>
      </c>
      <c r="B310" t="s">
        <v>2836</v>
      </c>
      <c r="C310" s="32" t="s">
        <v>59</v>
      </c>
    </row>
    <row r="311" spans="1:4" hidden="1" x14ac:dyDescent="0.3">
      <c r="A311" s="373">
        <v>20171082464</v>
      </c>
      <c r="B311" t="s">
        <v>1552</v>
      </c>
      <c r="C311" s="32" t="s">
        <v>59</v>
      </c>
    </row>
    <row r="312" spans="1:4" hidden="1" x14ac:dyDescent="0.3">
      <c r="A312" s="40">
        <v>30709361682</v>
      </c>
      <c r="B312" s="41" t="s">
        <v>2837</v>
      </c>
      <c r="C312" s="32" t="s">
        <v>59</v>
      </c>
    </row>
    <row r="313" spans="1:4" hidden="1" x14ac:dyDescent="0.3">
      <c r="A313" s="373">
        <v>30707092781</v>
      </c>
      <c r="B313" t="s">
        <v>1587</v>
      </c>
      <c r="C313" s="32" t="s">
        <v>59</v>
      </c>
    </row>
    <row r="314" spans="1:4" hidden="1" x14ac:dyDescent="0.3">
      <c r="A314" s="373">
        <v>27937907473</v>
      </c>
      <c r="B314" t="s">
        <v>1591</v>
      </c>
      <c r="C314" s="32" t="s">
        <v>59</v>
      </c>
    </row>
    <row r="315" spans="1:4" hidden="1" x14ac:dyDescent="0.3">
      <c r="A315" s="373">
        <v>30603810550</v>
      </c>
      <c r="B315" t="s">
        <v>1593</v>
      </c>
      <c r="C315" s="32" t="s">
        <v>59</v>
      </c>
    </row>
    <row r="316" spans="1:4" hidden="1" x14ac:dyDescent="0.3">
      <c r="A316" s="373">
        <v>33716659769</v>
      </c>
      <c r="B316" t="s">
        <v>2656</v>
      </c>
      <c r="C316" s="32" t="s">
        <v>59</v>
      </c>
      <c r="D316" t="s">
        <v>2711</v>
      </c>
    </row>
    <row r="317" spans="1:4" hidden="1" x14ac:dyDescent="0.3">
      <c r="A317" s="373">
        <v>30536259194</v>
      </c>
      <c r="B317" t="s">
        <v>1603</v>
      </c>
      <c r="C317" s="32" t="s">
        <v>59</v>
      </c>
    </row>
    <row r="318" spans="1:4" hidden="1" x14ac:dyDescent="0.3">
      <c r="A318" s="373">
        <v>20935729662</v>
      </c>
      <c r="B318" t="s">
        <v>1634</v>
      </c>
      <c r="C318" s="32" t="s">
        <v>59</v>
      </c>
    </row>
    <row r="319" spans="1:4" hidden="1" x14ac:dyDescent="0.3">
      <c r="A319" s="373">
        <v>30605041287</v>
      </c>
      <c r="B319" t="s">
        <v>1637</v>
      </c>
      <c r="C319" s="32" t="s">
        <v>59</v>
      </c>
    </row>
    <row r="320" spans="1:4" hidden="1" x14ac:dyDescent="0.3">
      <c r="A320" s="373">
        <v>30717065286</v>
      </c>
      <c r="B320" t="s">
        <v>2411</v>
      </c>
      <c r="C320" s="32" t="s">
        <v>59</v>
      </c>
    </row>
    <row r="321" spans="1:3" hidden="1" x14ac:dyDescent="0.3">
      <c r="A321" s="373">
        <v>30717065286</v>
      </c>
      <c r="B321" t="s">
        <v>2411</v>
      </c>
      <c r="C321" s="32" t="s">
        <v>59</v>
      </c>
    </row>
    <row r="322" spans="1:3" hidden="1" x14ac:dyDescent="0.3">
      <c r="A322" s="373">
        <v>20113613646</v>
      </c>
      <c r="B322" t="s">
        <v>1673</v>
      </c>
      <c r="C322" s="32" t="s">
        <v>59</v>
      </c>
    </row>
    <row r="323" spans="1:3" hidden="1" x14ac:dyDescent="0.3">
      <c r="A323" s="40">
        <v>30716250071</v>
      </c>
      <c r="B323" s="41" t="s">
        <v>2848</v>
      </c>
      <c r="C323" s="32" t="s">
        <v>59</v>
      </c>
    </row>
    <row r="324" spans="1:3" hidden="1" x14ac:dyDescent="0.3">
      <c r="A324" s="373">
        <v>20243645523</v>
      </c>
      <c r="B324" t="s">
        <v>2703</v>
      </c>
      <c r="C324" s="32" t="s">
        <v>59</v>
      </c>
    </row>
    <row r="325" spans="1:3" hidden="1" x14ac:dyDescent="0.3">
      <c r="A325" s="373">
        <v>30601399446</v>
      </c>
      <c r="B325" t="s">
        <v>1688</v>
      </c>
      <c r="C325" s="32" t="s">
        <v>59</v>
      </c>
    </row>
    <row r="326" spans="1:3" hidden="1" x14ac:dyDescent="0.3">
      <c r="A326" s="373">
        <v>23177941034</v>
      </c>
      <c r="B326" t="s">
        <v>1689</v>
      </c>
      <c r="C326" s="32" t="s">
        <v>59</v>
      </c>
    </row>
    <row r="327" spans="1:3" hidden="1" x14ac:dyDescent="0.3">
      <c r="A327" s="373">
        <v>27200553573</v>
      </c>
      <c r="B327" t="s">
        <v>2853</v>
      </c>
      <c r="C327" s="32" t="s">
        <v>59</v>
      </c>
    </row>
    <row r="328" spans="1:3" hidden="1" x14ac:dyDescent="0.3">
      <c r="A328" s="374">
        <v>33714439869</v>
      </c>
      <c r="B328" s="375" t="s">
        <v>2854</v>
      </c>
      <c r="C328" s="32" t="s">
        <v>59</v>
      </c>
    </row>
    <row r="329" spans="1:3" hidden="1" x14ac:dyDescent="0.3">
      <c r="A329" s="373">
        <v>20174240125</v>
      </c>
      <c r="B329" t="s">
        <v>1720</v>
      </c>
      <c r="C329" s="32" t="s">
        <v>59</v>
      </c>
    </row>
    <row r="330" spans="1:3" hidden="1" x14ac:dyDescent="0.3">
      <c r="A330" s="373">
        <v>30679163317</v>
      </c>
      <c r="B330" t="s">
        <v>2692</v>
      </c>
      <c r="C330" s="32" t="s">
        <v>59</v>
      </c>
    </row>
    <row r="331" spans="1:3" hidden="1" x14ac:dyDescent="0.3">
      <c r="A331" s="373">
        <v>33708793219</v>
      </c>
      <c r="B331" t="s">
        <v>1745</v>
      </c>
      <c r="C331" s="32" t="s">
        <v>59</v>
      </c>
    </row>
    <row r="332" spans="1:3" hidden="1" x14ac:dyDescent="0.3">
      <c r="A332" s="373">
        <v>30687059812</v>
      </c>
      <c r="B332" t="s">
        <v>2857</v>
      </c>
      <c r="C332" s="32" t="s">
        <v>59</v>
      </c>
    </row>
    <row r="333" spans="1:3" hidden="1" x14ac:dyDescent="0.3">
      <c r="A333" s="373">
        <v>30715885596</v>
      </c>
      <c r="B333" t="s">
        <v>2858</v>
      </c>
      <c r="C333" s="32" t="s">
        <v>59</v>
      </c>
    </row>
    <row r="334" spans="1:3" hidden="1" x14ac:dyDescent="0.3">
      <c r="A334" s="373">
        <v>20367393042</v>
      </c>
      <c r="B334" t="s">
        <v>2123</v>
      </c>
      <c r="C334" s="32" t="s">
        <v>59</v>
      </c>
    </row>
    <row r="335" spans="1:3" hidden="1" x14ac:dyDescent="0.3">
      <c r="A335" s="373">
        <v>20162253310</v>
      </c>
      <c r="B335" t="s">
        <v>1782</v>
      </c>
      <c r="C335" s="32" t="s">
        <v>59</v>
      </c>
    </row>
    <row r="336" spans="1:3" hidden="1" x14ac:dyDescent="0.3">
      <c r="A336" s="373">
        <v>30715280422</v>
      </c>
      <c r="B336" t="s">
        <v>2443</v>
      </c>
      <c r="C336" s="32" t="s">
        <v>59</v>
      </c>
    </row>
    <row r="337" spans="1:4" hidden="1" x14ac:dyDescent="0.3">
      <c r="A337" s="373">
        <v>30715280422</v>
      </c>
      <c r="B337" t="s">
        <v>2443</v>
      </c>
      <c r="C337" s="32" t="s">
        <v>59</v>
      </c>
    </row>
    <row r="338" spans="1:4" hidden="1" x14ac:dyDescent="0.3">
      <c r="A338" s="373">
        <v>20263507690</v>
      </c>
      <c r="B338" t="s">
        <v>2699</v>
      </c>
      <c r="C338" s="32" t="s">
        <v>59</v>
      </c>
      <c r="D338" t="s">
        <v>2863</v>
      </c>
    </row>
    <row r="339" spans="1:4" hidden="1" x14ac:dyDescent="0.3">
      <c r="A339" s="373">
        <v>30710444877</v>
      </c>
      <c r="B339" t="s">
        <v>1813</v>
      </c>
      <c r="C339" s="32" t="s">
        <v>59</v>
      </c>
    </row>
    <row r="340" spans="1:4" hidden="1" x14ac:dyDescent="0.3">
      <c r="A340" s="373">
        <v>33709108129</v>
      </c>
      <c r="B340" t="s">
        <v>1814</v>
      </c>
      <c r="C340" s="32" t="s">
        <v>59</v>
      </c>
    </row>
    <row r="341" spans="1:4" hidden="1" x14ac:dyDescent="0.3">
      <c r="A341" s="373">
        <v>27226413095</v>
      </c>
      <c r="B341" t="s">
        <v>2417</v>
      </c>
      <c r="C341" s="32" t="s">
        <v>59</v>
      </c>
    </row>
    <row r="342" spans="1:4" hidden="1" x14ac:dyDescent="0.3">
      <c r="A342" s="373">
        <v>27226413095</v>
      </c>
      <c r="B342" t="s">
        <v>2417</v>
      </c>
      <c r="C342" s="32" t="s">
        <v>59</v>
      </c>
    </row>
    <row r="343" spans="1:4" hidden="1" x14ac:dyDescent="0.3">
      <c r="A343" s="373">
        <v>30715239104</v>
      </c>
      <c r="B343" t="s">
        <v>2391</v>
      </c>
      <c r="C343" s="32" t="s">
        <v>59</v>
      </c>
    </row>
    <row r="344" spans="1:4" hidden="1" x14ac:dyDescent="0.3">
      <c r="A344" s="373">
        <v>30715239104</v>
      </c>
      <c r="B344" t="s">
        <v>2391</v>
      </c>
      <c r="C344" s="32" t="s">
        <v>59</v>
      </c>
    </row>
    <row r="345" spans="1:4" hidden="1" x14ac:dyDescent="0.3">
      <c r="A345" s="373">
        <v>20123154445</v>
      </c>
      <c r="B345" t="s">
        <v>1848</v>
      </c>
      <c r="C345" s="32" t="s">
        <v>59</v>
      </c>
    </row>
    <row r="346" spans="1:4" hidden="1" x14ac:dyDescent="0.3">
      <c r="A346" s="373">
        <v>20123154445</v>
      </c>
      <c r="B346" t="s">
        <v>1848</v>
      </c>
      <c r="C346" s="32" t="s">
        <v>59</v>
      </c>
    </row>
    <row r="347" spans="1:4" hidden="1" x14ac:dyDescent="0.3">
      <c r="A347" s="373">
        <v>27172427400</v>
      </c>
      <c r="B347" t="s">
        <v>106</v>
      </c>
      <c r="C347" s="32" t="s">
        <v>59</v>
      </c>
    </row>
    <row r="348" spans="1:4" hidden="1" x14ac:dyDescent="0.3">
      <c r="A348" s="373">
        <v>27172427400</v>
      </c>
      <c r="B348" t="s">
        <v>106</v>
      </c>
      <c r="C348" s="32" t="s">
        <v>59</v>
      </c>
    </row>
    <row r="349" spans="1:4" hidden="1" x14ac:dyDescent="0.3">
      <c r="A349" s="40">
        <v>33708907869</v>
      </c>
      <c r="B349" t="s">
        <v>2867</v>
      </c>
      <c r="C349" s="32" t="s">
        <v>59</v>
      </c>
    </row>
    <row r="350" spans="1:4" hidden="1" x14ac:dyDescent="0.3">
      <c r="A350" s="373">
        <v>30716648393</v>
      </c>
      <c r="B350" t="s">
        <v>2412</v>
      </c>
      <c r="C350" s="32" t="s">
        <v>59</v>
      </c>
    </row>
    <row r="351" spans="1:4" hidden="1" x14ac:dyDescent="0.3">
      <c r="A351" s="373">
        <v>30716648393</v>
      </c>
      <c r="B351" t="s">
        <v>2412</v>
      </c>
      <c r="C351" s="32" t="s">
        <v>59</v>
      </c>
    </row>
    <row r="352" spans="1:4" hidden="1" x14ac:dyDescent="0.3">
      <c r="A352" s="373">
        <v>33711386179</v>
      </c>
      <c r="B352" t="s">
        <v>2666</v>
      </c>
      <c r="C352" s="32" t="s">
        <v>59</v>
      </c>
      <c r="D352" t="s">
        <v>2711</v>
      </c>
    </row>
    <row r="353" spans="1:3" hidden="1" x14ac:dyDescent="0.3">
      <c r="A353" s="373">
        <v>30699419245</v>
      </c>
      <c r="B353" t="s">
        <v>1874</v>
      </c>
      <c r="C353" s="32" t="s">
        <v>59</v>
      </c>
    </row>
    <row r="354" spans="1:3" hidden="1" x14ac:dyDescent="0.3">
      <c r="A354" s="373">
        <v>30699419245</v>
      </c>
      <c r="B354" t="s">
        <v>1874</v>
      </c>
      <c r="C354" s="32" t="s">
        <v>59</v>
      </c>
    </row>
    <row r="355" spans="1:3" hidden="1" x14ac:dyDescent="0.3">
      <c r="A355" s="373">
        <v>20926929128</v>
      </c>
      <c r="B355" t="s">
        <v>1881</v>
      </c>
      <c r="C355" s="32" t="s">
        <v>59</v>
      </c>
    </row>
    <row r="356" spans="1:3" hidden="1" x14ac:dyDescent="0.3">
      <c r="A356" s="373">
        <v>20926929128</v>
      </c>
      <c r="B356" t="s">
        <v>1881</v>
      </c>
      <c r="C356" s="32" t="s">
        <v>59</v>
      </c>
    </row>
    <row r="357" spans="1:3" hidden="1" x14ac:dyDescent="0.3">
      <c r="A357" s="373">
        <v>30709407895</v>
      </c>
      <c r="B357" t="s">
        <v>2868</v>
      </c>
      <c r="C357" s="32" t="s">
        <v>59</v>
      </c>
    </row>
    <row r="358" spans="1:3" hidden="1" x14ac:dyDescent="0.3">
      <c r="A358" s="373">
        <v>30516336885</v>
      </c>
      <c r="B358" t="s">
        <v>2401</v>
      </c>
      <c r="C358" s="32" t="s">
        <v>59</v>
      </c>
    </row>
    <row r="359" spans="1:3" hidden="1" x14ac:dyDescent="0.3">
      <c r="A359" s="373">
        <v>30695303978</v>
      </c>
      <c r="B359" t="s">
        <v>1931</v>
      </c>
      <c r="C359" s="32" t="s">
        <v>59</v>
      </c>
    </row>
    <row r="360" spans="1:3" hidden="1" x14ac:dyDescent="0.3">
      <c r="A360" s="373">
        <v>30695303978</v>
      </c>
      <c r="B360" t="s">
        <v>1931</v>
      </c>
      <c r="C360" s="32" t="s">
        <v>59</v>
      </c>
    </row>
    <row r="361" spans="1:3" hidden="1" x14ac:dyDescent="0.3">
      <c r="A361" s="373">
        <v>30654855168</v>
      </c>
      <c r="B361" t="s">
        <v>1937</v>
      </c>
      <c r="C361" s="32" t="s">
        <v>59</v>
      </c>
    </row>
    <row r="362" spans="1:3" hidden="1" x14ac:dyDescent="0.3">
      <c r="A362" s="373">
        <v>30654855168</v>
      </c>
      <c r="B362" t="s">
        <v>1937</v>
      </c>
      <c r="C362" s="32" t="s">
        <v>59</v>
      </c>
    </row>
    <row r="363" spans="1:3" hidden="1" x14ac:dyDescent="0.3">
      <c r="A363" s="373">
        <v>30676683867</v>
      </c>
      <c r="B363" t="s">
        <v>1950</v>
      </c>
      <c r="C363" s="32" t="s">
        <v>59</v>
      </c>
    </row>
    <row r="364" spans="1:3" hidden="1" x14ac:dyDescent="0.3">
      <c r="A364" s="373">
        <v>30676683867</v>
      </c>
      <c r="B364" t="s">
        <v>1950</v>
      </c>
      <c r="C364" s="32" t="s">
        <v>59</v>
      </c>
    </row>
    <row r="365" spans="1:3" hidden="1" x14ac:dyDescent="0.3">
      <c r="A365" s="373">
        <v>20259831351</v>
      </c>
      <c r="B365" t="s">
        <v>2873</v>
      </c>
      <c r="C365" s="32" t="s">
        <v>59</v>
      </c>
    </row>
    <row r="366" spans="1:3" hidden="1" x14ac:dyDescent="0.3">
      <c r="A366" s="373">
        <v>30500525327</v>
      </c>
      <c r="B366" t="s">
        <v>2410</v>
      </c>
      <c r="C366" s="32" t="s">
        <v>59</v>
      </c>
    </row>
    <row r="367" spans="1:3" hidden="1" x14ac:dyDescent="0.3">
      <c r="A367" s="373">
        <v>30500525327</v>
      </c>
      <c r="B367" t="s">
        <v>2410</v>
      </c>
      <c r="C367" s="32" t="s">
        <v>59</v>
      </c>
    </row>
    <row r="368" spans="1:3" hidden="1" x14ac:dyDescent="0.3">
      <c r="A368" s="373">
        <v>30708765356</v>
      </c>
      <c r="B368" t="s">
        <v>1998</v>
      </c>
      <c r="C368" s="32" t="s">
        <v>59</v>
      </c>
    </row>
    <row r="369" spans="1:4" hidden="1" x14ac:dyDescent="0.3">
      <c r="A369" s="373">
        <v>30708765356</v>
      </c>
      <c r="B369" t="s">
        <v>1998</v>
      </c>
      <c r="C369" s="32" t="s">
        <v>59</v>
      </c>
    </row>
    <row r="370" spans="1:4" hidden="1" x14ac:dyDescent="0.3">
      <c r="A370" s="373">
        <v>20936626549</v>
      </c>
      <c r="B370" t="s">
        <v>2696</v>
      </c>
      <c r="C370" s="32" t="s">
        <v>59</v>
      </c>
      <c r="D370" t="s">
        <v>2763</v>
      </c>
    </row>
    <row r="371" spans="1:4" hidden="1" x14ac:dyDescent="0.3">
      <c r="A371" s="373">
        <v>30611156045</v>
      </c>
      <c r="B371" t="s">
        <v>2019</v>
      </c>
      <c r="C371" s="32" t="s">
        <v>59</v>
      </c>
    </row>
    <row r="372" spans="1:4" hidden="1" x14ac:dyDescent="0.3">
      <c r="A372" s="373">
        <v>30611156045</v>
      </c>
      <c r="B372" t="s">
        <v>2019</v>
      </c>
      <c r="C372" s="32" t="s">
        <v>59</v>
      </c>
    </row>
    <row r="373" spans="1:4" hidden="1" x14ac:dyDescent="0.3">
      <c r="A373" s="373">
        <v>30689759684</v>
      </c>
      <c r="B373" t="s">
        <v>2024</v>
      </c>
      <c r="C373" s="32" t="s">
        <v>59</v>
      </c>
    </row>
    <row r="374" spans="1:4" hidden="1" x14ac:dyDescent="0.3">
      <c r="A374" s="373">
        <v>30689759684</v>
      </c>
      <c r="B374" t="s">
        <v>2024</v>
      </c>
      <c r="C374" s="32" t="s">
        <v>59</v>
      </c>
    </row>
    <row r="375" spans="1:4" hidden="1" x14ac:dyDescent="0.3">
      <c r="A375" s="373">
        <v>20366883879</v>
      </c>
      <c r="B375" t="s">
        <v>2395</v>
      </c>
      <c r="C375" s="32" t="s">
        <v>59</v>
      </c>
    </row>
    <row r="376" spans="1:4" hidden="1" x14ac:dyDescent="0.3">
      <c r="A376" s="373">
        <v>20366883879</v>
      </c>
      <c r="B376" t="s">
        <v>2395</v>
      </c>
      <c r="C376" s="32" t="s">
        <v>59</v>
      </c>
    </row>
    <row r="377" spans="1:4" hidden="1" x14ac:dyDescent="0.3">
      <c r="A377" s="373">
        <v>20116347742</v>
      </c>
      <c r="B377" t="s">
        <v>2540</v>
      </c>
      <c r="C377" s="32" t="s">
        <v>59</v>
      </c>
      <c r="D377" t="s">
        <v>2711</v>
      </c>
    </row>
    <row r="378" spans="1:4" hidden="1" x14ac:dyDescent="0.3">
      <c r="A378" s="373">
        <v>27208252386</v>
      </c>
      <c r="B378" t="s">
        <v>2050</v>
      </c>
      <c r="C378" s="32" t="s">
        <v>59</v>
      </c>
    </row>
    <row r="379" spans="1:4" hidden="1" x14ac:dyDescent="0.3">
      <c r="A379" s="373">
        <v>27208252386</v>
      </c>
      <c r="B379" t="s">
        <v>2050</v>
      </c>
      <c r="C379" s="32" t="s">
        <v>59</v>
      </c>
    </row>
    <row r="380" spans="1:4" hidden="1" x14ac:dyDescent="0.3">
      <c r="A380" s="373">
        <v>30715385216</v>
      </c>
      <c r="B380" t="s">
        <v>2415</v>
      </c>
      <c r="C380" s="32" t="s">
        <v>59</v>
      </c>
    </row>
    <row r="381" spans="1:4" hidden="1" x14ac:dyDescent="0.3">
      <c r="A381" s="373">
        <v>30715385216</v>
      </c>
      <c r="B381" t="s">
        <v>2415</v>
      </c>
      <c r="C381" s="32" t="s">
        <v>59</v>
      </c>
    </row>
    <row r="382" spans="1:4" hidden="1" x14ac:dyDescent="0.3">
      <c r="A382" s="373">
        <v>23268367969</v>
      </c>
      <c r="B382" t="s">
        <v>2878</v>
      </c>
      <c r="C382" s="32" t="s">
        <v>59</v>
      </c>
    </row>
    <row r="383" spans="1:4" hidden="1" x14ac:dyDescent="0.3">
      <c r="A383" s="373">
        <v>20317527501</v>
      </c>
      <c r="B383" t="s">
        <v>2663</v>
      </c>
      <c r="C383" s="32" t="s">
        <v>59</v>
      </c>
      <c r="D383" t="s">
        <v>2711</v>
      </c>
    </row>
    <row r="384" spans="1:4" hidden="1" x14ac:dyDescent="0.3">
      <c r="A384" s="373">
        <v>20134116251</v>
      </c>
      <c r="B384" t="s">
        <v>2801</v>
      </c>
      <c r="C384" s="32" t="s">
        <v>59</v>
      </c>
    </row>
    <row r="385" spans="1:4" hidden="1" x14ac:dyDescent="0.3">
      <c r="A385" s="373">
        <v>20226341596</v>
      </c>
      <c r="B385" t="s">
        <v>2440</v>
      </c>
      <c r="C385" s="32" t="s">
        <v>59</v>
      </c>
    </row>
    <row r="386" spans="1:4" hidden="1" x14ac:dyDescent="0.3">
      <c r="A386" s="373">
        <v>20226341596</v>
      </c>
      <c r="B386" t="s">
        <v>2440</v>
      </c>
      <c r="C386" s="32" t="s">
        <v>59</v>
      </c>
    </row>
    <row r="387" spans="1:4" hidden="1" x14ac:dyDescent="0.3">
      <c r="A387" s="373">
        <v>27329450991</v>
      </c>
      <c r="B387" t="s">
        <v>2437</v>
      </c>
      <c r="C387" s="32" t="s">
        <v>59</v>
      </c>
    </row>
    <row r="388" spans="1:4" hidden="1" x14ac:dyDescent="0.3">
      <c r="A388" s="373">
        <v>27329450991</v>
      </c>
      <c r="B388" t="s">
        <v>2437</v>
      </c>
      <c r="C388" s="32" t="s">
        <v>59</v>
      </c>
    </row>
    <row r="389" spans="1:4" hidden="1" x14ac:dyDescent="0.3">
      <c r="A389" s="373">
        <v>27301511669</v>
      </c>
      <c r="B389" t="s">
        <v>2906</v>
      </c>
      <c r="C389" s="32" t="s">
        <v>59</v>
      </c>
    </row>
    <row r="390" spans="1:4" hidden="1" x14ac:dyDescent="0.3">
      <c r="A390" s="373">
        <v>30700950057</v>
      </c>
      <c r="B390" t="s">
        <v>2908</v>
      </c>
      <c r="C390" s="32" t="s">
        <v>59</v>
      </c>
    </row>
    <row r="391" spans="1:4" hidden="1" x14ac:dyDescent="0.3">
      <c r="A391" s="373">
        <v>27190214295</v>
      </c>
      <c r="B391" t="s">
        <v>2915</v>
      </c>
      <c r="C391" s="32" t="s">
        <v>59</v>
      </c>
    </row>
    <row r="392" spans="1:4" hidden="1" x14ac:dyDescent="0.3">
      <c r="A392" s="373">
        <v>30612929455</v>
      </c>
      <c r="B392" t="s">
        <v>2433</v>
      </c>
      <c r="C392" s="32" t="s">
        <v>59</v>
      </c>
    </row>
    <row r="393" spans="1:4" hidden="1" x14ac:dyDescent="0.3">
      <c r="A393" s="373">
        <v>20428598211</v>
      </c>
      <c r="B393" t="s">
        <v>2724</v>
      </c>
      <c r="C393" s="32" t="s">
        <v>2725</v>
      </c>
    </row>
    <row r="394" spans="1:4" hidden="1" x14ac:dyDescent="0.3">
      <c r="A394" s="373">
        <v>30715434276</v>
      </c>
      <c r="B394" t="s">
        <v>2674</v>
      </c>
      <c r="C394" s="32" t="s">
        <v>2725</v>
      </c>
    </row>
    <row r="395" spans="1:4" hidden="1" x14ac:dyDescent="0.3">
      <c r="A395" s="373">
        <v>20043671430</v>
      </c>
      <c r="B395" t="s">
        <v>2685</v>
      </c>
      <c r="C395" s="32" t="s">
        <v>2725</v>
      </c>
      <c r="D395" t="s">
        <v>2766</v>
      </c>
    </row>
    <row r="396" spans="1:4" hidden="1" x14ac:dyDescent="0.3">
      <c r="A396" s="373">
        <v>30716620634</v>
      </c>
      <c r="B396" t="s">
        <v>2672</v>
      </c>
      <c r="C396" s="32" t="s">
        <v>2725</v>
      </c>
      <c r="D396" t="s">
        <v>2711</v>
      </c>
    </row>
    <row r="397" spans="1:4" hidden="1" x14ac:dyDescent="0.3">
      <c r="A397" s="373">
        <v>20132380741</v>
      </c>
      <c r="B397" t="s">
        <v>2788</v>
      </c>
      <c r="C397" s="32" t="s">
        <v>2725</v>
      </c>
    </row>
    <row r="398" spans="1:4" hidden="1" x14ac:dyDescent="0.3">
      <c r="A398" s="373">
        <v>20229538366</v>
      </c>
      <c r="B398" t="s">
        <v>2822</v>
      </c>
      <c r="C398" s="32" t="s">
        <v>2725</v>
      </c>
    </row>
    <row r="399" spans="1:4" hidden="1" x14ac:dyDescent="0.3">
      <c r="A399" s="374">
        <v>30703088534</v>
      </c>
      <c r="B399" s="375" t="s">
        <v>1462</v>
      </c>
      <c r="C399" s="32" t="s">
        <v>2725</v>
      </c>
    </row>
    <row r="400" spans="1:4" hidden="1" x14ac:dyDescent="0.3">
      <c r="A400" s="373">
        <v>30552433595</v>
      </c>
      <c r="B400" t="s">
        <v>2632</v>
      </c>
      <c r="C400" s="32" t="s">
        <v>2725</v>
      </c>
    </row>
    <row r="401" spans="1:4" hidden="1" x14ac:dyDescent="0.3">
      <c r="A401" s="373">
        <v>30620177497</v>
      </c>
      <c r="B401" t="s">
        <v>1695</v>
      </c>
      <c r="C401" s="32" t="s">
        <v>2725</v>
      </c>
    </row>
    <row r="402" spans="1:4" hidden="1" x14ac:dyDescent="0.3">
      <c r="A402" s="373">
        <v>30714705128</v>
      </c>
      <c r="B402" t="s">
        <v>2879</v>
      </c>
      <c r="C402" s="32" t="s">
        <v>2725</v>
      </c>
      <c r="D402" t="s">
        <v>2880</v>
      </c>
    </row>
    <row r="403" spans="1:4" hidden="1" x14ac:dyDescent="0.3">
      <c r="A403" s="373">
        <v>20300814094</v>
      </c>
      <c r="B403" t="s">
        <v>2146</v>
      </c>
      <c r="C403" s="32" t="s">
        <v>2725</v>
      </c>
    </row>
    <row r="404" spans="1:4" hidden="1" x14ac:dyDescent="0.3">
      <c r="A404" s="373">
        <v>20300814094</v>
      </c>
      <c r="B404" t="s">
        <v>2146</v>
      </c>
      <c r="C404" s="32" t="s">
        <v>2725</v>
      </c>
    </row>
    <row r="405" spans="1:4" hidden="1" x14ac:dyDescent="0.3">
      <c r="A405" s="373">
        <v>30716091879</v>
      </c>
      <c r="B405" t="s">
        <v>1764</v>
      </c>
      <c r="C405" s="32" t="s">
        <v>2919</v>
      </c>
    </row>
    <row r="406" spans="1:4" hidden="1" x14ac:dyDescent="0.3">
      <c r="A406" s="40">
        <v>30660981736</v>
      </c>
      <c r="B406" t="s">
        <v>2856</v>
      </c>
      <c r="C406" s="32" t="s">
        <v>2736</v>
      </c>
    </row>
    <row r="407" spans="1:4" hidden="1" x14ac:dyDescent="0.3">
      <c r="A407" s="373">
        <v>23920485979</v>
      </c>
      <c r="B407" t="s">
        <v>2465</v>
      </c>
      <c r="C407" s="32" t="s">
        <v>2786</v>
      </c>
    </row>
    <row r="408" spans="1:4" hidden="1" x14ac:dyDescent="0.3">
      <c r="A408" s="373">
        <v>20403969886</v>
      </c>
      <c r="B408" t="s">
        <v>2571</v>
      </c>
      <c r="C408" s="32" t="s">
        <v>2786</v>
      </c>
    </row>
    <row r="409" spans="1:4" hidden="1" x14ac:dyDescent="0.3">
      <c r="A409" s="373">
        <v>23319210954</v>
      </c>
      <c r="B409" t="s">
        <v>2402</v>
      </c>
      <c r="C409" s="32" t="s">
        <v>2889</v>
      </c>
    </row>
    <row r="410" spans="1:4" hidden="1" x14ac:dyDescent="0.3">
      <c r="A410" s="373">
        <v>20103906149</v>
      </c>
      <c r="B410" t="s">
        <v>2885</v>
      </c>
      <c r="C410" s="32" t="s">
        <v>2889</v>
      </c>
    </row>
    <row r="411" spans="1:4" hidden="1" x14ac:dyDescent="0.3">
      <c r="A411" s="373">
        <v>20103906149</v>
      </c>
      <c r="B411" t="s">
        <v>2444</v>
      </c>
      <c r="C411" s="32" t="s">
        <v>2889</v>
      </c>
    </row>
    <row r="412" spans="1:4" hidden="1" x14ac:dyDescent="0.3">
      <c r="A412" s="373">
        <v>20086277523</v>
      </c>
      <c r="B412" t="s">
        <v>2435</v>
      </c>
      <c r="C412" s="32" t="s">
        <v>2889</v>
      </c>
    </row>
    <row r="413" spans="1:4" hidden="1" x14ac:dyDescent="0.3">
      <c r="A413" s="373">
        <v>20086277523</v>
      </c>
      <c r="B413" t="s">
        <v>2435</v>
      </c>
      <c r="C413" s="32" t="s">
        <v>2889</v>
      </c>
    </row>
    <row r="414" spans="1:4" hidden="1" x14ac:dyDescent="0.3">
      <c r="A414" s="373">
        <v>20210551574</v>
      </c>
      <c r="B414" t="s">
        <v>2403</v>
      </c>
      <c r="C414" s="32" t="s">
        <v>2761</v>
      </c>
    </row>
    <row r="415" spans="1:4" hidden="1" x14ac:dyDescent="0.3">
      <c r="A415" s="374">
        <v>20145337918</v>
      </c>
      <c r="B415" s="375" t="s">
        <v>2760</v>
      </c>
      <c r="C415" s="409" t="s">
        <v>2761</v>
      </c>
    </row>
    <row r="416" spans="1:4" hidden="1" x14ac:dyDescent="0.3">
      <c r="A416" s="373">
        <v>23145783224</v>
      </c>
      <c r="B416" t="s">
        <v>80</v>
      </c>
      <c r="C416" s="32" t="s">
        <v>2761</v>
      </c>
    </row>
    <row r="417" spans="1:4" hidden="1" x14ac:dyDescent="0.3">
      <c r="A417" s="373">
        <v>23145783224</v>
      </c>
      <c r="B417" t="s">
        <v>80</v>
      </c>
      <c r="C417" s="32" t="s">
        <v>2761</v>
      </c>
    </row>
    <row r="418" spans="1:4" hidden="1" x14ac:dyDescent="0.3">
      <c r="A418" s="373">
        <v>20045468128</v>
      </c>
      <c r="B418" t="s">
        <v>2902</v>
      </c>
      <c r="C418" s="32" t="s">
        <v>2761</v>
      </c>
    </row>
    <row r="419" spans="1:4" hidden="1" x14ac:dyDescent="0.3">
      <c r="A419" s="373">
        <v>20286401989</v>
      </c>
      <c r="B419" t="s">
        <v>2903</v>
      </c>
      <c r="C419" s="32" t="s">
        <v>2761</v>
      </c>
    </row>
    <row r="420" spans="1:4" hidden="1" x14ac:dyDescent="0.3">
      <c r="A420" s="374">
        <v>20240305128</v>
      </c>
      <c r="B420" t="s">
        <v>2378</v>
      </c>
      <c r="C420" s="32" t="s">
        <v>70</v>
      </c>
    </row>
    <row r="421" spans="1:4" hidden="1" x14ac:dyDescent="0.3">
      <c r="A421" s="373">
        <v>20172002448</v>
      </c>
      <c r="B421" t="s">
        <v>2698</v>
      </c>
      <c r="C421" s="32" t="s">
        <v>70</v>
      </c>
      <c r="D421" t="s">
        <v>2711</v>
      </c>
    </row>
    <row r="422" spans="1:4" hidden="1" x14ac:dyDescent="0.3">
      <c r="A422" s="373">
        <v>30661282963</v>
      </c>
      <c r="B422" t="s">
        <v>2723</v>
      </c>
      <c r="C422" s="32" t="s">
        <v>70</v>
      </c>
    </row>
    <row r="423" spans="1:4" hidden="1" x14ac:dyDescent="0.3">
      <c r="A423" s="373">
        <v>30714012734</v>
      </c>
      <c r="B423" t="s">
        <v>2426</v>
      </c>
      <c r="C423" s="32" t="s">
        <v>70</v>
      </c>
    </row>
    <row r="424" spans="1:4" hidden="1" x14ac:dyDescent="0.3">
      <c r="A424" s="373">
        <v>20231469975</v>
      </c>
      <c r="B424" t="s">
        <v>2743</v>
      </c>
      <c r="C424" s="32" t="s">
        <v>70</v>
      </c>
    </row>
    <row r="425" spans="1:4" hidden="1" x14ac:dyDescent="0.3">
      <c r="A425" s="373">
        <v>30717219232</v>
      </c>
      <c r="B425" t="s">
        <v>2557</v>
      </c>
      <c r="C425" s="32" t="s">
        <v>70</v>
      </c>
    </row>
    <row r="426" spans="1:4" hidden="1" x14ac:dyDescent="0.3">
      <c r="A426" s="374">
        <v>30693293754</v>
      </c>
      <c r="B426" s="375" t="s">
        <v>2753</v>
      </c>
      <c r="C426" s="32" t="s">
        <v>70</v>
      </c>
    </row>
    <row r="427" spans="1:4" hidden="1" x14ac:dyDescent="0.3">
      <c r="A427" s="373">
        <v>23127284369</v>
      </c>
      <c r="B427" t="s">
        <v>2630</v>
      </c>
      <c r="C427" s="32" t="s">
        <v>70</v>
      </c>
    </row>
    <row r="428" spans="1:4" hidden="1" x14ac:dyDescent="0.3">
      <c r="A428" s="373">
        <v>23127284369</v>
      </c>
      <c r="B428" t="s">
        <v>2152</v>
      </c>
      <c r="C428" s="32" t="s">
        <v>70</v>
      </c>
    </row>
    <row r="429" spans="1:4" hidden="1" x14ac:dyDescent="0.3">
      <c r="A429" s="373">
        <v>23127284369</v>
      </c>
      <c r="B429" t="s">
        <v>2152</v>
      </c>
      <c r="C429" s="32" t="s">
        <v>70</v>
      </c>
    </row>
    <row r="430" spans="1:4" hidden="1" x14ac:dyDescent="0.3">
      <c r="A430" s="373">
        <v>30707838260</v>
      </c>
      <c r="B430" t="s">
        <v>2387</v>
      </c>
      <c r="C430" s="32" t="s">
        <v>70</v>
      </c>
    </row>
    <row r="431" spans="1:4" hidden="1" x14ac:dyDescent="0.3">
      <c r="A431" s="373">
        <v>30707838260</v>
      </c>
      <c r="B431" t="s">
        <v>2387</v>
      </c>
      <c r="C431" s="32" t="s">
        <v>70</v>
      </c>
    </row>
    <row r="432" spans="1:4" hidden="1" x14ac:dyDescent="0.3">
      <c r="A432" s="40">
        <v>20940147981</v>
      </c>
      <c r="B432" s="41" t="s">
        <v>2770</v>
      </c>
      <c r="C432" s="32" t="s">
        <v>70</v>
      </c>
    </row>
    <row r="433" spans="1:3" hidden="1" x14ac:dyDescent="0.3">
      <c r="A433" s="373">
        <v>30715188674</v>
      </c>
      <c r="B433" t="s">
        <v>2421</v>
      </c>
      <c r="C433" s="32" t="s">
        <v>70</v>
      </c>
    </row>
    <row r="434" spans="1:3" hidden="1" x14ac:dyDescent="0.3">
      <c r="A434" s="373">
        <v>30715188674</v>
      </c>
      <c r="B434" t="s">
        <v>2421</v>
      </c>
      <c r="C434" s="32" t="s">
        <v>70</v>
      </c>
    </row>
    <row r="435" spans="1:3" hidden="1" x14ac:dyDescent="0.3">
      <c r="A435" s="373">
        <v>20283638783</v>
      </c>
      <c r="B435" t="s">
        <v>2797</v>
      </c>
      <c r="C435" s="32" t="s">
        <v>70</v>
      </c>
    </row>
    <row r="436" spans="1:3" hidden="1" x14ac:dyDescent="0.3">
      <c r="A436" s="40">
        <v>30709804274</v>
      </c>
      <c r="B436" s="41" t="s">
        <v>2798</v>
      </c>
      <c r="C436" s="32" t="s">
        <v>70</v>
      </c>
    </row>
    <row r="437" spans="1:3" hidden="1" x14ac:dyDescent="0.3">
      <c r="A437" s="373">
        <v>30712778403</v>
      </c>
      <c r="B437" t="s">
        <v>1135</v>
      </c>
      <c r="C437" s="32" t="s">
        <v>70</v>
      </c>
    </row>
    <row r="438" spans="1:3" hidden="1" x14ac:dyDescent="0.3">
      <c r="A438" s="373">
        <v>30711894809</v>
      </c>
      <c r="B438" t="s">
        <v>2800</v>
      </c>
      <c r="C438" s="32" t="s">
        <v>70</v>
      </c>
    </row>
    <row r="439" spans="1:3" hidden="1" x14ac:dyDescent="0.3">
      <c r="A439" s="373">
        <v>30674346227</v>
      </c>
      <c r="B439" t="s">
        <v>2805</v>
      </c>
      <c r="C439" s="32" t="s">
        <v>70</v>
      </c>
    </row>
    <row r="440" spans="1:3" hidden="1" x14ac:dyDescent="0.3">
      <c r="A440" s="373">
        <v>23120106953</v>
      </c>
      <c r="B440" t="s">
        <v>2140</v>
      </c>
      <c r="C440" s="32" t="s">
        <v>70</v>
      </c>
    </row>
    <row r="441" spans="1:3" hidden="1" x14ac:dyDescent="0.3">
      <c r="A441" s="373">
        <v>23120106953</v>
      </c>
      <c r="B441" t="s">
        <v>2140</v>
      </c>
      <c r="C441" s="32" t="s">
        <v>70</v>
      </c>
    </row>
    <row r="442" spans="1:3" hidden="1" x14ac:dyDescent="0.3">
      <c r="A442" s="373">
        <v>20115545397</v>
      </c>
      <c r="B442" t="s">
        <v>1354</v>
      </c>
      <c r="C442" s="32" t="s">
        <v>70</v>
      </c>
    </row>
    <row r="443" spans="1:3" hidden="1" x14ac:dyDescent="0.3">
      <c r="A443" s="373">
        <v>30715148958</v>
      </c>
      <c r="B443" t="s">
        <v>1355</v>
      </c>
      <c r="C443" s="32" t="s">
        <v>70</v>
      </c>
    </row>
    <row r="444" spans="1:3" hidden="1" x14ac:dyDescent="0.3">
      <c r="A444" s="373">
        <v>30679067431</v>
      </c>
      <c r="B444" t="s">
        <v>1356</v>
      </c>
      <c r="C444" s="32" t="s">
        <v>70</v>
      </c>
    </row>
    <row r="445" spans="1:3" hidden="1" x14ac:dyDescent="0.3">
      <c r="A445" s="373">
        <v>30709496294</v>
      </c>
      <c r="B445" t="s">
        <v>2541</v>
      </c>
      <c r="C445" s="32" t="s">
        <v>70</v>
      </c>
    </row>
    <row r="446" spans="1:3" hidden="1" x14ac:dyDescent="0.3">
      <c r="A446" s="373">
        <v>30708261110</v>
      </c>
      <c r="B446" t="s">
        <v>2834</v>
      </c>
      <c r="C446" s="32" t="s">
        <v>70</v>
      </c>
    </row>
    <row r="447" spans="1:3" hidden="1" x14ac:dyDescent="0.3">
      <c r="A447" s="374">
        <v>30646811062</v>
      </c>
      <c r="B447" s="375" t="s">
        <v>2850</v>
      </c>
      <c r="C447" s="32" t="s">
        <v>70</v>
      </c>
    </row>
    <row r="448" spans="1:3" hidden="1" x14ac:dyDescent="0.3">
      <c r="A448" s="374">
        <v>33643358749</v>
      </c>
      <c r="B448" s="375" t="s">
        <v>2665</v>
      </c>
      <c r="C448" s="32" t="s">
        <v>70</v>
      </c>
    </row>
    <row r="449" spans="1:3" hidden="1" x14ac:dyDescent="0.3">
      <c r="A449" s="373">
        <v>20232507978</v>
      </c>
      <c r="B449" t="s">
        <v>2445</v>
      </c>
      <c r="C449" s="32" t="s">
        <v>70</v>
      </c>
    </row>
    <row r="450" spans="1:3" hidden="1" x14ac:dyDescent="0.3">
      <c r="A450" s="373">
        <v>20232507978</v>
      </c>
      <c r="B450" t="s">
        <v>2445</v>
      </c>
      <c r="C450" s="32" t="s">
        <v>70</v>
      </c>
    </row>
    <row r="451" spans="1:3" hidden="1" x14ac:dyDescent="0.3">
      <c r="A451" s="374">
        <v>30633678509</v>
      </c>
      <c r="B451" s="375" t="s">
        <v>2547</v>
      </c>
      <c r="C451" s="32" t="s">
        <v>70</v>
      </c>
    </row>
    <row r="452" spans="1:3" hidden="1" x14ac:dyDescent="0.3">
      <c r="A452" s="40">
        <v>23366871349</v>
      </c>
      <c r="B452" s="41" t="s">
        <v>2871</v>
      </c>
      <c r="C452" s="32" t="s">
        <v>70</v>
      </c>
    </row>
    <row r="453" spans="1:3" hidden="1" x14ac:dyDescent="0.3">
      <c r="A453" s="373">
        <v>33693450239</v>
      </c>
      <c r="B453" t="s">
        <v>2707</v>
      </c>
      <c r="C453" s="32" t="s">
        <v>2708</v>
      </c>
    </row>
    <row r="454" spans="1:3" hidden="1" x14ac:dyDescent="0.3">
      <c r="A454" s="373">
        <v>30714069639</v>
      </c>
      <c r="B454" t="s">
        <v>2713</v>
      </c>
      <c r="C454" s="32" t="s">
        <v>2714</v>
      </c>
    </row>
    <row r="455" spans="1:3" hidden="1" x14ac:dyDescent="0.3">
      <c r="A455" s="373">
        <v>27302111346</v>
      </c>
      <c r="B455" t="s">
        <v>2398</v>
      </c>
      <c r="C455" s="32" t="s">
        <v>2714</v>
      </c>
    </row>
    <row r="456" spans="1:3" hidden="1" x14ac:dyDescent="0.3">
      <c r="A456" s="373">
        <v>27302111346</v>
      </c>
      <c r="B456" t="s">
        <v>2398</v>
      </c>
      <c r="C456" s="32" t="s">
        <v>2714</v>
      </c>
    </row>
    <row r="457" spans="1:3" hidden="1" x14ac:dyDescent="0.3">
      <c r="A457" s="373">
        <v>30710634390</v>
      </c>
      <c r="B457" t="s">
        <v>2721</v>
      </c>
      <c r="C457" s="32" t="s">
        <v>2714</v>
      </c>
    </row>
    <row r="458" spans="1:3" hidden="1" x14ac:dyDescent="0.3">
      <c r="A458" s="373">
        <v>30715847023</v>
      </c>
      <c r="B458" t="s">
        <v>2551</v>
      </c>
      <c r="C458" s="32" t="s">
        <v>2714</v>
      </c>
    </row>
    <row r="459" spans="1:3" hidden="1" x14ac:dyDescent="0.3">
      <c r="A459" s="40">
        <v>24109521716</v>
      </c>
      <c r="B459" s="41" t="s">
        <v>2726</v>
      </c>
      <c r="C459" s="32" t="s">
        <v>2714</v>
      </c>
    </row>
    <row r="460" spans="1:3" hidden="1" x14ac:dyDescent="0.3">
      <c r="A460" s="40">
        <v>30716623110</v>
      </c>
      <c r="B460" s="41" t="s">
        <v>2740</v>
      </c>
      <c r="C460" s="32" t="s">
        <v>2714</v>
      </c>
    </row>
    <row r="461" spans="1:3" hidden="1" x14ac:dyDescent="0.3">
      <c r="A461" s="373">
        <v>33678133049</v>
      </c>
      <c r="B461" t="s">
        <v>2747</v>
      </c>
      <c r="C461" s="32" t="s">
        <v>2714</v>
      </c>
    </row>
    <row r="462" spans="1:3" hidden="1" x14ac:dyDescent="0.3">
      <c r="A462" s="40">
        <v>30711398992</v>
      </c>
      <c r="B462" s="41" t="s">
        <v>2750</v>
      </c>
      <c r="C462" s="32" t="s">
        <v>2714</v>
      </c>
    </row>
    <row r="463" spans="1:3" hidden="1" x14ac:dyDescent="0.3">
      <c r="A463" s="373">
        <v>23168212429</v>
      </c>
      <c r="B463" t="s">
        <v>2543</v>
      </c>
      <c r="C463" s="32" t="s">
        <v>2714</v>
      </c>
    </row>
    <row r="464" spans="1:3" hidden="1" x14ac:dyDescent="0.3">
      <c r="A464" s="373" t="s">
        <v>2611</v>
      </c>
      <c r="B464" t="s">
        <v>2637</v>
      </c>
      <c r="C464" s="32" t="s">
        <v>2714</v>
      </c>
    </row>
    <row r="465" spans="1:4" hidden="1" x14ac:dyDescent="0.3">
      <c r="A465" s="373">
        <v>20359718765</v>
      </c>
      <c r="B465" t="s">
        <v>2768</v>
      </c>
      <c r="C465" s="32" t="s">
        <v>2714</v>
      </c>
    </row>
    <row r="466" spans="1:4" hidden="1" x14ac:dyDescent="0.3">
      <c r="A466" s="373">
        <v>30543659734</v>
      </c>
      <c r="B466" t="s">
        <v>2769</v>
      </c>
      <c r="C466" s="32" t="s">
        <v>2714</v>
      </c>
    </row>
    <row r="467" spans="1:4" hidden="1" x14ac:dyDescent="0.3">
      <c r="A467" s="373">
        <v>30642468339</v>
      </c>
      <c r="B467" t="s">
        <v>1226</v>
      </c>
      <c r="C467" s="32" t="s">
        <v>2714</v>
      </c>
    </row>
    <row r="468" spans="1:4" hidden="1" x14ac:dyDescent="0.3">
      <c r="A468" s="373">
        <v>20259438552</v>
      </c>
      <c r="B468" t="s">
        <v>2144</v>
      </c>
      <c r="C468" s="32" t="s">
        <v>2714</v>
      </c>
    </row>
    <row r="469" spans="1:4" hidden="1" x14ac:dyDescent="0.3">
      <c r="A469" s="373">
        <v>20259438552</v>
      </c>
      <c r="B469" t="s">
        <v>2168</v>
      </c>
      <c r="C469" s="32" t="s">
        <v>2714</v>
      </c>
    </row>
    <row r="470" spans="1:4" hidden="1" x14ac:dyDescent="0.3">
      <c r="A470" s="373">
        <v>20259438552</v>
      </c>
      <c r="B470" t="s">
        <v>2144</v>
      </c>
      <c r="C470" s="32" t="s">
        <v>2714</v>
      </c>
    </row>
    <row r="471" spans="1:4" hidden="1" x14ac:dyDescent="0.3">
      <c r="A471" s="373">
        <v>20259438552</v>
      </c>
      <c r="B471" t="s">
        <v>2144</v>
      </c>
      <c r="C471" s="32" t="s">
        <v>2714</v>
      </c>
    </row>
    <row r="472" spans="1:4" hidden="1" x14ac:dyDescent="0.3">
      <c r="A472" s="373">
        <v>30715833979</v>
      </c>
      <c r="B472" t="s">
        <v>2689</v>
      </c>
      <c r="C472" s="32" t="s">
        <v>2714</v>
      </c>
      <c r="D472" t="s">
        <v>2763</v>
      </c>
    </row>
    <row r="473" spans="1:4" hidden="1" x14ac:dyDescent="0.3">
      <c r="A473" s="373">
        <v>27162860866</v>
      </c>
      <c r="B473" t="s">
        <v>2538</v>
      </c>
      <c r="C473" s="32" t="s">
        <v>2714</v>
      </c>
    </row>
    <row r="474" spans="1:4" hidden="1" x14ac:dyDescent="0.3">
      <c r="A474" s="373">
        <v>30708784067</v>
      </c>
      <c r="B474" t="s">
        <v>2360</v>
      </c>
      <c r="C474" s="32" t="s">
        <v>2714</v>
      </c>
    </row>
    <row r="475" spans="1:4" hidden="1" x14ac:dyDescent="0.3">
      <c r="A475" s="373">
        <v>30708784067</v>
      </c>
      <c r="B475" t="s">
        <v>2360</v>
      </c>
      <c r="C475" s="32" t="s">
        <v>2714</v>
      </c>
    </row>
    <row r="476" spans="1:4" hidden="1" x14ac:dyDescent="0.3">
      <c r="A476" s="40">
        <v>20101797180</v>
      </c>
      <c r="B476" s="41" t="s">
        <v>2829</v>
      </c>
      <c r="C476" s="32" t="s">
        <v>2714</v>
      </c>
    </row>
    <row r="477" spans="1:4" hidden="1" x14ac:dyDescent="0.3">
      <c r="A477" s="373">
        <v>30714971782</v>
      </c>
      <c r="B477" t="s">
        <v>2845</v>
      </c>
      <c r="C477" s="32" t="s">
        <v>2714</v>
      </c>
    </row>
    <row r="478" spans="1:4" hidden="1" x14ac:dyDescent="0.3">
      <c r="A478" s="373">
        <v>30712341714</v>
      </c>
      <c r="B478" t="s">
        <v>1679</v>
      </c>
      <c r="C478" s="32" t="s">
        <v>2714</v>
      </c>
    </row>
    <row r="479" spans="1:4" hidden="1" x14ac:dyDescent="0.3">
      <c r="A479" s="373">
        <v>30646512952</v>
      </c>
      <c r="B479" t="s">
        <v>1680</v>
      </c>
      <c r="C479" s="32" t="s">
        <v>2714</v>
      </c>
    </row>
    <row r="480" spans="1:4" hidden="1" x14ac:dyDescent="0.3">
      <c r="A480" s="373">
        <v>30696106068</v>
      </c>
      <c r="B480" t="s">
        <v>2846</v>
      </c>
      <c r="C480" s="32" t="s">
        <v>2714</v>
      </c>
    </row>
    <row r="481" spans="1:4" hidden="1" x14ac:dyDescent="0.3">
      <c r="A481" s="40">
        <v>30553547942</v>
      </c>
      <c r="B481" t="s">
        <v>2847</v>
      </c>
      <c r="C481" s="32" t="s">
        <v>2714</v>
      </c>
    </row>
    <row r="482" spans="1:4" hidden="1" x14ac:dyDescent="0.3">
      <c r="A482" s="373">
        <v>30577428618</v>
      </c>
      <c r="B482" t="s">
        <v>78</v>
      </c>
      <c r="C482" s="32" t="s">
        <v>2714</v>
      </c>
    </row>
    <row r="483" spans="1:4" hidden="1" x14ac:dyDescent="0.3">
      <c r="A483" s="373">
        <v>30697754063</v>
      </c>
      <c r="B483" t="s">
        <v>1681</v>
      </c>
      <c r="C483" s="32" t="s">
        <v>2714</v>
      </c>
    </row>
    <row r="484" spans="1:4" hidden="1" x14ac:dyDescent="0.3">
      <c r="A484" s="373">
        <v>30715155334</v>
      </c>
      <c r="B484" t="s">
        <v>2386</v>
      </c>
      <c r="C484" s="32" t="s">
        <v>2714</v>
      </c>
    </row>
    <row r="485" spans="1:4" hidden="1" x14ac:dyDescent="0.3">
      <c r="A485" s="373">
        <v>30715155334</v>
      </c>
      <c r="B485" t="s">
        <v>2386</v>
      </c>
      <c r="C485" s="32" t="s">
        <v>2714</v>
      </c>
    </row>
    <row r="486" spans="1:4" hidden="1" x14ac:dyDescent="0.3">
      <c r="A486" s="373">
        <v>30715155334</v>
      </c>
      <c r="B486" t="s">
        <v>2386</v>
      </c>
      <c r="C486" s="32" t="s">
        <v>2714</v>
      </c>
    </row>
    <row r="487" spans="1:4" hidden="1" x14ac:dyDescent="0.3">
      <c r="A487" s="373">
        <v>30715155334</v>
      </c>
      <c r="B487" t="s">
        <v>2386</v>
      </c>
      <c r="C487" s="32" t="s">
        <v>2714</v>
      </c>
    </row>
    <row r="488" spans="1:4" hidden="1" x14ac:dyDescent="0.3">
      <c r="A488" s="40">
        <v>30707174788</v>
      </c>
      <c r="B488" s="41" t="s">
        <v>2859</v>
      </c>
      <c r="C488" s="32" t="s">
        <v>2714</v>
      </c>
    </row>
    <row r="489" spans="1:4" hidden="1" x14ac:dyDescent="0.3">
      <c r="A489" s="373">
        <v>30711137137</v>
      </c>
      <c r="B489" t="s">
        <v>2668</v>
      </c>
      <c r="C489" s="32" t="s">
        <v>2714</v>
      </c>
      <c r="D489" t="s">
        <v>2711</v>
      </c>
    </row>
    <row r="490" spans="1:4" hidden="1" x14ac:dyDescent="0.3">
      <c r="A490" s="373">
        <v>30645922715</v>
      </c>
      <c r="B490" t="s">
        <v>1824</v>
      </c>
      <c r="C490" s="32" t="s">
        <v>2714</v>
      </c>
    </row>
    <row r="491" spans="1:4" hidden="1" x14ac:dyDescent="0.3">
      <c r="A491" s="373">
        <v>30709480711</v>
      </c>
      <c r="B491" t="s">
        <v>2539</v>
      </c>
      <c r="C491" s="32" t="s">
        <v>2714</v>
      </c>
    </row>
    <row r="492" spans="1:4" hidden="1" x14ac:dyDescent="0.3">
      <c r="A492" s="373">
        <v>20258711611</v>
      </c>
      <c r="B492" t="s">
        <v>2409</v>
      </c>
      <c r="C492" s="32" t="s">
        <v>2714</v>
      </c>
    </row>
    <row r="493" spans="1:4" hidden="1" x14ac:dyDescent="0.3">
      <c r="A493" s="373">
        <v>20258711611</v>
      </c>
      <c r="B493" t="s">
        <v>2409</v>
      </c>
      <c r="C493" s="32" t="s">
        <v>2714</v>
      </c>
    </row>
    <row r="494" spans="1:4" hidden="1" x14ac:dyDescent="0.3">
      <c r="A494" s="373">
        <v>30715548182</v>
      </c>
      <c r="B494" t="s">
        <v>2550</v>
      </c>
      <c r="C494" s="32" t="s">
        <v>2714</v>
      </c>
    </row>
    <row r="495" spans="1:4" hidden="1" x14ac:dyDescent="0.3">
      <c r="A495" s="373">
        <v>20279412207</v>
      </c>
      <c r="B495" t="s">
        <v>2145</v>
      </c>
      <c r="C495" s="32" t="s">
        <v>2714</v>
      </c>
    </row>
    <row r="496" spans="1:4" hidden="1" x14ac:dyDescent="0.3">
      <c r="A496" s="373">
        <v>20279412207</v>
      </c>
      <c r="B496" t="s">
        <v>2145</v>
      </c>
      <c r="C496" s="32" t="s">
        <v>2714</v>
      </c>
    </row>
    <row r="497" spans="1:4" hidden="1" x14ac:dyDescent="0.3">
      <c r="A497" s="373">
        <v>33714677239</v>
      </c>
      <c r="B497" t="s">
        <v>2355</v>
      </c>
      <c r="C497" s="32" t="s">
        <v>2714</v>
      </c>
    </row>
    <row r="498" spans="1:4" hidden="1" x14ac:dyDescent="0.3">
      <c r="A498" s="406">
        <v>30711526419</v>
      </c>
      <c r="B498" t="s">
        <v>2884</v>
      </c>
      <c r="C498" s="32" t="s">
        <v>2714</v>
      </c>
    </row>
    <row r="499" spans="1:4" hidden="1" x14ac:dyDescent="0.3">
      <c r="A499" s="406">
        <v>30711526419</v>
      </c>
      <c r="B499" s="41" t="s">
        <v>2884</v>
      </c>
      <c r="C499" s="32" t="s">
        <v>2714</v>
      </c>
    </row>
    <row r="500" spans="1:4" hidden="1" x14ac:dyDescent="0.3">
      <c r="A500" s="374">
        <v>30715173030</v>
      </c>
      <c r="B500" s="375" t="s">
        <v>2385</v>
      </c>
      <c r="C500" s="32" t="s">
        <v>2862</v>
      </c>
    </row>
    <row r="501" spans="1:4" hidden="1" x14ac:dyDescent="0.3">
      <c r="A501" s="373">
        <v>30640079378</v>
      </c>
      <c r="B501" t="s">
        <v>2639</v>
      </c>
      <c r="C501" s="32" t="s">
        <v>2862</v>
      </c>
      <c r="D501" t="s">
        <v>2711</v>
      </c>
    </row>
    <row r="502" spans="1:4" hidden="1" x14ac:dyDescent="0.3">
      <c r="A502" s="373">
        <v>30717030679</v>
      </c>
      <c r="B502" t="s">
        <v>2691</v>
      </c>
      <c r="C502" s="32" t="s">
        <v>2862</v>
      </c>
      <c r="D502" t="s">
        <v>2830</v>
      </c>
    </row>
    <row r="503" spans="1:4" hidden="1" x14ac:dyDescent="0.3">
      <c r="A503" s="373">
        <v>30716303442</v>
      </c>
      <c r="B503" t="s">
        <v>2559</v>
      </c>
      <c r="C503" s="32" t="s">
        <v>2862</v>
      </c>
    </row>
    <row r="504" spans="1:4" hidden="1" x14ac:dyDescent="0.3">
      <c r="A504" s="373">
        <v>30699654309</v>
      </c>
      <c r="B504" t="s">
        <v>2865</v>
      </c>
      <c r="C504" s="32" t="s">
        <v>2862</v>
      </c>
      <c r="D504" t="s">
        <v>2711</v>
      </c>
    </row>
    <row r="505" spans="1:4" hidden="1" x14ac:dyDescent="0.3">
      <c r="A505" s="373">
        <v>30710474105</v>
      </c>
      <c r="B505" t="s">
        <v>2351</v>
      </c>
      <c r="C505" s="32" t="s">
        <v>2862</v>
      </c>
    </row>
    <row r="506" spans="1:4" hidden="1" x14ac:dyDescent="0.3">
      <c r="A506" s="373">
        <v>30710474105</v>
      </c>
      <c r="B506" t="s">
        <v>2351</v>
      </c>
      <c r="C506" s="32" t="s">
        <v>2862</v>
      </c>
    </row>
    <row r="507" spans="1:4" hidden="1" x14ac:dyDescent="0.3">
      <c r="A507" s="373">
        <v>23277121859</v>
      </c>
      <c r="B507" t="s">
        <v>2434</v>
      </c>
      <c r="C507" s="32" t="s">
        <v>2862</v>
      </c>
    </row>
    <row r="508" spans="1:4" hidden="1" x14ac:dyDescent="0.3">
      <c r="A508" s="373">
        <v>23277121859</v>
      </c>
      <c r="B508" t="s">
        <v>2434</v>
      </c>
      <c r="C508" s="32" t="s">
        <v>2862</v>
      </c>
    </row>
    <row r="509" spans="1:4" hidden="1" x14ac:dyDescent="0.3">
      <c r="A509" s="373">
        <v>30710234937</v>
      </c>
      <c r="B509" t="s">
        <v>2909</v>
      </c>
      <c r="C509" s="32" t="s">
        <v>2862</v>
      </c>
    </row>
    <row r="510" spans="1:4" hidden="1" x14ac:dyDescent="0.3">
      <c r="A510" s="373">
        <v>20166640173</v>
      </c>
      <c r="B510" t="s">
        <v>2912</v>
      </c>
      <c r="C510" s="32" t="s">
        <v>2862</v>
      </c>
    </row>
    <row r="511" spans="1:4" hidden="1" x14ac:dyDescent="0.3">
      <c r="A511" s="373">
        <v>30714995002</v>
      </c>
      <c r="B511" t="s">
        <v>2095</v>
      </c>
      <c r="C511" s="32" t="s">
        <v>2862</v>
      </c>
    </row>
    <row r="512" spans="1:4" hidden="1" x14ac:dyDescent="0.3">
      <c r="A512" s="373">
        <v>30714995002</v>
      </c>
      <c r="B512" t="s">
        <v>2095</v>
      </c>
      <c r="C512" s="32" t="s">
        <v>2862</v>
      </c>
    </row>
    <row r="513" spans="1:3" hidden="1" x14ac:dyDescent="0.3">
      <c r="A513" s="373">
        <v>30714867349</v>
      </c>
      <c r="B513" t="s">
        <v>2447</v>
      </c>
      <c r="C513" s="32" t="s">
        <v>2862</v>
      </c>
    </row>
    <row r="514" spans="1:3" hidden="1" x14ac:dyDescent="0.3">
      <c r="A514" s="373">
        <v>30714867349</v>
      </c>
      <c r="B514" t="s">
        <v>2447</v>
      </c>
      <c r="C514" s="32" t="s">
        <v>2862</v>
      </c>
    </row>
    <row r="515" spans="1:3" hidden="1" x14ac:dyDescent="0.3">
      <c r="A515" s="374">
        <v>30504507870</v>
      </c>
      <c r="B515" s="375" t="s">
        <v>2777</v>
      </c>
      <c r="C515" s="409" t="s">
        <v>2778</v>
      </c>
    </row>
    <row r="516" spans="1:3" hidden="1" x14ac:dyDescent="0.3">
      <c r="A516" s="374">
        <v>30696186932</v>
      </c>
      <c r="B516" s="375" t="s">
        <v>2617</v>
      </c>
      <c r="C516" s="409" t="s">
        <v>2778</v>
      </c>
    </row>
    <row r="517" spans="1:3" hidden="1" x14ac:dyDescent="0.3">
      <c r="A517" s="374">
        <v>30714863815</v>
      </c>
      <c r="B517" s="375" t="s">
        <v>2855</v>
      </c>
      <c r="C517" s="409" t="s">
        <v>2778</v>
      </c>
    </row>
    <row r="518" spans="1:3" hidden="1" x14ac:dyDescent="0.3">
      <c r="A518" s="374">
        <v>30548690796</v>
      </c>
      <c r="B518" s="375" t="s">
        <v>2875</v>
      </c>
      <c r="C518" s="409" t="s">
        <v>2778</v>
      </c>
    </row>
    <row r="519" spans="1:3" hidden="1" x14ac:dyDescent="0.3">
      <c r="A519" s="374">
        <v>30717223299</v>
      </c>
      <c r="B519" s="375" t="s">
        <v>2690</v>
      </c>
      <c r="C519" s="32" t="s">
        <v>63</v>
      </c>
    </row>
    <row r="520" spans="1:3" hidden="1" x14ac:dyDescent="0.3">
      <c r="A520" s="373">
        <v>30707463143</v>
      </c>
      <c r="B520" t="s">
        <v>2364</v>
      </c>
      <c r="C520" s="32" t="s">
        <v>63</v>
      </c>
    </row>
    <row r="521" spans="1:3" hidden="1" x14ac:dyDescent="0.3">
      <c r="A521" s="373">
        <v>30707463143</v>
      </c>
      <c r="B521" t="s">
        <v>2364</v>
      </c>
      <c r="C521" s="32" t="s">
        <v>63</v>
      </c>
    </row>
    <row r="522" spans="1:3" hidden="1" x14ac:dyDescent="0.3">
      <c r="A522" s="373">
        <v>30707463143</v>
      </c>
      <c r="B522" t="s">
        <v>2148</v>
      </c>
      <c r="C522" s="32" t="s">
        <v>63</v>
      </c>
    </row>
    <row r="523" spans="1:3" hidden="1" x14ac:dyDescent="0.3">
      <c r="A523" s="373">
        <v>30707463143</v>
      </c>
      <c r="B523" t="s">
        <v>2148</v>
      </c>
      <c r="C523" s="32" t="s">
        <v>63</v>
      </c>
    </row>
    <row r="524" spans="1:3" hidden="1" x14ac:dyDescent="0.3">
      <c r="A524" s="373">
        <v>30714683663</v>
      </c>
      <c r="B524" t="s">
        <v>2720</v>
      </c>
      <c r="C524" s="32" t="s">
        <v>63</v>
      </c>
    </row>
    <row r="525" spans="1:3" hidden="1" x14ac:dyDescent="0.3">
      <c r="A525" s="374">
        <v>20188640428</v>
      </c>
      <c r="B525" s="375" t="s">
        <v>2741</v>
      </c>
      <c r="C525" s="32" t="s">
        <v>63</v>
      </c>
    </row>
    <row r="526" spans="1:3" hidden="1" x14ac:dyDescent="0.3">
      <c r="A526" s="374">
        <v>30715683446</v>
      </c>
      <c r="B526" s="375" t="s">
        <v>2683</v>
      </c>
      <c r="C526" s="32" t="s">
        <v>63</v>
      </c>
    </row>
    <row r="527" spans="1:3" hidden="1" x14ac:dyDescent="0.3">
      <c r="A527" s="373" t="s">
        <v>2645</v>
      </c>
      <c r="B527" t="s">
        <v>2613</v>
      </c>
      <c r="C527" s="32" t="s">
        <v>63</v>
      </c>
    </row>
    <row r="528" spans="1:3" hidden="1" x14ac:dyDescent="0.3">
      <c r="A528" s="373">
        <v>30574603788</v>
      </c>
      <c r="B528" t="s">
        <v>2157</v>
      </c>
      <c r="C528" s="32" t="s">
        <v>63</v>
      </c>
    </row>
    <row r="529" spans="1:4" hidden="1" x14ac:dyDescent="0.3">
      <c r="A529" s="373">
        <v>30574603788</v>
      </c>
      <c r="B529" t="s">
        <v>2157</v>
      </c>
      <c r="C529" s="32" t="s">
        <v>63</v>
      </c>
    </row>
    <row r="530" spans="1:4" hidden="1" x14ac:dyDescent="0.3">
      <c r="A530" s="373">
        <v>30574603788</v>
      </c>
      <c r="B530" t="s">
        <v>2354</v>
      </c>
      <c r="C530" s="32" t="s">
        <v>63</v>
      </c>
    </row>
    <row r="531" spans="1:4" hidden="1" x14ac:dyDescent="0.3">
      <c r="A531" s="373">
        <v>30574603788</v>
      </c>
      <c r="B531" t="s">
        <v>2354</v>
      </c>
      <c r="C531" s="32" t="s">
        <v>63</v>
      </c>
    </row>
    <row r="532" spans="1:4" hidden="1" x14ac:dyDescent="0.3">
      <c r="A532" s="373">
        <v>30574603788</v>
      </c>
      <c r="B532" t="s">
        <v>2157</v>
      </c>
      <c r="C532" s="32" t="s">
        <v>63</v>
      </c>
    </row>
    <row r="533" spans="1:4" hidden="1" x14ac:dyDescent="0.3">
      <c r="A533" s="373">
        <v>30574603788</v>
      </c>
      <c r="B533" t="s">
        <v>2157</v>
      </c>
      <c r="C533" s="32" t="s">
        <v>63</v>
      </c>
    </row>
    <row r="534" spans="1:4" hidden="1" x14ac:dyDescent="0.3">
      <c r="A534" s="373">
        <v>30574603788</v>
      </c>
      <c r="B534" t="s">
        <v>2354</v>
      </c>
      <c r="C534" s="32" t="s">
        <v>63</v>
      </c>
    </row>
    <row r="535" spans="1:4" hidden="1" x14ac:dyDescent="0.3">
      <c r="A535" s="373">
        <v>30574603788</v>
      </c>
      <c r="B535" t="s">
        <v>2354</v>
      </c>
      <c r="C535" s="32" t="s">
        <v>63</v>
      </c>
    </row>
    <row r="536" spans="1:4" hidden="1" x14ac:dyDescent="0.3">
      <c r="A536" s="373">
        <v>20938867179</v>
      </c>
      <c r="B536" t="s">
        <v>2758</v>
      </c>
      <c r="C536" s="32" t="s">
        <v>63</v>
      </c>
    </row>
    <row r="537" spans="1:4" hidden="1" x14ac:dyDescent="0.3">
      <c r="A537" s="373">
        <v>30709330760</v>
      </c>
      <c r="B537" t="s">
        <v>2684</v>
      </c>
      <c r="C537" s="32" t="s">
        <v>63</v>
      </c>
      <c r="D537" t="s">
        <v>2711</v>
      </c>
    </row>
    <row r="538" spans="1:4" hidden="1" x14ac:dyDescent="0.3">
      <c r="A538" s="373">
        <v>33640878679</v>
      </c>
      <c r="B538" t="s">
        <v>2616</v>
      </c>
      <c r="C538" s="32" t="s">
        <v>63</v>
      </c>
    </row>
    <row r="539" spans="1:4" hidden="1" x14ac:dyDescent="0.3">
      <c r="A539" s="373">
        <v>30714618977</v>
      </c>
      <c r="B539" t="s">
        <v>2561</v>
      </c>
      <c r="C539" s="32" t="s">
        <v>63</v>
      </c>
    </row>
    <row r="540" spans="1:4" hidden="1" x14ac:dyDescent="0.3">
      <c r="A540" s="374">
        <v>30714618977</v>
      </c>
      <c r="B540" s="375" t="s">
        <v>2561</v>
      </c>
      <c r="C540" s="32" t="s">
        <v>63</v>
      </c>
    </row>
    <row r="541" spans="1:4" hidden="1" x14ac:dyDescent="0.3">
      <c r="A541" s="373">
        <v>27293459172</v>
      </c>
      <c r="B541" t="s">
        <v>2662</v>
      </c>
      <c r="C541" s="32" t="s">
        <v>63</v>
      </c>
      <c r="D541" t="s">
        <v>2763</v>
      </c>
    </row>
    <row r="542" spans="1:4" hidden="1" x14ac:dyDescent="0.3">
      <c r="A542" s="373">
        <v>30710446047</v>
      </c>
      <c r="B542" t="s">
        <v>2161</v>
      </c>
      <c r="C542" s="32" t="s">
        <v>63</v>
      </c>
    </row>
    <row r="543" spans="1:4" hidden="1" x14ac:dyDescent="0.3">
      <c r="A543" s="373">
        <v>30709664235</v>
      </c>
      <c r="B543" t="s">
        <v>2773</v>
      </c>
      <c r="C543" s="32" t="s">
        <v>63</v>
      </c>
    </row>
    <row r="544" spans="1:4" hidden="1" x14ac:dyDescent="0.3">
      <c r="A544" s="374">
        <v>30708157755</v>
      </c>
      <c r="B544" s="375" t="s">
        <v>2774</v>
      </c>
      <c r="C544" s="32" t="s">
        <v>63</v>
      </c>
    </row>
    <row r="545" spans="1:4" hidden="1" x14ac:dyDescent="0.3">
      <c r="A545" s="373">
        <v>20217646414</v>
      </c>
      <c r="B545" t="s">
        <v>2697</v>
      </c>
      <c r="C545" s="32" t="s">
        <v>63</v>
      </c>
      <c r="D545" t="s">
        <v>2763</v>
      </c>
    </row>
    <row r="546" spans="1:4" hidden="1" x14ac:dyDescent="0.3">
      <c r="A546" s="373">
        <v>30641221771</v>
      </c>
      <c r="B546" t="s">
        <v>2659</v>
      </c>
      <c r="C546" s="32" t="s">
        <v>63</v>
      </c>
      <c r="D546" t="s">
        <v>2739</v>
      </c>
    </row>
    <row r="547" spans="1:4" hidden="1" x14ac:dyDescent="0.3">
      <c r="A547" s="373">
        <v>20946785300</v>
      </c>
      <c r="B547" t="s">
        <v>2431</v>
      </c>
      <c r="C547" s="32" t="s">
        <v>63</v>
      </c>
    </row>
    <row r="548" spans="1:4" hidden="1" x14ac:dyDescent="0.3">
      <c r="A548" s="373">
        <v>20946785300</v>
      </c>
      <c r="B548" t="s">
        <v>2431</v>
      </c>
      <c r="C548" s="32" t="s">
        <v>63</v>
      </c>
    </row>
    <row r="549" spans="1:4" hidden="1" x14ac:dyDescent="0.3">
      <c r="A549" s="373">
        <v>30585948817</v>
      </c>
      <c r="B549" t="s">
        <v>2174</v>
      </c>
      <c r="C549" s="32" t="s">
        <v>63</v>
      </c>
    </row>
    <row r="550" spans="1:4" hidden="1" x14ac:dyDescent="0.3">
      <c r="A550" s="373">
        <v>30585948817</v>
      </c>
      <c r="B550" t="s">
        <v>2174</v>
      </c>
      <c r="C550" s="32" t="s">
        <v>63</v>
      </c>
    </row>
    <row r="551" spans="1:4" hidden="1" x14ac:dyDescent="0.3">
      <c r="A551" s="373">
        <v>30585948817</v>
      </c>
      <c r="B551" t="s">
        <v>2132</v>
      </c>
      <c r="C551" s="32" t="s">
        <v>63</v>
      </c>
    </row>
    <row r="552" spans="1:4" hidden="1" x14ac:dyDescent="0.3">
      <c r="A552" s="373">
        <v>30585948817</v>
      </c>
      <c r="B552" t="s">
        <v>2132</v>
      </c>
      <c r="C552" s="32" t="s">
        <v>63</v>
      </c>
    </row>
    <row r="553" spans="1:4" hidden="1" x14ac:dyDescent="0.3">
      <c r="A553" s="373">
        <v>30715946250</v>
      </c>
      <c r="B553" t="s">
        <v>2792</v>
      </c>
      <c r="C553" s="32" t="s">
        <v>63</v>
      </c>
    </row>
    <row r="554" spans="1:4" hidden="1" x14ac:dyDescent="0.3">
      <c r="A554" s="373">
        <v>30707397256</v>
      </c>
      <c r="B554" t="s">
        <v>2383</v>
      </c>
      <c r="C554" s="32" t="s">
        <v>63</v>
      </c>
    </row>
    <row r="555" spans="1:4" hidden="1" x14ac:dyDescent="0.3">
      <c r="A555" s="373">
        <v>30707397256</v>
      </c>
      <c r="B555" t="s">
        <v>2383</v>
      </c>
      <c r="C555" s="32" t="s">
        <v>63</v>
      </c>
    </row>
    <row r="556" spans="1:4" hidden="1" x14ac:dyDescent="0.3">
      <c r="A556" s="373">
        <v>30707397256</v>
      </c>
      <c r="B556" t="s">
        <v>2165</v>
      </c>
      <c r="C556" s="32" t="s">
        <v>63</v>
      </c>
    </row>
    <row r="557" spans="1:4" hidden="1" x14ac:dyDescent="0.3">
      <c r="A557" s="373">
        <v>30707397256</v>
      </c>
      <c r="B557" t="s">
        <v>2165</v>
      </c>
      <c r="C557" s="32" t="s">
        <v>63</v>
      </c>
    </row>
    <row r="558" spans="1:4" hidden="1" x14ac:dyDescent="0.3">
      <c r="A558" s="373">
        <v>3368716054</v>
      </c>
      <c r="B558" t="s">
        <v>1125</v>
      </c>
      <c r="C558" s="32" t="s">
        <v>63</v>
      </c>
    </row>
    <row r="559" spans="1:4" hidden="1" x14ac:dyDescent="0.3">
      <c r="A559" s="373">
        <v>33687160539</v>
      </c>
      <c r="B559" t="s">
        <v>1125</v>
      </c>
      <c r="C559" s="32" t="s">
        <v>63</v>
      </c>
    </row>
    <row r="560" spans="1:4" hidden="1" x14ac:dyDescent="0.3">
      <c r="A560" s="373">
        <v>30707867325</v>
      </c>
      <c r="B560" t="s">
        <v>1126</v>
      </c>
      <c r="C560" s="32" t="s">
        <v>63</v>
      </c>
    </row>
    <row r="561" spans="1:4" hidden="1" x14ac:dyDescent="0.3">
      <c r="A561" s="373">
        <v>30711694281</v>
      </c>
      <c r="B561" t="s">
        <v>1137</v>
      </c>
      <c r="C561" s="32" t="s">
        <v>63</v>
      </c>
    </row>
    <row r="562" spans="1:4" hidden="1" x14ac:dyDescent="0.3">
      <c r="A562" s="373">
        <v>30715225618</v>
      </c>
      <c r="B562" t="s">
        <v>1143</v>
      </c>
      <c r="C562" s="32" t="s">
        <v>63</v>
      </c>
    </row>
    <row r="563" spans="1:4" hidden="1" x14ac:dyDescent="0.3">
      <c r="A563" s="373">
        <v>30541849307</v>
      </c>
      <c r="B563" t="s">
        <v>1153</v>
      </c>
      <c r="C563" s="32" t="s">
        <v>63</v>
      </c>
    </row>
    <row r="564" spans="1:4" hidden="1" x14ac:dyDescent="0.3">
      <c r="A564" s="373">
        <v>30582876661</v>
      </c>
      <c r="B564" t="s">
        <v>1155</v>
      </c>
      <c r="C564" s="32" t="s">
        <v>63</v>
      </c>
    </row>
    <row r="565" spans="1:4" hidden="1" x14ac:dyDescent="0.3">
      <c r="A565" s="373">
        <v>20270084304</v>
      </c>
      <c r="B565" t="s">
        <v>1156</v>
      </c>
      <c r="C565" s="32" t="s">
        <v>63</v>
      </c>
    </row>
    <row r="566" spans="1:4" hidden="1" x14ac:dyDescent="0.3">
      <c r="A566" s="373">
        <v>20108381508</v>
      </c>
      <c r="B566" t="s">
        <v>1159</v>
      </c>
      <c r="C566" s="32" t="s">
        <v>63</v>
      </c>
    </row>
    <row r="567" spans="1:4" hidden="1" x14ac:dyDescent="0.3">
      <c r="A567" s="373">
        <v>20253264390</v>
      </c>
      <c r="B567" t="s">
        <v>1162</v>
      </c>
      <c r="C567" s="32" t="s">
        <v>63</v>
      </c>
    </row>
    <row r="568" spans="1:4" hidden="1" x14ac:dyDescent="0.3">
      <c r="A568" s="373">
        <v>23219640269</v>
      </c>
      <c r="B568" t="s">
        <v>1168</v>
      </c>
      <c r="C568" s="32" t="s">
        <v>63</v>
      </c>
    </row>
    <row r="569" spans="1:4" hidden="1" x14ac:dyDescent="0.3">
      <c r="A569" s="373">
        <v>30699407476</v>
      </c>
      <c r="B569" t="s">
        <v>1169</v>
      </c>
      <c r="C569" s="32" t="s">
        <v>63</v>
      </c>
    </row>
    <row r="570" spans="1:4" hidden="1" x14ac:dyDescent="0.3">
      <c r="A570" s="373">
        <v>30551450445</v>
      </c>
      <c r="B570" t="s">
        <v>1171</v>
      </c>
      <c r="C570" s="32" t="s">
        <v>63</v>
      </c>
    </row>
    <row r="571" spans="1:4" hidden="1" x14ac:dyDescent="0.3">
      <c r="A571" s="373">
        <v>30631285038</v>
      </c>
      <c r="B571" t="s">
        <v>1174</v>
      </c>
      <c r="C571" s="32" t="s">
        <v>63</v>
      </c>
    </row>
    <row r="572" spans="1:4" hidden="1" x14ac:dyDescent="0.3">
      <c r="A572" s="373">
        <v>30714254533</v>
      </c>
      <c r="B572" t="s">
        <v>1175</v>
      </c>
      <c r="C572" s="32" t="s">
        <v>63</v>
      </c>
    </row>
    <row r="573" spans="1:4" hidden="1" x14ac:dyDescent="0.3">
      <c r="A573" s="373">
        <v>30712354409</v>
      </c>
      <c r="B573" t="s">
        <v>1176</v>
      </c>
      <c r="C573" s="32" t="s">
        <v>63</v>
      </c>
    </row>
    <row r="574" spans="1:4" hidden="1" x14ac:dyDescent="0.3">
      <c r="A574" s="373">
        <v>30576631665</v>
      </c>
      <c r="B574" t="s">
        <v>1177</v>
      </c>
      <c r="C574" s="32" t="s">
        <v>63</v>
      </c>
    </row>
    <row r="575" spans="1:4" hidden="1" x14ac:dyDescent="0.3">
      <c r="A575" s="373">
        <v>30714696153</v>
      </c>
      <c r="B575" t="s">
        <v>1184</v>
      </c>
      <c r="C575" s="32" t="s">
        <v>63</v>
      </c>
    </row>
    <row r="576" spans="1:4" hidden="1" x14ac:dyDescent="0.3">
      <c r="A576" s="373">
        <v>20172319743</v>
      </c>
      <c r="B576" t="s">
        <v>2553</v>
      </c>
      <c r="C576" s="32" t="s">
        <v>63</v>
      </c>
      <c r="D576" t="s">
        <v>2763</v>
      </c>
    </row>
    <row r="577" spans="1:3" hidden="1" x14ac:dyDescent="0.3">
      <c r="A577" s="373">
        <v>30709443220</v>
      </c>
      <c r="B577" t="s">
        <v>1201</v>
      </c>
      <c r="C577" s="32" t="s">
        <v>63</v>
      </c>
    </row>
    <row r="578" spans="1:3" hidden="1" x14ac:dyDescent="0.3">
      <c r="A578" s="373">
        <v>30651822021</v>
      </c>
      <c r="B578" t="s">
        <v>1216</v>
      </c>
      <c r="C578" s="32" t="s">
        <v>63</v>
      </c>
    </row>
    <row r="579" spans="1:3" hidden="1" x14ac:dyDescent="0.3">
      <c r="A579" s="373">
        <v>30709273465</v>
      </c>
      <c r="B579" t="s">
        <v>1220</v>
      </c>
      <c r="C579" s="32" t="s">
        <v>63</v>
      </c>
    </row>
    <row r="580" spans="1:3" hidden="1" x14ac:dyDescent="0.3">
      <c r="A580" s="373">
        <v>30710149468</v>
      </c>
      <c r="B580" t="s">
        <v>1222</v>
      </c>
      <c r="C580" s="32" t="s">
        <v>63</v>
      </c>
    </row>
    <row r="581" spans="1:3" hidden="1" x14ac:dyDescent="0.3">
      <c r="A581" s="373">
        <v>30709863076</v>
      </c>
      <c r="B581" t="s">
        <v>2352</v>
      </c>
      <c r="C581" s="32" t="s">
        <v>63</v>
      </c>
    </row>
    <row r="582" spans="1:3" hidden="1" x14ac:dyDescent="0.3">
      <c r="A582" s="373">
        <v>30709863076</v>
      </c>
      <c r="B582" t="s">
        <v>2352</v>
      </c>
      <c r="C582" s="32" t="s">
        <v>63</v>
      </c>
    </row>
    <row r="583" spans="1:3" hidden="1" x14ac:dyDescent="0.3">
      <c r="A583" s="373">
        <v>30697770069</v>
      </c>
      <c r="B583" t="s">
        <v>1239</v>
      </c>
      <c r="C583" s="32" t="s">
        <v>63</v>
      </c>
    </row>
    <row r="584" spans="1:3" hidden="1" x14ac:dyDescent="0.3">
      <c r="A584" s="373">
        <v>33715678689</v>
      </c>
      <c r="B584" t="s">
        <v>1242</v>
      </c>
      <c r="C584" s="32" t="s">
        <v>63</v>
      </c>
    </row>
    <row r="585" spans="1:3" hidden="1" x14ac:dyDescent="0.3">
      <c r="A585" s="373">
        <v>30559807970</v>
      </c>
      <c r="B585" t="s">
        <v>1249</v>
      </c>
      <c r="C585" s="32" t="s">
        <v>63</v>
      </c>
    </row>
    <row r="586" spans="1:3" hidden="1" x14ac:dyDescent="0.3">
      <c r="A586" s="373">
        <v>30708214813</v>
      </c>
      <c r="B586" t="s">
        <v>1251</v>
      </c>
      <c r="C586" s="32" t="s">
        <v>63</v>
      </c>
    </row>
    <row r="587" spans="1:3" hidden="1" x14ac:dyDescent="0.3">
      <c r="A587" s="373">
        <v>30709267821</v>
      </c>
      <c r="B587" t="s">
        <v>1255</v>
      </c>
      <c r="C587" s="32" t="s">
        <v>63</v>
      </c>
    </row>
    <row r="588" spans="1:3" hidden="1" x14ac:dyDescent="0.3">
      <c r="A588" s="373">
        <v>30707249001</v>
      </c>
      <c r="B588" t="s">
        <v>1258</v>
      </c>
      <c r="C588" s="32" t="s">
        <v>63</v>
      </c>
    </row>
    <row r="589" spans="1:3" hidden="1" x14ac:dyDescent="0.3">
      <c r="A589" s="373">
        <v>30506357841</v>
      </c>
      <c r="B589" t="s">
        <v>1261</v>
      </c>
      <c r="C589" s="32" t="s">
        <v>63</v>
      </c>
    </row>
    <row r="590" spans="1:3" hidden="1" x14ac:dyDescent="0.3">
      <c r="A590" s="373">
        <v>20929018347</v>
      </c>
      <c r="B590" t="s">
        <v>1270</v>
      </c>
      <c r="C590" s="32" t="s">
        <v>63</v>
      </c>
    </row>
    <row r="591" spans="1:3" hidden="1" x14ac:dyDescent="0.3">
      <c r="A591" s="373">
        <v>20236755526</v>
      </c>
      <c r="B591" t="s">
        <v>1272</v>
      </c>
      <c r="C591" s="32" t="s">
        <v>63</v>
      </c>
    </row>
    <row r="592" spans="1:3" hidden="1" x14ac:dyDescent="0.3">
      <c r="A592" s="373">
        <v>30717305287</v>
      </c>
      <c r="B592" t="s">
        <v>2810</v>
      </c>
      <c r="C592" s="32" t="s">
        <v>63</v>
      </c>
    </row>
    <row r="593" spans="1:3" hidden="1" x14ac:dyDescent="0.3">
      <c r="A593" s="373">
        <v>30678264969</v>
      </c>
      <c r="B593" t="s">
        <v>1279</v>
      </c>
      <c r="C593" s="32" t="s">
        <v>63</v>
      </c>
    </row>
    <row r="594" spans="1:3" hidden="1" x14ac:dyDescent="0.3">
      <c r="A594" s="373">
        <v>30707682279</v>
      </c>
      <c r="B594" t="s">
        <v>1280</v>
      </c>
      <c r="C594" s="32" t="s">
        <v>63</v>
      </c>
    </row>
    <row r="595" spans="1:3" hidden="1" x14ac:dyDescent="0.3">
      <c r="A595" s="373">
        <v>30500805222</v>
      </c>
      <c r="B595" t="s">
        <v>1283</v>
      </c>
      <c r="C595" s="32" t="s">
        <v>63</v>
      </c>
    </row>
    <row r="596" spans="1:3" hidden="1" x14ac:dyDescent="0.3">
      <c r="A596" s="373">
        <v>33709050589</v>
      </c>
      <c r="B596" t="s">
        <v>1286</v>
      </c>
      <c r="C596" s="32" t="s">
        <v>63</v>
      </c>
    </row>
    <row r="597" spans="1:3" hidden="1" x14ac:dyDescent="0.3">
      <c r="A597" s="373">
        <v>30715094319</v>
      </c>
      <c r="B597" t="s">
        <v>2812</v>
      </c>
      <c r="C597" s="32" t="s">
        <v>63</v>
      </c>
    </row>
    <row r="598" spans="1:3" hidden="1" x14ac:dyDescent="0.3">
      <c r="A598" s="373">
        <v>30709153095</v>
      </c>
      <c r="B598" t="s">
        <v>1334</v>
      </c>
      <c r="C598" s="32" t="s">
        <v>63</v>
      </c>
    </row>
    <row r="599" spans="1:3" hidden="1" x14ac:dyDescent="0.3">
      <c r="A599" s="373">
        <v>30710386559</v>
      </c>
      <c r="B599" t="s">
        <v>1337</v>
      </c>
      <c r="C599" s="32" t="s">
        <v>63</v>
      </c>
    </row>
    <row r="600" spans="1:3" hidden="1" x14ac:dyDescent="0.3">
      <c r="A600" s="373">
        <v>20162031326</v>
      </c>
      <c r="B600" t="s">
        <v>1344</v>
      </c>
      <c r="C600" s="32" t="s">
        <v>63</v>
      </c>
    </row>
    <row r="601" spans="1:3" hidden="1" x14ac:dyDescent="0.3">
      <c r="A601" s="373">
        <v>30500833781</v>
      </c>
      <c r="B601" t="s">
        <v>1374</v>
      </c>
      <c r="C601" s="32" t="s">
        <v>63</v>
      </c>
    </row>
    <row r="602" spans="1:3" hidden="1" x14ac:dyDescent="0.3">
      <c r="A602" s="373">
        <v>27345827841</v>
      </c>
      <c r="B602" t="s">
        <v>1377</v>
      </c>
      <c r="C602" s="32" t="s">
        <v>63</v>
      </c>
    </row>
    <row r="603" spans="1:3" hidden="1" x14ac:dyDescent="0.3">
      <c r="A603" s="373">
        <v>30712512241</v>
      </c>
      <c r="B603" t="s">
        <v>1397</v>
      </c>
      <c r="C603" s="32" t="s">
        <v>63</v>
      </c>
    </row>
    <row r="604" spans="1:3" hidden="1" x14ac:dyDescent="0.3">
      <c r="A604" s="373">
        <v>30651861299</v>
      </c>
      <c r="B604" t="s">
        <v>1403</v>
      </c>
      <c r="C604" s="32" t="s">
        <v>63</v>
      </c>
    </row>
    <row r="605" spans="1:3" hidden="1" x14ac:dyDescent="0.3">
      <c r="A605" s="373">
        <v>30550106430</v>
      </c>
      <c r="B605" t="s">
        <v>2820</v>
      </c>
      <c r="C605" s="32" t="s">
        <v>63</v>
      </c>
    </row>
    <row r="606" spans="1:3" hidden="1" x14ac:dyDescent="0.3">
      <c r="A606" s="373">
        <v>30712480358</v>
      </c>
      <c r="B606" t="s">
        <v>1411</v>
      </c>
      <c r="C606" s="32" t="s">
        <v>63</v>
      </c>
    </row>
    <row r="607" spans="1:3" hidden="1" x14ac:dyDescent="0.3">
      <c r="A607" s="373">
        <v>30702997352</v>
      </c>
      <c r="B607" t="s">
        <v>1413</v>
      </c>
      <c r="C607" s="32" t="s">
        <v>63</v>
      </c>
    </row>
    <row r="608" spans="1:3" hidden="1" x14ac:dyDescent="0.3">
      <c r="A608" s="373">
        <v>20182873277</v>
      </c>
      <c r="B608" t="s">
        <v>1414</v>
      </c>
      <c r="C608" s="32" t="s">
        <v>63</v>
      </c>
    </row>
    <row r="609" spans="1:3" hidden="1" x14ac:dyDescent="0.3">
      <c r="A609" s="373">
        <v>27101420391</v>
      </c>
      <c r="B609" t="s">
        <v>1417</v>
      </c>
      <c r="C609" s="32" t="s">
        <v>63</v>
      </c>
    </row>
    <row r="610" spans="1:3" hidden="1" x14ac:dyDescent="0.3">
      <c r="A610" s="373">
        <v>20044447437</v>
      </c>
      <c r="B610" t="s">
        <v>1422</v>
      </c>
      <c r="C610" s="32" t="s">
        <v>63</v>
      </c>
    </row>
    <row r="611" spans="1:3" hidden="1" x14ac:dyDescent="0.3">
      <c r="A611" s="373">
        <v>20239529772</v>
      </c>
      <c r="B611" t="s">
        <v>1426</v>
      </c>
      <c r="C611" s="32" t="s">
        <v>63</v>
      </c>
    </row>
    <row r="612" spans="1:3" hidden="1" x14ac:dyDescent="0.3">
      <c r="A612" s="373">
        <v>23233422029</v>
      </c>
      <c r="B612" t="s">
        <v>1432</v>
      </c>
      <c r="C612" s="32" t="s">
        <v>63</v>
      </c>
    </row>
    <row r="613" spans="1:3" hidden="1" x14ac:dyDescent="0.3">
      <c r="A613" s="374">
        <v>30708669306</v>
      </c>
      <c r="B613" s="375" t="s">
        <v>2548</v>
      </c>
      <c r="C613" s="32" t="s">
        <v>63</v>
      </c>
    </row>
    <row r="614" spans="1:3" hidden="1" x14ac:dyDescent="0.3">
      <c r="A614" s="373">
        <v>30707518541</v>
      </c>
      <c r="B614" t="s">
        <v>1439</v>
      </c>
      <c r="C614" s="32" t="s">
        <v>63</v>
      </c>
    </row>
    <row r="615" spans="1:3" hidden="1" x14ac:dyDescent="0.3">
      <c r="A615" s="373">
        <v>30715672290</v>
      </c>
      <c r="B615" t="s">
        <v>1443</v>
      </c>
      <c r="C615" s="32" t="s">
        <v>63</v>
      </c>
    </row>
    <row r="616" spans="1:3" hidden="1" x14ac:dyDescent="0.3">
      <c r="A616" s="373">
        <v>30707042679</v>
      </c>
      <c r="B616" t="s">
        <v>1444</v>
      </c>
      <c r="C616" s="32" t="s">
        <v>63</v>
      </c>
    </row>
    <row r="617" spans="1:3" hidden="1" x14ac:dyDescent="0.3">
      <c r="A617" s="373" t="s">
        <v>2601</v>
      </c>
      <c r="B617" t="s">
        <v>2615</v>
      </c>
      <c r="C617" s="32" t="s">
        <v>63</v>
      </c>
    </row>
    <row r="618" spans="1:3" hidden="1" x14ac:dyDescent="0.3">
      <c r="A618" s="373" t="s">
        <v>2601</v>
      </c>
      <c r="B618" t="s">
        <v>2615</v>
      </c>
      <c r="C618" s="32" t="s">
        <v>63</v>
      </c>
    </row>
    <row r="619" spans="1:3" hidden="1" x14ac:dyDescent="0.3">
      <c r="A619" s="373">
        <v>30708006420</v>
      </c>
      <c r="B619" t="s">
        <v>2615</v>
      </c>
      <c r="C619" s="32" t="s">
        <v>63</v>
      </c>
    </row>
    <row r="620" spans="1:3" hidden="1" x14ac:dyDescent="0.3">
      <c r="A620" s="373">
        <v>30708006420</v>
      </c>
      <c r="B620" t="s">
        <v>2149</v>
      </c>
      <c r="C620" s="32" t="s">
        <v>63</v>
      </c>
    </row>
    <row r="621" spans="1:3" hidden="1" x14ac:dyDescent="0.3">
      <c r="A621" s="373">
        <v>30708006420</v>
      </c>
      <c r="B621" t="s">
        <v>2149</v>
      </c>
      <c r="C621" s="32" t="s">
        <v>63</v>
      </c>
    </row>
    <row r="622" spans="1:3" hidden="1" x14ac:dyDescent="0.3">
      <c r="A622" s="373">
        <v>30708006420</v>
      </c>
      <c r="B622" t="s">
        <v>2149</v>
      </c>
      <c r="C622" s="32" t="s">
        <v>63</v>
      </c>
    </row>
    <row r="623" spans="1:3" hidden="1" x14ac:dyDescent="0.3">
      <c r="A623" s="373">
        <v>30708006420</v>
      </c>
      <c r="B623" t="s">
        <v>2149</v>
      </c>
      <c r="C623" s="32" t="s">
        <v>63</v>
      </c>
    </row>
    <row r="624" spans="1:3" hidden="1" x14ac:dyDescent="0.3">
      <c r="A624" s="373">
        <v>30709932876</v>
      </c>
      <c r="B624" t="s">
        <v>2169</v>
      </c>
      <c r="C624" s="32" t="s">
        <v>63</v>
      </c>
    </row>
    <row r="625" spans="1:3" hidden="1" x14ac:dyDescent="0.3">
      <c r="A625" s="373">
        <v>30709932876</v>
      </c>
      <c r="B625" t="s">
        <v>2169</v>
      </c>
      <c r="C625" s="32" t="s">
        <v>63</v>
      </c>
    </row>
    <row r="626" spans="1:3" hidden="1" x14ac:dyDescent="0.3">
      <c r="A626" s="373">
        <v>30709932876</v>
      </c>
      <c r="B626" t="s">
        <v>2169</v>
      </c>
      <c r="C626" s="32" t="s">
        <v>63</v>
      </c>
    </row>
    <row r="627" spans="1:3" hidden="1" x14ac:dyDescent="0.3">
      <c r="A627" s="373">
        <v>30709932876</v>
      </c>
      <c r="B627" t="s">
        <v>2169</v>
      </c>
      <c r="C627" s="32" t="s">
        <v>63</v>
      </c>
    </row>
    <row r="628" spans="1:3" hidden="1" x14ac:dyDescent="0.3">
      <c r="A628" s="373">
        <v>30709932876</v>
      </c>
      <c r="B628" t="s">
        <v>2139</v>
      </c>
      <c r="C628" s="32" t="s">
        <v>63</v>
      </c>
    </row>
    <row r="629" spans="1:3" hidden="1" x14ac:dyDescent="0.3">
      <c r="A629" s="373">
        <v>30709932876</v>
      </c>
      <c r="B629" t="s">
        <v>2139</v>
      </c>
      <c r="C629" s="32" t="s">
        <v>63</v>
      </c>
    </row>
    <row r="630" spans="1:3" hidden="1" x14ac:dyDescent="0.3">
      <c r="A630" s="373">
        <v>30709932876</v>
      </c>
      <c r="B630" t="s">
        <v>2389</v>
      </c>
      <c r="C630" s="32" t="s">
        <v>63</v>
      </c>
    </row>
    <row r="631" spans="1:3" hidden="1" x14ac:dyDescent="0.3">
      <c r="A631" s="373">
        <v>30709932876</v>
      </c>
      <c r="B631" t="s">
        <v>2389</v>
      </c>
      <c r="C631" s="32" t="s">
        <v>63</v>
      </c>
    </row>
    <row r="632" spans="1:3" hidden="1" x14ac:dyDescent="0.3">
      <c r="A632" s="373">
        <v>20077901370</v>
      </c>
      <c r="B632" t="s">
        <v>1451</v>
      </c>
      <c r="C632" s="32" t="s">
        <v>63</v>
      </c>
    </row>
    <row r="633" spans="1:3" hidden="1" x14ac:dyDescent="0.3">
      <c r="A633" s="373">
        <v>30710816049</v>
      </c>
      <c r="B633" t="s">
        <v>1456</v>
      </c>
      <c r="C633" s="32" t="s">
        <v>63</v>
      </c>
    </row>
    <row r="634" spans="1:3" hidden="1" x14ac:dyDescent="0.3">
      <c r="A634" s="373">
        <v>30679139122</v>
      </c>
      <c r="B634" t="s">
        <v>1465</v>
      </c>
      <c r="C634" s="32" t="s">
        <v>63</v>
      </c>
    </row>
    <row r="635" spans="1:3" hidden="1" x14ac:dyDescent="0.3">
      <c r="A635" s="373">
        <v>30549180783</v>
      </c>
      <c r="B635" t="s">
        <v>1467</v>
      </c>
      <c r="C635" s="32" t="s">
        <v>63</v>
      </c>
    </row>
    <row r="636" spans="1:3" hidden="1" x14ac:dyDescent="0.3">
      <c r="A636" s="373">
        <v>30708469986</v>
      </c>
      <c r="B636" t="s">
        <v>1472</v>
      </c>
      <c r="C636" s="32" t="s">
        <v>63</v>
      </c>
    </row>
    <row r="637" spans="1:3" hidden="1" x14ac:dyDescent="0.3">
      <c r="A637" s="373">
        <v>30715772783</v>
      </c>
      <c r="B637" t="s">
        <v>1487</v>
      </c>
      <c r="C637" s="32" t="s">
        <v>63</v>
      </c>
    </row>
    <row r="638" spans="1:3" hidden="1" x14ac:dyDescent="0.3">
      <c r="A638" s="373">
        <v>20269013746</v>
      </c>
      <c r="B638" t="s">
        <v>1491</v>
      </c>
      <c r="C638" s="32" t="s">
        <v>63</v>
      </c>
    </row>
    <row r="639" spans="1:3" hidden="1" x14ac:dyDescent="0.3">
      <c r="A639" s="373">
        <v>20291935401</v>
      </c>
      <c r="B639" t="s">
        <v>1493</v>
      </c>
      <c r="C639" s="32" t="s">
        <v>63</v>
      </c>
    </row>
    <row r="640" spans="1:3" hidden="1" x14ac:dyDescent="0.3">
      <c r="A640" s="373">
        <v>20081262897</v>
      </c>
      <c r="B640" t="s">
        <v>1497</v>
      </c>
      <c r="C640" s="32" t="s">
        <v>63</v>
      </c>
    </row>
    <row r="641" spans="1:3" hidden="1" x14ac:dyDescent="0.3">
      <c r="A641" s="373">
        <v>33716493119</v>
      </c>
      <c r="B641" t="s">
        <v>1519</v>
      </c>
      <c r="C641" s="32" t="s">
        <v>63</v>
      </c>
    </row>
    <row r="642" spans="1:3" hidden="1" x14ac:dyDescent="0.3">
      <c r="A642" s="373">
        <v>30713979704</v>
      </c>
      <c r="B642" t="s">
        <v>1525</v>
      </c>
      <c r="C642" s="32" t="s">
        <v>63</v>
      </c>
    </row>
    <row r="643" spans="1:3" hidden="1" x14ac:dyDescent="0.3">
      <c r="A643" s="373">
        <v>20181837617</v>
      </c>
      <c r="B643" t="s">
        <v>1527</v>
      </c>
      <c r="C643" s="32" t="s">
        <v>63</v>
      </c>
    </row>
    <row r="644" spans="1:3" hidden="1" x14ac:dyDescent="0.3">
      <c r="A644" s="373">
        <v>30598946694</v>
      </c>
      <c r="B644" t="s">
        <v>1535</v>
      </c>
      <c r="C644" s="32" t="s">
        <v>63</v>
      </c>
    </row>
    <row r="645" spans="1:3" hidden="1" x14ac:dyDescent="0.3">
      <c r="A645" s="373">
        <v>20232991527</v>
      </c>
      <c r="B645" t="s">
        <v>1538</v>
      </c>
      <c r="C645" s="32" t="s">
        <v>63</v>
      </c>
    </row>
    <row r="646" spans="1:3" hidden="1" x14ac:dyDescent="0.3">
      <c r="A646" s="373">
        <v>30708017759</v>
      </c>
      <c r="B646" t="s">
        <v>2418</v>
      </c>
      <c r="C646" s="32" t="s">
        <v>63</v>
      </c>
    </row>
    <row r="647" spans="1:3" hidden="1" x14ac:dyDescent="0.3">
      <c r="A647" s="373">
        <v>30708017759</v>
      </c>
      <c r="B647" t="s">
        <v>2418</v>
      </c>
      <c r="C647" s="32" t="s">
        <v>63</v>
      </c>
    </row>
    <row r="648" spans="1:3" hidden="1" x14ac:dyDescent="0.3">
      <c r="A648" s="373">
        <v>30707838384</v>
      </c>
      <c r="B648" t="s">
        <v>1549</v>
      </c>
      <c r="C648" s="32" t="s">
        <v>63</v>
      </c>
    </row>
    <row r="649" spans="1:3" hidden="1" x14ac:dyDescent="0.3">
      <c r="A649" s="373">
        <v>30691617773</v>
      </c>
      <c r="B649" t="s">
        <v>2382</v>
      </c>
      <c r="C649" s="32" t="s">
        <v>63</v>
      </c>
    </row>
    <row r="650" spans="1:3" hidden="1" x14ac:dyDescent="0.3">
      <c r="A650" s="373">
        <v>30691617773</v>
      </c>
      <c r="B650" t="s">
        <v>2382</v>
      </c>
      <c r="C650" s="32" t="s">
        <v>63</v>
      </c>
    </row>
    <row r="651" spans="1:3" hidden="1" x14ac:dyDescent="0.3">
      <c r="A651" s="373">
        <v>30691617773</v>
      </c>
      <c r="B651" t="s">
        <v>2166</v>
      </c>
      <c r="C651" s="32" t="s">
        <v>63</v>
      </c>
    </row>
    <row r="652" spans="1:3" hidden="1" x14ac:dyDescent="0.3">
      <c r="A652" s="373">
        <v>30691617773</v>
      </c>
      <c r="B652" t="s">
        <v>2166</v>
      </c>
      <c r="C652" s="32" t="s">
        <v>63</v>
      </c>
    </row>
    <row r="653" spans="1:3" hidden="1" x14ac:dyDescent="0.3">
      <c r="A653" s="373">
        <v>30715564749</v>
      </c>
      <c r="B653" t="s">
        <v>1560</v>
      </c>
      <c r="C653" s="32" t="s">
        <v>63</v>
      </c>
    </row>
    <row r="654" spans="1:3" hidden="1" x14ac:dyDescent="0.3">
      <c r="A654" s="373">
        <v>30625911334</v>
      </c>
      <c r="B654" t="s">
        <v>1561</v>
      </c>
      <c r="C654" s="32" t="s">
        <v>63</v>
      </c>
    </row>
    <row r="655" spans="1:3" hidden="1" x14ac:dyDescent="0.3">
      <c r="A655" s="373">
        <v>30714187658</v>
      </c>
      <c r="B655" t="s">
        <v>1566</v>
      </c>
      <c r="C655" s="32" t="s">
        <v>63</v>
      </c>
    </row>
    <row r="656" spans="1:3" hidden="1" x14ac:dyDescent="0.3">
      <c r="A656" s="373">
        <v>30504854023</v>
      </c>
      <c r="B656" t="s">
        <v>1571</v>
      </c>
      <c r="C656" s="32" t="s">
        <v>63</v>
      </c>
    </row>
    <row r="657" spans="1:3" hidden="1" x14ac:dyDescent="0.3">
      <c r="A657" s="373">
        <v>20077604627</v>
      </c>
      <c r="B657" t="s">
        <v>2353</v>
      </c>
      <c r="C657" s="32" t="s">
        <v>63</v>
      </c>
    </row>
    <row r="658" spans="1:3" hidden="1" x14ac:dyDescent="0.3">
      <c r="A658" s="373">
        <v>20077604627</v>
      </c>
      <c r="B658" t="s">
        <v>2353</v>
      </c>
      <c r="C658" s="32" t="s">
        <v>63</v>
      </c>
    </row>
    <row r="659" spans="1:3" hidden="1" x14ac:dyDescent="0.3">
      <c r="A659" s="373">
        <v>20077604627</v>
      </c>
      <c r="B659" t="s">
        <v>2353</v>
      </c>
      <c r="C659" s="32" t="s">
        <v>63</v>
      </c>
    </row>
    <row r="660" spans="1:3" hidden="1" x14ac:dyDescent="0.3">
      <c r="A660" s="373">
        <v>20077604627</v>
      </c>
      <c r="B660" t="s">
        <v>2353</v>
      </c>
      <c r="C660" s="32" t="s">
        <v>63</v>
      </c>
    </row>
    <row r="661" spans="1:3" hidden="1" x14ac:dyDescent="0.3">
      <c r="A661" s="373">
        <v>20077604627</v>
      </c>
      <c r="B661" t="s">
        <v>2353</v>
      </c>
      <c r="C661" s="32" t="s">
        <v>63</v>
      </c>
    </row>
    <row r="662" spans="1:3" hidden="1" x14ac:dyDescent="0.3">
      <c r="A662" s="373">
        <v>20077604627</v>
      </c>
      <c r="B662" t="s">
        <v>2353</v>
      </c>
      <c r="C662" s="32" t="s">
        <v>63</v>
      </c>
    </row>
    <row r="663" spans="1:3" hidden="1" x14ac:dyDescent="0.3">
      <c r="A663" s="373">
        <v>20077604627</v>
      </c>
      <c r="B663" t="s">
        <v>2353</v>
      </c>
      <c r="C663" s="32" t="s">
        <v>63</v>
      </c>
    </row>
    <row r="664" spans="1:3" hidden="1" x14ac:dyDescent="0.3">
      <c r="A664" s="373">
        <v>20077604627</v>
      </c>
      <c r="B664" t="s">
        <v>2353</v>
      </c>
      <c r="C664" s="32" t="s">
        <v>63</v>
      </c>
    </row>
    <row r="665" spans="1:3" hidden="1" x14ac:dyDescent="0.3">
      <c r="A665" s="373">
        <v>20077604627</v>
      </c>
      <c r="B665" t="s">
        <v>2353</v>
      </c>
      <c r="C665" s="32" t="s">
        <v>63</v>
      </c>
    </row>
    <row r="666" spans="1:3" hidden="1" x14ac:dyDescent="0.3">
      <c r="A666" s="373">
        <v>20077604627</v>
      </c>
      <c r="B666" t="s">
        <v>2353</v>
      </c>
      <c r="C666" s="32" t="s">
        <v>63</v>
      </c>
    </row>
    <row r="667" spans="1:3" hidden="1" x14ac:dyDescent="0.3">
      <c r="A667" s="373">
        <v>20077604627</v>
      </c>
      <c r="B667" t="s">
        <v>2179</v>
      </c>
      <c r="C667" s="32" t="s">
        <v>63</v>
      </c>
    </row>
    <row r="668" spans="1:3" hidden="1" x14ac:dyDescent="0.3">
      <c r="A668" s="373">
        <v>20077604627</v>
      </c>
      <c r="B668" t="s">
        <v>2179</v>
      </c>
      <c r="C668" s="32" t="s">
        <v>63</v>
      </c>
    </row>
    <row r="669" spans="1:3" hidden="1" x14ac:dyDescent="0.3">
      <c r="A669" s="373">
        <v>30714911976</v>
      </c>
      <c r="B669" t="s">
        <v>1582</v>
      </c>
      <c r="C669" s="32" t="s">
        <v>63</v>
      </c>
    </row>
    <row r="670" spans="1:3" hidden="1" x14ac:dyDescent="0.3">
      <c r="A670" s="373">
        <v>30708387114</v>
      </c>
      <c r="B670" t="s">
        <v>1584</v>
      </c>
      <c r="C670" s="32" t="s">
        <v>63</v>
      </c>
    </row>
    <row r="671" spans="1:3" hidden="1" x14ac:dyDescent="0.3">
      <c r="A671" s="373">
        <v>30709059471</v>
      </c>
      <c r="B671" t="s">
        <v>1585</v>
      </c>
      <c r="C671" s="32" t="s">
        <v>63</v>
      </c>
    </row>
    <row r="672" spans="1:3" hidden="1" x14ac:dyDescent="0.3">
      <c r="A672" s="373">
        <v>30702843576</v>
      </c>
      <c r="B672" t="s">
        <v>1586</v>
      </c>
      <c r="C672" s="32" t="s">
        <v>63</v>
      </c>
    </row>
    <row r="673" spans="1:3" hidden="1" x14ac:dyDescent="0.3">
      <c r="A673" s="373">
        <v>30500597557</v>
      </c>
      <c r="B673" t="s">
        <v>1601</v>
      </c>
      <c r="C673" s="32" t="s">
        <v>63</v>
      </c>
    </row>
    <row r="674" spans="1:3" hidden="1" x14ac:dyDescent="0.3">
      <c r="A674" s="373">
        <v>30611371213</v>
      </c>
      <c r="B674" t="s">
        <v>1602</v>
      </c>
      <c r="C674" s="32" t="s">
        <v>63</v>
      </c>
    </row>
    <row r="675" spans="1:3" hidden="1" x14ac:dyDescent="0.3">
      <c r="A675" s="373">
        <v>30661498575</v>
      </c>
      <c r="B675" t="s">
        <v>1606</v>
      </c>
      <c r="C675" s="32" t="s">
        <v>63</v>
      </c>
    </row>
    <row r="676" spans="1:3" hidden="1" x14ac:dyDescent="0.3">
      <c r="A676" s="373">
        <v>33709738459</v>
      </c>
      <c r="B676" t="s">
        <v>1607</v>
      </c>
      <c r="C676" s="32" t="s">
        <v>63</v>
      </c>
    </row>
    <row r="677" spans="1:3" hidden="1" x14ac:dyDescent="0.3">
      <c r="A677" s="373">
        <v>30696246234</v>
      </c>
      <c r="B677" t="s">
        <v>1608</v>
      </c>
      <c r="C677" s="32" t="s">
        <v>63</v>
      </c>
    </row>
    <row r="678" spans="1:3" hidden="1" x14ac:dyDescent="0.3">
      <c r="A678" s="373">
        <v>30707080198</v>
      </c>
      <c r="B678" t="s">
        <v>1617</v>
      </c>
      <c r="C678" s="32" t="s">
        <v>63</v>
      </c>
    </row>
    <row r="679" spans="1:3" hidden="1" x14ac:dyDescent="0.3">
      <c r="A679" s="373">
        <v>30643862928</v>
      </c>
      <c r="B679" t="s">
        <v>1618</v>
      </c>
      <c r="C679" s="32" t="s">
        <v>63</v>
      </c>
    </row>
    <row r="680" spans="1:3" hidden="1" x14ac:dyDescent="0.3">
      <c r="A680" s="373">
        <v>30714543357</v>
      </c>
      <c r="B680" t="s">
        <v>1628</v>
      </c>
      <c r="C680" s="32" t="s">
        <v>63</v>
      </c>
    </row>
    <row r="681" spans="1:3" hidden="1" x14ac:dyDescent="0.3">
      <c r="A681" s="373">
        <v>20225106151</v>
      </c>
      <c r="B681" t="s">
        <v>1629</v>
      </c>
      <c r="C681" s="32" t="s">
        <v>63</v>
      </c>
    </row>
    <row r="682" spans="1:3" hidden="1" x14ac:dyDescent="0.3">
      <c r="A682" s="373">
        <v>30591633984</v>
      </c>
      <c r="B682" t="s">
        <v>1631</v>
      </c>
      <c r="C682" s="32" t="s">
        <v>63</v>
      </c>
    </row>
    <row r="683" spans="1:3" hidden="1" x14ac:dyDescent="0.3">
      <c r="A683" s="373">
        <v>30588917157</v>
      </c>
      <c r="B683" t="s">
        <v>1635</v>
      </c>
      <c r="C683" s="32" t="s">
        <v>63</v>
      </c>
    </row>
    <row r="684" spans="1:3" hidden="1" x14ac:dyDescent="0.3">
      <c r="A684" s="373">
        <v>30715401114</v>
      </c>
      <c r="B684" t="s">
        <v>1638</v>
      </c>
      <c r="C684" s="32" t="s">
        <v>63</v>
      </c>
    </row>
    <row r="685" spans="1:3" hidden="1" x14ac:dyDescent="0.3">
      <c r="A685" s="373">
        <v>20219190469</v>
      </c>
      <c r="B685" t="s">
        <v>2396</v>
      </c>
      <c r="C685" s="32" t="s">
        <v>63</v>
      </c>
    </row>
    <row r="686" spans="1:3" hidden="1" x14ac:dyDescent="0.3">
      <c r="A686" s="373">
        <v>20219190469</v>
      </c>
      <c r="B686" t="s">
        <v>2396</v>
      </c>
      <c r="C686" s="32" t="s">
        <v>63</v>
      </c>
    </row>
    <row r="687" spans="1:3" hidden="1" x14ac:dyDescent="0.3">
      <c r="A687" s="373">
        <v>20219190469</v>
      </c>
      <c r="B687" t="s">
        <v>2153</v>
      </c>
      <c r="C687" s="32" t="s">
        <v>63</v>
      </c>
    </row>
    <row r="688" spans="1:3" hidden="1" x14ac:dyDescent="0.3">
      <c r="A688" s="373">
        <v>20219190469</v>
      </c>
      <c r="B688" t="s">
        <v>2153</v>
      </c>
      <c r="C688" s="32" t="s">
        <v>63</v>
      </c>
    </row>
    <row r="689" spans="1:3" hidden="1" x14ac:dyDescent="0.3">
      <c r="A689" s="373">
        <v>20102638086</v>
      </c>
      <c r="B689" t="s">
        <v>2843</v>
      </c>
      <c r="C689" s="32" t="s">
        <v>63</v>
      </c>
    </row>
    <row r="690" spans="1:3" hidden="1" x14ac:dyDescent="0.3">
      <c r="A690" s="373">
        <v>20275363279</v>
      </c>
      <c r="B690" t="s">
        <v>1661</v>
      </c>
      <c r="C690" s="32" t="s">
        <v>63</v>
      </c>
    </row>
    <row r="691" spans="1:3" hidden="1" x14ac:dyDescent="0.3">
      <c r="A691" s="373">
        <v>20277890306</v>
      </c>
      <c r="B691" t="s">
        <v>1665</v>
      </c>
      <c r="C691" s="32" t="s">
        <v>63</v>
      </c>
    </row>
    <row r="692" spans="1:3" hidden="1" x14ac:dyDescent="0.3">
      <c r="A692" s="374">
        <v>30717434710</v>
      </c>
      <c r="B692" s="375" t="s">
        <v>2429</v>
      </c>
      <c r="C692" s="32" t="s">
        <v>63</v>
      </c>
    </row>
    <row r="693" spans="1:3" hidden="1" x14ac:dyDescent="0.3">
      <c r="A693" s="373">
        <v>30502174904</v>
      </c>
      <c r="B693" t="s">
        <v>1674</v>
      </c>
      <c r="C693" s="32" t="s">
        <v>63</v>
      </c>
    </row>
    <row r="694" spans="1:3" hidden="1" x14ac:dyDescent="0.3">
      <c r="A694" s="373">
        <v>30699342129</v>
      </c>
      <c r="B694" t="s">
        <v>2849</v>
      </c>
      <c r="C694" s="32" t="s">
        <v>63</v>
      </c>
    </row>
    <row r="695" spans="1:3" hidden="1" x14ac:dyDescent="0.3">
      <c r="A695" s="373">
        <v>30714848034</v>
      </c>
      <c r="B695" t="s">
        <v>1685</v>
      </c>
      <c r="C695" s="32" t="s">
        <v>63</v>
      </c>
    </row>
    <row r="696" spans="1:3" hidden="1" x14ac:dyDescent="0.3">
      <c r="A696" s="373">
        <v>20304493039</v>
      </c>
      <c r="B696" t="s">
        <v>1687</v>
      </c>
      <c r="C696" s="32" t="s">
        <v>63</v>
      </c>
    </row>
    <row r="697" spans="1:3" hidden="1" x14ac:dyDescent="0.3">
      <c r="A697" s="373"/>
      <c r="B697" t="s">
        <v>1688</v>
      </c>
      <c r="C697" s="32" t="s">
        <v>63</v>
      </c>
    </row>
    <row r="698" spans="1:3" hidden="1" x14ac:dyDescent="0.3">
      <c r="A698" s="373">
        <v>33517024819</v>
      </c>
      <c r="B698" t="s">
        <v>1694</v>
      </c>
      <c r="C698" s="32" t="s">
        <v>63</v>
      </c>
    </row>
    <row r="699" spans="1:3" hidden="1" x14ac:dyDescent="0.3">
      <c r="A699" s="373">
        <v>30683550872</v>
      </c>
      <c r="B699" t="s">
        <v>2852</v>
      </c>
      <c r="C699" s="32" t="s">
        <v>63</v>
      </c>
    </row>
    <row r="700" spans="1:3" hidden="1" x14ac:dyDescent="0.3">
      <c r="A700" s="373">
        <v>30709568260</v>
      </c>
      <c r="B700" t="s">
        <v>1705</v>
      </c>
      <c r="C700" s="32" t="s">
        <v>63</v>
      </c>
    </row>
    <row r="701" spans="1:3" hidden="1" x14ac:dyDescent="0.3">
      <c r="A701" s="373">
        <v>30503940147</v>
      </c>
      <c r="B701" t="s">
        <v>1725</v>
      </c>
      <c r="C701" s="32" t="s">
        <v>63</v>
      </c>
    </row>
    <row r="702" spans="1:3" hidden="1" x14ac:dyDescent="0.3">
      <c r="A702" s="373">
        <v>27163348190</v>
      </c>
      <c r="B702" t="s">
        <v>1727</v>
      </c>
      <c r="C702" s="32" t="s">
        <v>63</v>
      </c>
    </row>
    <row r="703" spans="1:3" hidden="1" x14ac:dyDescent="0.3">
      <c r="A703" s="373">
        <v>30708041722</v>
      </c>
      <c r="B703" t="s">
        <v>2428</v>
      </c>
      <c r="C703" s="32" t="s">
        <v>63</v>
      </c>
    </row>
    <row r="704" spans="1:3" hidden="1" x14ac:dyDescent="0.3">
      <c r="A704" s="373">
        <v>30708041722</v>
      </c>
      <c r="B704" t="s">
        <v>2428</v>
      </c>
      <c r="C704" s="32" t="s">
        <v>63</v>
      </c>
    </row>
    <row r="705" spans="1:3" hidden="1" x14ac:dyDescent="0.3">
      <c r="A705" s="373">
        <v>30517345039</v>
      </c>
      <c r="B705" t="s">
        <v>1729</v>
      </c>
      <c r="C705" s="32" t="s">
        <v>63</v>
      </c>
    </row>
    <row r="706" spans="1:3" hidden="1" x14ac:dyDescent="0.3">
      <c r="A706" s="373">
        <v>20082988786</v>
      </c>
      <c r="B706" t="s">
        <v>1736</v>
      </c>
      <c r="C706" s="32" t="s">
        <v>63</v>
      </c>
    </row>
    <row r="707" spans="1:3" hidden="1" x14ac:dyDescent="0.3">
      <c r="A707" s="373">
        <v>30707370552</v>
      </c>
      <c r="B707" t="s">
        <v>1739</v>
      </c>
      <c r="C707" s="32" t="s">
        <v>63</v>
      </c>
    </row>
    <row r="708" spans="1:3" hidden="1" x14ac:dyDescent="0.3">
      <c r="A708" s="373">
        <v>20231009524</v>
      </c>
      <c r="B708" t="s">
        <v>2436</v>
      </c>
      <c r="C708" s="32" t="s">
        <v>63</v>
      </c>
    </row>
    <row r="709" spans="1:3" hidden="1" x14ac:dyDescent="0.3">
      <c r="A709" s="373">
        <v>20231009524</v>
      </c>
      <c r="B709" t="s">
        <v>2436</v>
      </c>
      <c r="C709" s="32" t="s">
        <v>63</v>
      </c>
    </row>
    <row r="710" spans="1:3" hidden="1" x14ac:dyDescent="0.3">
      <c r="A710" s="373">
        <v>30715645579</v>
      </c>
      <c r="B710" t="s">
        <v>1743</v>
      </c>
      <c r="C710" s="32" t="s">
        <v>63</v>
      </c>
    </row>
    <row r="711" spans="1:3" hidden="1" x14ac:dyDescent="0.3">
      <c r="A711" s="373">
        <v>30709836230</v>
      </c>
      <c r="B711" t="s">
        <v>1747</v>
      </c>
      <c r="C711" s="32" t="s">
        <v>63</v>
      </c>
    </row>
    <row r="712" spans="1:3" hidden="1" x14ac:dyDescent="0.3">
      <c r="A712" s="373">
        <v>23181104589</v>
      </c>
      <c r="B712" t="s">
        <v>1750</v>
      </c>
      <c r="C712" s="32" t="s">
        <v>63</v>
      </c>
    </row>
    <row r="713" spans="1:3" hidden="1" x14ac:dyDescent="0.3">
      <c r="A713" s="373">
        <v>30711713138</v>
      </c>
      <c r="B713" t="s">
        <v>1751</v>
      </c>
      <c r="C713" s="32" t="s">
        <v>63</v>
      </c>
    </row>
    <row r="714" spans="1:3" hidden="1" x14ac:dyDescent="0.3">
      <c r="A714" s="373">
        <v>30663944939</v>
      </c>
      <c r="B714" t="s">
        <v>1753</v>
      </c>
      <c r="C714" s="32" t="s">
        <v>63</v>
      </c>
    </row>
    <row r="715" spans="1:3" hidden="1" x14ac:dyDescent="0.3">
      <c r="A715" s="373">
        <v>30715141201</v>
      </c>
      <c r="B715" t="s">
        <v>1754</v>
      </c>
      <c r="C715" s="32" t="s">
        <v>63</v>
      </c>
    </row>
    <row r="716" spans="1:3" hidden="1" x14ac:dyDescent="0.3">
      <c r="A716" s="373">
        <v>30709214078</v>
      </c>
      <c r="B716" t="s">
        <v>1755</v>
      </c>
      <c r="C716" s="32" t="s">
        <v>63</v>
      </c>
    </row>
    <row r="717" spans="1:3" hidden="1" x14ac:dyDescent="0.3">
      <c r="A717" s="373">
        <v>27181689183</v>
      </c>
      <c r="B717" t="s">
        <v>2375</v>
      </c>
      <c r="C717" s="32" t="s">
        <v>63</v>
      </c>
    </row>
    <row r="718" spans="1:3" hidden="1" x14ac:dyDescent="0.3">
      <c r="A718" s="373">
        <v>27181689183</v>
      </c>
      <c r="B718" t="s">
        <v>2375</v>
      </c>
      <c r="C718" s="32" t="s">
        <v>63</v>
      </c>
    </row>
    <row r="719" spans="1:3" hidden="1" x14ac:dyDescent="0.3">
      <c r="A719" s="373">
        <v>20134074958</v>
      </c>
      <c r="B719" t="s">
        <v>1759</v>
      </c>
      <c r="C719" s="32" t="s">
        <v>63</v>
      </c>
    </row>
    <row r="720" spans="1:3" hidden="1" x14ac:dyDescent="0.3">
      <c r="A720" s="373">
        <v>30708376554</v>
      </c>
      <c r="B720" t="s">
        <v>1765</v>
      </c>
      <c r="C720" s="32" t="s">
        <v>63</v>
      </c>
    </row>
    <row r="721" spans="1:4" hidden="1" x14ac:dyDescent="0.3">
      <c r="A721" s="373">
        <v>30612958528</v>
      </c>
      <c r="B721" t="s">
        <v>1766</v>
      </c>
      <c r="C721" s="32" t="s">
        <v>63</v>
      </c>
    </row>
    <row r="722" spans="1:4" hidden="1" x14ac:dyDescent="0.3">
      <c r="A722" s="373">
        <v>23106878269</v>
      </c>
      <c r="B722" t="s">
        <v>1778</v>
      </c>
      <c r="C722" s="32" t="s">
        <v>63</v>
      </c>
    </row>
    <row r="723" spans="1:4" hidden="1" x14ac:dyDescent="0.3">
      <c r="A723" s="373">
        <v>20078690284</v>
      </c>
      <c r="B723" t="s">
        <v>1783</v>
      </c>
      <c r="C723" s="32" t="s">
        <v>63</v>
      </c>
    </row>
    <row r="724" spans="1:4" hidden="1" x14ac:dyDescent="0.3">
      <c r="A724" s="373">
        <v>33715567089</v>
      </c>
      <c r="B724" t="s">
        <v>1785</v>
      </c>
      <c r="C724" s="32" t="s">
        <v>63</v>
      </c>
    </row>
    <row r="725" spans="1:4" hidden="1" x14ac:dyDescent="0.3">
      <c r="A725" s="373">
        <v>20120875141</v>
      </c>
      <c r="B725" t="s">
        <v>1786</v>
      </c>
      <c r="C725" s="32" t="s">
        <v>63</v>
      </c>
    </row>
    <row r="726" spans="1:4" hidden="1" x14ac:dyDescent="0.3">
      <c r="A726" s="373">
        <v>20110668733</v>
      </c>
      <c r="B726" t="s">
        <v>1790</v>
      </c>
      <c r="C726" s="32" t="s">
        <v>63</v>
      </c>
    </row>
    <row r="727" spans="1:4" hidden="1" x14ac:dyDescent="0.3">
      <c r="A727" s="373">
        <v>20282332303</v>
      </c>
      <c r="B727" t="s">
        <v>1794</v>
      </c>
      <c r="C727" s="32" t="s">
        <v>63</v>
      </c>
    </row>
    <row r="728" spans="1:4" hidden="1" x14ac:dyDescent="0.3">
      <c r="A728" s="373">
        <v>20233320294</v>
      </c>
      <c r="B728" t="s">
        <v>1795</v>
      </c>
      <c r="C728" s="32" t="s">
        <v>63</v>
      </c>
    </row>
    <row r="729" spans="1:4" hidden="1" x14ac:dyDescent="0.3">
      <c r="A729" s="373">
        <v>20043702611</v>
      </c>
      <c r="B729" t="s">
        <v>1797</v>
      </c>
      <c r="C729" s="32" t="s">
        <v>63</v>
      </c>
    </row>
    <row r="730" spans="1:4" hidden="1" x14ac:dyDescent="0.3">
      <c r="A730" s="373">
        <v>20229507525</v>
      </c>
      <c r="B730" t="s">
        <v>1798</v>
      </c>
      <c r="C730" s="32" t="s">
        <v>63</v>
      </c>
    </row>
    <row r="731" spans="1:4" hidden="1" x14ac:dyDescent="0.3">
      <c r="A731" s="373">
        <v>30521596135</v>
      </c>
      <c r="B731" t="s">
        <v>1799</v>
      </c>
      <c r="C731" s="32" t="s">
        <v>63</v>
      </c>
    </row>
    <row r="732" spans="1:4" hidden="1" x14ac:dyDescent="0.3">
      <c r="A732" s="373">
        <v>23180288899</v>
      </c>
      <c r="B732" t="s">
        <v>2172</v>
      </c>
      <c r="C732" s="32" t="s">
        <v>63</v>
      </c>
      <c r="D732" t="s">
        <v>2739</v>
      </c>
    </row>
    <row r="733" spans="1:4" hidden="1" x14ac:dyDescent="0.3">
      <c r="A733" s="373">
        <v>30540721722</v>
      </c>
      <c r="B733" t="s">
        <v>1807</v>
      </c>
      <c r="C733" s="32" t="s">
        <v>63</v>
      </c>
    </row>
    <row r="734" spans="1:4" hidden="1" x14ac:dyDescent="0.3">
      <c r="A734" s="373">
        <v>30558706836</v>
      </c>
      <c r="B734" t="s">
        <v>1819</v>
      </c>
      <c r="C734" s="32" t="s">
        <v>63</v>
      </c>
    </row>
    <row r="735" spans="1:4" hidden="1" x14ac:dyDescent="0.3">
      <c r="A735" s="373">
        <v>30500529071</v>
      </c>
      <c r="B735" t="s">
        <v>1822</v>
      </c>
      <c r="C735" s="32" t="s">
        <v>63</v>
      </c>
    </row>
    <row r="736" spans="1:4" hidden="1" x14ac:dyDescent="0.3">
      <c r="A736" s="373">
        <v>30711553564</v>
      </c>
      <c r="B736" t="s">
        <v>1829</v>
      </c>
      <c r="C736" s="32" t="s">
        <v>63</v>
      </c>
    </row>
    <row r="737" spans="1:3" hidden="1" x14ac:dyDescent="0.3">
      <c r="A737" s="373">
        <v>30716499126</v>
      </c>
      <c r="B737" t="s">
        <v>1838</v>
      </c>
      <c r="C737" s="32" t="s">
        <v>63</v>
      </c>
    </row>
    <row r="738" spans="1:3" hidden="1" x14ac:dyDescent="0.3">
      <c r="A738" s="373">
        <v>30716499126</v>
      </c>
      <c r="B738" t="s">
        <v>1838</v>
      </c>
      <c r="C738" s="32" t="s">
        <v>63</v>
      </c>
    </row>
    <row r="739" spans="1:3" hidden="1" x14ac:dyDescent="0.3">
      <c r="A739" s="373">
        <v>30714079405</v>
      </c>
      <c r="B739" t="s">
        <v>1843</v>
      </c>
      <c r="C739" s="32" t="s">
        <v>63</v>
      </c>
    </row>
    <row r="740" spans="1:3" hidden="1" x14ac:dyDescent="0.3">
      <c r="A740" s="373">
        <v>30714079405</v>
      </c>
      <c r="B740" t="s">
        <v>1843</v>
      </c>
      <c r="C740" s="32" t="s">
        <v>63</v>
      </c>
    </row>
    <row r="741" spans="1:3" hidden="1" x14ac:dyDescent="0.3">
      <c r="A741" s="373">
        <v>30658667374</v>
      </c>
      <c r="B741" t="s">
        <v>2866</v>
      </c>
      <c r="C741" s="32" t="s">
        <v>63</v>
      </c>
    </row>
    <row r="742" spans="1:3" hidden="1" x14ac:dyDescent="0.3">
      <c r="A742" s="373">
        <v>30631047145</v>
      </c>
      <c r="B742" t="s">
        <v>1862</v>
      </c>
      <c r="C742" s="32" t="s">
        <v>63</v>
      </c>
    </row>
    <row r="743" spans="1:3" hidden="1" x14ac:dyDescent="0.3">
      <c r="A743" s="373">
        <v>30631047145</v>
      </c>
      <c r="B743" t="s">
        <v>1862</v>
      </c>
      <c r="C743" s="32" t="s">
        <v>63</v>
      </c>
    </row>
    <row r="744" spans="1:3" hidden="1" x14ac:dyDescent="0.3">
      <c r="A744" s="373">
        <v>30598960093</v>
      </c>
      <c r="B744" t="s">
        <v>1884</v>
      </c>
      <c r="C744" s="32" t="s">
        <v>63</v>
      </c>
    </row>
    <row r="745" spans="1:3" hidden="1" x14ac:dyDescent="0.3">
      <c r="A745" s="373">
        <v>30598960093</v>
      </c>
      <c r="B745" t="s">
        <v>1884</v>
      </c>
      <c r="C745" s="32" t="s">
        <v>63</v>
      </c>
    </row>
    <row r="746" spans="1:3" hidden="1" x14ac:dyDescent="0.3">
      <c r="A746" s="373">
        <v>30715504037</v>
      </c>
      <c r="B746" t="s">
        <v>1890</v>
      </c>
      <c r="C746" s="32" t="s">
        <v>63</v>
      </c>
    </row>
    <row r="747" spans="1:3" hidden="1" x14ac:dyDescent="0.3">
      <c r="A747" s="373">
        <v>30715504037</v>
      </c>
      <c r="B747" t="s">
        <v>1890</v>
      </c>
      <c r="C747" s="32" t="s">
        <v>63</v>
      </c>
    </row>
    <row r="748" spans="1:3" hidden="1" x14ac:dyDescent="0.3">
      <c r="A748" s="373">
        <v>30688387201</v>
      </c>
      <c r="B748" t="s">
        <v>1903</v>
      </c>
      <c r="C748" s="32" t="s">
        <v>63</v>
      </c>
    </row>
    <row r="749" spans="1:3" hidden="1" x14ac:dyDescent="0.3">
      <c r="A749" s="373">
        <v>30688387201</v>
      </c>
      <c r="B749" t="s">
        <v>1903</v>
      </c>
      <c r="C749" s="32" t="s">
        <v>63</v>
      </c>
    </row>
    <row r="750" spans="1:3" hidden="1" x14ac:dyDescent="0.3">
      <c r="A750" s="373">
        <v>27066622997</v>
      </c>
      <c r="B750" t="s">
        <v>1905</v>
      </c>
      <c r="C750" s="32" t="s">
        <v>63</v>
      </c>
    </row>
    <row r="751" spans="1:3" hidden="1" x14ac:dyDescent="0.3">
      <c r="A751" s="373">
        <v>27066622997</v>
      </c>
      <c r="B751" t="s">
        <v>1905</v>
      </c>
      <c r="C751" s="32" t="s">
        <v>63</v>
      </c>
    </row>
    <row r="752" spans="1:3" hidden="1" x14ac:dyDescent="0.3">
      <c r="A752" s="373">
        <v>33711882729</v>
      </c>
      <c r="B752" t="s">
        <v>1906</v>
      </c>
      <c r="C752" s="32" t="s">
        <v>63</v>
      </c>
    </row>
    <row r="753" spans="1:3" hidden="1" x14ac:dyDescent="0.3">
      <c r="A753" s="373">
        <v>33711882729</v>
      </c>
      <c r="B753" t="s">
        <v>1906</v>
      </c>
      <c r="C753" s="32" t="s">
        <v>63</v>
      </c>
    </row>
    <row r="754" spans="1:3" hidden="1" x14ac:dyDescent="0.3">
      <c r="A754" s="373">
        <v>30643416375</v>
      </c>
      <c r="B754" t="s">
        <v>1907</v>
      </c>
      <c r="C754" s="32" t="s">
        <v>63</v>
      </c>
    </row>
    <row r="755" spans="1:3" hidden="1" x14ac:dyDescent="0.3">
      <c r="A755" s="373">
        <v>30643416375</v>
      </c>
      <c r="B755" t="s">
        <v>1907</v>
      </c>
      <c r="C755" s="32" t="s">
        <v>63</v>
      </c>
    </row>
    <row r="756" spans="1:3" hidden="1" x14ac:dyDescent="0.3">
      <c r="A756" s="373">
        <v>30714710652</v>
      </c>
      <c r="B756" t="s">
        <v>1909</v>
      </c>
      <c r="C756" s="32" t="s">
        <v>63</v>
      </c>
    </row>
    <row r="757" spans="1:3" hidden="1" x14ac:dyDescent="0.3">
      <c r="A757" s="373">
        <v>30714710652</v>
      </c>
      <c r="B757" t="s">
        <v>1909</v>
      </c>
      <c r="C757" s="32" t="s">
        <v>63</v>
      </c>
    </row>
    <row r="758" spans="1:3" hidden="1" x14ac:dyDescent="0.3">
      <c r="A758" s="373">
        <v>23185808963</v>
      </c>
      <c r="B758" t="s">
        <v>1910</v>
      </c>
      <c r="C758" s="32" t="s">
        <v>63</v>
      </c>
    </row>
    <row r="759" spans="1:3" hidden="1" x14ac:dyDescent="0.3">
      <c r="A759" s="373">
        <v>20325751453</v>
      </c>
      <c r="B759" t="s">
        <v>1919</v>
      </c>
      <c r="C759" s="32" t="s">
        <v>63</v>
      </c>
    </row>
    <row r="760" spans="1:3" hidden="1" x14ac:dyDescent="0.3">
      <c r="A760" s="373">
        <v>20325751453</v>
      </c>
      <c r="B760" t="s">
        <v>1919</v>
      </c>
      <c r="C760" s="32" t="s">
        <v>63</v>
      </c>
    </row>
    <row r="761" spans="1:3" hidden="1" x14ac:dyDescent="0.3">
      <c r="A761" s="373">
        <v>30699425520</v>
      </c>
      <c r="B761" t="s">
        <v>1922</v>
      </c>
      <c r="C761" s="32" t="s">
        <v>63</v>
      </c>
    </row>
    <row r="762" spans="1:3" hidden="1" x14ac:dyDescent="0.3">
      <c r="A762" s="373">
        <v>30699425520</v>
      </c>
      <c r="B762" t="s">
        <v>1922</v>
      </c>
      <c r="C762" s="32" t="s">
        <v>63</v>
      </c>
    </row>
    <row r="763" spans="1:3" hidden="1" x14ac:dyDescent="0.3">
      <c r="A763" s="373">
        <v>30715701932</v>
      </c>
      <c r="B763" t="s">
        <v>1928</v>
      </c>
      <c r="C763" s="32" t="s">
        <v>63</v>
      </c>
    </row>
    <row r="764" spans="1:3" hidden="1" x14ac:dyDescent="0.3">
      <c r="A764" s="373">
        <v>30715701932</v>
      </c>
      <c r="B764" t="s">
        <v>1928</v>
      </c>
      <c r="C764" s="32" t="s">
        <v>63</v>
      </c>
    </row>
    <row r="765" spans="1:3" hidden="1" x14ac:dyDescent="0.3">
      <c r="A765" s="373">
        <v>30505459179</v>
      </c>
      <c r="B765" t="s">
        <v>1935</v>
      </c>
      <c r="C765" s="32" t="s">
        <v>63</v>
      </c>
    </row>
    <row r="766" spans="1:3" hidden="1" x14ac:dyDescent="0.3">
      <c r="A766" s="373">
        <v>30505459179</v>
      </c>
      <c r="B766" t="s">
        <v>1935</v>
      </c>
      <c r="C766" s="32" t="s">
        <v>63</v>
      </c>
    </row>
    <row r="767" spans="1:3" hidden="1" x14ac:dyDescent="0.3">
      <c r="A767" s="373">
        <v>30712121781</v>
      </c>
      <c r="B767" t="s">
        <v>2657</v>
      </c>
      <c r="C767" s="32" t="s">
        <v>63</v>
      </c>
    </row>
    <row r="768" spans="1:3" hidden="1" x14ac:dyDescent="0.3">
      <c r="A768" s="373">
        <v>30707057587</v>
      </c>
      <c r="B768" t="s">
        <v>1943</v>
      </c>
      <c r="C768" s="32" t="s">
        <v>63</v>
      </c>
    </row>
    <row r="769" spans="1:3" hidden="1" x14ac:dyDescent="0.3">
      <c r="A769" s="373">
        <v>30707057587</v>
      </c>
      <c r="B769" t="s">
        <v>1943</v>
      </c>
      <c r="C769" s="32" t="s">
        <v>63</v>
      </c>
    </row>
    <row r="770" spans="1:3" hidden="1" x14ac:dyDescent="0.3">
      <c r="A770" s="373">
        <v>30710177658</v>
      </c>
      <c r="B770" t="s">
        <v>1944</v>
      </c>
      <c r="C770" s="32" t="s">
        <v>63</v>
      </c>
    </row>
    <row r="771" spans="1:3" hidden="1" x14ac:dyDescent="0.3">
      <c r="A771" s="373">
        <v>30710177658</v>
      </c>
      <c r="B771" t="s">
        <v>1944</v>
      </c>
      <c r="C771" s="32" t="s">
        <v>63</v>
      </c>
    </row>
    <row r="772" spans="1:3" hidden="1" x14ac:dyDescent="0.3">
      <c r="A772" s="373">
        <v>30711451567</v>
      </c>
      <c r="B772" t="s">
        <v>1946</v>
      </c>
      <c r="C772" s="32" t="s">
        <v>63</v>
      </c>
    </row>
    <row r="773" spans="1:3" hidden="1" x14ac:dyDescent="0.3">
      <c r="A773" s="373">
        <v>30711451567</v>
      </c>
      <c r="B773" t="s">
        <v>1946</v>
      </c>
      <c r="C773" s="32" t="s">
        <v>63</v>
      </c>
    </row>
    <row r="774" spans="1:3" hidden="1" x14ac:dyDescent="0.3">
      <c r="A774" s="373">
        <v>30710725116</v>
      </c>
      <c r="B774" t="s">
        <v>1951</v>
      </c>
      <c r="C774" s="32" t="s">
        <v>63</v>
      </c>
    </row>
    <row r="775" spans="1:3" hidden="1" x14ac:dyDescent="0.3">
      <c r="A775" s="373">
        <v>30710725116</v>
      </c>
      <c r="B775" t="s">
        <v>1951</v>
      </c>
      <c r="C775" s="32" t="s">
        <v>63</v>
      </c>
    </row>
    <row r="776" spans="1:3" hidden="1" x14ac:dyDescent="0.3">
      <c r="A776" s="373" t="s">
        <v>2610</v>
      </c>
      <c r="B776" t="s">
        <v>2636</v>
      </c>
      <c r="C776" s="32" t="s">
        <v>63</v>
      </c>
    </row>
    <row r="777" spans="1:3" hidden="1" x14ac:dyDescent="0.3">
      <c r="A777" s="373">
        <v>30629863571</v>
      </c>
      <c r="B777" t="s">
        <v>2357</v>
      </c>
      <c r="C777" s="32" t="s">
        <v>63</v>
      </c>
    </row>
    <row r="778" spans="1:3" hidden="1" x14ac:dyDescent="0.3">
      <c r="A778" s="373">
        <v>30629863571</v>
      </c>
      <c r="B778" t="s">
        <v>2357</v>
      </c>
      <c r="C778" s="32" t="s">
        <v>63</v>
      </c>
    </row>
    <row r="779" spans="1:3" hidden="1" x14ac:dyDescent="0.3">
      <c r="A779" s="373">
        <v>30629863571</v>
      </c>
      <c r="B779" t="s">
        <v>2357</v>
      </c>
      <c r="C779" s="32" t="s">
        <v>63</v>
      </c>
    </row>
    <row r="780" spans="1:3" hidden="1" x14ac:dyDescent="0.3">
      <c r="A780" s="373">
        <v>30629863571</v>
      </c>
      <c r="B780" t="s">
        <v>2357</v>
      </c>
      <c r="C780" s="32" t="s">
        <v>63</v>
      </c>
    </row>
    <row r="781" spans="1:3" hidden="1" x14ac:dyDescent="0.3">
      <c r="A781" s="373">
        <v>30629863571</v>
      </c>
      <c r="B781" t="s">
        <v>2357</v>
      </c>
      <c r="C781" s="32" t="s">
        <v>63</v>
      </c>
    </row>
    <row r="782" spans="1:3" hidden="1" x14ac:dyDescent="0.3">
      <c r="A782" s="373">
        <v>30629863571</v>
      </c>
      <c r="B782" t="s">
        <v>2357</v>
      </c>
      <c r="C782" s="32" t="s">
        <v>63</v>
      </c>
    </row>
    <row r="783" spans="1:3" hidden="1" x14ac:dyDescent="0.3">
      <c r="A783" s="373">
        <v>30629863571</v>
      </c>
      <c r="B783" t="s">
        <v>2357</v>
      </c>
      <c r="C783" s="32" t="s">
        <v>63</v>
      </c>
    </row>
    <row r="784" spans="1:3" hidden="1" x14ac:dyDescent="0.3">
      <c r="A784" s="373">
        <v>30629863571</v>
      </c>
      <c r="B784" t="s">
        <v>2357</v>
      </c>
      <c r="C784" s="32" t="s">
        <v>63</v>
      </c>
    </row>
    <row r="785" spans="1:3" hidden="1" x14ac:dyDescent="0.3">
      <c r="A785" s="373">
        <v>30629863571</v>
      </c>
      <c r="B785" t="s">
        <v>2154</v>
      </c>
      <c r="C785" s="32" t="s">
        <v>63</v>
      </c>
    </row>
    <row r="786" spans="1:3" hidden="1" x14ac:dyDescent="0.3">
      <c r="A786" s="373">
        <v>30629863571</v>
      </c>
      <c r="B786" t="s">
        <v>2154</v>
      </c>
      <c r="C786" s="32" t="s">
        <v>63</v>
      </c>
    </row>
    <row r="787" spans="1:3" hidden="1" x14ac:dyDescent="0.3">
      <c r="A787" s="373">
        <v>30629863571</v>
      </c>
      <c r="B787" t="s">
        <v>2154</v>
      </c>
      <c r="C787" s="32" t="s">
        <v>63</v>
      </c>
    </row>
    <row r="788" spans="1:3" hidden="1" x14ac:dyDescent="0.3">
      <c r="A788" s="373">
        <v>30629863571</v>
      </c>
      <c r="B788" t="s">
        <v>2154</v>
      </c>
      <c r="C788" s="32" t="s">
        <v>63</v>
      </c>
    </row>
    <row r="789" spans="1:3" hidden="1" x14ac:dyDescent="0.3">
      <c r="A789" s="373">
        <v>30629863571</v>
      </c>
      <c r="B789" t="s">
        <v>2154</v>
      </c>
      <c r="C789" s="32" t="s">
        <v>63</v>
      </c>
    </row>
    <row r="790" spans="1:3" hidden="1" x14ac:dyDescent="0.3">
      <c r="A790" s="373">
        <v>30629863571</v>
      </c>
      <c r="B790" t="s">
        <v>2154</v>
      </c>
      <c r="C790" s="32" t="s">
        <v>63</v>
      </c>
    </row>
    <row r="791" spans="1:3" hidden="1" x14ac:dyDescent="0.3">
      <c r="A791" s="373">
        <v>30629863571</v>
      </c>
      <c r="B791" t="s">
        <v>2154</v>
      </c>
      <c r="C791" s="32" t="s">
        <v>63</v>
      </c>
    </row>
    <row r="792" spans="1:3" hidden="1" x14ac:dyDescent="0.3">
      <c r="A792" s="373">
        <v>30629863571</v>
      </c>
      <c r="B792" t="s">
        <v>2154</v>
      </c>
      <c r="C792" s="32" t="s">
        <v>63</v>
      </c>
    </row>
    <row r="793" spans="1:3" hidden="1" x14ac:dyDescent="0.3">
      <c r="A793" s="373">
        <v>30629863571</v>
      </c>
      <c r="B793" t="s">
        <v>2154</v>
      </c>
      <c r="C793" s="32" t="s">
        <v>63</v>
      </c>
    </row>
    <row r="794" spans="1:3" hidden="1" x14ac:dyDescent="0.3">
      <c r="A794" s="373">
        <v>30629863571</v>
      </c>
      <c r="B794" t="s">
        <v>2154</v>
      </c>
      <c r="C794" s="32" t="s">
        <v>63</v>
      </c>
    </row>
    <row r="795" spans="1:3" hidden="1" x14ac:dyDescent="0.3">
      <c r="A795" s="373">
        <v>30629863571</v>
      </c>
      <c r="B795" t="s">
        <v>2154</v>
      </c>
      <c r="C795" s="32" t="s">
        <v>63</v>
      </c>
    </row>
    <row r="796" spans="1:3" hidden="1" x14ac:dyDescent="0.3">
      <c r="A796" s="373">
        <v>30629863571</v>
      </c>
      <c r="B796" t="s">
        <v>2154</v>
      </c>
      <c r="C796" s="32" t="s">
        <v>63</v>
      </c>
    </row>
    <row r="797" spans="1:3" hidden="1" x14ac:dyDescent="0.3">
      <c r="A797" s="373">
        <v>30629863571</v>
      </c>
      <c r="B797" t="s">
        <v>2154</v>
      </c>
      <c r="C797" s="32" t="s">
        <v>63</v>
      </c>
    </row>
    <row r="798" spans="1:3" hidden="1" x14ac:dyDescent="0.3">
      <c r="A798" s="373">
        <v>30629863571</v>
      </c>
      <c r="B798" t="s">
        <v>2154</v>
      </c>
      <c r="C798" s="32" t="s">
        <v>63</v>
      </c>
    </row>
    <row r="799" spans="1:3" hidden="1" x14ac:dyDescent="0.3">
      <c r="A799" s="373">
        <v>30629863571</v>
      </c>
      <c r="B799" t="s">
        <v>2154</v>
      </c>
      <c r="C799" s="32" t="s">
        <v>63</v>
      </c>
    </row>
    <row r="800" spans="1:3" hidden="1" x14ac:dyDescent="0.3">
      <c r="A800" s="373">
        <v>30629863571</v>
      </c>
      <c r="B800" t="s">
        <v>2154</v>
      </c>
      <c r="C800" s="32" t="s">
        <v>63</v>
      </c>
    </row>
    <row r="801" spans="1:3" hidden="1" x14ac:dyDescent="0.3">
      <c r="A801" s="373">
        <v>30629863571</v>
      </c>
      <c r="B801" t="s">
        <v>2154</v>
      </c>
      <c r="C801" s="32" t="s">
        <v>63</v>
      </c>
    </row>
    <row r="802" spans="1:3" hidden="1" x14ac:dyDescent="0.3">
      <c r="A802" s="373">
        <v>30629863571</v>
      </c>
      <c r="B802" t="s">
        <v>2154</v>
      </c>
      <c r="C802" s="32" t="s">
        <v>63</v>
      </c>
    </row>
    <row r="803" spans="1:3" hidden="1" x14ac:dyDescent="0.3">
      <c r="A803" s="373">
        <v>30716710684</v>
      </c>
      <c r="B803" t="s">
        <v>1957</v>
      </c>
      <c r="C803" s="32" t="s">
        <v>63</v>
      </c>
    </row>
    <row r="804" spans="1:3" hidden="1" x14ac:dyDescent="0.3">
      <c r="A804" s="373">
        <v>30716710684</v>
      </c>
      <c r="B804" t="s">
        <v>1957</v>
      </c>
      <c r="C804" s="32" t="s">
        <v>63</v>
      </c>
    </row>
    <row r="805" spans="1:3" hidden="1" x14ac:dyDescent="0.3">
      <c r="A805" s="374">
        <v>30502272930</v>
      </c>
      <c r="B805" s="375" t="s">
        <v>2661</v>
      </c>
      <c r="C805" s="32" t="s">
        <v>63</v>
      </c>
    </row>
    <row r="806" spans="1:3" hidden="1" x14ac:dyDescent="0.3">
      <c r="A806" s="373">
        <v>30715259784</v>
      </c>
      <c r="B806" t="s">
        <v>1971</v>
      </c>
      <c r="C806" s="32" t="s">
        <v>63</v>
      </c>
    </row>
    <row r="807" spans="1:3" hidden="1" x14ac:dyDescent="0.3">
      <c r="A807" s="373">
        <v>30715259784</v>
      </c>
      <c r="B807" t="s">
        <v>1971</v>
      </c>
      <c r="C807" s="32" t="s">
        <v>63</v>
      </c>
    </row>
    <row r="808" spans="1:3" hidden="1" x14ac:dyDescent="0.3">
      <c r="A808" s="373">
        <v>30709305618</v>
      </c>
      <c r="B808" t="s">
        <v>1972</v>
      </c>
      <c r="C808" s="32" t="s">
        <v>63</v>
      </c>
    </row>
    <row r="809" spans="1:3" hidden="1" x14ac:dyDescent="0.3">
      <c r="A809" s="373">
        <v>30709305618</v>
      </c>
      <c r="B809" t="s">
        <v>1972</v>
      </c>
      <c r="C809" s="32" t="s">
        <v>63</v>
      </c>
    </row>
    <row r="810" spans="1:3" hidden="1" x14ac:dyDescent="0.3">
      <c r="A810" s="373">
        <v>30714118389</v>
      </c>
      <c r="B810" t="s">
        <v>1973</v>
      </c>
      <c r="C810" s="32" t="s">
        <v>63</v>
      </c>
    </row>
    <row r="811" spans="1:3" hidden="1" x14ac:dyDescent="0.3">
      <c r="A811" s="373">
        <v>30714118389</v>
      </c>
      <c r="B811" t="s">
        <v>1973</v>
      </c>
      <c r="C811" s="32" t="s">
        <v>63</v>
      </c>
    </row>
    <row r="812" spans="1:3" hidden="1" x14ac:dyDescent="0.3">
      <c r="A812" s="373">
        <v>30694592526</v>
      </c>
      <c r="B812" t="s">
        <v>1978</v>
      </c>
      <c r="C812" s="32" t="s">
        <v>63</v>
      </c>
    </row>
    <row r="813" spans="1:3" hidden="1" x14ac:dyDescent="0.3">
      <c r="A813" s="373">
        <v>30694592526</v>
      </c>
      <c r="B813" t="s">
        <v>1978</v>
      </c>
      <c r="C813" s="32" t="s">
        <v>63</v>
      </c>
    </row>
    <row r="814" spans="1:3" hidden="1" x14ac:dyDescent="0.3">
      <c r="A814" s="373">
        <v>30712317872</v>
      </c>
      <c r="B814" t="s">
        <v>1991</v>
      </c>
      <c r="C814" s="32" t="s">
        <v>63</v>
      </c>
    </row>
    <row r="815" spans="1:3" hidden="1" x14ac:dyDescent="0.3">
      <c r="A815" s="373">
        <v>30712317872</v>
      </c>
      <c r="B815" t="s">
        <v>1991</v>
      </c>
      <c r="C815" s="32" t="s">
        <v>63</v>
      </c>
    </row>
    <row r="816" spans="1:3" hidden="1" x14ac:dyDescent="0.3">
      <c r="A816" s="373">
        <v>30519102826</v>
      </c>
      <c r="B816" t="s">
        <v>1993</v>
      </c>
      <c r="C816" s="32" t="s">
        <v>63</v>
      </c>
    </row>
    <row r="817" spans="1:3" hidden="1" x14ac:dyDescent="0.3">
      <c r="A817" s="373">
        <v>30519102826</v>
      </c>
      <c r="B817" t="s">
        <v>1993</v>
      </c>
      <c r="C817" s="32" t="s">
        <v>63</v>
      </c>
    </row>
    <row r="818" spans="1:3" hidden="1" x14ac:dyDescent="0.3">
      <c r="A818" s="373">
        <v>30616031143</v>
      </c>
      <c r="B818" t="s">
        <v>2000</v>
      </c>
      <c r="C818" s="32" t="s">
        <v>63</v>
      </c>
    </row>
    <row r="819" spans="1:3" hidden="1" x14ac:dyDescent="0.3">
      <c r="A819" s="373">
        <v>30616031143</v>
      </c>
      <c r="B819" t="s">
        <v>2000</v>
      </c>
      <c r="C819" s="32" t="s">
        <v>63</v>
      </c>
    </row>
    <row r="820" spans="1:3" hidden="1" x14ac:dyDescent="0.3">
      <c r="A820" s="373">
        <v>33682571239</v>
      </c>
      <c r="B820" t="s">
        <v>2012</v>
      </c>
      <c r="C820" s="32" t="s">
        <v>63</v>
      </c>
    </row>
    <row r="821" spans="1:3" hidden="1" x14ac:dyDescent="0.3">
      <c r="A821" s="373">
        <v>33682571239</v>
      </c>
      <c r="B821" t="s">
        <v>2012</v>
      </c>
      <c r="C821" s="32" t="s">
        <v>63</v>
      </c>
    </row>
    <row r="822" spans="1:3" hidden="1" x14ac:dyDescent="0.3">
      <c r="A822" s="373">
        <v>20330855038</v>
      </c>
      <c r="B822" t="s">
        <v>2015</v>
      </c>
      <c r="C822" s="32" t="s">
        <v>63</v>
      </c>
    </row>
    <row r="823" spans="1:3" hidden="1" x14ac:dyDescent="0.3">
      <c r="A823" s="373">
        <v>20330855038</v>
      </c>
      <c r="B823" t="s">
        <v>2015</v>
      </c>
      <c r="C823" s="32" t="s">
        <v>63</v>
      </c>
    </row>
    <row r="824" spans="1:3" hidden="1" x14ac:dyDescent="0.3">
      <c r="A824" s="373">
        <v>30646150406</v>
      </c>
      <c r="B824" t="s">
        <v>2018</v>
      </c>
      <c r="C824" s="32" t="s">
        <v>63</v>
      </c>
    </row>
    <row r="825" spans="1:3" hidden="1" x14ac:dyDescent="0.3">
      <c r="A825" s="373">
        <v>30646150406</v>
      </c>
      <c r="B825" t="s">
        <v>2018</v>
      </c>
      <c r="C825" s="32" t="s">
        <v>63</v>
      </c>
    </row>
    <row r="826" spans="1:3" hidden="1" x14ac:dyDescent="0.3">
      <c r="A826" s="373">
        <v>30699097884</v>
      </c>
      <c r="B826" t="s">
        <v>2020</v>
      </c>
      <c r="C826" s="32" t="s">
        <v>63</v>
      </c>
    </row>
    <row r="827" spans="1:3" hidden="1" x14ac:dyDescent="0.3">
      <c r="A827" s="373">
        <v>30699097884</v>
      </c>
      <c r="B827" t="s">
        <v>2020</v>
      </c>
      <c r="C827" s="32" t="s">
        <v>63</v>
      </c>
    </row>
    <row r="828" spans="1:3" hidden="1" x14ac:dyDescent="0.3">
      <c r="A828" s="373">
        <v>30715893416</v>
      </c>
      <c r="B828" t="s">
        <v>2023</v>
      </c>
      <c r="C828" s="32" t="s">
        <v>63</v>
      </c>
    </row>
    <row r="829" spans="1:3" hidden="1" x14ac:dyDescent="0.3">
      <c r="A829" s="373">
        <v>30715893416</v>
      </c>
      <c r="B829" t="s">
        <v>2023</v>
      </c>
      <c r="C829" s="32" t="s">
        <v>63</v>
      </c>
    </row>
    <row r="830" spans="1:3" hidden="1" x14ac:dyDescent="0.3">
      <c r="A830" s="373">
        <v>30708992301</v>
      </c>
      <c r="B830" t="s">
        <v>2025</v>
      </c>
      <c r="C830" s="32" t="s">
        <v>63</v>
      </c>
    </row>
    <row r="831" spans="1:3" hidden="1" x14ac:dyDescent="0.3">
      <c r="A831" s="373">
        <v>30708992301</v>
      </c>
      <c r="B831" t="s">
        <v>2025</v>
      </c>
      <c r="C831" s="32" t="s">
        <v>63</v>
      </c>
    </row>
    <row r="832" spans="1:3" hidden="1" x14ac:dyDescent="0.3">
      <c r="A832" s="374">
        <v>30532905555</v>
      </c>
      <c r="B832" s="375" t="s">
        <v>2876</v>
      </c>
      <c r="C832" s="32" t="s">
        <v>63</v>
      </c>
    </row>
    <row r="833" spans="1:3" hidden="1" x14ac:dyDescent="0.3">
      <c r="A833" s="373">
        <v>30658325104</v>
      </c>
      <c r="B833" t="s">
        <v>2033</v>
      </c>
      <c r="C833" s="32" t="s">
        <v>63</v>
      </c>
    </row>
    <row r="834" spans="1:3" hidden="1" x14ac:dyDescent="0.3">
      <c r="A834" s="373">
        <v>30658325104</v>
      </c>
      <c r="B834" t="s">
        <v>2033</v>
      </c>
      <c r="C834" s="32" t="s">
        <v>63</v>
      </c>
    </row>
    <row r="835" spans="1:3" hidden="1" x14ac:dyDescent="0.3">
      <c r="A835" s="373">
        <v>33714677239</v>
      </c>
      <c r="B835" t="s">
        <v>2355</v>
      </c>
      <c r="C835" s="32" t="s">
        <v>63</v>
      </c>
    </row>
    <row r="836" spans="1:3" hidden="1" x14ac:dyDescent="0.3">
      <c r="A836" s="373">
        <v>33714677239</v>
      </c>
      <c r="B836" t="s">
        <v>2355</v>
      </c>
      <c r="C836" s="32" t="s">
        <v>63</v>
      </c>
    </row>
    <row r="837" spans="1:3" hidden="1" x14ac:dyDescent="0.3">
      <c r="A837" s="373">
        <v>33714677239</v>
      </c>
      <c r="B837" t="s">
        <v>2138</v>
      </c>
      <c r="C837" s="32" t="s">
        <v>63</v>
      </c>
    </row>
    <row r="838" spans="1:3" hidden="1" x14ac:dyDescent="0.3">
      <c r="A838" s="373">
        <v>33714677239</v>
      </c>
      <c r="B838" t="s">
        <v>2138</v>
      </c>
      <c r="C838" s="32" t="s">
        <v>63</v>
      </c>
    </row>
    <row r="839" spans="1:3" hidden="1" x14ac:dyDescent="0.3">
      <c r="A839" s="373">
        <v>20259693609</v>
      </c>
      <c r="B839" t="s">
        <v>2035</v>
      </c>
      <c r="C839" s="32" t="s">
        <v>63</v>
      </c>
    </row>
    <row r="840" spans="1:3" hidden="1" x14ac:dyDescent="0.3">
      <c r="A840" s="373">
        <v>20259693609</v>
      </c>
      <c r="B840" t="s">
        <v>2035</v>
      </c>
      <c r="C840" s="32" t="s">
        <v>63</v>
      </c>
    </row>
    <row r="841" spans="1:3" hidden="1" x14ac:dyDescent="0.3">
      <c r="A841" s="373">
        <v>30715354213</v>
      </c>
      <c r="B841" t="s">
        <v>2044</v>
      </c>
      <c r="C841" s="32" t="s">
        <v>63</v>
      </c>
    </row>
    <row r="842" spans="1:3" hidden="1" x14ac:dyDescent="0.3">
      <c r="A842" s="373">
        <v>30715354213</v>
      </c>
      <c r="B842" t="s">
        <v>2044</v>
      </c>
      <c r="C842" s="32" t="s">
        <v>63</v>
      </c>
    </row>
    <row r="843" spans="1:3" hidden="1" x14ac:dyDescent="0.3">
      <c r="A843" s="373">
        <v>20247225243</v>
      </c>
      <c r="B843" t="s">
        <v>2057</v>
      </c>
      <c r="C843" s="32" t="s">
        <v>63</v>
      </c>
    </row>
    <row r="844" spans="1:3" hidden="1" x14ac:dyDescent="0.3">
      <c r="A844" s="373">
        <v>20247225243</v>
      </c>
      <c r="B844" t="s">
        <v>2057</v>
      </c>
      <c r="C844" s="32" t="s">
        <v>63</v>
      </c>
    </row>
    <row r="845" spans="1:3" hidden="1" x14ac:dyDescent="0.3">
      <c r="A845" s="373">
        <v>20077107186</v>
      </c>
      <c r="B845" t="s">
        <v>2063</v>
      </c>
      <c r="C845" s="32" t="s">
        <v>63</v>
      </c>
    </row>
    <row r="846" spans="1:3" hidden="1" x14ac:dyDescent="0.3">
      <c r="A846" s="373">
        <v>20077107186</v>
      </c>
      <c r="B846" t="s">
        <v>2063</v>
      </c>
      <c r="C846" s="32" t="s">
        <v>63</v>
      </c>
    </row>
    <row r="847" spans="1:3" hidden="1" x14ac:dyDescent="0.3">
      <c r="A847" s="373">
        <v>20287832649</v>
      </c>
      <c r="B847" t="s">
        <v>2069</v>
      </c>
      <c r="C847" s="32" t="s">
        <v>63</v>
      </c>
    </row>
    <row r="848" spans="1:3" hidden="1" x14ac:dyDescent="0.3">
      <c r="A848" s="373">
        <v>20287832649</v>
      </c>
      <c r="B848" t="s">
        <v>2069</v>
      </c>
      <c r="C848" s="32" t="s">
        <v>63</v>
      </c>
    </row>
    <row r="849" spans="1:3" hidden="1" x14ac:dyDescent="0.3">
      <c r="A849" s="373">
        <v>27211421202</v>
      </c>
      <c r="B849" t="s">
        <v>2072</v>
      </c>
      <c r="C849" s="32" t="s">
        <v>63</v>
      </c>
    </row>
    <row r="850" spans="1:3" hidden="1" x14ac:dyDescent="0.3">
      <c r="A850" s="373">
        <v>27211421202</v>
      </c>
      <c r="B850" t="s">
        <v>2072</v>
      </c>
      <c r="C850" s="32" t="s">
        <v>63</v>
      </c>
    </row>
    <row r="851" spans="1:3" hidden="1" x14ac:dyDescent="0.3">
      <c r="A851" s="373">
        <v>30708648414</v>
      </c>
      <c r="B851" t="s">
        <v>2083</v>
      </c>
      <c r="C851" s="32" t="s">
        <v>63</v>
      </c>
    </row>
    <row r="852" spans="1:3" hidden="1" x14ac:dyDescent="0.3">
      <c r="A852" s="373">
        <v>30708648414</v>
      </c>
      <c r="B852" t="s">
        <v>2083</v>
      </c>
      <c r="C852" s="32" t="s">
        <v>63</v>
      </c>
    </row>
    <row r="853" spans="1:3" hidden="1" x14ac:dyDescent="0.3">
      <c r="A853" s="373">
        <v>30715609807</v>
      </c>
      <c r="B853" t="s">
        <v>2085</v>
      </c>
      <c r="C853" s="32" t="s">
        <v>63</v>
      </c>
    </row>
    <row r="854" spans="1:3" hidden="1" x14ac:dyDescent="0.3">
      <c r="A854" s="373">
        <v>30715609807</v>
      </c>
      <c r="B854" t="s">
        <v>2085</v>
      </c>
      <c r="C854" s="32" t="s">
        <v>63</v>
      </c>
    </row>
    <row r="855" spans="1:3" hidden="1" x14ac:dyDescent="0.3">
      <c r="A855" s="373">
        <v>30680297408</v>
      </c>
      <c r="B855" t="s">
        <v>2089</v>
      </c>
      <c r="C855" s="32" t="s">
        <v>63</v>
      </c>
    </row>
    <row r="856" spans="1:3" hidden="1" x14ac:dyDescent="0.3">
      <c r="A856" s="373">
        <v>30680297408</v>
      </c>
      <c r="B856" t="s">
        <v>2089</v>
      </c>
      <c r="C856" s="32" t="s">
        <v>63</v>
      </c>
    </row>
    <row r="857" spans="1:3" hidden="1" x14ac:dyDescent="0.3">
      <c r="A857" s="373">
        <v>20165292929</v>
      </c>
      <c r="B857" t="s">
        <v>2091</v>
      </c>
      <c r="C857" s="32" t="s">
        <v>63</v>
      </c>
    </row>
    <row r="858" spans="1:3" hidden="1" x14ac:dyDescent="0.3">
      <c r="A858" s="373">
        <v>20165292929</v>
      </c>
      <c r="B858" t="s">
        <v>2091</v>
      </c>
      <c r="C858" s="32" t="s">
        <v>63</v>
      </c>
    </row>
    <row r="859" spans="1:3" hidden="1" x14ac:dyDescent="0.3">
      <c r="A859" s="373">
        <v>30715811622</v>
      </c>
      <c r="B859" t="s">
        <v>2688</v>
      </c>
      <c r="C859" s="32" t="s">
        <v>63</v>
      </c>
    </row>
    <row r="860" spans="1:3" hidden="1" x14ac:dyDescent="0.3">
      <c r="A860" s="373">
        <v>30701023494</v>
      </c>
      <c r="B860" t="s">
        <v>2881</v>
      </c>
      <c r="C860" s="32" t="s">
        <v>63</v>
      </c>
    </row>
    <row r="861" spans="1:3" hidden="1" x14ac:dyDescent="0.3">
      <c r="A861" s="373">
        <v>20231247239</v>
      </c>
      <c r="B861" t="s">
        <v>2096</v>
      </c>
      <c r="C861" s="32" t="s">
        <v>63</v>
      </c>
    </row>
    <row r="862" spans="1:3" hidden="1" x14ac:dyDescent="0.3">
      <c r="A862" s="373">
        <v>20231247239</v>
      </c>
      <c r="B862" t="s">
        <v>2096</v>
      </c>
      <c r="C862" s="32" t="s">
        <v>63</v>
      </c>
    </row>
    <row r="863" spans="1:3" hidden="1" x14ac:dyDescent="0.3">
      <c r="A863" s="373">
        <v>30585558733</v>
      </c>
      <c r="B863" t="s">
        <v>2104</v>
      </c>
      <c r="C863" s="32" t="s">
        <v>63</v>
      </c>
    </row>
    <row r="864" spans="1:3" hidden="1" x14ac:dyDescent="0.3">
      <c r="A864" s="373">
        <v>30585558733</v>
      </c>
      <c r="B864" t="s">
        <v>2104</v>
      </c>
      <c r="C864" s="32" t="s">
        <v>63</v>
      </c>
    </row>
    <row r="865" spans="1:3" hidden="1" x14ac:dyDescent="0.3">
      <c r="A865" s="373">
        <v>30578204713</v>
      </c>
      <c r="B865" t="s">
        <v>2108</v>
      </c>
      <c r="C865" s="32" t="s">
        <v>63</v>
      </c>
    </row>
    <row r="866" spans="1:3" hidden="1" x14ac:dyDescent="0.3">
      <c r="A866" s="373">
        <v>30578204713</v>
      </c>
      <c r="B866" t="s">
        <v>2108</v>
      </c>
      <c r="C866" s="32" t="s">
        <v>63</v>
      </c>
    </row>
    <row r="867" spans="1:3" hidden="1" x14ac:dyDescent="0.3">
      <c r="A867" s="373">
        <v>30707512454</v>
      </c>
      <c r="B867" t="s">
        <v>2112</v>
      </c>
      <c r="C867" s="32" t="s">
        <v>63</v>
      </c>
    </row>
    <row r="868" spans="1:3" hidden="1" x14ac:dyDescent="0.3">
      <c r="A868" s="373">
        <v>30707512454</v>
      </c>
      <c r="B868" t="s">
        <v>2112</v>
      </c>
      <c r="C868" s="32" t="s">
        <v>63</v>
      </c>
    </row>
    <row r="869" spans="1:3" hidden="1" x14ac:dyDescent="0.3">
      <c r="A869" s="373">
        <v>27135545436</v>
      </c>
      <c r="B869" t="s">
        <v>2117</v>
      </c>
      <c r="C869" s="32" t="s">
        <v>63</v>
      </c>
    </row>
    <row r="870" spans="1:3" hidden="1" x14ac:dyDescent="0.3">
      <c r="A870" s="373">
        <v>27135545436</v>
      </c>
      <c r="B870" t="s">
        <v>2117</v>
      </c>
      <c r="C870" s="32" t="s">
        <v>63</v>
      </c>
    </row>
    <row r="871" spans="1:3" hidden="1" x14ac:dyDescent="0.3">
      <c r="A871" s="373">
        <v>20957969195</v>
      </c>
      <c r="B871" t="s">
        <v>2702</v>
      </c>
      <c r="C871" s="32" t="s">
        <v>63</v>
      </c>
    </row>
    <row r="872" spans="1:3" hidden="1" x14ac:dyDescent="0.3">
      <c r="A872" s="373">
        <v>20959750611</v>
      </c>
      <c r="B872" t="s">
        <v>2905</v>
      </c>
      <c r="C872" s="32" t="s">
        <v>63</v>
      </c>
    </row>
    <row r="873" spans="1:3" hidden="1" x14ac:dyDescent="0.3">
      <c r="A873" s="374">
        <v>30659514628</v>
      </c>
      <c r="B873" s="375" t="s">
        <v>2709</v>
      </c>
      <c r="C873" s="32" t="s">
        <v>2762</v>
      </c>
    </row>
    <row r="874" spans="1:3" hidden="1" x14ac:dyDescent="0.3">
      <c r="A874" s="373">
        <v>30701307115</v>
      </c>
      <c r="B874" t="s">
        <v>2427</v>
      </c>
      <c r="C874" s="32" t="s">
        <v>2762</v>
      </c>
    </row>
    <row r="875" spans="1:3" hidden="1" x14ac:dyDescent="0.3">
      <c r="A875" s="373">
        <v>30701307115</v>
      </c>
      <c r="B875" t="s">
        <v>2427</v>
      </c>
      <c r="C875" s="32" t="s">
        <v>2762</v>
      </c>
    </row>
    <row r="876" spans="1:3" hidden="1" x14ac:dyDescent="0.3">
      <c r="A876" s="373">
        <v>30712524959</v>
      </c>
      <c r="B876" t="s">
        <v>2776</v>
      </c>
      <c r="C876" s="32" t="s">
        <v>92</v>
      </c>
    </row>
    <row r="877" spans="1:3" hidden="1" x14ac:dyDescent="0.3">
      <c r="A877" s="373">
        <v>30715315951</v>
      </c>
      <c r="B877" t="s">
        <v>2832</v>
      </c>
      <c r="C877" s="32" t="s">
        <v>92</v>
      </c>
    </row>
    <row r="878" spans="1:3" hidden="1" x14ac:dyDescent="0.3">
      <c r="A878" s="373">
        <v>30711877386</v>
      </c>
      <c r="B878" t="s">
        <v>1741</v>
      </c>
      <c r="C878" s="32" t="s">
        <v>92</v>
      </c>
    </row>
    <row r="879" spans="1:3" hidden="1" x14ac:dyDescent="0.3">
      <c r="A879" s="373">
        <v>30712273158</v>
      </c>
      <c r="B879" t="s">
        <v>1775</v>
      </c>
      <c r="C879" s="32" t="s">
        <v>66</v>
      </c>
    </row>
    <row r="880" spans="1:3" hidden="1" x14ac:dyDescent="0.3">
      <c r="A880" s="373">
        <v>30715585215</v>
      </c>
      <c r="B880" t="s">
        <v>2006</v>
      </c>
      <c r="C880" s="32" t="s">
        <v>66</v>
      </c>
    </row>
    <row r="881" spans="1:3" hidden="1" x14ac:dyDescent="0.3">
      <c r="A881" s="373">
        <v>30715585215</v>
      </c>
      <c r="B881" t="s">
        <v>2006</v>
      </c>
      <c r="C881" s="32" t="s">
        <v>66</v>
      </c>
    </row>
    <row r="882" spans="1:3" hidden="1" x14ac:dyDescent="0.3">
      <c r="A882" s="373" t="s">
        <v>2603</v>
      </c>
      <c r="B882" t="s">
        <v>2621</v>
      </c>
      <c r="C882" s="32" t="s">
        <v>2719</v>
      </c>
    </row>
    <row r="883" spans="1:3" hidden="1" x14ac:dyDescent="0.3">
      <c r="A883" s="373" t="s">
        <v>2605</v>
      </c>
      <c r="B883" t="s">
        <v>2623</v>
      </c>
      <c r="C883" s="32" t="s">
        <v>2719</v>
      </c>
    </row>
    <row r="884" spans="1:3" hidden="1" x14ac:dyDescent="0.3">
      <c r="A884" s="373">
        <v>30714112836</v>
      </c>
      <c r="B884" t="s">
        <v>2125</v>
      </c>
      <c r="C884" s="32" t="s">
        <v>2719</v>
      </c>
    </row>
    <row r="885" spans="1:3" hidden="1" x14ac:dyDescent="0.3">
      <c r="A885" s="373">
        <v>30714112836</v>
      </c>
      <c r="B885" t="s">
        <v>2125</v>
      </c>
      <c r="C885" s="32" t="s">
        <v>2719</v>
      </c>
    </row>
    <row r="886" spans="1:3" hidden="1" x14ac:dyDescent="0.3">
      <c r="A886" s="373">
        <v>30714112836</v>
      </c>
      <c r="B886" t="s">
        <v>2359</v>
      </c>
      <c r="C886" s="32" t="s">
        <v>2719</v>
      </c>
    </row>
    <row r="887" spans="1:3" hidden="1" x14ac:dyDescent="0.3">
      <c r="A887" s="373">
        <v>30714112836</v>
      </c>
      <c r="B887" t="s">
        <v>2359</v>
      </c>
      <c r="C887" s="32" t="s">
        <v>2719</v>
      </c>
    </row>
    <row r="888" spans="1:3" hidden="1" x14ac:dyDescent="0.3">
      <c r="A888" s="373">
        <v>30677237119</v>
      </c>
      <c r="B888" t="s">
        <v>2369</v>
      </c>
      <c r="C888" s="32" t="s">
        <v>2719</v>
      </c>
    </row>
    <row r="889" spans="1:3" hidden="1" x14ac:dyDescent="0.3">
      <c r="A889" s="373">
        <v>30677237119</v>
      </c>
      <c r="B889" t="s">
        <v>2369</v>
      </c>
      <c r="C889" s="32" t="s">
        <v>2719</v>
      </c>
    </row>
    <row r="890" spans="1:3" hidden="1" x14ac:dyDescent="0.3">
      <c r="A890" s="373">
        <v>30677237119</v>
      </c>
      <c r="B890" t="s">
        <v>2369</v>
      </c>
      <c r="C890" s="32" t="s">
        <v>2719</v>
      </c>
    </row>
    <row r="891" spans="1:3" hidden="1" x14ac:dyDescent="0.3">
      <c r="A891" s="373">
        <v>30677237119</v>
      </c>
      <c r="B891" t="s">
        <v>2369</v>
      </c>
      <c r="C891" s="32" t="s">
        <v>2719</v>
      </c>
    </row>
    <row r="892" spans="1:3" hidden="1" x14ac:dyDescent="0.3">
      <c r="A892" s="373">
        <v>30574876474</v>
      </c>
      <c r="B892" t="s">
        <v>2365</v>
      </c>
      <c r="C892" s="32" t="s">
        <v>2719</v>
      </c>
    </row>
    <row r="893" spans="1:3" hidden="1" x14ac:dyDescent="0.3">
      <c r="A893" s="373">
        <v>30574876474</v>
      </c>
      <c r="B893" t="s">
        <v>2365</v>
      </c>
      <c r="C893" s="32" t="s">
        <v>2719</v>
      </c>
    </row>
    <row r="894" spans="1:3" hidden="1" x14ac:dyDescent="0.3">
      <c r="A894" s="373">
        <v>30574876474</v>
      </c>
      <c r="B894" t="s">
        <v>2365</v>
      </c>
      <c r="C894" s="32" t="s">
        <v>2719</v>
      </c>
    </row>
    <row r="895" spans="1:3" hidden="1" x14ac:dyDescent="0.3">
      <c r="A895" s="373">
        <v>30574876474</v>
      </c>
      <c r="B895" t="s">
        <v>2365</v>
      </c>
      <c r="C895" s="32" t="s">
        <v>2719</v>
      </c>
    </row>
    <row r="896" spans="1:3" hidden="1" x14ac:dyDescent="0.3">
      <c r="A896" s="373" t="s">
        <v>2609</v>
      </c>
      <c r="B896" t="s">
        <v>2634</v>
      </c>
      <c r="C896" s="32" t="s">
        <v>2719</v>
      </c>
    </row>
    <row r="897" spans="1:3" hidden="1" x14ac:dyDescent="0.3">
      <c r="A897" s="373">
        <v>30715804812</v>
      </c>
      <c r="B897" t="s">
        <v>2399</v>
      </c>
      <c r="C897" s="32" t="s">
        <v>2719</v>
      </c>
    </row>
    <row r="898" spans="1:3" hidden="1" x14ac:dyDescent="0.3">
      <c r="A898" s="373">
        <v>30715804812</v>
      </c>
      <c r="B898" t="s">
        <v>2399</v>
      </c>
      <c r="C898" s="32" t="s">
        <v>2719</v>
      </c>
    </row>
    <row r="899" spans="1:3" hidden="1" x14ac:dyDescent="0.3">
      <c r="A899" s="373">
        <v>30663498513</v>
      </c>
      <c r="B899" t="s">
        <v>1141</v>
      </c>
      <c r="C899" s="32" t="s">
        <v>2719</v>
      </c>
    </row>
    <row r="900" spans="1:3" hidden="1" x14ac:dyDescent="0.3">
      <c r="A900" s="373">
        <v>30663498513</v>
      </c>
      <c r="B900" t="s">
        <v>2363</v>
      </c>
      <c r="C900" s="32" t="s">
        <v>2719</v>
      </c>
    </row>
    <row r="901" spans="1:3" hidden="1" x14ac:dyDescent="0.3">
      <c r="A901" s="373">
        <v>30663498513</v>
      </c>
      <c r="B901" t="s">
        <v>2363</v>
      </c>
      <c r="C901" s="32" t="s">
        <v>2719</v>
      </c>
    </row>
    <row r="902" spans="1:3" hidden="1" x14ac:dyDescent="0.3">
      <c r="A902" s="373">
        <v>30663498513</v>
      </c>
      <c r="B902" t="s">
        <v>2363</v>
      </c>
      <c r="C902" s="32" t="s">
        <v>2719</v>
      </c>
    </row>
    <row r="903" spans="1:3" hidden="1" x14ac:dyDescent="0.3">
      <c r="A903" s="373">
        <v>30663498513</v>
      </c>
      <c r="B903" t="s">
        <v>2864</v>
      </c>
      <c r="C903" s="32" t="s">
        <v>2719</v>
      </c>
    </row>
    <row r="904" spans="1:3" hidden="1" x14ac:dyDescent="0.3">
      <c r="A904" s="374">
        <v>30706053812</v>
      </c>
      <c r="B904" s="375" t="s">
        <v>2733</v>
      </c>
      <c r="C904" s="32" t="s">
        <v>2796</v>
      </c>
    </row>
    <row r="905" spans="1:3" hidden="1" x14ac:dyDescent="0.3">
      <c r="A905" s="373">
        <v>27316594676</v>
      </c>
      <c r="B905" t="s">
        <v>2795</v>
      </c>
      <c r="C905" s="32" t="s">
        <v>2796</v>
      </c>
    </row>
    <row r="906" spans="1:3" hidden="1" x14ac:dyDescent="0.3">
      <c r="A906" s="373">
        <v>30693213262</v>
      </c>
      <c r="B906" t="s">
        <v>2802</v>
      </c>
      <c r="C906" s="32" t="s">
        <v>2796</v>
      </c>
    </row>
    <row r="907" spans="1:3" hidden="1" x14ac:dyDescent="0.3">
      <c r="A907" s="373">
        <v>30714389064</v>
      </c>
      <c r="B907" t="s">
        <v>2814</v>
      </c>
      <c r="C907" s="32" t="s">
        <v>2796</v>
      </c>
    </row>
    <row r="908" spans="1:3" hidden="1" x14ac:dyDescent="0.3">
      <c r="A908" s="373">
        <v>20328816807</v>
      </c>
      <c r="B908" t="s">
        <v>2384</v>
      </c>
      <c r="C908" s="32" t="s">
        <v>2796</v>
      </c>
    </row>
    <row r="909" spans="1:3" hidden="1" x14ac:dyDescent="0.3">
      <c r="A909" s="373">
        <v>20328816807</v>
      </c>
      <c r="B909" t="s">
        <v>2384</v>
      </c>
      <c r="C909" s="32" t="s">
        <v>2796</v>
      </c>
    </row>
    <row r="910" spans="1:3" hidden="1" x14ac:dyDescent="0.3">
      <c r="A910" s="373">
        <v>20321437215</v>
      </c>
      <c r="B910" t="s">
        <v>2824</v>
      </c>
      <c r="C910" s="32" t="s">
        <v>2796</v>
      </c>
    </row>
    <row r="911" spans="1:3" hidden="1" x14ac:dyDescent="0.3">
      <c r="A911" s="40">
        <v>27128058120</v>
      </c>
      <c r="B911" s="41" t="s">
        <v>2841</v>
      </c>
      <c r="C911" s="32" t="s">
        <v>57</v>
      </c>
    </row>
    <row r="912" spans="1:3" hidden="1" x14ac:dyDescent="0.3">
      <c r="A912" s="373">
        <v>20334579019</v>
      </c>
      <c r="B912" t="s">
        <v>2127</v>
      </c>
      <c r="C912" s="32" t="s">
        <v>57</v>
      </c>
    </row>
    <row r="913" spans="1:4" hidden="1" x14ac:dyDescent="0.3">
      <c r="A913" s="373">
        <v>30574893395</v>
      </c>
      <c r="B913" t="s">
        <v>2625</v>
      </c>
      <c r="C913" s="32" t="s">
        <v>2730</v>
      </c>
    </row>
    <row r="914" spans="1:4" hidden="1" x14ac:dyDescent="0.3">
      <c r="A914" s="373">
        <v>30638485733</v>
      </c>
      <c r="B914" t="s">
        <v>2660</v>
      </c>
      <c r="C914" s="32" t="s">
        <v>2730</v>
      </c>
    </row>
    <row r="915" spans="1:4" hidden="1" x14ac:dyDescent="0.3">
      <c r="A915" s="40">
        <v>30500876391</v>
      </c>
      <c r="B915" s="41" t="s">
        <v>2759</v>
      </c>
      <c r="C915" s="32" t="s">
        <v>2730</v>
      </c>
    </row>
    <row r="916" spans="1:4" hidden="1" x14ac:dyDescent="0.3">
      <c r="A916" s="373">
        <v>30716385961</v>
      </c>
      <c r="B916" t="s">
        <v>2612</v>
      </c>
      <c r="C916" s="32" t="s">
        <v>2730</v>
      </c>
      <c r="D916" t="s">
        <v>2711</v>
      </c>
    </row>
    <row r="917" spans="1:4" hidden="1" x14ac:dyDescent="0.3">
      <c r="A917" s="373">
        <v>30712341803</v>
      </c>
      <c r="B917" t="s">
        <v>1596</v>
      </c>
      <c r="C917" s="32" t="s">
        <v>2839</v>
      </c>
    </row>
    <row r="918" spans="1:4" hidden="1" x14ac:dyDescent="0.3">
      <c r="A918" s="373">
        <v>30550245309</v>
      </c>
      <c r="B918" t="s">
        <v>1597</v>
      </c>
      <c r="C918" s="32" t="s">
        <v>2839</v>
      </c>
    </row>
    <row r="919" spans="1:4" hidden="1" x14ac:dyDescent="0.3">
      <c r="A919" s="373">
        <v>23234730959</v>
      </c>
      <c r="B919" t="s">
        <v>2413</v>
      </c>
      <c r="C919" s="32" t="s">
        <v>105</v>
      </c>
    </row>
    <row r="920" spans="1:4" hidden="1" x14ac:dyDescent="0.3">
      <c r="A920" s="373">
        <v>23234730959</v>
      </c>
      <c r="B920" t="s">
        <v>2413</v>
      </c>
      <c r="C920" s="32" t="s">
        <v>105</v>
      </c>
    </row>
    <row r="921" spans="1:4" hidden="1" x14ac:dyDescent="0.3">
      <c r="A921" s="373">
        <v>30715621866</v>
      </c>
      <c r="B921" t="s">
        <v>2430</v>
      </c>
      <c r="C921" s="32" t="s">
        <v>60</v>
      </c>
    </row>
    <row r="922" spans="1:4" hidden="1" x14ac:dyDescent="0.3">
      <c r="A922" s="373">
        <v>30715621866</v>
      </c>
      <c r="B922" t="s">
        <v>2430</v>
      </c>
      <c r="C922" s="32" t="s">
        <v>60</v>
      </c>
    </row>
    <row r="923" spans="1:4" hidden="1" x14ac:dyDescent="0.3">
      <c r="A923" s="373">
        <v>30709565075</v>
      </c>
      <c r="B923" t="s">
        <v>2176</v>
      </c>
      <c r="C923" s="32" t="s">
        <v>60</v>
      </c>
    </row>
    <row r="924" spans="1:4" hidden="1" x14ac:dyDescent="0.3">
      <c r="A924" s="373">
        <v>30709565075</v>
      </c>
      <c r="B924" t="s">
        <v>2176</v>
      </c>
      <c r="C924" s="32" t="s">
        <v>60</v>
      </c>
    </row>
    <row r="925" spans="1:4" hidden="1" x14ac:dyDescent="0.3">
      <c r="A925" s="373">
        <v>30655116202</v>
      </c>
      <c r="B925" t="s">
        <v>2170</v>
      </c>
      <c r="C925" s="32" t="s">
        <v>60</v>
      </c>
    </row>
    <row r="926" spans="1:4" hidden="1" x14ac:dyDescent="0.3">
      <c r="A926" s="373">
        <v>30655116202</v>
      </c>
      <c r="B926" t="s">
        <v>2170</v>
      </c>
      <c r="C926" s="32" t="s">
        <v>60</v>
      </c>
    </row>
    <row r="927" spans="1:4" hidden="1" x14ac:dyDescent="0.3">
      <c r="A927" s="373">
        <v>30655116512</v>
      </c>
      <c r="B927" t="s">
        <v>2162</v>
      </c>
      <c r="C927" s="32" t="s">
        <v>60</v>
      </c>
    </row>
    <row r="928" spans="1:4" hidden="1" x14ac:dyDescent="0.3">
      <c r="A928" s="373">
        <v>30573652084</v>
      </c>
      <c r="B928" t="s">
        <v>2156</v>
      </c>
      <c r="C928" s="32" t="s">
        <v>60</v>
      </c>
    </row>
    <row r="929" spans="1:3" hidden="1" x14ac:dyDescent="0.3">
      <c r="A929" s="373">
        <v>30573652084</v>
      </c>
      <c r="B929" t="s">
        <v>2156</v>
      </c>
      <c r="C929" s="32" t="s">
        <v>60</v>
      </c>
    </row>
    <row r="930" spans="1:3" hidden="1" x14ac:dyDescent="0.3">
      <c r="A930" s="373">
        <v>30573652084</v>
      </c>
      <c r="B930" t="s">
        <v>2156</v>
      </c>
      <c r="C930" s="32" t="s">
        <v>60</v>
      </c>
    </row>
    <row r="931" spans="1:3" hidden="1" x14ac:dyDescent="0.3">
      <c r="A931" s="373">
        <v>30573652084</v>
      </c>
      <c r="B931" t="s">
        <v>2156</v>
      </c>
      <c r="C931" s="32" t="s">
        <v>60</v>
      </c>
    </row>
    <row r="932" spans="1:3" hidden="1" x14ac:dyDescent="0.3">
      <c r="A932" s="373">
        <v>30573652084</v>
      </c>
      <c r="B932" t="s">
        <v>2156</v>
      </c>
      <c r="C932" s="32" t="s">
        <v>60</v>
      </c>
    </row>
    <row r="933" spans="1:3" hidden="1" x14ac:dyDescent="0.3">
      <c r="A933" s="373">
        <v>30573652084</v>
      </c>
      <c r="B933" t="s">
        <v>2156</v>
      </c>
      <c r="C933" s="32" t="s">
        <v>60</v>
      </c>
    </row>
    <row r="934" spans="1:3" hidden="1" x14ac:dyDescent="0.3">
      <c r="A934" s="373">
        <v>30702652975</v>
      </c>
      <c r="B934" t="s">
        <v>94</v>
      </c>
      <c r="C934" s="32" t="s">
        <v>60</v>
      </c>
    </row>
    <row r="935" spans="1:3" hidden="1" x14ac:dyDescent="0.3">
      <c r="A935" s="373">
        <v>30576393381</v>
      </c>
      <c r="B935" t="s">
        <v>1791</v>
      </c>
      <c r="C935" s="32" t="s">
        <v>60</v>
      </c>
    </row>
    <row r="936" spans="1:3" hidden="1" x14ac:dyDescent="0.3">
      <c r="A936" s="373">
        <v>30640897267</v>
      </c>
      <c r="B936" t="s">
        <v>2175</v>
      </c>
      <c r="C936" s="32" t="s">
        <v>60</v>
      </c>
    </row>
    <row r="937" spans="1:3" hidden="1" x14ac:dyDescent="0.3">
      <c r="A937" s="373">
        <v>30640897267</v>
      </c>
      <c r="B937" t="s">
        <v>2175</v>
      </c>
      <c r="C937" s="32" t="s">
        <v>60</v>
      </c>
    </row>
    <row r="938" spans="1:3" hidden="1" x14ac:dyDescent="0.3">
      <c r="A938" s="373">
        <v>30640897267</v>
      </c>
      <c r="B938" t="s">
        <v>2175</v>
      </c>
      <c r="C938" s="32" t="s">
        <v>60</v>
      </c>
    </row>
    <row r="939" spans="1:3" hidden="1" x14ac:dyDescent="0.3">
      <c r="A939" s="373">
        <v>30640897267</v>
      </c>
      <c r="B939" t="s">
        <v>2175</v>
      </c>
      <c r="C939" s="32" t="s">
        <v>60</v>
      </c>
    </row>
    <row r="940" spans="1:3" hidden="1" x14ac:dyDescent="0.3">
      <c r="A940" s="373">
        <v>30640897267</v>
      </c>
      <c r="B940" t="s">
        <v>81</v>
      </c>
      <c r="C940" s="32" t="s">
        <v>60</v>
      </c>
    </row>
    <row r="941" spans="1:3" hidden="1" x14ac:dyDescent="0.3">
      <c r="A941" s="373">
        <v>30640897267</v>
      </c>
      <c r="B941" t="s">
        <v>81</v>
      </c>
      <c r="C941" s="32" t="s">
        <v>60</v>
      </c>
    </row>
    <row r="942" spans="1:3" hidden="1" x14ac:dyDescent="0.3">
      <c r="A942" s="373">
        <v>30639453738</v>
      </c>
      <c r="B942" t="s">
        <v>1959</v>
      </c>
      <c r="C942" s="32" t="s">
        <v>60</v>
      </c>
    </row>
    <row r="943" spans="1:3" hidden="1" x14ac:dyDescent="0.3">
      <c r="A943" s="373">
        <v>30639453738</v>
      </c>
      <c r="B943" t="s">
        <v>1959</v>
      </c>
      <c r="C943" s="32" t="s">
        <v>60</v>
      </c>
    </row>
    <row r="944" spans="1:3" hidden="1" x14ac:dyDescent="0.3">
      <c r="A944" s="373">
        <v>30639453738</v>
      </c>
      <c r="B944" t="s">
        <v>2167</v>
      </c>
      <c r="C944" s="32" t="s">
        <v>60</v>
      </c>
    </row>
    <row r="945" spans="1:3" hidden="1" x14ac:dyDescent="0.3">
      <c r="A945" s="373">
        <v>30639453738</v>
      </c>
      <c r="B945" t="s">
        <v>2167</v>
      </c>
      <c r="C945" s="32" t="s">
        <v>60</v>
      </c>
    </row>
    <row r="946" spans="1:3" hidden="1" x14ac:dyDescent="0.3">
      <c r="A946" s="373">
        <v>30639453738</v>
      </c>
      <c r="B946" t="s">
        <v>2393</v>
      </c>
      <c r="C946" s="32" t="s">
        <v>60</v>
      </c>
    </row>
    <row r="947" spans="1:3" hidden="1" x14ac:dyDescent="0.3">
      <c r="A947" s="373">
        <v>30639453738</v>
      </c>
      <c r="B947" t="s">
        <v>2393</v>
      </c>
      <c r="C947" s="32" t="s">
        <v>60</v>
      </c>
    </row>
    <row r="948" spans="1:3" hidden="1" x14ac:dyDescent="0.3">
      <c r="A948" s="373">
        <v>30639453975</v>
      </c>
      <c r="B948" t="s">
        <v>1960</v>
      </c>
      <c r="C948" s="32" t="s">
        <v>60</v>
      </c>
    </row>
    <row r="949" spans="1:3" hidden="1" x14ac:dyDescent="0.3">
      <c r="A949" s="373">
        <v>30639453975</v>
      </c>
      <c r="B949" t="s">
        <v>1960</v>
      </c>
      <c r="C949" s="32" t="s">
        <v>60</v>
      </c>
    </row>
    <row r="950" spans="1:3" hidden="1" x14ac:dyDescent="0.3">
      <c r="A950" s="373">
        <v>30639453975</v>
      </c>
      <c r="B950" t="s">
        <v>2173</v>
      </c>
      <c r="C950" s="32" t="s">
        <v>60</v>
      </c>
    </row>
    <row r="951" spans="1:3" hidden="1" x14ac:dyDescent="0.3">
      <c r="A951" s="373">
        <v>30639453975</v>
      </c>
      <c r="B951" t="s">
        <v>2173</v>
      </c>
      <c r="C951" s="32" t="s">
        <v>60</v>
      </c>
    </row>
    <row r="952" spans="1:3" hidden="1" x14ac:dyDescent="0.3">
      <c r="A952" s="373">
        <v>30639453975</v>
      </c>
      <c r="B952" t="s">
        <v>2173</v>
      </c>
      <c r="C952" s="32" t="s">
        <v>60</v>
      </c>
    </row>
    <row r="953" spans="1:3" hidden="1" x14ac:dyDescent="0.3">
      <c r="A953" s="373">
        <v>30639453975</v>
      </c>
      <c r="B953" t="s">
        <v>2173</v>
      </c>
      <c r="C953" s="32" t="s">
        <v>60</v>
      </c>
    </row>
    <row r="954" spans="1:3" hidden="1" x14ac:dyDescent="0.3">
      <c r="A954" s="373">
        <v>30639453975</v>
      </c>
      <c r="B954" t="s">
        <v>2366</v>
      </c>
      <c r="C954" s="32" t="s">
        <v>60</v>
      </c>
    </row>
    <row r="955" spans="1:3" hidden="1" x14ac:dyDescent="0.3">
      <c r="A955" s="373">
        <v>30639453975</v>
      </c>
      <c r="B955" t="s">
        <v>2366</v>
      </c>
      <c r="C955" s="32" t="s">
        <v>60</v>
      </c>
    </row>
    <row r="956" spans="1:3" hidden="1" x14ac:dyDescent="0.3">
      <c r="A956" s="373">
        <v>30678814357</v>
      </c>
      <c r="B956" t="s">
        <v>1961</v>
      </c>
      <c r="C956" s="32" t="s">
        <v>60</v>
      </c>
    </row>
    <row r="957" spans="1:3" hidden="1" x14ac:dyDescent="0.3">
      <c r="A957" s="373">
        <v>30678814357</v>
      </c>
      <c r="B957" t="s">
        <v>1961</v>
      </c>
      <c r="C957" s="32" t="s">
        <v>60</v>
      </c>
    </row>
    <row r="958" spans="1:3" hidden="1" x14ac:dyDescent="0.3">
      <c r="A958" s="373">
        <v>30712246428</v>
      </c>
      <c r="B958" t="s">
        <v>2424</v>
      </c>
      <c r="C958" s="32" t="s">
        <v>2838</v>
      </c>
    </row>
    <row r="959" spans="1:3" hidden="1" x14ac:dyDescent="0.3">
      <c r="A959" s="373">
        <v>30712246428</v>
      </c>
      <c r="B959" t="s">
        <v>2424</v>
      </c>
      <c r="C959" s="32" t="s">
        <v>2838</v>
      </c>
    </row>
    <row r="960" spans="1:3" hidden="1" x14ac:dyDescent="0.3">
      <c r="A960" s="373">
        <v>30716425165</v>
      </c>
      <c r="B960" t="s">
        <v>2560</v>
      </c>
      <c r="C960" s="32" t="s">
        <v>2838</v>
      </c>
    </row>
    <row r="961" spans="1:3" hidden="1" x14ac:dyDescent="0.3">
      <c r="A961" s="373">
        <v>33714232199</v>
      </c>
      <c r="B961" t="s">
        <v>2160</v>
      </c>
      <c r="C961" s="32" t="s">
        <v>2838</v>
      </c>
    </row>
    <row r="962" spans="1:3" hidden="1" x14ac:dyDescent="0.3">
      <c r="A962" s="373">
        <v>27343113914</v>
      </c>
      <c r="B962" t="s">
        <v>2898</v>
      </c>
      <c r="C962" s="32" t="s">
        <v>2838</v>
      </c>
    </row>
    <row r="963" spans="1:3" x14ac:dyDescent="0.3">
      <c r="A963" s="373">
        <v>20176922363</v>
      </c>
      <c r="B963" t="s">
        <v>2570</v>
      </c>
      <c r="C963" s="32" t="s">
        <v>2935</v>
      </c>
    </row>
    <row r="964" spans="1:3" hidden="1" x14ac:dyDescent="0.3">
      <c r="A964" s="373">
        <v>30715169254</v>
      </c>
      <c r="B964" t="s">
        <v>1989</v>
      </c>
      <c r="C964" s="32" t="s">
        <v>2874</v>
      </c>
    </row>
    <row r="965" spans="1:3" hidden="1" x14ac:dyDescent="0.3">
      <c r="A965" s="373">
        <v>30715169254</v>
      </c>
      <c r="B965" t="s">
        <v>1989</v>
      </c>
      <c r="C965" s="32" t="s">
        <v>2874</v>
      </c>
    </row>
    <row r="966" spans="1:3" hidden="1" x14ac:dyDescent="0.3">
      <c r="A966" s="373">
        <v>30715168254</v>
      </c>
      <c r="B966" t="s">
        <v>1990</v>
      </c>
      <c r="C966" s="32" t="s">
        <v>2874</v>
      </c>
    </row>
    <row r="967" spans="1:3" hidden="1" x14ac:dyDescent="0.3">
      <c r="A967" s="373">
        <v>30715168254</v>
      </c>
      <c r="B967" t="s">
        <v>1990</v>
      </c>
      <c r="C967" s="32" t="s">
        <v>2874</v>
      </c>
    </row>
    <row r="968" spans="1:3" hidden="1" x14ac:dyDescent="0.3">
      <c r="A968" s="373"/>
    </row>
    <row r="969" spans="1:3" hidden="1" x14ac:dyDescent="0.3">
      <c r="A969" s="373"/>
    </row>
    <row r="970" spans="1:3" hidden="1" x14ac:dyDescent="0.3">
      <c r="A970" s="373"/>
    </row>
    <row r="971" spans="1:3" hidden="1" x14ac:dyDescent="0.3">
      <c r="A971" s="374"/>
      <c r="B971" s="375"/>
    </row>
    <row r="972" spans="1:3" hidden="1" x14ac:dyDescent="0.3">
      <c r="A972" s="373">
        <v>12999779</v>
      </c>
      <c r="B972" t="s">
        <v>2895</v>
      </c>
    </row>
    <row r="973" spans="1:3" hidden="1" x14ac:dyDescent="0.3">
      <c r="A973" s="373">
        <v>475785</v>
      </c>
      <c r="B973" t="s">
        <v>2896</v>
      </c>
    </row>
    <row r="974" spans="1:3" hidden="1" x14ac:dyDescent="0.3">
      <c r="A974" s="373">
        <v>32052462</v>
      </c>
      <c r="B974" t="s">
        <v>2897</v>
      </c>
    </row>
    <row r="975" spans="1:3" hidden="1" x14ac:dyDescent="0.3">
      <c r="A975" s="373">
        <v>20240305128</v>
      </c>
      <c r="B975" t="s">
        <v>2163</v>
      </c>
    </row>
    <row r="976" spans="1:3" hidden="1" x14ac:dyDescent="0.3">
      <c r="A976" s="373">
        <v>20240305128</v>
      </c>
      <c r="B976" t="s">
        <v>2163</v>
      </c>
    </row>
    <row r="977" spans="1:2" hidden="1" x14ac:dyDescent="0.3">
      <c r="A977" s="373">
        <v>20240305128</v>
      </c>
      <c r="B977" t="s">
        <v>2378</v>
      </c>
    </row>
    <row r="978" spans="1:2" hidden="1" x14ac:dyDescent="0.3">
      <c r="A978" s="373">
        <v>20240305128</v>
      </c>
      <c r="B978" t="s">
        <v>2378</v>
      </c>
    </row>
    <row r="979" spans="1:2" hidden="1" x14ac:dyDescent="0.3">
      <c r="A979" s="373">
        <v>20240305128</v>
      </c>
      <c r="B979" t="s">
        <v>2163</v>
      </c>
    </row>
    <row r="980" spans="1:2" hidden="1" x14ac:dyDescent="0.3">
      <c r="A980" s="373">
        <v>20240305128</v>
      </c>
      <c r="B980" t="s">
        <v>2163</v>
      </c>
    </row>
    <row r="981" spans="1:2" hidden="1" x14ac:dyDescent="0.3">
      <c r="A981" s="373">
        <v>20240305128</v>
      </c>
      <c r="B981" t="s">
        <v>2378</v>
      </c>
    </row>
    <row r="982" spans="1:2" hidden="1" x14ac:dyDescent="0.3">
      <c r="A982" s="373">
        <v>20240305128</v>
      </c>
      <c r="B982" t="s">
        <v>2378</v>
      </c>
    </row>
    <row r="983" spans="1:2" hidden="1" x14ac:dyDescent="0.3">
      <c r="A983" s="373">
        <v>30717223299</v>
      </c>
      <c r="B983" t="s">
        <v>2690</v>
      </c>
    </row>
    <row r="984" spans="1:2" hidden="1" x14ac:dyDescent="0.3">
      <c r="A984" s="373">
        <v>36065190</v>
      </c>
      <c r="B984" t="s">
        <v>2311</v>
      </c>
    </row>
    <row r="985" spans="1:2" hidden="1" x14ac:dyDescent="0.3">
      <c r="A985" s="373">
        <v>36065190</v>
      </c>
      <c r="B985" t="s">
        <v>2311</v>
      </c>
    </row>
    <row r="986" spans="1:2" hidden="1" x14ac:dyDescent="0.3">
      <c r="A986" s="373">
        <v>35357420</v>
      </c>
      <c r="B986" t="s">
        <v>2256</v>
      </c>
    </row>
    <row r="987" spans="1:2" hidden="1" x14ac:dyDescent="0.3">
      <c r="A987" s="373">
        <v>35357420</v>
      </c>
      <c r="B987" t="s">
        <v>2256</v>
      </c>
    </row>
    <row r="988" spans="1:2" hidden="1" x14ac:dyDescent="0.3">
      <c r="A988" s="373">
        <v>35357420</v>
      </c>
      <c r="B988" t="s">
        <v>2256</v>
      </c>
    </row>
    <row r="989" spans="1:2" hidden="1" x14ac:dyDescent="0.3">
      <c r="A989" s="373">
        <v>35357420</v>
      </c>
      <c r="B989" t="s">
        <v>2256</v>
      </c>
    </row>
    <row r="990" spans="1:2" hidden="1" x14ac:dyDescent="0.3">
      <c r="A990" s="373">
        <v>26927710</v>
      </c>
      <c r="B990" t="s">
        <v>2257</v>
      </c>
    </row>
    <row r="991" spans="1:2" hidden="1" x14ac:dyDescent="0.3">
      <c r="A991" s="373">
        <v>26927710</v>
      </c>
      <c r="B991" t="s">
        <v>2257</v>
      </c>
    </row>
    <row r="992" spans="1:2" hidden="1" x14ac:dyDescent="0.3">
      <c r="A992" s="373">
        <v>25231635</v>
      </c>
      <c r="B992" t="s">
        <v>2272</v>
      </c>
    </row>
    <row r="993" spans="1:2" hidden="1" x14ac:dyDescent="0.3">
      <c r="A993" s="373">
        <v>25231635</v>
      </c>
      <c r="B993" t="s">
        <v>2272</v>
      </c>
    </row>
    <row r="994" spans="1:2" hidden="1" x14ac:dyDescent="0.3">
      <c r="A994" s="373">
        <v>25231635</v>
      </c>
      <c r="B994" t="s">
        <v>2272</v>
      </c>
    </row>
    <row r="995" spans="1:2" hidden="1" x14ac:dyDescent="0.3">
      <c r="A995" s="373">
        <v>25231635</v>
      </c>
      <c r="B995" t="s">
        <v>2272</v>
      </c>
    </row>
    <row r="996" spans="1:2" hidden="1" x14ac:dyDescent="0.3">
      <c r="A996" s="373">
        <v>20621121</v>
      </c>
      <c r="B996" t="s">
        <v>2246</v>
      </c>
    </row>
    <row r="997" spans="1:2" hidden="1" x14ac:dyDescent="0.3">
      <c r="A997" s="373">
        <v>20621121</v>
      </c>
      <c r="B997" t="s">
        <v>2246</v>
      </c>
    </row>
    <row r="998" spans="1:2" hidden="1" x14ac:dyDescent="0.3">
      <c r="A998" s="373">
        <v>20621121</v>
      </c>
      <c r="B998" t="s">
        <v>2246</v>
      </c>
    </row>
    <row r="999" spans="1:2" hidden="1" x14ac:dyDescent="0.3">
      <c r="A999" s="373">
        <v>20621121</v>
      </c>
      <c r="B999" t="s">
        <v>2246</v>
      </c>
    </row>
    <row r="1000" spans="1:2" hidden="1" x14ac:dyDescent="0.3">
      <c r="A1000" s="373">
        <v>20621121</v>
      </c>
      <c r="B1000" t="s">
        <v>2246</v>
      </c>
    </row>
    <row r="1001" spans="1:2" hidden="1" x14ac:dyDescent="0.3">
      <c r="A1001" s="373">
        <v>20621121</v>
      </c>
      <c r="B1001" t="s">
        <v>2246</v>
      </c>
    </row>
    <row r="1002" spans="1:2" hidden="1" x14ac:dyDescent="0.3">
      <c r="A1002" s="373">
        <v>22479614</v>
      </c>
      <c r="B1002" t="s">
        <v>2290</v>
      </c>
    </row>
    <row r="1003" spans="1:2" hidden="1" x14ac:dyDescent="0.3">
      <c r="A1003" s="373">
        <v>22479614</v>
      </c>
      <c r="B1003" t="s">
        <v>2290</v>
      </c>
    </row>
    <row r="1004" spans="1:2" hidden="1" x14ac:dyDescent="0.3">
      <c r="A1004" s="373">
        <v>22479614</v>
      </c>
      <c r="B1004" t="s">
        <v>2290</v>
      </c>
    </row>
    <row r="1005" spans="1:2" hidden="1" x14ac:dyDescent="0.3">
      <c r="A1005" s="373">
        <v>22479614</v>
      </c>
      <c r="B1005" t="s">
        <v>2290</v>
      </c>
    </row>
    <row r="1006" spans="1:2" hidden="1" x14ac:dyDescent="0.3">
      <c r="A1006" s="373">
        <v>26670209</v>
      </c>
      <c r="B1006" t="s">
        <v>2230</v>
      </c>
    </row>
    <row r="1007" spans="1:2" hidden="1" x14ac:dyDescent="0.3">
      <c r="A1007" s="373">
        <v>26670209</v>
      </c>
      <c r="B1007" t="s">
        <v>2230</v>
      </c>
    </row>
    <row r="1008" spans="1:2" hidden="1" x14ac:dyDescent="0.3">
      <c r="A1008" s="373">
        <v>18396100</v>
      </c>
      <c r="B1008" t="s">
        <v>2286</v>
      </c>
    </row>
    <row r="1009" spans="1:2" hidden="1" x14ac:dyDescent="0.3">
      <c r="A1009" s="373">
        <v>18396100</v>
      </c>
      <c r="B1009" t="s">
        <v>2286</v>
      </c>
    </row>
    <row r="1010" spans="1:2" hidden="1" x14ac:dyDescent="0.3">
      <c r="A1010" s="373">
        <v>18396100</v>
      </c>
      <c r="B1010" t="s">
        <v>2286</v>
      </c>
    </row>
    <row r="1011" spans="1:2" hidden="1" x14ac:dyDescent="0.3">
      <c r="A1011" s="373">
        <v>18396100</v>
      </c>
      <c r="B1011" t="s">
        <v>2286</v>
      </c>
    </row>
    <row r="1012" spans="1:2" hidden="1" x14ac:dyDescent="0.3">
      <c r="A1012" s="373">
        <v>26456987</v>
      </c>
      <c r="B1012" t="s">
        <v>2268</v>
      </c>
    </row>
    <row r="1013" spans="1:2" hidden="1" x14ac:dyDescent="0.3">
      <c r="A1013" s="373">
        <v>22238457</v>
      </c>
      <c r="B1013" t="s">
        <v>2268</v>
      </c>
    </row>
    <row r="1014" spans="1:2" hidden="1" x14ac:dyDescent="0.3">
      <c r="A1014" s="373">
        <v>26456987</v>
      </c>
      <c r="B1014" t="s">
        <v>2268</v>
      </c>
    </row>
    <row r="1015" spans="1:2" hidden="1" x14ac:dyDescent="0.3">
      <c r="A1015" s="373">
        <v>22238457</v>
      </c>
      <c r="B1015" t="s">
        <v>2268</v>
      </c>
    </row>
    <row r="1016" spans="1:2" hidden="1" x14ac:dyDescent="0.3">
      <c r="A1016" s="373">
        <v>29381165</v>
      </c>
      <c r="B1016" t="s">
        <v>2195</v>
      </c>
    </row>
    <row r="1017" spans="1:2" hidden="1" x14ac:dyDescent="0.3">
      <c r="A1017" s="373">
        <v>29381165</v>
      </c>
      <c r="B1017" t="s">
        <v>2195</v>
      </c>
    </row>
    <row r="1018" spans="1:2" hidden="1" x14ac:dyDescent="0.3">
      <c r="A1018" s="373">
        <v>42683175</v>
      </c>
      <c r="B1018" t="s">
        <v>2273</v>
      </c>
    </row>
    <row r="1019" spans="1:2" hidden="1" x14ac:dyDescent="0.3">
      <c r="A1019" s="373">
        <v>42683175</v>
      </c>
      <c r="B1019" t="s">
        <v>2273</v>
      </c>
    </row>
    <row r="1020" spans="1:2" hidden="1" x14ac:dyDescent="0.3">
      <c r="A1020" s="373">
        <v>27059572666</v>
      </c>
      <c r="B1020" t="s">
        <v>2461</v>
      </c>
    </row>
    <row r="1021" spans="1:2" hidden="1" x14ac:dyDescent="0.3">
      <c r="A1021" s="373">
        <v>27059572666</v>
      </c>
      <c r="B1021" t="s">
        <v>2461</v>
      </c>
    </row>
    <row r="1022" spans="1:2" hidden="1" x14ac:dyDescent="0.3">
      <c r="A1022" s="373">
        <v>30659514628</v>
      </c>
      <c r="B1022" t="s">
        <v>2709</v>
      </c>
    </row>
    <row r="1023" spans="1:2" hidden="1" x14ac:dyDescent="0.3">
      <c r="A1023" s="373">
        <v>28170300</v>
      </c>
      <c r="B1023" t="s">
        <v>2306</v>
      </c>
    </row>
    <row r="1024" spans="1:2" hidden="1" x14ac:dyDescent="0.3">
      <c r="A1024" s="373">
        <v>28170300</v>
      </c>
      <c r="B1024" t="s">
        <v>2306</v>
      </c>
    </row>
    <row r="1025" spans="1:2" hidden="1" x14ac:dyDescent="0.3">
      <c r="A1025" s="40">
        <v>30685433296</v>
      </c>
      <c r="B1025" t="s">
        <v>2710</v>
      </c>
    </row>
    <row r="1026" spans="1:2" hidden="1" x14ac:dyDescent="0.3">
      <c r="A1026" s="373">
        <v>27256969802</v>
      </c>
      <c r="B1026" t="s">
        <v>2460</v>
      </c>
    </row>
    <row r="1027" spans="1:2" hidden="1" x14ac:dyDescent="0.3">
      <c r="A1027" s="373">
        <v>27256969802</v>
      </c>
      <c r="B1027" t="s">
        <v>2460</v>
      </c>
    </row>
    <row r="1028" spans="1:2" hidden="1" x14ac:dyDescent="0.3">
      <c r="A1028" s="373">
        <v>30267269</v>
      </c>
      <c r="B1028" t="s">
        <v>2339</v>
      </c>
    </row>
    <row r="1029" spans="1:2" hidden="1" x14ac:dyDescent="0.3">
      <c r="A1029" s="373">
        <v>30267269</v>
      </c>
      <c r="B1029" t="s">
        <v>2339</v>
      </c>
    </row>
    <row r="1030" spans="1:2" hidden="1" x14ac:dyDescent="0.3">
      <c r="A1030" s="373">
        <v>30527225988</v>
      </c>
      <c r="B1030" t="s">
        <v>2519</v>
      </c>
    </row>
    <row r="1031" spans="1:2" hidden="1" x14ac:dyDescent="0.3">
      <c r="A1031" s="373">
        <v>23166393574</v>
      </c>
      <c r="B1031" t="s">
        <v>2452</v>
      </c>
    </row>
    <row r="1032" spans="1:2" hidden="1" x14ac:dyDescent="0.3">
      <c r="A1032" s="373">
        <v>23166393574</v>
      </c>
      <c r="B1032" t="s">
        <v>2452</v>
      </c>
    </row>
    <row r="1033" spans="1:2" hidden="1" x14ac:dyDescent="0.3">
      <c r="A1033" s="373">
        <v>18462045</v>
      </c>
      <c r="B1033" t="s">
        <v>2281</v>
      </c>
    </row>
    <row r="1034" spans="1:2" hidden="1" x14ac:dyDescent="0.3">
      <c r="A1034" s="373">
        <v>18462045</v>
      </c>
      <c r="B1034" t="s">
        <v>2281</v>
      </c>
    </row>
    <row r="1035" spans="1:2" hidden="1" x14ac:dyDescent="0.3">
      <c r="A1035" s="373">
        <v>30714069639</v>
      </c>
      <c r="B1035" t="s">
        <v>2122</v>
      </c>
    </row>
    <row r="1036" spans="1:2" hidden="1" x14ac:dyDescent="0.3">
      <c r="A1036" s="373">
        <v>30714069639</v>
      </c>
      <c r="B1036" t="s">
        <v>2122</v>
      </c>
    </row>
    <row r="1037" spans="1:2" hidden="1" x14ac:dyDescent="0.3">
      <c r="A1037" s="373">
        <v>20311934873</v>
      </c>
      <c r="B1037" t="s">
        <v>2584</v>
      </c>
    </row>
    <row r="1038" spans="1:2" hidden="1" x14ac:dyDescent="0.3">
      <c r="A1038" s="373">
        <v>20357275882</v>
      </c>
      <c r="B1038" t="s">
        <v>2715</v>
      </c>
    </row>
    <row r="1039" spans="1:2" hidden="1" x14ac:dyDescent="0.3">
      <c r="A1039" s="373">
        <v>30714930490</v>
      </c>
      <c r="B1039" t="s">
        <v>2717</v>
      </c>
    </row>
    <row r="1040" spans="1:2" hidden="1" x14ac:dyDescent="0.3">
      <c r="A1040" s="373">
        <v>29734146</v>
      </c>
      <c r="B1040" t="s">
        <v>2215</v>
      </c>
    </row>
    <row r="1041" spans="1:2" hidden="1" x14ac:dyDescent="0.3">
      <c r="A1041" s="373">
        <v>29734146</v>
      </c>
      <c r="B1041" t="s">
        <v>2215</v>
      </c>
    </row>
    <row r="1042" spans="1:2" hidden="1" x14ac:dyDescent="0.3">
      <c r="A1042" s="373">
        <v>27816221</v>
      </c>
      <c r="B1042" t="s">
        <v>2247</v>
      </c>
    </row>
    <row r="1043" spans="1:2" hidden="1" x14ac:dyDescent="0.3">
      <c r="A1043" s="373">
        <v>27816221</v>
      </c>
      <c r="B1043" t="s">
        <v>2247</v>
      </c>
    </row>
    <row r="1044" spans="1:2" hidden="1" x14ac:dyDescent="0.3">
      <c r="A1044" s="373">
        <v>27816221</v>
      </c>
      <c r="B1044" t="s">
        <v>2247</v>
      </c>
    </row>
    <row r="1045" spans="1:2" hidden="1" x14ac:dyDescent="0.3">
      <c r="A1045" s="373">
        <v>27816221</v>
      </c>
      <c r="B1045" t="s">
        <v>2247</v>
      </c>
    </row>
    <row r="1046" spans="1:2" hidden="1" x14ac:dyDescent="0.3">
      <c r="A1046" s="373">
        <v>27816221</v>
      </c>
      <c r="B1046" t="s">
        <v>2247</v>
      </c>
    </row>
    <row r="1047" spans="1:2" hidden="1" x14ac:dyDescent="0.3">
      <c r="A1047" s="373">
        <v>27816221</v>
      </c>
      <c r="B1047" t="s">
        <v>2247</v>
      </c>
    </row>
    <row r="1048" spans="1:2" hidden="1" x14ac:dyDescent="0.3">
      <c r="A1048" s="373">
        <v>30308030</v>
      </c>
      <c r="B1048" t="s">
        <v>2233</v>
      </c>
    </row>
    <row r="1049" spans="1:2" hidden="1" x14ac:dyDescent="0.3">
      <c r="A1049" s="373">
        <v>30308030</v>
      </c>
      <c r="B1049" t="s">
        <v>2233</v>
      </c>
    </row>
    <row r="1050" spans="1:2" hidden="1" x14ac:dyDescent="0.3">
      <c r="A1050" s="373">
        <v>30308030</v>
      </c>
      <c r="B1050" t="s">
        <v>2233</v>
      </c>
    </row>
    <row r="1051" spans="1:2" hidden="1" x14ac:dyDescent="0.3">
      <c r="A1051" s="373">
        <v>30308030</v>
      </c>
      <c r="B1051" t="s">
        <v>2233</v>
      </c>
    </row>
    <row r="1052" spans="1:2" hidden="1" x14ac:dyDescent="0.3">
      <c r="A1052" s="373">
        <v>22879936</v>
      </c>
      <c r="B1052" t="s">
        <v>2214</v>
      </c>
    </row>
    <row r="1053" spans="1:2" hidden="1" x14ac:dyDescent="0.3">
      <c r="A1053" s="373">
        <v>22879936</v>
      </c>
      <c r="B1053" t="s">
        <v>2214</v>
      </c>
    </row>
    <row r="1054" spans="1:2" hidden="1" x14ac:dyDescent="0.3">
      <c r="A1054" s="373">
        <v>22879936</v>
      </c>
      <c r="B1054" t="s">
        <v>2214</v>
      </c>
    </row>
    <row r="1055" spans="1:2" hidden="1" x14ac:dyDescent="0.3">
      <c r="A1055" s="373">
        <v>22879936</v>
      </c>
      <c r="B1055" t="s">
        <v>2214</v>
      </c>
    </row>
    <row r="1056" spans="1:2" hidden="1" x14ac:dyDescent="0.3">
      <c r="A1056" s="373">
        <v>22879936</v>
      </c>
      <c r="B1056" t="s">
        <v>2214</v>
      </c>
    </row>
    <row r="1057" spans="1:2" hidden="1" x14ac:dyDescent="0.3">
      <c r="A1057" s="373">
        <v>22879936</v>
      </c>
      <c r="B1057" t="s">
        <v>2214</v>
      </c>
    </row>
    <row r="1058" spans="1:2" hidden="1" x14ac:dyDescent="0.3">
      <c r="A1058" s="373">
        <v>30538688793</v>
      </c>
      <c r="B1058" t="s">
        <v>2524</v>
      </c>
    </row>
    <row r="1059" spans="1:2" hidden="1" x14ac:dyDescent="0.3">
      <c r="A1059" s="373">
        <v>30715173030</v>
      </c>
      <c r="B1059" t="s">
        <v>2385</v>
      </c>
    </row>
    <row r="1060" spans="1:2" hidden="1" x14ac:dyDescent="0.3">
      <c r="A1060" s="373">
        <v>30715173030</v>
      </c>
      <c r="B1060" t="s">
        <v>2385</v>
      </c>
    </row>
    <row r="1061" spans="1:2" hidden="1" x14ac:dyDescent="0.3">
      <c r="A1061" s="373">
        <v>40512917</v>
      </c>
      <c r="B1061" t="s">
        <v>2225</v>
      </c>
    </row>
    <row r="1062" spans="1:2" hidden="1" x14ac:dyDescent="0.3">
      <c r="A1062" s="373">
        <v>40512917</v>
      </c>
      <c r="B1062" t="s">
        <v>2225</v>
      </c>
    </row>
    <row r="1063" spans="1:2" hidden="1" x14ac:dyDescent="0.3">
      <c r="A1063" s="373">
        <v>33716348569</v>
      </c>
      <c r="B1063" t="s">
        <v>2531</v>
      </c>
    </row>
    <row r="1064" spans="1:2" hidden="1" x14ac:dyDescent="0.3">
      <c r="A1064" s="373">
        <v>26162942</v>
      </c>
      <c r="B1064" t="s">
        <v>2310</v>
      </c>
    </row>
    <row r="1065" spans="1:2" hidden="1" x14ac:dyDescent="0.3">
      <c r="A1065" s="373">
        <v>26162942</v>
      </c>
      <c r="B1065" t="s">
        <v>2310</v>
      </c>
    </row>
    <row r="1066" spans="1:2" hidden="1" x14ac:dyDescent="0.3">
      <c r="A1066" s="373">
        <v>35969790</v>
      </c>
      <c r="B1066" t="s">
        <v>2232</v>
      </c>
    </row>
    <row r="1067" spans="1:2" hidden="1" x14ac:dyDescent="0.3">
      <c r="A1067" s="373">
        <v>35969790</v>
      </c>
      <c r="B1067" t="s">
        <v>2232</v>
      </c>
    </row>
    <row r="1068" spans="1:2" hidden="1" x14ac:dyDescent="0.3">
      <c r="A1068" s="373">
        <v>26272486</v>
      </c>
      <c r="B1068" t="s">
        <v>2303</v>
      </c>
    </row>
    <row r="1069" spans="1:2" hidden="1" x14ac:dyDescent="0.3">
      <c r="A1069" s="373">
        <v>26272486</v>
      </c>
      <c r="B1069" t="s">
        <v>2303</v>
      </c>
    </row>
    <row r="1070" spans="1:2" hidden="1" x14ac:dyDescent="0.3">
      <c r="A1070" s="373">
        <v>26272486</v>
      </c>
      <c r="B1070" t="s">
        <v>2303</v>
      </c>
    </row>
    <row r="1071" spans="1:2" hidden="1" x14ac:dyDescent="0.3">
      <c r="A1071" s="373">
        <v>26272486</v>
      </c>
      <c r="B1071" t="s">
        <v>2303</v>
      </c>
    </row>
    <row r="1072" spans="1:2" hidden="1" x14ac:dyDescent="0.3">
      <c r="A1072" s="373">
        <v>30500001735</v>
      </c>
      <c r="B1072" t="s">
        <v>2671</v>
      </c>
    </row>
    <row r="1073" spans="1:2" hidden="1" x14ac:dyDescent="0.3">
      <c r="A1073" s="373">
        <v>30710634390</v>
      </c>
      <c r="B1073" t="s">
        <v>2721</v>
      </c>
    </row>
    <row r="1074" spans="1:2" hidden="1" x14ac:dyDescent="0.3">
      <c r="A1074" s="373">
        <v>20402435330</v>
      </c>
      <c r="B1074" t="s">
        <v>2722</v>
      </c>
    </row>
    <row r="1075" spans="1:2" hidden="1" x14ac:dyDescent="0.3">
      <c r="A1075" s="373">
        <v>35041832</v>
      </c>
      <c r="B1075" t="s">
        <v>2298</v>
      </c>
    </row>
    <row r="1076" spans="1:2" hidden="1" x14ac:dyDescent="0.3">
      <c r="A1076" s="373">
        <v>35041832</v>
      </c>
      <c r="B1076" t="s">
        <v>2298</v>
      </c>
    </row>
    <row r="1077" spans="1:2" hidden="1" x14ac:dyDescent="0.3">
      <c r="A1077" s="373">
        <v>35041832</v>
      </c>
      <c r="B1077" t="s">
        <v>2298</v>
      </c>
    </row>
    <row r="1078" spans="1:2" hidden="1" x14ac:dyDescent="0.3">
      <c r="A1078" s="373">
        <v>35041832</v>
      </c>
      <c r="B1078" t="s">
        <v>2298</v>
      </c>
    </row>
    <row r="1079" spans="1:2" hidden="1" x14ac:dyDescent="0.3">
      <c r="A1079" s="373">
        <v>35041832</v>
      </c>
      <c r="B1079" t="s">
        <v>2298</v>
      </c>
    </row>
    <row r="1080" spans="1:2" hidden="1" x14ac:dyDescent="0.3">
      <c r="A1080" s="373">
        <v>35041832</v>
      </c>
      <c r="B1080" t="s">
        <v>2298</v>
      </c>
    </row>
    <row r="1081" spans="1:2" hidden="1" x14ac:dyDescent="0.3">
      <c r="A1081" s="373">
        <v>30500003193</v>
      </c>
      <c r="B1081" t="s">
        <v>2644</v>
      </c>
    </row>
    <row r="1082" spans="1:2" hidden="1" x14ac:dyDescent="0.3">
      <c r="A1082" s="373">
        <v>20218363807</v>
      </c>
      <c r="B1082" t="s">
        <v>2585</v>
      </c>
    </row>
    <row r="1083" spans="1:2" hidden="1" x14ac:dyDescent="0.3">
      <c r="A1083" s="373">
        <v>26886918</v>
      </c>
      <c r="B1083" t="s">
        <v>2253</v>
      </c>
    </row>
    <row r="1084" spans="1:2" hidden="1" x14ac:dyDescent="0.3">
      <c r="A1084" s="373">
        <v>26886918</v>
      </c>
      <c r="B1084" t="s">
        <v>2253</v>
      </c>
    </row>
    <row r="1085" spans="1:2" hidden="1" x14ac:dyDescent="0.3">
      <c r="A1085" s="373">
        <v>30661282963</v>
      </c>
      <c r="B1085" t="s">
        <v>2723</v>
      </c>
    </row>
    <row r="1086" spans="1:2" hidden="1" x14ac:dyDescent="0.3">
      <c r="A1086" s="373">
        <v>20428598211</v>
      </c>
      <c r="B1086" t="s">
        <v>2724</v>
      </c>
    </row>
    <row r="1087" spans="1:2" hidden="1" x14ac:dyDescent="0.3">
      <c r="A1087" s="40">
        <v>24109521716</v>
      </c>
      <c r="B1087" t="s">
        <v>2726</v>
      </c>
    </row>
    <row r="1088" spans="1:2" hidden="1" x14ac:dyDescent="0.3">
      <c r="A1088" s="373">
        <v>27172834189</v>
      </c>
      <c r="B1088" t="s">
        <v>2520</v>
      </c>
    </row>
    <row r="1089" spans="1:2" hidden="1" x14ac:dyDescent="0.3">
      <c r="A1089" s="373">
        <v>23357502209</v>
      </c>
      <c r="B1089" t="s">
        <v>2502</v>
      </c>
    </row>
    <row r="1090" spans="1:2" hidden="1" x14ac:dyDescent="0.3">
      <c r="A1090" s="373">
        <v>27142831339</v>
      </c>
      <c r="B1090" t="s">
        <v>2190</v>
      </c>
    </row>
    <row r="1091" spans="1:2" hidden="1" x14ac:dyDescent="0.3">
      <c r="A1091" s="373">
        <v>27142831339</v>
      </c>
      <c r="B1091" t="s">
        <v>2190</v>
      </c>
    </row>
    <row r="1092" spans="1:2" hidden="1" x14ac:dyDescent="0.3">
      <c r="A1092" s="373">
        <v>30714012734</v>
      </c>
      <c r="B1092" t="s">
        <v>2426</v>
      </c>
    </row>
    <row r="1093" spans="1:2" hidden="1" x14ac:dyDescent="0.3">
      <c r="A1093" s="373">
        <v>30714012734</v>
      </c>
      <c r="B1093" t="s">
        <v>2426</v>
      </c>
    </row>
    <row r="1094" spans="1:2" hidden="1" x14ac:dyDescent="0.3">
      <c r="A1094" s="373">
        <v>30682116028</v>
      </c>
      <c r="B1094" t="s">
        <v>2693</v>
      </c>
    </row>
    <row r="1095" spans="1:2" hidden="1" x14ac:dyDescent="0.3">
      <c r="A1095" s="373">
        <v>26819759</v>
      </c>
      <c r="B1095" t="s">
        <v>2249</v>
      </c>
    </row>
    <row r="1096" spans="1:2" hidden="1" x14ac:dyDescent="0.3">
      <c r="A1096" s="373">
        <v>26819759</v>
      </c>
      <c r="B1096" t="s">
        <v>2249</v>
      </c>
    </row>
    <row r="1097" spans="1:2" hidden="1" x14ac:dyDescent="0.3">
      <c r="A1097" s="406">
        <v>30710677227</v>
      </c>
      <c r="B1097" t="s">
        <v>2731</v>
      </c>
    </row>
    <row r="1098" spans="1:2" hidden="1" x14ac:dyDescent="0.3">
      <c r="A1098" s="373">
        <v>42117899</v>
      </c>
      <c r="B1098" t="s">
        <v>2289</v>
      </c>
    </row>
    <row r="1099" spans="1:2" hidden="1" x14ac:dyDescent="0.3">
      <c r="A1099" s="373">
        <v>42117899</v>
      </c>
      <c r="B1099" t="s">
        <v>2289</v>
      </c>
    </row>
    <row r="1100" spans="1:2" hidden="1" x14ac:dyDescent="0.3">
      <c r="A1100" s="373">
        <v>36373638</v>
      </c>
      <c r="B1100" t="s">
        <v>2248</v>
      </c>
    </row>
    <row r="1101" spans="1:2" hidden="1" x14ac:dyDescent="0.3">
      <c r="A1101" s="373">
        <v>36373638</v>
      </c>
      <c r="B1101" t="s">
        <v>2248</v>
      </c>
    </row>
    <row r="1102" spans="1:2" hidden="1" x14ac:dyDescent="0.3">
      <c r="A1102" s="373">
        <v>36373638</v>
      </c>
      <c r="B1102" t="s">
        <v>2248</v>
      </c>
    </row>
    <row r="1103" spans="1:2" hidden="1" x14ac:dyDescent="0.3">
      <c r="A1103" s="373">
        <v>36373638</v>
      </c>
      <c r="B1103" t="s">
        <v>2248</v>
      </c>
    </row>
    <row r="1104" spans="1:2" hidden="1" x14ac:dyDescent="0.3">
      <c r="A1104" s="373">
        <v>18800655</v>
      </c>
      <c r="B1104" t="s">
        <v>2255</v>
      </c>
    </row>
    <row r="1105" spans="1:2" hidden="1" x14ac:dyDescent="0.3">
      <c r="A1105" s="373">
        <v>18800655</v>
      </c>
      <c r="B1105" t="s">
        <v>2255</v>
      </c>
    </row>
    <row r="1106" spans="1:2" hidden="1" x14ac:dyDescent="0.3">
      <c r="A1106" s="373">
        <v>18800655</v>
      </c>
      <c r="B1106" t="s">
        <v>2255</v>
      </c>
    </row>
    <row r="1107" spans="1:2" hidden="1" x14ac:dyDescent="0.3">
      <c r="A1107" s="373">
        <v>18800655</v>
      </c>
      <c r="B1107" t="s">
        <v>2255</v>
      </c>
    </row>
    <row r="1108" spans="1:2" hidden="1" x14ac:dyDescent="0.3">
      <c r="A1108" s="373">
        <v>20235723906</v>
      </c>
      <c r="B1108" t="s">
        <v>2734</v>
      </c>
    </row>
    <row r="1109" spans="1:2" hidden="1" x14ac:dyDescent="0.3">
      <c r="A1109" s="373">
        <v>11368071</v>
      </c>
      <c r="B1109" t="s">
        <v>2251</v>
      </c>
    </row>
    <row r="1110" spans="1:2" hidden="1" x14ac:dyDescent="0.3">
      <c r="A1110" s="373">
        <v>11368071</v>
      </c>
      <c r="B1110" t="s">
        <v>2251</v>
      </c>
    </row>
    <row r="1111" spans="1:2" hidden="1" x14ac:dyDescent="0.3">
      <c r="A1111" s="373">
        <v>11368071</v>
      </c>
      <c r="B1111" t="s">
        <v>2251</v>
      </c>
    </row>
    <row r="1112" spans="1:2" hidden="1" x14ac:dyDescent="0.3">
      <c r="A1112" s="373">
        <v>11368071</v>
      </c>
      <c r="B1112" t="s">
        <v>2251</v>
      </c>
    </row>
    <row r="1113" spans="1:2" hidden="1" x14ac:dyDescent="0.3">
      <c r="A1113" s="373">
        <v>11368071</v>
      </c>
      <c r="B1113" t="s">
        <v>2251</v>
      </c>
    </row>
    <row r="1114" spans="1:2" hidden="1" x14ac:dyDescent="0.3">
      <c r="A1114" s="373">
        <v>11368071</v>
      </c>
      <c r="B1114" t="s">
        <v>2251</v>
      </c>
    </row>
    <row r="1115" spans="1:2" hidden="1" x14ac:dyDescent="0.3">
      <c r="A1115" s="373">
        <v>33707010059</v>
      </c>
      <c r="B1115" t="s">
        <v>2735</v>
      </c>
    </row>
    <row r="1116" spans="1:2" hidden="1" x14ac:dyDescent="0.3">
      <c r="A1116" s="373">
        <v>33528637</v>
      </c>
      <c r="B1116" t="s">
        <v>2343</v>
      </c>
    </row>
    <row r="1117" spans="1:2" hidden="1" x14ac:dyDescent="0.3">
      <c r="A1117" s="373">
        <v>33528637</v>
      </c>
      <c r="B1117" t="s">
        <v>2343</v>
      </c>
    </row>
    <row r="1118" spans="1:2" hidden="1" x14ac:dyDescent="0.3">
      <c r="A1118" s="373">
        <v>34624335</v>
      </c>
      <c r="B1118" t="s">
        <v>2197</v>
      </c>
    </row>
    <row r="1119" spans="1:2" hidden="1" x14ac:dyDescent="0.3">
      <c r="A1119" s="373">
        <v>34624335</v>
      </c>
      <c r="B1119" t="s">
        <v>2197</v>
      </c>
    </row>
    <row r="1120" spans="1:2" hidden="1" x14ac:dyDescent="0.3">
      <c r="A1120" s="373">
        <v>34624335</v>
      </c>
      <c r="B1120" t="s">
        <v>2197</v>
      </c>
    </row>
    <row r="1121" spans="1:2" hidden="1" x14ac:dyDescent="0.3">
      <c r="A1121" s="373">
        <v>34624335</v>
      </c>
      <c r="B1121" t="s">
        <v>2197</v>
      </c>
    </row>
    <row r="1122" spans="1:2" hidden="1" x14ac:dyDescent="0.3">
      <c r="A1122" s="373">
        <v>94046946</v>
      </c>
      <c r="B1122" t="s">
        <v>2236</v>
      </c>
    </row>
    <row r="1123" spans="1:2" hidden="1" x14ac:dyDescent="0.3">
      <c r="A1123" s="373">
        <v>94046946</v>
      </c>
      <c r="B1123" t="s">
        <v>2236</v>
      </c>
    </row>
    <row r="1124" spans="1:2" hidden="1" x14ac:dyDescent="0.3">
      <c r="A1124" s="373">
        <v>17466985</v>
      </c>
      <c r="B1124" t="s">
        <v>2221</v>
      </c>
    </row>
    <row r="1125" spans="1:2" hidden="1" x14ac:dyDescent="0.3">
      <c r="A1125" s="373">
        <v>17466985</v>
      </c>
      <c r="B1125" t="s">
        <v>2221</v>
      </c>
    </row>
    <row r="1126" spans="1:2" hidden="1" x14ac:dyDescent="0.3">
      <c r="A1126" s="373">
        <v>33206249</v>
      </c>
      <c r="B1126" t="s">
        <v>2252</v>
      </c>
    </row>
    <row r="1127" spans="1:2" hidden="1" x14ac:dyDescent="0.3">
      <c r="A1127" s="373">
        <v>33206249</v>
      </c>
      <c r="B1127" t="s">
        <v>2252</v>
      </c>
    </row>
    <row r="1128" spans="1:2" hidden="1" x14ac:dyDescent="0.3">
      <c r="A1128" s="373">
        <v>31684880</v>
      </c>
      <c r="B1128" t="s">
        <v>2241</v>
      </c>
    </row>
    <row r="1129" spans="1:2" hidden="1" x14ac:dyDescent="0.3">
      <c r="A1129" s="373">
        <v>31684880</v>
      </c>
      <c r="B1129" t="s">
        <v>2241</v>
      </c>
    </row>
    <row r="1130" spans="1:2" hidden="1" x14ac:dyDescent="0.3">
      <c r="A1130" s="373">
        <v>32094010</v>
      </c>
      <c r="B1130" t="s">
        <v>2234</v>
      </c>
    </row>
    <row r="1131" spans="1:2" hidden="1" x14ac:dyDescent="0.3">
      <c r="A1131" s="373">
        <v>32094010</v>
      </c>
      <c r="B1131" t="s">
        <v>2234</v>
      </c>
    </row>
    <row r="1132" spans="1:2" hidden="1" x14ac:dyDescent="0.3">
      <c r="A1132" s="373">
        <v>27175380146</v>
      </c>
      <c r="B1132" t="s">
        <v>2493</v>
      </c>
    </row>
    <row r="1133" spans="1:2" hidden="1" x14ac:dyDescent="0.3">
      <c r="A1133" s="40">
        <v>30710573308</v>
      </c>
      <c r="B1133" t="s">
        <v>2737</v>
      </c>
    </row>
    <row r="1134" spans="1:2" hidden="1" x14ac:dyDescent="0.3">
      <c r="A1134" s="373">
        <v>18039953</v>
      </c>
      <c r="B1134" t="s">
        <v>2325</v>
      </c>
    </row>
    <row r="1135" spans="1:2" hidden="1" x14ac:dyDescent="0.3">
      <c r="A1135" s="373">
        <v>18039953</v>
      </c>
      <c r="B1135" t="s">
        <v>2325</v>
      </c>
    </row>
    <row r="1136" spans="1:2" hidden="1" x14ac:dyDescent="0.3">
      <c r="A1136" s="373">
        <v>26843489</v>
      </c>
      <c r="B1136" t="s">
        <v>2335</v>
      </c>
    </row>
    <row r="1137" spans="1:2" hidden="1" x14ac:dyDescent="0.3">
      <c r="A1137" s="373">
        <v>26843489</v>
      </c>
      <c r="B1137" t="s">
        <v>2335</v>
      </c>
    </row>
    <row r="1138" spans="1:2" hidden="1" x14ac:dyDescent="0.3">
      <c r="A1138" s="373">
        <v>30709163503</v>
      </c>
      <c r="B1138" t="s">
        <v>2449</v>
      </c>
    </row>
    <row r="1139" spans="1:2" hidden="1" x14ac:dyDescent="0.3">
      <c r="A1139" s="373">
        <v>30709163503</v>
      </c>
      <c r="B1139" t="s">
        <v>2449</v>
      </c>
    </row>
    <row r="1140" spans="1:2" hidden="1" x14ac:dyDescent="0.3">
      <c r="A1140" s="373">
        <v>12980812</v>
      </c>
      <c r="B1140" t="s">
        <v>2348</v>
      </c>
    </row>
    <row r="1141" spans="1:2" hidden="1" x14ac:dyDescent="0.3">
      <c r="A1141" s="373">
        <v>12980812</v>
      </c>
      <c r="B1141" t="s">
        <v>2348</v>
      </c>
    </row>
    <row r="1142" spans="1:2" hidden="1" x14ac:dyDescent="0.3">
      <c r="A1142" s="373">
        <v>31508290</v>
      </c>
      <c r="B1142" t="s">
        <v>2229</v>
      </c>
    </row>
    <row r="1143" spans="1:2" hidden="1" x14ac:dyDescent="0.3">
      <c r="A1143" s="373">
        <v>31508290</v>
      </c>
      <c r="B1143" t="s">
        <v>2229</v>
      </c>
    </row>
    <row r="1144" spans="1:2" hidden="1" x14ac:dyDescent="0.3">
      <c r="A1144" s="373">
        <v>31508290</v>
      </c>
      <c r="B1144" t="s">
        <v>2229</v>
      </c>
    </row>
    <row r="1145" spans="1:2" hidden="1" x14ac:dyDescent="0.3">
      <c r="A1145" s="373">
        <v>31508290</v>
      </c>
      <c r="B1145" t="s">
        <v>2229</v>
      </c>
    </row>
    <row r="1146" spans="1:2" hidden="1" x14ac:dyDescent="0.3">
      <c r="A1146" s="373">
        <v>22209881</v>
      </c>
      <c r="B1146" t="s">
        <v>2243</v>
      </c>
    </row>
    <row r="1147" spans="1:2" hidden="1" x14ac:dyDescent="0.3">
      <c r="A1147" s="373">
        <v>22209881</v>
      </c>
      <c r="B1147" t="s">
        <v>2243</v>
      </c>
    </row>
    <row r="1148" spans="1:2" hidden="1" x14ac:dyDescent="0.3">
      <c r="A1148" s="373">
        <v>27280796552</v>
      </c>
      <c r="B1148" t="s">
        <v>2450</v>
      </c>
    </row>
    <row r="1149" spans="1:2" hidden="1" x14ac:dyDescent="0.3">
      <c r="A1149" s="373">
        <v>27280796552</v>
      </c>
      <c r="B1149" t="s">
        <v>2450</v>
      </c>
    </row>
    <row r="1150" spans="1:2" hidden="1" x14ac:dyDescent="0.3">
      <c r="A1150" s="373">
        <v>27394920423</v>
      </c>
      <c r="B1150" t="s">
        <v>2578</v>
      </c>
    </row>
    <row r="1151" spans="1:2" hidden="1" x14ac:dyDescent="0.3">
      <c r="A1151" s="40">
        <v>30716623110</v>
      </c>
      <c r="B1151" s="41" t="s">
        <v>2740</v>
      </c>
    </row>
    <row r="1152" spans="1:2" hidden="1" x14ac:dyDescent="0.3">
      <c r="A1152" s="40">
        <v>30716623110</v>
      </c>
      <c r="B1152" s="41" t="s">
        <v>2740</v>
      </c>
    </row>
    <row r="1153" spans="1:2" hidden="1" x14ac:dyDescent="0.3">
      <c r="A1153" s="40">
        <v>30716623110</v>
      </c>
      <c r="B1153" t="s">
        <v>2740</v>
      </c>
    </row>
    <row r="1154" spans="1:2" hidden="1" x14ac:dyDescent="0.3">
      <c r="A1154" s="373">
        <v>43018540</v>
      </c>
      <c r="B1154" t="s">
        <v>2193</v>
      </c>
    </row>
    <row r="1155" spans="1:2" hidden="1" x14ac:dyDescent="0.3">
      <c r="A1155" s="373">
        <v>43018540</v>
      </c>
      <c r="B1155" t="s">
        <v>2193</v>
      </c>
    </row>
    <row r="1156" spans="1:2" hidden="1" x14ac:dyDescent="0.3">
      <c r="A1156" s="373">
        <v>43018540</v>
      </c>
      <c r="B1156" t="s">
        <v>2193</v>
      </c>
    </row>
    <row r="1157" spans="1:2" hidden="1" x14ac:dyDescent="0.3">
      <c r="A1157" s="373">
        <v>43018540</v>
      </c>
      <c r="B1157" t="s">
        <v>2193</v>
      </c>
    </row>
    <row r="1158" spans="1:2" hidden="1" x14ac:dyDescent="0.3">
      <c r="A1158" s="373" t="s">
        <v>2607</v>
      </c>
      <c r="B1158" t="s">
        <v>2626</v>
      </c>
    </row>
    <row r="1159" spans="1:2" hidden="1" x14ac:dyDescent="0.3">
      <c r="A1159" s="40">
        <v>20188640428</v>
      </c>
      <c r="B1159" t="s">
        <v>2741</v>
      </c>
    </row>
    <row r="1160" spans="1:2" hidden="1" x14ac:dyDescent="0.3">
      <c r="A1160" s="373">
        <v>30715683446</v>
      </c>
      <c r="B1160" t="s">
        <v>2683</v>
      </c>
    </row>
    <row r="1161" spans="1:2" hidden="1" x14ac:dyDescent="0.3">
      <c r="A1161" s="373">
        <v>30541213860</v>
      </c>
      <c r="B1161" t="s">
        <v>2516</v>
      </c>
    </row>
    <row r="1162" spans="1:2" hidden="1" x14ac:dyDescent="0.3">
      <c r="A1162" s="373">
        <v>27327364567</v>
      </c>
      <c r="B1162" t="s">
        <v>2181</v>
      </c>
    </row>
    <row r="1163" spans="1:2" hidden="1" x14ac:dyDescent="0.3">
      <c r="A1163" s="373">
        <v>27327364567</v>
      </c>
      <c r="B1163" t="s">
        <v>2181</v>
      </c>
    </row>
    <row r="1164" spans="1:2" hidden="1" x14ac:dyDescent="0.3">
      <c r="A1164" s="373">
        <v>30696692951</v>
      </c>
      <c r="B1164" t="s">
        <v>2742</v>
      </c>
    </row>
    <row r="1165" spans="1:2" hidden="1" x14ac:dyDescent="0.3">
      <c r="A1165" s="373">
        <v>36291697</v>
      </c>
      <c r="B1165" t="s">
        <v>2205</v>
      </c>
    </row>
    <row r="1166" spans="1:2" hidden="1" x14ac:dyDescent="0.3">
      <c r="A1166" s="373">
        <v>36291697</v>
      </c>
      <c r="B1166" t="s">
        <v>2205</v>
      </c>
    </row>
    <row r="1167" spans="1:2" hidden="1" x14ac:dyDescent="0.3">
      <c r="A1167" s="373">
        <v>17834265</v>
      </c>
      <c r="B1167" t="s">
        <v>2211</v>
      </c>
    </row>
    <row r="1168" spans="1:2" hidden="1" x14ac:dyDescent="0.3">
      <c r="A1168" s="373">
        <v>17834265</v>
      </c>
      <c r="B1168" t="s">
        <v>2211</v>
      </c>
    </row>
    <row r="1169" spans="1:2" hidden="1" x14ac:dyDescent="0.3">
      <c r="A1169" s="373">
        <v>22333444</v>
      </c>
      <c r="B1169" t="s">
        <v>2260</v>
      </c>
    </row>
    <row r="1170" spans="1:2" hidden="1" x14ac:dyDescent="0.3">
      <c r="A1170" s="373">
        <v>22333444</v>
      </c>
      <c r="B1170" t="s">
        <v>2260</v>
      </c>
    </row>
    <row r="1171" spans="1:2" hidden="1" x14ac:dyDescent="0.3">
      <c r="A1171" s="373">
        <v>30693293754</v>
      </c>
      <c r="B1171" t="s">
        <v>2753</v>
      </c>
    </row>
    <row r="1172" spans="1:2" hidden="1" x14ac:dyDescent="0.3">
      <c r="A1172" s="40">
        <v>30701367193</v>
      </c>
      <c r="B1172" t="s">
        <v>2754</v>
      </c>
    </row>
    <row r="1173" spans="1:2" hidden="1" x14ac:dyDescent="0.3">
      <c r="A1173" s="406">
        <v>20078694255</v>
      </c>
      <c r="B1173" t="s">
        <v>2755</v>
      </c>
    </row>
    <row r="1174" spans="1:2" hidden="1" x14ac:dyDescent="0.3">
      <c r="A1174" s="373">
        <v>30717390942</v>
      </c>
      <c r="B1174" t="s">
        <v>2580</v>
      </c>
    </row>
    <row r="1175" spans="1:2" hidden="1" x14ac:dyDescent="0.3">
      <c r="A1175" s="373">
        <v>30707153675</v>
      </c>
      <c r="B1175" t="s">
        <v>2756</v>
      </c>
    </row>
    <row r="1176" spans="1:2" hidden="1" x14ac:dyDescent="0.3">
      <c r="A1176" s="373">
        <v>40423390</v>
      </c>
      <c r="B1176" t="s">
        <v>2314</v>
      </c>
    </row>
    <row r="1177" spans="1:2" hidden="1" x14ac:dyDescent="0.3">
      <c r="A1177" s="373">
        <v>40423390</v>
      </c>
      <c r="B1177" t="s">
        <v>2314</v>
      </c>
    </row>
    <row r="1178" spans="1:2" hidden="1" x14ac:dyDescent="0.3">
      <c r="A1178" s="373">
        <v>23134689</v>
      </c>
      <c r="B1178" t="s">
        <v>2237</v>
      </c>
    </row>
    <row r="1179" spans="1:2" hidden="1" x14ac:dyDescent="0.3">
      <c r="A1179" s="373">
        <v>23134689</v>
      </c>
      <c r="B1179" t="s">
        <v>2237</v>
      </c>
    </row>
    <row r="1180" spans="1:2" hidden="1" x14ac:dyDescent="0.3">
      <c r="A1180" s="373">
        <v>23134689</v>
      </c>
      <c r="B1180" t="s">
        <v>2237</v>
      </c>
    </row>
    <row r="1181" spans="1:2" hidden="1" x14ac:dyDescent="0.3">
      <c r="A1181" s="373">
        <v>23134689</v>
      </c>
      <c r="B1181" t="s">
        <v>2237</v>
      </c>
    </row>
    <row r="1182" spans="1:2" hidden="1" x14ac:dyDescent="0.3">
      <c r="A1182" s="373">
        <v>23134689</v>
      </c>
      <c r="B1182" t="s">
        <v>2237</v>
      </c>
    </row>
    <row r="1183" spans="1:2" hidden="1" x14ac:dyDescent="0.3">
      <c r="A1183" s="373">
        <v>23134689</v>
      </c>
      <c r="B1183" t="s">
        <v>2237</v>
      </c>
    </row>
    <row r="1184" spans="1:2" hidden="1" x14ac:dyDescent="0.3">
      <c r="A1184" s="373">
        <v>20206005042</v>
      </c>
      <c r="B1184" t="s">
        <v>2459</v>
      </c>
    </row>
    <row r="1185" spans="1:2" hidden="1" x14ac:dyDescent="0.3">
      <c r="A1185" s="373">
        <v>20206005042</v>
      </c>
      <c r="B1185" t="s">
        <v>2459</v>
      </c>
    </row>
    <row r="1186" spans="1:2" hidden="1" x14ac:dyDescent="0.3">
      <c r="A1186" s="373">
        <v>32461525</v>
      </c>
      <c r="B1186" t="s">
        <v>2283</v>
      </c>
    </row>
    <row r="1187" spans="1:2" hidden="1" x14ac:dyDescent="0.3">
      <c r="A1187" s="373">
        <v>32461525</v>
      </c>
      <c r="B1187" t="s">
        <v>2283</v>
      </c>
    </row>
    <row r="1188" spans="1:2" hidden="1" x14ac:dyDescent="0.3">
      <c r="A1188" s="373">
        <v>20938867179</v>
      </c>
      <c r="B1188" t="s">
        <v>2758</v>
      </c>
    </row>
    <row r="1189" spans="1:2" hidden="1" x14ac:dyDescent="0.3">
      <c r="A1189" s="40">
        <v>30500876391</v>
      </c>
      <c r="B1189" t="s">
        <v>2759</v>
      </c>
    </row>
    <row r="1190" spans="1:2" hidden="1" x14ac:dyDescent="0.3">
      <c r="A1190" s="373">
        <v>37034742</v>
      </c>
      <c r="B1190" t="s">
        <v>2316</v>
      </c>
    </row>
    <row r="1191" spans="1:2" hidden="1" x14ac:dyDescent="0.3">
      <c r="A1191" s="373">
        <v>37034742</v>
      </c>
      <c r="B1191" t="s">
        <v>2316</v>
      </c>
    </row>
    <row r="1192" spans="1:2" hidden="1" x14ac:dyDescent="0.3">
      <c r="A1192" s="373">
        <v>23782857</v>
      </c>
      <c r="B1192" t="s">
        <v>2242</v>
      </c>
    </row>
    <row r="1193" spans="1:2" hidden="1" x14ac:dyDescent="0.3">
      <c r="A1193" s="373">
        <v>23782857</v>
      </c>
      <c r="B1193" t="s">
        <v>2242</v>
      </c>
    </row>
    <row r="1194" spans="1:2" hidden="1" x14ac:dyDescent="0.3">
      <c r="A1194" s="373">
        <v>5150827</v>
      </c>
      <c r="B1194" t="s">
        <v>2323</v>
      </c>
    </row>
    <row r="1195" spans="1:2" hidden="1" x14ac:dyDescent="0.3">
      <c r="A1195" s="373">
        <v>5150827</v>
      </c>
      <c r="B1195" t="s">
        <v>2323</v>
      </c>
    </row>
    <row r="1196" spans="1:2" hidden="1" x14ac:dyDescent="0.3">
      <c r="A1196" s="373">
        <v>27047880241</v>
      </c>
      <c r="B1196" t="s">
        <v>2507</v>
      </c>
    </row>
    <row r="1197" spans="1:2" hidden="1" x14ac:dyDescent="0.3">
      <c r="A1197" s="373">
        <v>30717072592</v>
      </c>
      <c r="B1197" t="s">
        <v>2521</v>
      </c>
    </row>
    <row r="1198" spans="1:2" hidden="1" x14ac:dyDescent="0.3">
      <c r="A1198" s="373">
        <v>23206465</v>
      </c>
      <c r="B1198" t="s">
        <v>2220</v>
      </c>
    </row>
    <row r="1199" spans="1:2" hidden="1" x14ac:dyDescent="0.3">
      <c r="A1199" s="373">
        <v>23206465</v>
      </c>
      <c r="B1199" t="s">
        <v>2220</v>
      </c>
    </row>
    <row r="1200" spans="1:2" hidden="1" x14ac:dyDescent="0.3">
      <c r="A1200" s="373">
        <v>23206465</v>
      </c>
      <c r="B1200" t="s">
        <v>2220</v>
      </c>
    </row>
    <row r="1201" spans="1:2" hidden="1" x14ac:dyDescent="0.3">
      <c r="A1201" s="373">
        <v>23206465</v>
      </c>
      <c r="B1201" t="s">
        <v>2220</v>
      </c>
    </row>
    <row r="1202" spans="1:2" hidden="1" x14ac:dyDescent="0.3">
      <c r="A1202" s="373">
        <v>12737020</v>
      </c>
      <c r="B1202" t="s">
        <v>2322</v>
      </c>
    </row>
    <row r="1203" spans="1:2" hidden="1" x14ac:dyDescent="0.3">
      <c r="A1203" s="373">
        <v>12737020</v>
      </c>
      <c r="B1203" t="s">
        <v>2322</v>
      </c>
    </row>
    <row r="1204" spans="1:2" hidden="1" x14ac:dyDescent="0.3">
      <c r="A1204" s="373">
        <v>26818017</v>
      </c>
      <c r="B1204" t="s">
        <v>2196</v>
      </c>
    </row>
    <row r="1205" spans="1:2" hidden="1" x14ac:dyDescent="0.3">
      <c r="A1205" s="373">
        <v>26818017</v>
      </c>
      <c r="B1205" t="s">
        <v>2196</v>
      </c>
    </row>
    <row r="1206" spans="1:2" hidden="1" x14ac:dyDescent="0.3">
      <c r="A1206" s="373">
        <v>28573689</v>
      </c>
      <c r="B1206" t="s">
        <v>2294</v>
      </c>
    </row>
    <row r="1207" spans="1:2" hidden="1" x14ac:dyDescent="0.3">
      <c r="A1207" s="373">
        <v>28573689</v>
      </c>
      <c r="B1207" t="s">
        <v>2294</v>
      </c>
    </row>
    <row r="1208" spans="1:2" hidden="1" x14ac:dyDescent="0.3">
      <c r="A1208" s="373">
        <v>31245859</v>
      </c>
      <c r="B1208" t="s">
        <v>2337</v>
      </c>
    </row>
    <row r="1209" spans="1:2" hidden="1" x14ac:dyDescent="0.3">
      <c r="A1209" s="373">
        <v>31245859</v>
      </c>
      <c r="B1209" t="s">
        <v>2337</v>
      </c>
    </row>
    <row r="1210" spans="1:2" hidden="1" x14ac:dyDescent="0.3">
      <c r="A1210" s="373">
        <v>30716138018</v>
      </c>
      <c r="B1210" t="s">
        <v>2587</v>
      </c>
    </row>
    <row r="1211" spans="1:2" hidden="1" x14ac:dyDescent="0.3">
      <c r="A1211" s="373">
        <v>30910546</v>
      </c>
      <c r="B1211" t="s">
        <v>2238</v>
      </c>
    </row>
    <row r="1212" spans="1:2" hidden="1" x14ac:dyDescent="0.3">
      <c r="A1212" s="373">
        <v>30910546</v>
      </c>
      <c r="B1212" t="s">
        <v>2238</v>
      </c>
    </row>
    <row r="1213" spans="1:2" hidden="1" x14ac:dyDescent="0.3">
      <c r="A1213" s="373">
        <v>30708077883</v>
      </c>
      <c r="B1213" t="s">
        <v>2764</v>
      </c>
    </row>
    <row r="1214" spans="1:2" hidden="1" x14ac:dyDescent="0.3">
      <c r="A1214" s="373">
        <v>30707811621</v>
      </c>
      <c r="B1214" t="s">
        <v>2767</v>
      </c>
    </row>
    <row r="1215" spans="1:2" hidden="1" x14ac:dyDescent="0.3">
      <c r="A1215" s="373">
        <v>30710819552</v>
      </c>
      <c r="B1215" t="s">
        <v>2390</v>
      </c>
    </row>
    <row r="1216" spans="1:2" hidden="1" x14ac:dyDescent="0.3">
      <c r="A1216" s="373">
        <v>20940147981</v>
      </c>
      <c r="B1216" t="s">
        <v>2770</v>
      </c>
    </row>
    <row r="1217" spans="1:2" hidden="1" x14ac:dyDescent="0.3">
      <c r="A1217" s="373">
        <v>20137363551</v>
      </c>
      <c r="B1217" t="s">
        <v>2574</v>
      </c>
    </row>
    <row r="1218" spans="1:2" hidden="1" x14ac:dyDescent="0.3">
      <c r="A1218" s="373">
        <v>30709131865</v>
      </c>
      <c r="B1218" t="s">
        <v>2546</v>
      </c>
    </row>
    <row r="1219" spans="1:2" hidden="1" x14ac:dyDescent="0.3">
      <c r="A1219" s="373">
        <v>20350875078</v>
      </c>
      <c r="B1219" t="s">
        <v>2771</v>
      </c>
    </row>
    <row r="1220" spans="1:2" hidden="1" x14ac:dyDescent="0.3">
      <c r="A1220" s="373">
        <v>30708260785</v>
      </c>
      <c r="B1220" t="s">
        <v>2772</v>
      </c>
    </row>
    <row r="1221" spans="1:2" hidden="1" x14ac:dyDescent="0.3">
      <c r="A1221" s="373">
        <v>20120844386</v>
      </c>
      <c r="B1221" t="s">
        <v>2525</v>
      </c>
    </row>
    <row r="1222" spans="1:2" hidden="1" x14ac:dyDescent="0.3">
      <c r="A1222" s="373">
        <v>20022890</v>
      </c>
      <c r="B1222" t="s">
        <v>2258</v>
      </c>
    </row>
    <row r="1223" spans="1:2" hidden="1" x14ac:dyDescent="0.3">
      <c r="A1223" s="373">
        <v>20022890</v>
      </c>
      <c r="B1223" t="s">
        <v>2258</v>
      </c>
    </row>
    <row r="1224" spans="1:2" hidden="1" x14ac:dyDescent="0.3">
      <c r="A1224" s="373">
        <v>3942773277</v>
      </c>
      <c r="B1224" t="s">
        <v>2319</v>
      </c>
    </row>
    <row r="1225" spans="1:2" hidden="1" x14ac:dyDescent="0.3">
      <c r="A1225" s="373">
        <v>3942773277</v>
      </c>
      <c r="B1225" t="s">
        <v>2319</v>
      </c>
    </row>
    <row r="1226" spans="1:2" hidden="1" x14ac:dyDescent="0.3">
      <c r="A1226" s="373">
        <v>27280036698</v>
      </c>
      <c r="B1226" t="s">
        <v>2189</v>
      </c>
    </row>
    <row r="1227" spans="1:2" hidden="1" x14ac:dyDescent="0.3">
      <c r="A1227" s="373">
        <v>27280036698</v>
      </c>
      <c r="B1227" t="s">
        <v>2189</v>
      </c>
    </row>
    <row r="1228" spans="1:2" hidden="1" x14ac:dyDescent="0.3">
      <c r="A1228" s="373">
        <v>36740584</v>
      </c>
      <c r="B1228" t="s">
        <v>2226</v>
      </c>
    </row>
    <row r="1229" spans="1:2" hidden="1" x14ac:dyDescent="0.3">
      <c r="A1229" s="373">
        <v>36740584</v>
      </c>
      <c r="B1229" t="s">
        <v>2226</v>
      </c>
    </row>
    <row r="1230" spans="1:2" hidden="1" x14ac:dyDescent="0.3">
      <c r="A1230" s="373">
        <v>36740584</v>
      </c>
      <c r="B1230" t="s">
        <v>2226</v>
      </c>
    </row>
    <row r="1231" spans="1:2" hidden="1" x14ac:dyDescent="0.3">
      <c r="A1231" s="373">
        <v>36740584</v>
      </c>
      <c r="B1231" t="s">
        <v>2226</v>
      </c>
    </row>
    <row r="1232" spans="1:2" hidden="1" x14ac:dyDescent="0.3">
      <c r="A1232" s="373">
        <v>36740584</v>
      </c>
      <c r="B1232" t="s">
        <v>2226</v>
      </c>
    </row>
    <row r="1233" spans="1:2" hidden="1" x14ac:dyDescent="0.3">
      <c r="A1233" s="373">
        <v>36740584</v>
      </c>
      <c r="B1233" t="s">
        <v>2226</v>
      </c>
    </row>
    <row r="1234" spans="1:2" hidden="1" x14ac:dyDescent="0.3">
      <c r="A1234" s="373">
        <v>36740584</v>
      </c>
      <c r="B1234" t="s">
        <v>2226</v>
      </c>
    </row>
    <row r="1235" spans="1:2" hidden="1" x14ac:dyDescent="0.3">
      <c r="A1235" s="373">
        <v>36740584</v>
      </c>
      <c r="B1235" t="s">
        <v>2226</v>
      </c>
    </row>
    <row r="1236" spans="1:2" hidden="1" x14ac:dyDescent="0.3">
      <c r="A1236" s="373">
        <v>34651132</v>
      </c>
      <c r="B1236" t="s">
        <v>2299</v>
      </c>
    </row>
    <row r="1237" spans="1:2" hidden="1" x14ac:dyDescent="0.3">
      <c r="A1237" s="373">
        <v>34651132</v>
      </c>
      <c r="B1237" t="s">
        <v>2299</v>
      </c>
    </row>
    <row r="1238" spans="1:2" hidden="1" x14ac:dyDescent="0.3">
      <c r="A1238" s="373">
        <v>30712104550</v>
      </c>
      <c r="B1238" t="s">
        <v>2187</v>
      </c>
    </row>
    <row r="1239" spans="1:2" hidden="1" x14ac:dyDescent="0.3">
      <c r="A1239" s="373">
        <v>30712104550</v>
      </c>
      <c r="B1239" t="s">
        <v>2187</v>
      </c>
    </row>
    <row r="1240" spans="1:2" hidden="1" x14ac:dyDescent="0.3">
      <c r="A1240" s="373">
        <v>30712104550</v>
      </c>
      <c r="B1240" t="s">
        <v>2187</v>
      </c>
    </row>
    <row r="1241" spans="1:2" hidden="1" x14ac:dyDescent="0.3">
      <c r="A1241" s="373">
        <v>30712104550</v>
      </c>
      <c r="B1241" t="s">
        <v>2187</v>
      </c>
    </row>
    <row r="1242" spans="1:2" hidden="1" x14ac:dyDescent="0.3">
      <c r="A1242" s="406">
        <v>30708157755</v>
      </c>
      <c r="B1242" t="s">
        <v>2774</v>
      </c>
    </row>
    <row r="1243" spans="1:2" hidden="1" x14ac:dyDescent="0.3">
      <c r="A1243" s="373">
        <v>30544110035</v>
      </c>
      <c r="B1243" t="s">
        <v>2446</v>
      </c>
    </row>
    <row r="1244" spans="1:2" hidden="1" x14ac:dyDescent="0.3">
      <c r="A1244" s="373">
        <v>30544110035</v>
      </c>
      <c r="B1244" t="s">
        <v>2446</v>
      </c>
    </row>
    <row r="1245" spans="1:2" hidden="1" x14ac:dyDescent="0.3">
      <c r="A1245" s="373">
        <v>30712524959</v>
      </c>
      <c r="B1245" t="s">
        <v>2776</v>
      </c>
    </row>
    <row r="1246" spans="1:2" hidden="1" x14ac:dyDescent="0.3">
      <c r="A1246" s="373">
        <v>30504507870</v>
      </c>
      <c r="B1246" t="s">
        <v>2777</v>
      </c>
    </row>
    <row r="1247" spans="1:2" hidden="1" x14ac:dyDescent="0.3">
      <c r="A1247" s="373">
        <v>29199061</v>
      </c>
      <c r="B1247" t="s">
        <v>2292</v>
      </c>
    </row>
    <row r="1248" spans="1:2" hidden="1" x14ac:dyDescent="0.3">
      <c r="A1248" s="373">
        <v>29199061</v>
      </c>
      <c r="B1248" t="s">
        <v>2292</v>
      </c>
    </row>
    <row r="1249" spans="1:2" hidden="1" x14ac:dyDescent="0.3">
      <c r="A1249" s="373">
        <v>29199061</v>
      </c>
      <c r="B1249" t="s">
        <v>2292</v>
      </c>
    </row>
    <row r="1250" spans="1:2" hidden="1" x14ac:dyDescent="0.3">
      <c r="A1250" s="373">
        <v>29199061</v>
      </c>
      <c r="B1250" t="s">
        <v>2292</v>
      </c>
    </row>
    <row r="1251" spans="1:2" hidden="1" x14ac:dyDescent="0.3">
      <c r="A1251" s="373">
        <v>20936447113</v>
      </c>
      <c r="B1251" t="s">
        <v>2579</v>
      </c>
    </row>
    <row r="1252" spans="1:2" hidden="1" x14ac:dyDescent="0.3">
      <c r="A1252" s="373">
        <v>28778142</v>
      </c>
      <c r="B1252" t="s">
        <v>2296</v>
      </c>
    </row>
    <row r="1253" spans="1:2" hidden="1" x14ac:dyDescent="0.3">
      <c r="A1253" s="373">
        <v>28778142</v>
      </c>
      <c r="B1253" t="s">
        <v>2296</v>
      </c>
    </row>
    <row r="1254" spans="1:2" hidden="1" x14ac:dyDescent="0.3">
      <c r="A1254" s="373">
        <v>17710578</v>
      </c>
      <c r="B1254" t="s">
        <v>2285</v>
      </c>
    </row>
    <row r="1255" spans="1:2" hidden="1" x14ac:dyDescent="0.3">
      <c r="A1255" s="373">
        <v>17710578</v>
      </c>
      <c r="B1255" t="s">
        <v>2285</v>
      </c>
    </row>
    <row r="1256" spans="1:2" hidden="1" x14ac:dyDescent="0.3">
      <c r="A1256" s="373">
        <v>17710578</v>
      </c>
      <c r="B1256" t="s">
        <v>2285</v>
      </c>
    </row>
    <row r="1257" spans="1:2" hidden="1" x14ac:dyDescent="0.3">
      <c r="A1257" s="373">
        <v>17710578</v>
      </c>
      <c r="B1257" t="s">
        <v>2285</v>
      </c>
    </row>
    <row r="1258" spans="1:2" hidden="1" x14ac:dyDescent="0.3">
      <c r="A1258" s="373">
        <v>16736509</v>
      </c>
      <c r="B1258" t="s">
        <v>2240</v>
      </c>
    </row>
    <row r="1259" spans="1:2" hidden="1" x14ac:dyDescent="0.3">
      <c r="A1259" s="373">
        <v>16736509</v>
      </c>
      <c r="B1259" t="s">
        <v>2240</v>
      </c>
    </row>
    <row r="1260" spans="1:2" hidden="1" x14ac:dyDescent="0.3">
      <c r="A1260" s="373">
        <v>16736509</v>
      </c>
      <c r="B1260" t="s">
        <v>2240</v>
      </c>
    </row>
    <row r="1261" spans="1:2" hidden="1" x14ac:dyDescent="0.3">
      <c r="A1261" s="373">
        <v>16736509</v>
      </c>
      <c r="B1261" t="s">
        <v>2240</v>
      </c>
    </row>
    <row r="1262" spans="1:2" hidden="1" x14ac:dyDescent="0.3">
      <c r="A1262" s="373">
        <v>16736509</v>
      </c>
      <c r="B1262" t="s">
        <v>2240</v>
      </c>
    </row>
    <row r="1263" spans="1:2" hidden="1" x14ac:dyDescent="0.3">
      <c r="A1263" s="373">
        <v>16736509</v>
      </c>
      <c r="B1263" t="s">
        <v>2240</v>
      </c>
    </row>
    <row r="1264" spans="1:2" hidden="1" x14ac:dyDescent="0.3">
      <c r="A1264" s="373">
        <v>24871779</v>
      </c>
      <c r="B1264" t="s">
        <v>2224</v>
      </c>
    </row>
    <row r="1265" spans="1:2" hidden="1" x14ac:dyDescent="0.3">
      <c r="A1265" s="373">
        <v>24871779</v>
      </c>
      <c r="B1265" t="s">
        <v>2224</v>
      </c>
    </row>
    <row r="1266" spans="1:2" hidden="1" x14ac:dyDescent="0.3">
      <c r="A1266" s="373">
        <v>24871779</v>
      </c>
      <c r="B1266" t="s">
        <v>2224</v>
      </c>
    </row>
    <row r="1267" spans="1:2" hidden="1" x14ac:dyDescent="0.3">
      <c r="A1267" s="373">
        <v>24871779</v>
      </c>
      <c r="B1267" t="s">
        <v>2224</v>
      </c>
    </row>
    <row r="1268" spans="1:2" hidden="1" x14ac:dyDescent="0.3">
      <c r="A1268" s="373">
        <v>20352729451</v>
      </c>
      <c r="B1268" t="s">
        <v>2781</v>
      </c>
    </row>
    <row r="1269" spans="1:2" hidden="1" x14ac:dyDescent="0.3">
      <c r="A1269" s="373">
        <v>27141689296</v>
      </c>
      <c r="B1269" t="s">
        <v>2453</v>
      </c>
    </row>
    <row r="1270" spans="1:2" hidden="1" x14ac:dyDescent="0.3">
      <c r="A1270" s="373">
        <v>27141689296</v>
      </c>
      <c r="B1270" t="s">
        <v>2453</v>
      </c>
    </row>
    <row r="1271" spans="1:2" hidden="1" x14ac:dyDescent="0.3">
      <c r="A1271" s="373">
        <v>95775679</v>
      </c>
      <c r="B1271" t="s">
        <v>2331</v>
      </c>
    </row>
    <row r="1272" spans="1:2" hidden="1" x14ac:dyDescent="0.3">
      <c r="A1272" s="373">
        <v>95775679</v>
      </c>
      <c r="B1272" t="s">
        <v>2331</v>
      </c>
    </row>
    <row r="1273" spans="1:2" hidden="1" x14ac:dyDescent="0.3">
      <c r="A1273" s="373">
        <v>30708624353</v>
      </c>
      <c r="B1273" t="s">
        <v>2783</v>
      </c>
    </row>
    <row r="1274" spans="1:2" hidden="1" x14ac:dyDescent="0.3">
      <c r="A1274" s="373">
        <v>17282007</v>
      </c>
      <c r="B1274" t="s">
        <v>2209</v>
      </c>
    </row>
    <row r="1275" spans="1:2" hidden="1" x14ac:dyDescent="0.3">
      <c r="A1275" s="373">
        <v>17282007</v>
      </c>
      <c r="B1275" t="s">
        <v>2209</v>
      </c>
    </row>
    <row r="1276" spans="1:2" hidden="1" x14ac:dyDescent="0.3">
      <c r="A1276" s="373">
        <v>27247999766</v>
      </c>
      <c r="B1276" t="s">
        <v>2518</v>
      </c>
    </row>
    <row r="1277" spans="1:2" hidden="1" x14ac:dyDescent="0.3">
      <c r="A1277" s="373">
        <v>30704973825</v>
      </c>
      <c r="B1277" t="s">
        <v>2785</v>
      </c>
    </row>
    <row r="1278" spans="1:2" hidden="1" x14ac:dyDescent="0.3">
      <c r="A1278" s="373">
        <v>22489713</v>
      </c>
      <c r="B1278" t="s">
        <v>2218</v>
      </c>
    </row>
    <row r="1279" spans="1:2" hidden="1" x14ac:dyDescent="0.3">
      <c r="A1279" s="373">
        <v>22489713</v>
      </c>
      <c r="B1279" t="s">
        <v>2218</v>
      </c>
    </row>
    <row r="1280" spans="1:2" hidden="1" x14ac:dyDescent="0.3">
      <c r="A1280" s="373">
        <v>22489713</v>
      </c>
      <c r="B1280" t="s">
        <v>2218</v>
      </c>
    </row>
    <row r="1281" spans="1:2" hidden="1" x14ac:dyDescent="0.3">
      <c r="A1281" s="373">
        <v>22489713</v>
      </c>
      <c r="B1281" t="s">
        <v>2218</v>
      </c>
    </row>
    <row r="1282" spans="1:2" hidden="1" x14ac:dyDescent="0.3">
      <c r="A1282" s="373">
        <v>27223495317</v>
      </c>
      <c r="B1282" t="s">
        <v>2504</v>
      </c>
    </row>
    <row r="1283" spans="1:2" hidden="1" x14ac:dyDescent="0.3">
      <c r="A1283" s="373">
        <v>20214540291</v>
      </c>
      <c r="B1283" t="s">
        <v>2513</v>
      </c>
    </row>
    <row r="1284" spans="1:2" hidden="1" x14ac:dyDescent="0.3">
      <c r="A1284" s="373">
        <v>33708495129</v>
      </c>
      <c r="B1284" t="s">
        <v>2405</v>
      </c>
    </row>
    <row r="1285" spans="1:2" hidden="1" x14ac:dyDescent="0.3">
      <c r="A1285" s="373">
        <v>33708495129</v>
      </c>
      <c r="B1285" t="s">
        <v>2405</v>
      </c>
    </row>
    <row r="1286" spans="1:2" hidden="1" x14ac:dyDescent="0.3">
      <c r="A1286" s="373">
        <v>30709539295</v>
      </c>
      <c r="B1286" t="s">
        <v>2523</v>
      </c>
    </row>
    <row r="1287" spans="1:2" hidden="1" x14ac:dyDescent="0.3">
      <c r="A1287" s="373">
        <v>13262270</v>
      </c>
      <c r="B1287" t="s">
        <v>2301</v>
      </c>
    </row>
    <row r="1288" spans="1:2" hidden="1" x14ac:dyDescent="0.3">
      <c r="A1288" s="373">
        <v>13262270</v>
      </c>
      <c r="B1288" t="s">
        <v>2301</v>
      </c>
    </row>
    <row r="1289" spans="1:2" hidden="1" x14ac:dyDescent="0.3">
      <c r="A1289" s="373">
        <v>13262270</v>
      </c>
      <c r="B1289" t="s">
        <v>2301</v>
      </c>
    </row>
    <row r="1290" spans="1:2" hidden="1" x14ac:dyDescent="0.3">
      <c r="A1290" s="373">
        <v>13262270</v>
      </c>
      <c r="B1290" t="s">
        <v>2301</v>
      </c>
    </row>
    <row r="1291" spans="1:2" hidden="1" x14ac:dyDescent="0.3">
      <c r="A1291" s="373">
        <v>20132380741</v>
      </c>
      <c r="B1291" t="s">
        <v>2788</v>
      </c>
    </row>
    <row r="1292" spans="1:2" hidden="1" x14ac:dyDescent="0.3">
      <c r="A1292" s="373">
        <v>30716620162</v>
      </c>
      <c r="B1292" t="s">
        <v>2789</v>
      </c>
    </row>
    <row r="1293" spans="1:2" hidden="1" x14ac:dyDescent="0.3">
      <c r="A1293" s="406">
        <v>30709710881</v>
      </c>
      <c r="B1293" t="s">
        <v>2790</v>
      </c>
    </row>
    <row r="1294" spans="1:2" hidden="1" x14ac:dyDescent="0.3">
      <c r="A1294" s="373">
        <v>20076169579</v>
      </c>
      <c r="B1294" t="s">
        <v>2512</v>
      </c>
    </row>
    <row r="1295" spans="1:2" hidden="1" x14ac:dyDescent="0.3">
      <c r="A1295" s="373">
        <v>27316594676</v>
      </c>
      <c r="B1295" t="s">
        <v>2795</v>
      </c>
    </row>
    <row r="1296" spans="1:2" hidden="1" x14ac:dyDescent="0.3">
      <c r="A1296" s="373">
        <v>17852963</v>
      </c>
      <c r="B1296" t="s">
        <v>2300</v>
      </c>
    </row>
    <row r="1297" spans="1:2" hidden="1" x14ac:dyDescent="0.3">
      <c r="A1297" s="373">
        <v>17852963</v>
      </c>
      <c r="B1297" t="s">
        <v>2300</v>
      </c>
    </row>
    <row r="1298" spans="1:2" hidden="1" x14ac:dyDescent="0.3">
      <c r="A1298" s="373">
        <v>25671318</v>
      </c>
      <c r="B1298" t="s">
        <v>2270</v>
      </c>
    </row>
    <row r="1299" spans="1:2" hidden="1" x14ac:dyDescent="0.3">
      <c r="A1299" s="373">
        <v>25671318</v>
      </c>
      <c r="B1299" t="s">
        <v>2270</v>
      </c>
    </row>
    <row r="1300" spans="1:2" hidden="1" x14ac:dyDescent="0.3">
      <c r="A1300" s="373">
        <v>25671318</v>
      </c>
      <c r="B1300" t="s">
        <v>2270</v>
      </c>
    </row>
    <row r="1301" spans="1:2" hidden="1" x14ac:dyDescent="0.3">
      <c r="A1301" s="373">
        <v>25671318</v>
      </c>
      <c r="B1301" t="s">
        <v>2270</v>
      </c>
    </row>
    <row r="1302" spans="1:2" hidden="1" x14ac:dyDescent="0.3">
      <c r="A1302" s="373">
        <v>25671318</v>
      </c>
      <c r="B1302" t="s">
        <v>2270</v>
      </c>
    </row>
    <row r="1303" spans="1:2" hidden="1" x14ac:dyDescent="0.3">
      <c r="A1303" s="373">
        <v>25671318</v>
      </c>
      <c r="B1303" t="s">
        <v>2270</v>
      </c>
    </row>
    <row r="1304" spans="1:2" hidden="1" x14ac:dyDescent="0.3">
      <c r="A1304" s="373">
        <v>10514389</v>
      </c>
      <c r="B1304" t="s">
        <v>2278</v>
      </c>
    </row>
    <row r="1305" spans="1:2" hidden="1" x14ac:dyDescent="0.3">
      <c r="A1305" s="373">
        <v>10514389</v>
      </c>
      <c r="B1305" t="s">
        <v>2278</v>
      </c>
    </row>
    <row r="1306" spans="1:2" hidden="1" x14ac:dyDescent="0.3">
      <c r="A1306" s="373">
        <v>20283638783</v>
      </c>
      <c r="B1306" t="s">
        <v>2797</v>
      </c>
    </row>
    <row r="1307" spans="1:2" hidden="1" x14ac:dyDescent="0.3">
      <c r="A1307" s="373">
        <v>20206063239</v>
      </c>
      <c r="B1307" t="s">
        <v>2530</v>
      </c>
    </row>
    <row r="1308" spans="1:2" hidden="1" x14ac:dyDescent="0.3">
      <c r="A1308" s="373">
        <v>11001660</v>
      </c>
      <c r="B1308" t="s">
        <v>2222</v>
      </c>
    </row>
    <row r="1309" spans="1:2" hidden="1" x14ac:dyDescent="0.3">
      <c r="A1309" s="373">
        <v>11001660</v>
      </c>
      <c r="B1309" t="s">
        <v>2222</v>
      </c>
    </row>
    <row r="1310" spans="1:2" hidden="1" x14ac:dyDescent="0.3">
      <c r="A1310" s="373">
        <v>11001660</v>
      </c>
      <c r="B1310" t="s">
        <v>2222</v>
      </c>
    </row>
    <row r="1311" spans="1:2" hidden="1" x14ac:dyDescent="0.3">
      <c r="A1311" s="373">
        <v>11001660</v>
      </c>
      <c r="B1311" t="s">
        <v>2222</v>
      </c>
    </row>
    <row r="1312" spans="1:2" hidden="1" x14ac:dyDescent="0.3">
      <c r="A1312" s="373">
        <v>2143749</v>
      </c>
      <c r="B1312" t="s">
        <v>2213</v>
      </c>
    </row>
    <row r="1313" spans="1:2" hidden="1" x14ac:dyDescent="0.3">
      <c r="A1313" s="373">
        <v>2143749</v>
      </c>
      <c r="B1313" t="s">
        <v>2213</v>
      </c>
    </row>
    <row r="1314" spans="1:2" hidden="1" x14ac:dyDescent="0.3">
      <c r="A1314" s="373">
        <v>2143749</v>
      </c>
      <c r="B1314" t="s">
        <v>2213</v>
      </c>
    </row>
    <row r="1315" spans="1:2" hidden="1" x14ac:dyDescent="0.3">
      <c r="A1315" s="373">
        <v>2143749</v>
      </c>
      <c r="B1315" t="s">
        <v>2213</v>
      </c>
    </row>
    <row r="1316" spans="1:2" hidden="1" x14ac:dyDescent="0.3">
      <c r="A1316" s="373">
        <v>2143749</v>
      </c>
      <c r="B1316" t="s">
        <v>2213</v>
      </c>
    </row>
    <row r="1317" spans="1:2" hidden="1" x14ac:dyDescent="0.3">
      <c r="A1317" s="373">
        <v>2143749</v>
      </c>
      <c r="B1317" t="s">
        <v>2213</v>
      </c>
    </row>
    <row r="1318" spans="1:2" hidden="1" x14ac:dyDescent="0.3">
      <c r="A1318" s="373">
        <v>30715303791</v>
      </c>
      <c r="B1318" t="s">
        <v>1124</v>
      </c>
    </row>
    <row r="1319" spans="1:2" hidden="1" x14ac:dyDescent="0.3">
      <c r="A1319" s="373">
        <v>23159787</v>
      </c>
      <c r="B1319" t="s">
        <v>2317</v>
      </c>
    </row>
    <row r="1320" spans="1:2" hidden="1" x14ac:dyDescent="0.3">
      <c r="A1320" s="373">
        <v>23159787</v>
      </c>
      <c r="B1320" t="s">
        <v>2317</v>
      </c>
    </row>
    <row r="1321" spans="1:2" hidden="1" x14ac:dyDescent="0.3">
      <c r="A1321" s="373">
        <v>30638969</v>
      </c>
      <c r="B1321" t="s">
        <v>2327</v>
      </c>
    </row>
    <row r="1322" spans="1:2" hidden="1" x14ac:dyDescent="0.3">
      <c r="A1322" s="373">
        <v>30638969</v>
      </c>
      <c r="B1322" t="s">
        <v>2327</v>
      </c>
    </row>
    <row r="1323" spans="1:2" hidden="1" x14ac:dyDescent="0.3">
      <c r="A1323" s="373">
        <v>30638969</v>
      </c>
      <c r="B1323" t="s">
        <v>2327</v>
      </c>
    </row>
    <row r="1324" spans="1:2" hidden="1" x14ac:dyDescent="0.3">
      <c r="A1324" s="373">
        <v>30638969</v>
      </c>
      <c r="B1324" t="s">
        <v>2327</v>
      </c>
    </row>
    <row r="1325" spans="1:2" hidden="1" x14ac:dyDescent="0.3">
      <c r="A1325" s="40">
        <v>30709804274</v>
      </c>
      <c r="B1325" t="s">
        <v>2798</v>
      </c>
    </row>
    <row r="1326" spans="1:2" hidden="1" x14ac:dyDescent="0.3">
      <c r="A1326" s="373">
        <v>30554704189</v>
      </c>
      <c r="B1326" t="s">
        <v>1127</v>
      </c>
    </row>
    <row r="1327" spans="1:2" hidden="1" x14ac:dyDescent="0.3">
      <c r="A1327" s="373">
        <v>30715734407</v>
      </c>
      <c r="B1327" t="s">
        <v>1128</v>
      </c>
    </row>
    <row r="1328" spans="1:2" hidden="1" x14ac:dyDescent="0.3">
      <c r="A1328" s="373">
        <v>23284527534</v>
      </c>
      <c r="B1328" t="s">
        <v>1129</v>
      </c>
    </row>
    <row r="1329" spans="1:2" hidden="1" x14ac:dyDescent="0.3">
      <c r="A1329" s="373">
        <v>20275934217</v>
      </c>
      <c r="B1329" t="s">
        <v>1130</v>
      </c>
    </row>
    <row r="1330" spans="1:2" hidden="1" x14ac:dyDescent="0.3">
      <c r="A1330" s="373">
        <v>20050719864</v>
      </c>
      <c r="B1330" t="s">
        <v>1131</v>
      </c>
    </row>
    <row r="1331" spans="1:2" hidden="1" x14ac:dyDescent="0.3">
      <c r="A1331" s="373">
        <v>30633217803</v>
      </c>
      <c r="B1331" t="s">
        <v>1132</v>
      </c>
    </row>
    <row r="1332" spans="1:2" hidden="1" x14ac:dyDescent="0.3">
      <c r="A1332" s="373">
        <v>30715688871</v>
      </c>
      <c r="B1332" t="s">
        <v>1133</v>
      </c>
    </row>
    <row r="1333" spans="1:2" hidden="1" x14ac:dyDescent="0.3">
      <c r="A1333" s="373">
        <v>30712776403</v>
      </c>
      <c r="B1333" t="s">
        <v>1134</v>
      </c>
    </row>
    <row r="1334" spans="1:2" hidden="1" x14ac:dyDescent="0.3">
      <c r="A1334" s="373">
        <v>30715642197</v>
      </c>
      <c r="B1334" t="s">
        <v>1136</v>
      </c>
    </row>
    <row r="1335" spans="1:2" hidden="1" x14ac:dyDescent="0.3">
      <c r="A1335" s="373">
        <v>33695089789</v>
      </c>
      <c r="B1335" t="s">
        <v>1138</v>
      </c>
    </row>
    <row r="1336" spans="1:2" hidden="1" x14ac:dyDescent="0.3">
      <c r="A1336" s="373">
        <v>20148857696</v>
      </c>
      <c r="B1336" t="s">
        <v>2496</v>
      </c>
    </row>
    <row r="1337" spans="1:2" hidden="1" x14ac:dyDescent="0.3">
      <c r="A1337" s="373">
        <v>26458741</v>
      </c>
      <c r="B1337" t="s">
        <v>2274</v>
      </c>
    </row>
    <row r="1338" spans="1:2" hidden="1" x14ac:dyDescent="0.3">
      <c r="A1338" s="373">
        <v>26458741</v>
      </c>
      <c r="B1338" t="s">
        <v>2274</v>
      </c>
    </row>
    <row r="1339" spans="1:2" hidden="1" x14ac:dyDescent="0.3">
      <c r="A1339" s="373" t="s">
        <v>2602</v>
      </c>
      <c r="B1339" t="s">
        <v>2620</v>
      </c>
    </row>
    <row r="1340" spans="1:2" hidden="1" x14ac:dyDescent="0.3">
      <c r="A1340" s="406">
        <v>33716633379</v>
      </c>
      <c r="B1340" t="s">
        <v>2799</v>
      </c>
    </row>
    <row r="1341" spans="1:2" hidden="1" x14ac:dyDescent="0.3">
      <c r="A1341" s="373">
        <v>33717503789</v>
      </c>
      <c r="B1341" t="s">
        <v>1139</v>
      </c>
    </row>
    <row r="1342" spans="1:2" hidden="1" x14ac:dyDescent="0.3">
      <c r="A1342" s="373">
        <v>30715745980</v>
      </c>
      <c r="B1342" t="s">
        <v>1140</v>
      </c>
    </row>
    <row r="1343" spans="1:2" hidden="1" x14ac:dyDescent="0.3">
      <c r="A1343" s="373">
        <v>30716389088</v>
      </c>
      <c r="B1343" t="s">
        <v>1142</v>
      </c>
    </row>
    <row r="1344" spans="1:2" hidden="1" x14ac:dyDescent="0.3">
      <c r="A1344" s="373">
        <v>30715775014</v>
      </c>
      <c r="B1344" t="s">
        <v>1144</v>
      </c>
    </row>
    <row r="1345" spans="1:2" hidden="1" x14ac:dyDescent="0.3">
      <c r="A1345" s="373">
        <v>30714905534</v>
      </c>
      <c r="B1345" t="s">
        <v>1145</v>
      </c>
    </row>
    <row r="1346" spans="1:2" hidden="1" x14ac:dyDescent="0.3">
      <c r="A1346" s="373">
        <v>30709227161</v>
      </c>
      <c r="B1346" t="s">
        <v>1146</v>
      </c>
    </row>
    <row r="1347" spans="1:2" hidden="1" x14ac:dyDescent="0.3">
      <c r="A1347" s="373">
        <v>30711809739</v>
      </c>
      <c r="B1347" t="s">
        <v>1147</v>
      </c>
    </row>
    <row r="1348" spans="1:2" hidden="1" x14ac:dyDescent="0.3">
      <c r="A1348" s="373">
        <v>20268494155</v>
      </c>
      <c r="B1348" t="s">
        <v>1148</v>
      </c>
    </row>
    <row r="1349" spans="1:2" hidden="1" x14ac:dyDescent="0.3">
      <c r="A1349" s="373">
        <v>30714466689</v>
      </c>
      <c r="B1349" t="s">
        <v>1149</v>
      </c>
    </row>
    <row r="1350" spans="1:2" hidden="1" x14ac:dyDescent="0.3">
      <c r="A1350" s="373">
        <v>20045519709</v>
      </c>
      <c r="B1350" t="s">
        <v>1150</v>
      </c>
    </row>
    <row r="1351" spans="1:2" hidden="1" x14ac:dyDescent="0.3">
      <c r="A1351" s="373">
        <v>20358014330</v>
      </c>
      <c r="B1351" t="s">
        <v>1151</v>
      </c>
    </row>
    <row r="1352" spans="1:2" hidden="1" x14ac:dyDescent="0.3">
      <c r="A1352" s="373">
        <v>20940658609</v>
      </c>
      <c r="B1352" t="s">
        <v>1152</v>
      </c>
    </row>
    <row r="1353" spans="1:2" hidden="1" x14ac:dyDescent="0.3">
      <c r="A1353" s="373">
        <v>30711894809</v>
      </c>
      <c r="B1353" t="s">
        <v>2800</v>
      </c>
    </row>
    <row r="1354" spans="1:2" hidden="1" x14ac:dyDescent="0.3">
      <c r="A1354" s="373">
        <v>27058716508</v>
      </c>
      <c r="B1354" t="s">
        <v>1157</v>
      </c>
    </row>
    <row r="1355" spans="1:2" hidden="1" x14ac:dyDescent="0.3">
      <c r="A1355" s="373">
        <v>20144078188</v>
      </c>
      <c r="B1355" t="s">
        <v>1158</v>
      </c>
    </row>
    <row r="1356" spans="1:2" hidden="1" x14ac:dyDescent="0.3">
      <c r="A1356" s="373">
        <v>16172630</v>
      </c>
      <c r="B1356" t="s">
        <v>2340</v>
      </c>
    </row>
    <row r="1357" spans="1:2" hidden="1" x14ac:dyDescent="0.3">
      <c r="A1357" s="373">
        <v>16172630</v>
      </c>
      <c r="B1357" t="s">
        <v>2340</v>
      </c>
    </row>
    <row r="1358" spans="1:2" hidden="1" x14ac:dyDescent="0.3">
      <c r="A1358" s="373">
        <v>30708244208</v>
      </c>
      <c r="B1358" t="s">
        <v>1160</v>
      </c>
    </row>
    <row r="1359" spans="1:2" hidden="1" x14ac:dyDescent="0.3">
      <c r="A1359" s="373">
        <v>20161304086</v>
      </c>
      <c r="B1359" t="s">
        <v>1161</v>
      </c>
    </row>
    <row r="1360" spans="1:2" hidden="1" x14ac:dyDescent="0.3">
      <c r="A1360" s="373">
        <v>30570945285</v>
      </c>
      <c r="B1360" t="s">
        <v>1163</v>
      </c>
    </row>
    <row r="1361" spans="1:2" hidden="1" x14ac:dyDescent="0.3">
      <c r="A1361" s="373">
        <v>30714233560</v>
      </c>
      <c r="B1361" t="s">
        <v>1164</v>
      </c>
    </row>
    <row r="1362" spans="1:2" hidden="1" x14ac:dyDescent="0.3">
      <c r="A1362" s="373">
        <v>30693213262</v>
      </c>
      <c r="B1362" t="s">
        <v>2802</v>
      </c>
    </row>
    <row r="1363" spans="1:2" hidden="1" x14ac:dyDescent="0.3">
      <c r="A1363" s="373">
        <v>30593410354</v>
      </c>
      <c r="B1363" t="s">
        <v>1165</v>
      </c>
    </row>
    <row r="1364" spans="1:2" hidden="1" x14ac:dyDescent="0.3">
      <c r="A1364" s="373">
        <v>20245638486</v>
      </c>
      <c r="B1364" t="s">
        <v>1167</v>
      </c>
    </row>
    <row r="1365" spans="1:2" hidden="1" x14ac:dyDescent="0.3">
      <c r="A1365" s="373">
        <v>30708508221</v>
      </c>
      <c r="B1365" t="s">
        <v>1170</v>
      </c>
    </row>
    <row r="1366" spans="1:2" hidden="1" x14ac:dyDescent="0.3">
      <c r="A1366" s="373">
        <v>27171152610</v>
      </c>
      <c r="B1366" t="s">
        <v>1172</v>
      </c>
    </row>
    <row r="1367" spans="1:2" hidden="1" x14ac:dyDescent="0.3">
      <c r="A1367" s="373">
        <v>20255683595</v>
      </c>
      <c r="B1367" t="s">
        <v>1173</v>
      </c>
    </row>
    <row r="1368" spans="1:2" hidden="1" x14ac:dyDescent="0.3">
      <c r="A1368" s="373">
        <v>30539122793</v>
      </c>
      <c r="B1368" t="s">
        <v>1178</v>
      </c>
    </row>
    <row r="1369" spans="1:2" hidden="1" x14ac:dyDescent="0.3">
      <c r="A1369" s="373">
        <v>30691712350</v>
      </c>
      <c r="B1369" t="s">
        <v>1179</v>
      </c>
    </row>
    <row r="1370" spans="1:2" hidden="1" x14ac:dyDescent="0.3">
      <c r="A1370" s="373">
        <v>30655300186</v>
      </c>
      <c r="B1370" t="s">
        <v>1180</v>
      </c>
    </row>
    <row r="1371" spans="1:2" hidden="1" x14ac:dyDescent="0.3">
      <c r="A1371" s="373">
        <v>30686155893</v>
      </c>
      <c r="B1371" t="s">
        <v>1181</v>
      </c>
    </row>
    <row r="1372" spans="1:2" hidden="1" x14ac:dyDescent="0.3">
      <c r="A1372" s="373">
        <v>30686155893</v>
      </c>
      <c r="B1372" t="s">
        <v>1181</v>
      </c>
    </row>
    <row r="1373" spans="1:2" hidden="1" x14ac:dyDescent="0.3">
      <c r="A1373" s="373">
        <v>30686155893</v>
      </c>
      <c r="B1373" t="s">
        <v>1181</v>
      </c>
    </row>
    <row r="1374" spans="1:2" hidden="1" x14ac:dyDescent="0.3">
      <c r="A1374" s="373">
        <v>30710102593</v>
      </c>
      <c r="B1374" t="s">
        <v>1181</v>
      </c>
    </row>
    <row r="1375" spans="1:2" hidden="1" x14ac:dyDescent="0.3">
      <c r="A1375" s="373">
        <v>30711035075</v>
      </c>
      <c r="B1375" t="s">
        <v>1182</v>
      </c>
    </row>
    <row r="1376" spans="1:2" hidden="1" x14ac:dyDescent="0.3">
      <c r="A1376" s="373">
        <v>30716168731</v>
      </c>
      <c r="B1376" t="s">
        <v>1183</v>
      </c>
    </row>
    <row r="1377" spans="1:2" hidden="1" x14ac:dyDescent="0.3">
      <c r="A1377" s="373">
        <v>30714859168</v>
      </c>
      <c r="B1377" t="s">
        <v>1185</v>
      </c>
    </row>
    <row r="1378" spans="1:2" hidden="1" x14ac:dyDescent="0.3">
      <c r="A1378" s="373">
        <v>30697605785</v>
      </c>
      <c r="B1378" t="s">
        <v>1186</v>
      </c>
    </row>
    <row r="1379" spans="1:2" hidden="1" x14ac:dyDescent="0.3">
      <c r="A1379" s="373">
        <v>30709217832</v>
      </c>
      <c r="B1379" t="s">
        <v>1187</v>
      </c>
    </row>
    <row r="1380" spans="1:2" hidden="1" x14ac:dyDescent="0.3">
      <c r="A1380" s="373">
        <v>30709217832</v>
      </c>
      <c r="B1380" t="s">
        <v>1187</v>
      </c>
    </row>
    <row r="1381" spans="1:2" hidden="1" x14ac:dyDescent="0.3">
      <c r="A1381" s="373">
        <v>27174758854</v>
      </c>
      <c r="B1381" t="s">
        <v>1188</v>
      </c>
    </row>
    <row r="1382" spans="1:2" hidden="1" x14ac:dyDescent="0.3">
      <c r="A1382" s="373">
        <v>30711017697</v>
      </c>
      <c r="B1382" t="s">
        <v>1189</v>
      </c>
    </row>
    <row r="1383" spans="1:2" hidden="1" x14ac:dyDescent="0.3">
      <c r="A1383" s="373">
        <v>30716974436</v>
      </c>
      <c r="B1383" t="s">
        <v>1191</v>
      </c>
    </row>
    <row r="1384" spans="1:2" hidden="1" x14ac:dyDescent="0.3">
      <c r="A1384" s="373">
        <v>20114286150</v>
      </c>
      <c r="B1384" t="s">
        <v>1192</v>
      </c>
    </row>
    <row r="1385" spans="1:2" hidden="1" x14ac:dyDescent="0.3">
      <c r="A1385" s="373">
        <v>30710682557</v>
      </c>
      <c r="B1385" t="s">
        <v>1193</v>
      </c>
    </row>
    <row r="1386" spans="1:2" hidden="1" x14ac:dyDescent="0.3">
      <c r="A1386" s="373">
        <v>30715681133</v>
      </c>
      <c r="B1386" t="s">
        <v>1194</v>
      </c>
    </row>
    <row r="1387" spans="1:2" hidden="1" x14ac:dyDescent="0.3">
      <c r="A1387" s="373">
        <v>30715578154</v>
      </c>
      <c r="B1387" t="s">
        <v>1195</v>
      </c>
    </row>
    <row r="1388" spans="1:2" hidden="1" x14ac:dyDescent="0.3">
      <c r="A1388" s="373">
        <v>23298673614</v>
      </c>
      <c r="B1388" t="s">
        <v>1197</v>
      </c>
    </row>
    <row r="1389" spans="1:2" hidden="1" x14ac:dyDescent="0.3">
      <c r="A1389" s="373">
        <v>30667805283</v>
      </c>
      <c r="B1389" t="s">
        <v>1199</v>
      </c>
    </row>
    <row r="1390" spans="1:2" hidden="1" x14ac:dyDescent="0.3">
      <c r="A1390" s="373">
        <v>20248515741</v>
      </c>
      <c r="B1390" t="s">
        <v>1200</v>
      </c>
    </row>
    <row r="1391" spans="1:2" hidden="1" x14ac:dyDescent="0.3">
      <c r="A1391" s="373">
        <v>30711676402</v>
      </c>
      <c r="B1391" t="s">
        <v>1202</v>
      </c>
    </row>
    <row r="1392" spans="1:2" hidden="1" x14ac:dyDescent="0.3">
      <c r="A1392" s="406">
        <v>30716154102</v>
      </c>
      <c r="B1392" t="s">
        <v>2803</v>
      </c>
    </row>
    <row r="1393" spans="1:2" hidden="1" x14ac:dyDescent="0.3">
      <c r="A1393" s="40">
        <v>30716154102</v>
      </c>
      <c r="B1393" s="41" t="s">
        <v>2803</v>
      </c>
    </row>
    <row r="1394" spans="1:2" hidden="1" x14ac:dyDescent="0.3">
      <c r="A1394" s="373">
        <v>30710457162</v>
      </c>
      <c r="B1394" t="s">
        <v>69</v>
      </c>
    </row>
    <row r="1395" spans="1:2" hidden="1" x14ac:dyDescent="0.3">
      <c r="A1395" s="373">
        <v>27161304439</v>
      </c>
      <c r="B1395" t="s">
        <v>1203</v>
      </c>
    </row>
    <row r="1396" spans="1:2" hidden="1" x14ac:dyDescent="0.3">
      <c r="A1396" s="373">
        <v>27236871946</v>
      </c>
      <c r="B1396" t="s">
        <v>1204</v>
      </c>
    </row>
    <row r="1397" spans="1:2" hidden="1" x14ac:dyDescent="0.3">
      <c r="A1397" s="373">
        <v>30711633371</v>
      </c>
      <c r="B1397" t="s">
        <v>1205</v>
      </c>
    </row>
    <row r="1398" spans="1:2" hidden="1" x14ac:dyDescent="0.3">
      <c r="A1398" s="373">
        <v>30716421151</v>
      </c>
      <c r="B1398" t="s">
        <v>2456</v>
      </c>
    </row>
    <row r="1399" spans="1:2" hidden="1" x14ac:dyDescent="0.3">
      <c r="A1399" s="373">
        <v>30716421151</v>
      </c>
      <c r="B1399" t="s">
        <v>2456</v>
      </c>
    </row>
    <row r="1400" spans="1:2" hidden="1" x14ac:dyDescent="0.3">
      <c r="A1400" s="406">
        <v>30648230326</v>
      </c>
      <c r="B1400" t="s">
        <v>2804</v>
      </c>
    </row>
    <row r="1401" spans="1:2" hidden="1" x14ac:dyDescent="0.3">
      <c r="A1401" s="373">
        <v>30709647047</v>
      </c>
      <c r="B1401" t="s">
        <v>1206</v>
      </c>
    </row>
    <row r="1402" spans="1:2" hidden="1" x14ac:dyDescent="0.3">
      <c r="A1402" s="373">
        <v>30697598266</v>
      </c>
      <c r="B1402" t="s">
        <v>1207</v>
      </c>
    </row>
    <row r="1403" spans="1:2" hidden="1" x14ac:dyDescent="0.3">
      <c r="A1403" s="373">
        <v>30712289046</v>
      </c>
      <c r="B1403" t="s">
        <v>2406</v>
      </c>
    </row>
    <row r="1404" spans="1:2" hidden="1" x14ac:dyDescent="0.3">
      <c r="A1404" s="373">
        <v>30712289046</v>
      </c>
      <c r="B1404" t="s">
        <v>2406</v>
      </c>
    </row>
    <row r="1405" spans="1:2" hidden="1" x14ac:dyDescent="0.3">
      <c r="A1405" s="373">
        <v>33500262899</v>
      </c>
      <c r="B1405" t="s">
        <v>1209</v>
      </c>
    </row>
    <row r="1406" spans="1:2" hidden="1" x14ac:dyDescent="0.3">
      <c r="A1406" s="373">
        <v>30662982454</v>
      </c>
      <c r="B1406" t="s">
        <v>1210</v>
      </c>
    </row>
    <row r="1407" spans="1:2" hidden="1" x14ac:dyDescent="0.3">
      <c r="A1407" s="373">
        <v>33711366909</v>
      </c>
      <c r="B1407" t="s">
        <v>1211</v>
      </c>
    </row>
    <row r="1408" spans="1:2" hidden="1" x14ac:dyDescent="0.3">
      <c r="A1408" s="373">
        <v>30710137710</v>
      </c>
      <c r="B1408" t="s">
        <v>1212</v>
      </c>
    </row>
    <row r="1409" spans="1:2" hidden="1" x14ac:dyDescent="0.3">
      <c r="A1409" s="373">
        <v>30687310434</v>
      </c>
      <c r="B1409" t="s">
        <v>2439</v>
      </c>
    </row>
    <row r="1410" spans="1:2" hidden="1" x14ac:dyDescent="0.3">
      <c r="A1410" s="373">
        <v>30687310434</v>
      </c>
      <c r="B1410" t="s">
        <v>2439</v>
      </c>
    </row>
    <row r="1411" spans="1:2" hidden="1" x14ac:dyDescent="0.3">
      <c r="A1411" s="373">
        <v>20264361304</v>
      </c>
      <c r="B1411" t="s">
        <v>1213</v>
      </c>
    </row>
    <row r="1412" spans="1:2" hidden="1" x14ac:dyDescent="0.3">
      <c r="A1412" s="373">
        <v>30715237071</v>
      </c>
      <c r="B1412" t="s">
        <v>1214</v>
      </c>
    </row>
    <row r="1413" spans="1:2" hidden="1" x14ac:dyDescent="0.3">
      <c r="A1413" s="373">
        <v>20104571507</v>
      </c>
      <c r="B1413" t="s">
        <v>1215</v>
      </c>
    </row>
    <row r="1414" spans="1:2" hidden="1" x14ac:dyDescent="0.3">
      <c r="A1414" s="373">
        <v>30656675140</v>
      </c>
      <c r="B1414" t="s">
        <v>1217</v>
      </c>
    </row>
    <row r="1415" spans="1:2" hidden="1" x14ac:dyDescent="0.3">
      <c r="A1415" s="373">
        <v>33715207619</v>
      </c>
      <c r="B1415" t="s">
        <v>1218</v>
      </c>
    </row>
    <row r="1416" spans="1:2" hidden="1" x14ac:dyDescent="0.3">
      <c r="A1416" s="373">
        <v>30627739571</v>
      </c>
      <c r="B1416" t="s">
        <v>1219</v>
      </c>
    </row>
    <row r="1417" spans="1:2" hidden="1" x14ac:dyDescent="0.3">
      <c r="A1417" s="373">
        <v>30657735899</v>
      </c>
      <c r="B1417" t="s">
        <v>1221</v>
      </c>
    </row>
    <row r="1418" spans="1:2" hidden="1" x14ac:dyDescent="0.3">
      <c r="A1418" s="373">
        <v>30598312377</v>
      </c>
      <c r="B1418" t="s">
        <v>1224</v>
      </c>
    </row>
    <row r="1419" spans="1:2" hidden="1" x14ac:dyDescent="0.3">
      <c r="A1419" s="373">
        <v>30715959484</v>
      </c>
      <c r="B1419" t="s">
        <v>1225</v>
      </c>
    </row>
    <row r="1420" spans="1:2" hidden="1" x14ac:dyDescent="0.3">
      <c r="A1420" s="373">
        <v>30715959484</v>
      </c>
      <c r="B1420" t="s">
        <v>1225</v>
      </c>
    </row>
    <row r="1421" spans="1:2" hidden="1" x14ac:dyDescent="0.3">
      <c r="A1421" s="373">
        <v>30618978121</v>
      </c>
      <c r="B1421" t="s">
        <v>1227</v>
      </c>
    </row>
    <row r="1422" spans="1:2" hidden="1" x14ac:dyDescent="0.3">
      <c r="A1422" s="373">
        <v>20125768920</v>
      </c>
      <c r="B1422" t="s">
        <v>1228</v>
      </c>
    </row>
    <row r="1423" spans="1:2" hidden="1" x14ac:dyDescent="0.3">
      <c r="A1423" s="373">
        <v>30712223703</v>
      </c>
      <c r="B1423" t="s">
        <v>1229</v>
      </c>
    </row>
    <row r="1424" spans="1:2" hidden="1" x14ac:dyDescent="0.3">
      <c r="A1424" s="373">
        <v>20259438552</v>
      </c>
      <c r="B1424" t="s">
        <v>2168</v>
      </c>
    </row>
    <row r="1425" spans="1:2" hidden="1" x14ac:dyDescent="0.3">
      <c r="A1425" s="373">
        <v>20259438552</v>
      </c>
      <c r="B1425" t="s">
        <v>2144</v>
      </c>
    </row>
    <row r="1426" spans="1:2" hidden="1" x14ac:dyDescent="0.3">
      <c r="A1426" s="373">
        <v>30618674378</v>
      </c>
      <c r="B1426" t="s">
        <v>1230</v>
      </c>
    </row>
    <row r="1427" spans="1:2" hidden="1" x14ac:dyDescent="0.3">
      <c r="A1427" s="373">
        <v>30619552535</v>
      </c>
      <c r="B1427" t="s">
        <v>1231</v>
      </c>
    </row>
    <row r="1428" spans="1:2" hidden="1" x14ac:dyDescent="0.3">
      <c r="A1428" s="373">
        <v>30712479945</v>
      </c>
      <c r="B1428" t="s">
        <v>1232</v>
      </c>
    </row>
    <row r="1429" spans="1:2" hidden="1" x14ac:dyDescent="0.3">
      <c r="A1429" s="373">
        <v>30573417611</v>
      </c>
      <c r="B1429" t="s">
        <v>1233</v>
      </c>
    </row>
    <row r="1430" spans="1:2" hidden="1" x14ac:dyDescent="0.3">
      <c r="A1430" s="373">
        <v>30711738130</v>
      </c>
      <c r="B1430" t="s">
        <v>1234</v>
      </c>
    </row>
    <row r="1431" spans="1:2" hidden="1" x14ac:dyDescent="0.3">
      <c r="A1431" s="373">
        <v>33711252229</v>
      </c>
      <c r="B1431" t="s">
        <v>1235</v>
      </c>
    </row>
    <row r="1432" spans="1:2" hidden="1" x14ac:dyDescent="0.3">
      <c r="A1432" s="373">
        <v>30525920034</v>
      </c>
      <c r="B1432" t="s">
        <v>1236</v>
      </c>
    </row>
    <row r="1433" spans="1:2" hidden="1" x14ac:dyDescent="0.3">
      <c r="A1433" s="373">
        <v>30610211638</v>
      </c>
      <c r="B1433" t="s">
        <v>1237</v>
      </c>
    </row>
    <row r="1434" spans="1:2" hidden="1" x14ac:dyDescent="0.3">
      <c r="A1434" s="373">
        <v>30585134534</v>
      </c>
      <c r="B1434" t="s">
        <v>1238</v>
      </c>
    </row>
    <row r="1435" spans="1:2" hidden="1" x14ac:dyDescent="0.3">
      <c r="A1435" s="373">
        <v>30707491058</v>
      </c>
      <c r="B1435" t="s">
        <v>1240</v>
      </c>
    </row>
    <row r="1436" spans="1:2" hidden="1" x14ac:dyDescent="0.3">
      <c r="A1436" s="373">
        <v>30715363239</v>
      </c>
      <c r="B1436" t="s">
        <v>1241</v>
      </c>
    </row>
    <row r="1437" spans="1:2" hidden="1" x14ac:dyDescent="0.3">
      <c r="A1437" s="373">
        <v>30697558868</v>
      </c>
      <c r="B1437" t="s">
        <v>1243</v>
      </c>
    </row>
    <row r="1438" spans="1:2" hidden="1" x14ac:dyDescent="0.3">
      <c r="A1438" s="373">
        <v>30699010983</v>
      </c>
      <c r="B1438" t="s">
        <v>1244</v>
      </c>
    </row>
    <row r="1439" spans="1:2" hidden="1" x14ac:dyDescent="0.3">
      <c r="A1439" s="373">
        <v>30595476557</v>
      </c>
      <c r="B1439" t="s">
        <v>1245</v>
      </c>
    </row>
    <row r="1440" spans="1:2" hidden="1" x14ac:dyDescent="0.3">
      <c r="A1440" s="373">
        <v>30711949573</v>
      </c>
      <c r="B1440" t="s">
        <v>1246</v>
      </c>
    </row>
    <row r="1441" spans="1:2" hidden="1" x14ac:dyDescent="0.3">
      <c r="A1441" s="373">
        <v>30710787731</v>
      </c>
      <c r="B1441" t="s">
        <v>1247</v>
      </c>
    </row>
    <row r="1442" spans="1:2" hidden="1" x14ac:dyDescent="0.3">
      <c r="A1442" s="373">
        <v>30635770917</v>
      </c>
      <c r="B1442" t="s">
        <v>1248</v>
      </c>
    </row>
    <row r="1443" spans="1:2" hidden="1" x14ac:dyDescent="0.3">
      <c r="A1443" s="373">
        <v>30681484635</v>
      </c>
      <c r="B1443" t="s">
        <v>2432</v>
      </c>
    </row>
    <row r="1444" spans="1:2" hidden="1" x14ac:dyDescent="0.3">
      <c r="A1444" s="373">
        <v>30681484635</v>
      </c>
      <c r="B1444" t="s">
        <v>2432</v>
      </c>
    </row>
    <row r="1445" spans="1:2" hidden="1" x14ac:dyDescent="0.3">
      <c r="A1445" s="373">
        <v>30708023910</v>
      </c>
      <c r="B1445" t="s">
        <v>2458</v>
      </c>
    </row>
    <row r="1446" spans="1:2" hidden="1" x14ac:dyDescent="0.3">
      <c r="A1446" s="373">
        <v>30708023910</v>
      </c>
      <c r="B1446" t="s">
        <v>2458</v>
      </c>
    </row>
    <row r="1447" spans="1:2" hidden="1" x14ac:dyDescent="0.3">
      <c r="A1447" s="373">
        <v>20118371047</v>
      </c>
      <c r="B1447" t="s">
        <v>1250</v>
      </c>
    </row>
    <row r="1448" spans="1:2" hidden="1" x14ac:dyDescent="0.3">
      <c r="A1448" s="373">
        <v>30715629336</v>
      </c>
      <c r="B1448" t="s">
        <v>2575</v>
      </c>
    </row>
    <row r="1449" spans="1:2" hidden="1" x14ac:dyDescent="0.3">
      <c r="A1449" s="373">
        <v>30716193671</v>
      </c>
      <c r="B1449" t="s">
        <v>1252</v>
      </c>
    </row>
    <row r="1450" spans="1:2" hidden="1" x14ac:dyDescent="0.3">
      <c r="A1450" s="373">
        <v>30712187316</v>
      </c>
      <c r="B1450" t="s">
        <v>1253</v>
      </c>
    </row>
    <row r="1451" spans="1:2" hidden="1" x14ac:dyDescent="0.3">
      <c r="A1451" s="373">
        <v>30547076679</v>
      </c>
      <c r="B1451" t="s">
        <v>1254</v>
      </c>
    </row>
    <row r="1452" spans="1:2" hidden="1" x14ac:dyDescent="0.3">
      <c r="A1452" s="373">
        <v>30517221933</v>
      </c>
      <c r="B1452" t="s">
        <v>1256</v>
      </c>
    </row>
    <row r="1453" spans="1:2" hidden="1" x14ac:dyDescent="0.3">
      <c r="A1453" s="373">
        <v>30714474657</v>
      </c>
      <c r="B1453" t="s">
        <v>1257</v>
      </c>
    </row>
    <row r="1454" spans="1:2" hidden="1" x14ac:dyDescent="0.3">
      <c r="A1454" s="373">
        <v>30714474657</v>
      </c>
      <c r="B1454" t="s">
        <v>1257</v>
      </c>
    </row>
    <row r="1455" spans="1:2" hidden="1" x14ac:dyDescent="0.3">
      <c r="A1455" s="373">
        <v>30711428514</v>
      </c>
      <c r="B1455" t="s">
        <v>2448</v>
      </c>
    </row>
    <row r="1456" spans="1:2" hidden="1" x14ac:dyDescent="0.3">
      <c r="A1456" s="373">
        <v>30711428514</v>
      </c>
      <c r="B1456" t="s">
        <v>2448</v>
      </c>
    </row>
    <row r="1457" spans="1:2" hidden="1" x14ac:dyDescent="0.3">
      <c r="A1457" s="373">
        <v>30636074280</v>
      </c>
      <c r="B1457" t="s">
        <v>1259</v>
      </c>
    </row>
    <row r="1458" spans="1:2" hidden="1" x14ac:dyDescent="0.3">
      <c r="A1458" s="373">
        <v>30714306355</v>
      </c>
      <c r="B1458" t="s">
        <v>1260</v>
      </c>
    </row>
    <row r="1459" spans="1:2" hidden="1" x14ac:dyDescent="0.3">
      <c r="A1459" s="373">
        <v>30715318195</v>
      </c>
      <c r="B1459" t="s">
        <v>1262</v>
      </c>
    </row>
    <row r="1460" spans="1:2" hidden="1" x14ac:dyDescent="0.3">
      <c r="A1460" s="373">
        <v>30715318195</v>
      </c>
      <c r="B1460" t="s">
        <v>1262</v>
      </c>
    </row>
    <row r="1461" spans="1:2" hidden="1" x14ac:dyDescent="0.3">
      <c r="A1461" s="373">
        <v>95697506</v>
      </c>
      <c r="B1461" t="s">
        <v>2333</v>
      </c>
    </row>
    <row r="1462" spans="1:2" hidden="1" x14ac:dyDescent="0.3">
      <c r="A1462" s="373">
        <v>95697506</v>
      </c>
      <c r="B1462" t="s">
        <v>2333</v>
      </c>
    </row>
    <row r="1463" spans="1:2" hidden="1" x14ac:dyDescent="0.3">
      <c r="A1463" s="373">
        <v>24931553247</v>
      </c>
      <c r="B1463" t="s">
        <v>1263</v>
      </c>
    </row>
    <row r="1464" spans="1:2" hidden="1" x14ac:dyDescent="0.3">
      <c r="A1464" s="373">
        <v>30714902152</v>
      </c>
      <c r="B1464" t="s">
        <v>1264</v>
      </c>
    </row>
    <row r="1465" spans="1:2" hidden="1" x14ac:dyDescent="0.3">
      <c r="A1465" s="373">
        <v>20109841286</v>
      </c>
      <c r="B1465" t="s">
        <v>1265</v>
      </c>
    </row>
    <row r="1466" spans="1:2" hidden="1" x14ac:dyDescent="0.3">
      <c r="A1466" s="373">
        <v>20216458940</v>
      </c>
      <c r="B1466" t="s">
        <v>1266</v>
      </c>
    </row>
    <row r="1467" spans="1:2" hidden="1" x14ac:dyDescent="0.3">
      <c r="A1467" s="373">
        <v>20165471491</v>
      </c>
      <c r="B1467" t="s">
        <v>1273</v>
      </c>
    </row>
    <row r="1468" spans="1:2" hidden="1" x14ac:dyDescent="0.3">
      <c r="A1468" s="373">
        <v>30715735713</v>
      </c>
      <c r="B1468" t="s">
        <v>1274</v>
      </c>
    </row>
    <row r="1469" spans="1:2" hidden="1" x14ac:dyDescent="0.3">
      <c r="A1469" s="373">
        <v>30005896</v>
      </c>
      <c r="B1469" t="s">
        <v>2216</v>
      </c>
    </row>
    <row r="1470" spans="1:2" hidden="1" x14ac:dyDescent="0.3">
      <c r="A1470" s="373">
        <v>30005896</v>
      </c>
      <c r="B1470" t="s">
        <v>2216</v>
      </c>
    </row>
    <row r="1471" spans="1:2" hidden="1" x14ac:dyDescent="0.3">
      <c r="A1471" s="373">
        <v>30707172769</v>
      </c>
      <c r="B1471" t="s">
        <v>1275</v>
      </c>
    </row>
    <row r="1472" spans="1:2" hidden="1" x14ac:dyDescent="0.3">
      <c r="A1472" s="373">
        <v>30715884026</v>
      </c>
      <c r="B1472" t="s">
        <v>1276</v>
      </c>
    </row>
    <row r="1473" spans="1:2" hidden="1" x14ac:dyDescent="0.3">
      <c r="A1473" s="373">
        <v>33635997929</v>
      </c>
      <c r="B1473" t="s">
        <v>1277</v>
      </c>
    </row>
    <row r="1474" spans="1:2" hidden="1" x14ac:dyDescent="0.3">
      <c r="A1474" s="373">
        <v>30708540141</v>
      </c>
      <c r="B1474" t="s">
        <v>1278</v>
      </c>
    </row>
    <row r="1475" spans="1:2" hidden="1" x14ac:dyDescent="0.3">
      <c r="A1475" s="373">
        <v>30715482653</v>
      </c>
      <c r="B1475" t="s">
        <v>2811</v>
      </c>
    </row>
    <row r="1476" spans="1:2" hidden="1" x14ac:dyDescent="0.3">
      <c r="A1476" s="373">
        <v>30631965284</v>
      </c>
      <c r="B1476" t="s">
        <v>1281</v>
      </c>
    </row>
    <row r="1477" spans="1:2" hidden="1" x14ac:dyDescent="0.3">
      <c r="A1477" s="373">
        <v>33685799559</v>
      </c>
      <c r="B1477" t="s">
        <v>1282</v>
      </c>
    </row>
    <row r="1478" spans="1:2" hidden="1" x14ac:dyDescent="0.3">
      <c r="A1478" s="373">
        <v>30717334090</v>
      </c>
      <c r="B1478" t="s">
        <v>1284</v>
      </c>
    </row>
    <row r="1479" spans="1:2" hidden="1" x14ac:dyDescent="0.3">
      <c r="A1479" s="373">
        <v>26206162</v>
      </c>
      <c r="B1479" t="s">
        <v>2332</v>
      </c>
    </row>
    <row r="1480" spans="1:2" hidden="1" x14ac:dyDescent="0.3">
      <c r="A1480" s="373">
        <v>26206162</v>
      </c>
      <c r="B1480" t="s">
        <v>2332</v>
      </c>
    </row>
    <row r="1481" spans="1:2" hidden="1" x14ac:dyDescent="0.3">
      <c r="A1481" s="373">
        <v>20223654151</v>
      </c>
      <c r="B1481" t="s">
        <v>1285</v>
      </c>
    </row>
    <row r="1482" spans="1:2" hidden="1" x14ac:dyDescent="0.3">
      <c r="A1482" s="373">
        <v>20085058321</v>
      </c>
      <c r="B1482" t="s">
        <v>1287</v>
      </c>
    </row>
    <row r="1483" spans="1:2" hidden="1" x14ac:dyDescent="0.3">
      <c r="A1483" s="373">
        <v>27266689875</v>
      </c>
      <c r="B1483" t="s">
        <v>2182</v>
      </c>
    </row>
    <row r="1484" spans="1:2" hidden="1" x14ac:dyDescent="0.3">
      <c r="A1484" s="373">
        <v>27266689875</v>
      </c>
      <c r="B1484" t="s">
        <v>2182</v>
      </c>
    </row>
    <row r="1485" spans="1:2" hidden="1" x14ac:dyDescent="0.3">
      <c r="A1485" s="373">
        <v>27266689875</v>
      </c>
      <c r="B1485" t="s">
        <v>2182</v>
      </c>
    </row>
    <row r="1486" spans="1:2" hidden="1" x14ac:dyDescent="0.3">
      <c r="A1486" s="373">
        <v>27266689875</v>
      </c>
      <c r="B1486" t="s">
        <v>2182</v>
      </c>
    </row>
    <row r="1487" spans="1:2" hidden="1" x14ac:dyDescent="0.3">
      <c r="A1487" s="373">
        <v>30707763864</v>
      </c>
      <c r="B1487" t="s">
        <v>1288</v>
      </c>
    </row>
    <row r="1488" spans="1:2" hidden="1" x14ac:dyDescent="0.3">
      <c r="A1488" s="373">
        <v>30711720169</v>
      </c>
      <c r="B1488" t="s">
        <v>2503</v>
      </c>
    </row>
    <row r="1489" spans="1:2" hidden="1" x14ac:dyDescent="0.3">
      <c r="A1489" s="373">
        <v>30702232046</v>
      </c>
      <c r="B1489" t="s">
        <v>1289</v>
      </c>
    </row>
    <row r="1490" spans="1:2" hidden="1" x14ac:dyDescent="0.3">
      <c r="A1490" s="373">
        <v>23220104389</v>
      </c>
      <c r="B1490" t="s">
        <v>1290</v>
      </c>
    </row>
    <row r="1491" spans="1:2" hidden="1" x14ac:dyDescent="0.3">
      <c r="A1491" s="373">
        <v>30714185574</v>
      </c>
      <c r="B1491" t="s">
        <v>1291</v>
      </c>
    </row>
    <row r="1492" spans="1:2" hidden="1" x14ac:dyDescent="0.3">
      <c r="A1492" s="373">
        <v>30715219014</v>
      </c>
      <c r="B1492" t="s">
        <v>2497</v>
      </c>
    </row>
    <row r="1493" spans="1:2" hidden="1" x14ac:dyDescent="0.3">
      <c r="A1493" s="373">
        <v>30715433245</v>
      </c>
      <c r="B1493" t="s">
        <v>1292</v>
      </c>
    </row>
    <row r="1494" spans="1:2" hidden="1" x14ac:dyDescent="0.3">
      <c r="A1494" s="373">
        <v>30707918914</v>
      </c>
      <c r="B1494" t="s">
        <v>1293</v>
      </c>
    </row>
    <row r="1495" spans="1:2" hidden="1" x14ac:dyDescent="0.3">
      <c r="A1495" s="373">
        <v>30716365162</v>
      </c>
      <c r="B1495" t="s">
        <v>1294</v>
      </c>
    </row>
    <row r="1496" spans="1:2" hidden="1" x14ac:dyDescent="0.3">
      <c r="A1496" s="373">
        <v>30711604703</v>
      </c>
      <c r="B1496" t="s">
        <v>2185</v>
      </c>
    </row>
    <row r="1497" spans="1:2" hidden="1" x14ac:dyDescent="0.3">
      <c r="A1497" s="373">
        <v>30711604703</v>
      </c>
      <c r="B1497" t="s">
        <v>2185</v>
      </c>
    </row>
    <row r="1498" spans="1:2" hidden="1" x14ac:dyDescent="0.3">
      <c r="A1498" s="373">
        <v>30686216019</v>
      </c>
      <c r="B1498" t="s">
        <v>1295</v>
      </c>
    </row>
    <row r="1499" spans="1:2" hidden="1" x14ac:dyDescent="0.3">
      <c r="A1499" s="373">
        <v>20188295526</v>
      </c>
      <c r="B1499" t="s">
        <v>2509</v>
      </c>
    </row>
    <row r="1500" spans="1:2" hidden="1" x14ac:dyDescent="0.3">
      <c r="A1500" s="373">
        <v>20161920291</v>
      </c>
      <c r="B1500" t="s">
        <v>1296</v>
      </c>
    </row>
    <row r="1501" spans="1:2" hidden="1" x14ac:dyDescent="0.3">
      <c r="A1501" s="373">
        <v>20082440314</v>
      </c>
      <c r="B1501" t="s">
        <v>1297</v>
      </c>
    </row>
    <row r="1502" spans="1:2" hidden="1" x14ac:dyDescent="0.3">
      <c r="A1502" s="373">
        <v>27181038727</v>
      </c>
      <c r="B1502" t="s">
        <v>1298</v>
      </c>
    </row>
    <row r="1503" spans="1:2" hidden="1" x14ac:dyDescent="0.3">
      <c r="A1503" s="373">
        <v>30688476360</v>
      </c>
      <c r="B1503" t="s">
        <v>1299</v>
      </c>
    </row>
    <row r="1504" spans="1:2" hidden="1" x14ac:dyDescent="0.3">
      <c r="A1504" s="373">
        <v>30709664227</v>
      </c>
      <c r="B1504" t="s">
        <v>1300</v>
      </c>
    </row>
    <row r="1505" spans="1:2" hidden="1" x14ac:dyDescent="0.3">
      <c r="A1505" s="373">
        <v>20925719677</v>
      </c>
      <c r="B1505" t="s">
        <v>1301</v>
      </c>
    </row>
    <row r="1506" spans="1:2" hidden="1" x14ac:dyDescent="0.3">
      <c r="A1506" s="373">
        <v>30710859465</v>
      </c>
      <c r="B1506" t="s">
        <v>1302</v>
      </c>
    </row>
    <row r="1507" spans="1:2" hidden="1" x14ac:dyDescent="0.3">
      <c r="A1507" s="373">
        <v>30707538437</v>
      </c>
      <c r="B1507" t="s">
        <v>1303</v>
      </c>
    </row>
    <row r="1508" spans="1:2" hidden="1" x14ac:dyDescent="0.3">
      <c r="A1508" s="373">
        <v>30715094319</v>
      </c>
      <c r="B1508" t="s">
        <v>2812</v>
      </c>
    </row>
    <row r="1509" spans="1:2" hidden="1" x14ac:dyDescent="0.3">
      <c r="A1509" s="373">
        <v>30714481343</v>
      </c>
      <c r="B1509" t="s">
        <v>1305</v>
      </c>
    </row>
    <row r="1510" spans="1:2" hidden="1" x14ac:dyDescent="0.3">
      <c r="A1510" s="373">
        <v>33654138589</v>
      </c>
      <c r="B1510" t="s">
        <v>1306</v>
      </c>
    </row>
    <row r="1511" spans="1:2" hidden="1" x14ac:dyDescent="0.3">
      <c r="A1511" s="373">
        <v>30645614735</v>
      </c>
      <c r="B1511" t="s">
        <v>1307</v>
      </c>
    </row>
    <row r="1512" spans="1:2" hidden="1" x14ac:dyDescent="0.3">
      <c r="A1512" s="373">
        <v>30709459399</v>
      </c>
      <c r="B1512" t="s">
        <v>1308</v>
      </c>
    </row>
    <row r="1513" spans="1:2" hidden="1" x14ac:dyDescent="0.3">
      <c r="A1513" s="373">
        <v>30682653406</v>
      </c>
      <c r="B1513" t="s">
        <v>1309</v>
      </c>
    </row>
    <row r="1514" spans="1:2" hidden="1" x14ac:dyDescent="0.3">
      <c r="A1514" s="373">
        <v>30707439579</v>
      </c>
      <c r="B1514" t="s">
        <v>1310</v>
      </c>
    </row>
    <row r="1515" spans="1:2" hidden="1" x14ac:dyDescent="0.3">
      <c r="A1515" s="373">
        <v>30500051163</v>
      </c>
      <c r="B1515" t="s">
        <v>1311</v>
      </c>
    </row>
    <row r="1516" spans="1:2" hidden="1" x14ac:dyDescent="0.3">
      <c r="A1516" s="373">
        <v>30715305093</v>
      </c>
      <c r="B1516" t="s">
        <v>1312</v>
      </c>
    </row>
    <row r="1517" spans="1:2" hidden="1" x14ac:dyDescent="0.3">
      <c r="A1517" s="407">
        <v>30663213748</v>
      </c>
      <c r="B1517" t="s">
        <v>1313</v>
      </c>
    </row>
    <row r="1518" spans="1:2" hidden="1" x14ac:dyDescent="0.3">
      <c r="A1518" s="373">
        <v>30663213748</v>
      </c>
      <c r="B1518" t="s">
        <v>1314</v>
      </c>
    </row>
    <row r="1519" spans="1:2" hidden="1" x14ac:dyDescent="0.3">
      <c r="A1519" s="373">
        <v>30663213748</v>
      </c>
      <c r="B1519" t="s">
        <v>1314</v>
      </c>
    </row>
    <row r="1520" spans="1:2" hidden="1" x14ac:dyDescent="0.3">
      <c r="A1520" s="373">
        <v>30663213748</v>
      </c>
      <c r="B1520" t="s">
        <v>1314</v>
      </c>
    </row>
    <row r="1521" spans="1:2" hidden="1" x14ac:dyDescent="0.3">
      <c r="A1521" s="373">
        <v>30714893056</v>
      </c>
      <c r="B1521" t="s">
        <v>2586</v>
      </c>
    </row>
    <row r="1522" spans="1:2" hidden="1" x14ac:dyDescent="0.3">
      <c r="A1522" s="373">
        <v>30714871729</v>
      </c>
      <c r="B1522" t="s">
        <v>1315</v>
      </c>
    </row>
    <row r="1523" spans="1:2" hidden="1" x14ac:dyDescent="0.3">
      <c r="A1523" s="373">
        <v>30697583048</v>
      </c>
      <c r="B1523" t="s">
        <v>1316</v>
      </c>
    </row>
    <row r="1524" spans="1:2" hidden="1" x14ac:dyDescent="0.3">
      <c r="A1524" s="373">
        <v>30697583048</v>
      </c>
      <c r="B1524" t="s">
        <v>1316</v>
      </c>
    </row>
    <row r="1525" spans="1:2" hidden="1" x14ac:dyDescent="0.3">
      <c r="A1525" s="373">
        <v>30697583048</v>
      </c>
      <c r="B1525" t="s">
        <v>1316</v>
      </c>
    </row>
    <row r="1526" spans="1:2" hidden="1" x14ac:dyDescent="0.3">
      <c r="A1526" s="373">
        <v>30711005966</v>
      </c>
      <c r="B1526" t="s">
        <v>2414</v>
      </c>
    </row>
    <row r="1527" spans="1:2" hidden="1" x14ac:dyDescent="0.3">
      <c r="A1527" s="373">
        <v>30711005966</v>
      </c>
      <c r="B1527" t="s">
        <v>2414</v>
      </c>
    </row>
    <row r="1528" spans="1:2" hidden="1" x14ac:dyDescent="0.3">
      <c r="A1528" s="373">
        <v>30606475558</v>
      </c>
      <c r="B1528" t="s">
        <v>1317</v>
      </c>
    </row>
    <row r="1529" spans="1:2" hidden="1" x14ac:dyDescent="0.3">
      <c r="A1529" s="373">
        <v>33717012319</v>
      </c>
      <c r="B1529" t="s">
        <v>1318</v>
      </c>
    </row>
    <row r="1530" spans="1:2" hidden="1" x14ac:dyDescent="0.3">
      <c r="A1530" s="373">
        <v>23225375364</v>
      </c>
      <c r="B1530" t="s">
        <v>1319</v>
      </c>
    </row>
    <row r="1531" spans="1:2" hidden="1" x14ac:dyDescent="0.3">
      <c r="A1531" s="373">
        <v>30585254297</v>
      </c>
      <c r="B1531" t="s">
        <v>1320</v>
      </c>
    </row>
    <row r="1532" spans="1:2" hidden="1" x14ac:dyDescent="0.3">
      <c r="A1532" s="373">
        <v>23062664444</v>
      </c>
      <c r="B1532" t="s">
        <v>1321</v>
      </c>
    </row>
    <row r="1533" spans="1:2" hidden="1" x14ac:dyDescent="0.3">
      <c r="A1533" s="373">
        <v>30714212628</v>
      </c>
      <c r="B1533" t="s">
        <v>1322</v>
      </c>
    </row>
    <row r="1534" spans="1:2" hidden="1" x14ac:dyDescent="0.3">
      <c r="A1534" s="373">
        <v>30714212628</v>
      </c>
      <c r="B1534" t="s">
        <v>1322</v>
      </c>
    </row>
    <row r="1535" spans="1:2" hidden="1" x14ac:dyDescent="0.3">
      <c r="A1535" s="40">
        <v>20115371755</v>
      </c>
      <c r="B1535" t="s">
        <v>2813</v>
      </c>
    </row>
    <row r="1536" spans="1:2" hidden="1" x14ac:dyDescent="0.3">
      <c r="A1536" s="373">
        <v>33708818319</v>
      </c>
      <c r="B1536" t="s">
        <v>1323</v>
      </c>
    </row>
    <row r="1537" spans="1:2" hidden="1" x14ac:dyDescent="0.3">
      <c r="A1537" s="373">
        <v>20183150740</v>
      </c>
      <c r="B1537" t="s">
        <v>1324</v>
      </c>
    </row>
    <row r="1538" spans="1:2" hidden="1" x14ac:dyDescent="0.3">
      <c r="A1538" s="373">
        <v>20043924312</v>
      </c>
      <c r="B1538" t="s">
        <v>1325</v>
      </c>
    </row>
    <row r="1539" spans="1:2" hidden="1" x14ac:dyDescent="0.3">
      <c r="A1539" s="373">
        <v>20304751569</v>
      </c>
      <c r="B1539" t="s">
        <v>1326</v>
      </c>
    </row>
    <row r="1540" spans="1:2" hidden="1" x14ac:dyDescent="0.3">
      <c r="A1540" s="373">
        <v>20121778042</v>
      </c>
      <c r="B1540" t="s">
        <v>1327</v>
      </c>
    </row>
    <row r="1541" spans="1:2" hidden="1" x14ac:dyDescent="0.3">
      <c r="A1541" s="373">
        <v>30691251191</v>
      </c>
      <c r="B1541" t="s">
        <v>1328</v>
      </c>
    </row>
    <row r="1542" spans="1:2" hidden="1" x14ac:dyDescent="0.3">
      <c r="A1542" s="373">
        <v>27249631413</v>
      </c>
      <c r="B1542" t="s">
        <v>1329</v>
      </c>
    </row>
    <row r="1543" spans="1:2" hidden="1" x14ac:dyDescent="0.3">
      <c r="A1543" s="373">
        <v>30676666253</v>
      </c>
      <c r="B1543" t="s">
        <v>1330</v>
      </c>
    </row>
    <row r="1544" spans="1:2" hidden="1" x14ac:dyDescent="0.3">
      <c r="A1544" s="373">
        <v>30708378425</v>
      </c>
      <c r="B1544" t="s">
        <v>1331</v>
      </c>
    </row>
    <row r="1545" spans="1:2" hidden="1" x14ac:dyDescent="0.3">
      <c r="A1545" s="373">
        <v>30679107220</v>
      </c>
      <c r="B1545" t="s">
        <v>1332</v>
      </c>
    </row>
    <row r="1546" spans="1:2" hidden="1" x14ac:dyDescent="0.3">
      <c r="A1546" s="373">
        <v>30714389064</v>
      </c>
      <c r="B1546" t="s">
        <v>2814</v>
      </c>
    </row>
    <row r="1547" spans="1:2" hidden="1" x14ac:dyDescent="0.3">
      <c r="A1547" s="373">
        <v>30716150042</v>
      </c>
      <c r="B1547" t="s">
        <v>1333</v>
      </c>
    </row>
    <row r="1548" spans="1:2" hidden="1" x14ac:dyDescent="0.3">
      <c r="A1548" s="373">
        <v>20307580862</v>
      </c>
      <c r="B1548" t="s">
        <v>2527</v>
      </c>
    </row>
    <row r="1549" spans="1:2" hidden="1" x14ac:dyDescent="0.3">
      <c r="A1549" s="373">
        <v>20043978366</v>
      </c>
      <c r="B1549" t="s">
        <v>1335</v>
      </c>
    </row>
    <row r="1550" spans="1:2" hidden="1" x14ac:dyDescent="0.3">
      <c r="A1550" s="406">
        <v>33707954839</v>
      </c>
      <c r="B1550" t="s">
        <v>2816</v>
      </c>
    </row>
    <row r="1551" spans="1:2" hidden="1" x14ac:dyDescent="0.3">
      <c r="A1551" s="373">
        <v>30653022774</v>
      </c>
      <c r="B1551" t="s">
        <v>1338</v>
      </c>
    </row>
    <row r="1552" spans="1:2" hidden="1" x14ac:dyDescent="0.3">
      <c r="A1552" s="373">
        <v>3079881767</v>
      </c>
      <c r="B1552" t="s">
        <v>1339</v>
      </c>
    </row>
    <row r="1553" spans="1:2" hidden="1" x14ac:dyDescent="0.3">
      <c r="A1553" s="373">
        <v>30715668862</v>
      </c>
      <c r="B1553" t="s">
        <v>1340</v>
      </c>
    </row>
    <row r="1554" spans="1:2" hidden="1" x14ac:dyDescent="0.3">
      <c r="A1554" s="373">
        <v>26410585</v>
      </c>
      <c r="B1554" t="s">
        <v>2269</v>
      </c>
    </row>
    <row r="1555" spans="1:2" hidden="1" x14ac:dyDescent="0.3">
      <c r="A1555" s="373">
        <v>26410585</v>
      </c>
      <c r="B1555" t="s">
        <v>2269</v>
      </c>
    </row>
    <row r="1556" spans="1:2" hidden="1" x14ac:dyDescent="0.3">
      <c r="A1556" s="373">
        <v>30627539629</v>
      </c>
      <c r="B1556" t="s">
        <v>2817</v>
      </c>
    </row>
    <row r="1557" spans="1:2" hidden="1" x14ac:dyDescent="0.3">
      <c r="A1557" s="373">
        <v>30712255249</v>
      </c>
      <c r="B1557" t="s">
        <v>1341</v>
      </c>
    </row>
    <row r="1558" spans="1:2" hidden="1" x14ac:dyDescent="0.3">
      <c r="A1558" s="373">
        <v>30678617926</v>
      </c>
      <c r="B1558" t="s">
        <v>1342</v>
      </c>
    </row>
    <row r="1559" spans="1:2" hidden="1" x14ac:dyDescent="0.3">
      <c r="A1559" s="373">
        <v>27946127588</v>
      </c>
      <c r="B1559" t="s">
        <v>1343</v>
      </c>
    </row>
    <row r="1560" spans="1:2" hidden="1" x14ac:dyDescent="0.3">
      <c r="A1560" s="373">
        <v>20945139855</v>
      </c>
      <c r="B1560" t="s">
        <v>1345</v>
      </c>
    </row>
    <row r="1561" spans="1:2" hidden="1" x14ac:dyDescent="0.3">
      <c r="A1561" s="373">
        <v>20277189071</v>
      </c>
      <c r="B1561" t="s">
        <v>1347</v>
      </c>
    </row>
    <row r="1562" spans="1:2" hidden="1" x14ac:dyDescent="0.3">
      <c r="A1562" s="373">
        <v>23223377734</v>
      </c>
      <c r="B1562" t="s">
        <v>1348</v>
      </c>
    </row>
    <row r="1563" spans="1:2" hidden="1" x14ac:dyDescent="0.3">
      <c r="A1563" s="373">
        <v>30661041486</v>
      </c>
      <c r="B1563" t="s">
        <v>1349</v>
      </c>
    </row>
    <row r="1564" spans="1:2" hidden="1" x14ac:dyDescent="0.3">
      <c r="A1564" s="373">
        <v>20145266522</v>
      </c>
      <c r="B1564" t="s">
        <v>1350</v>
      </c>
    </row>
    <row r="1565" spans="1:2" hidden="1" x14ac:dyDescent="0.3">
      <c r="A1565" s="373">
        <v>27933367237</v>
      </c>
      <c r="B1565" t="s">
        <v>1351</v>
      </c>
    </row>
    <row r="1566" spans="1:2" hidden="1" x14ac:dyDescent="0.3">
      <c r="A1566" s="373">
        <v>30612929455</v>
      </c>
      <c r="B1566" t="s">
        <v>2433</v>
      </c>
    </row>
    <row r="1567" spans="1:2" hidden="1" x14ac:dyDescent="0.3">
      <c r="A1567" s="373">
        <v>30612929455</v>
      </c>
      <c r="B1567" t="s">
        <v>2433</v>
      </c>
    </row>
    <row r="1568" spans="1:2" hidden="1" x14ac:dyDescent="0.3">
      <c r="A1568" s="373">
        <v>30710295529</v>
      </c>
      <c r="B1568" t="s">
        <v>1352</v>
      </c>
    </row>
    <row r="1569" spans="1:2" hidden="1" x14ac:dyDescent="0.3">
      <c r="A1569" s="373">
        <v>20402302462</v>
      </c>
      <c r="B1569" t="s">
        <v>1357</v>
      </c>
    </row>
    <row r="1570" spans="1:2" hidden="1" x14ac:dyDescent="0.3">
      <c r="A1570" s="373">
        <v>27129657710</v>
      </c>
      <c r="B1570" t="s">
        <v>1359</v>
      </c>
    </row>
    <row r="1571" spans="1:2" hidden="1" x14ac:dyDescent="0.3">
      <c r="A1571" s="373">
        <v>30715028480</v>
      </c>
      <c r="B1571" t="s">
        <v>1360</v>
      </c>
    </row>
    <row r="1572" spans="1:2" hidden="1" x14ac:dyDescent="0.3">
      <c r="A1572" s="373">
        <v>30716473682</v>
      </c>
      <c r="B1572" t="s">
        <v>1361</v>
      </c>
    </row>
    <row r="1573" spans="1:2" hidden="1" x14ac:dyDescent="0.3">
      <c r="A1573" s="373">
        <v>30708326794</v>
      </c>
      <c r="B1573" t="s">
        <v>1362</v>
      </c>
    </row>
    <row r="1574" spans="1:2" hidden="1" x14ac:dyDescent="0.3">
      <c r="A1574" s="373">
        <v>20124975035</v>
      </c>
      <c r="B1574" t="s">
        <v>1363</v>
      </c>
    </row>
    <row r="1575" spans="1:2" hidden="1" x14ac:dyDescent="0.3">
      <c r="A1575" s="373">
        <v>30708035633</v>
      </c>
      <c r="B1575" t="s">
        <v>1364</v>
      </c>
    </row>
    <row r="1576" spans="1:2" hidden="1" x14ac:dyDescent="0.3">
      <c r="A1576" s="373">
        <v>27061737230</v>
      </c>
      <c r="B1576" t="s">
        <v>2528</v>
      </c>
    </row>
    <row r="1577" spans="1:2" hidden="1" x14ac:dyDescent="0.3">
      <c r="A1577" s="373">
        <v>30711515727</v>
      </c>
      <c r="B1577" t="s">
        <v>1365</v>
      </c>
    </row>
    <row r="1578" spans="1:2" hidden="1" x14ac:dyDescent="0.3">
      <c r="A1578" s="373">
        <v>30714647594</v>
      </c>
      <c r="B1578" t="s">
        <v>1366</v>
      </c>
    </row>
    <row r="1579" spans="1:2" hidden="1" x14ac:dyDescent="0.3">
      <c r="A1579" s="373">
        <v>30687280438</v>
      </c>
      <c r="B1579" t="s">
        <v>1367</v>
      </c>
    </row>
    <row r="1580" spans="1:2" hidden="1" x14ac:dyDescent="0.3">
      <c r="A1580" s="373">
        <v>30687280438</v>
      </c>
      <c r="B1580" t="s">
        <v>1368</v>
      </c>
    </row>
    <row r="1581" spans="1:2" hidden="1" x14ac:dyDescent="0.3">
      <c r="A1581" s="373">
        <v>30708168366</v>
      </c>
      <c r="B1581" t="s">
        <v>1369</v>
      </c>
    </row>
    <row r="1582" spans="1:2" hidden="1" x14ac:dyDescent="0.3">
      <c r="A1582" s="373">
        <v>30618850133</v>
      </c>
      <c r="B1582" t="s">
        <v>1370</v>
      </c>
    </row>
    <row r="1583" spans="1:2" hidden="1" x14ac:dyDescent="0.3">
      <c r="A1583" s="373">
        <v>23113845554</v>
      </c>
      <c r="B1583" t="s">
        <v>1371</v>
      </c>
    </row>
    <row r="1584" spans="1:2" hidden="1" x14ac:dyDescent="0.3">
      <c r="A1584" s="373">
        <v>30710265425</v>
      </c>
      <c r="B1584" t="s">
        <v>1372</v>
      </c>
    </row>
    <row r="1585" spans="1:2" hidden="1" x14ac:dyDescent="0.3">
      <c r="A1585" s="373">
        <v>30547188760</v>
      </c>
      <c r="B1585" t="s">
        <v>1373</v>
      </c>
    </row>
    <row r="1586" spans="1:2" hidden="1" x14ac:dyDescent="0.3">
      <c r="A1586" s="373">
        <v>20266711671</v>
      </c>
      <c r="B1586" t="s">
        <v>1375</v>
      </c>
    </row>
    <row r="1587" spans="1:2" hidden="1" x14ac:dyDescent="0.3">
      <c r="A1587" s="373">
        <v>27048813181</v>
      </c>
      <c r="B1587" t="s">
        <v>1376</v>
      </c>
    </row>
    <row r="1588" spans="1:2" hidden="1" x14ac:dyDescent="0.3">
      <c r="A1588" s="373">
        <v>20162408888</v>
      </c>
      <c r="B1588" t="s">
        <v>1378</v>
      </c>
    </row>
    <row r="1589" spans="1:2" hidden="1" x14ac:dyDescent="0.3">
      <c r="A1589" s="373">
        <v>23277121859</v>
      </c>
      <c r="B1589" t="s">
        <v>2434</v>
      </c>
    </row>
    <row r="1590" spans="1:2" hidden="1" x14ac:dyDescent="0.3">
      <c r="A1590" s="373">
        <v>23277121859</v>
      </c>
      <c r="B1590" t="s">
        <v>2434</v>
      </c>
    </row>
    <row r="1591" spans="1:2" hidden="1" x14ac:dyDescent="0.3">
      <c r="A1591" s="373">
        <v>20256826470</v>
      </c>
      <c r="B1591" t="s">
        <v>1380</v>
      </c>
    </row>
    <row r="1592" spans="1:2" hidden="1" x14ac:dyDescent="0.3">
      <c r="A1592" s="373">
        <v>35186493</v>
      </c>
      <c r="B1592" t="s">
        <v>2198</v>
      </c>
    </row>
    <row r="1593" spans="1:2" hidden="1" x14ac:dyDescent="0.3">
      <c r="A1593" s="373">
        <v>35186493</v>
      </c>
      <c r="B1593" t="s">
        <v>2198</v>
      </c>
    </row>
    <row r="1594" spans="1:2" hidden="1" x14ac:dyDescent="0.3">
      <c r="A1594" s="373">
        <v>37596714</v>
      </c>
      <c r="B1594" t="s">
        <v>2308</v>
      </c>
    </row>
    <row r="1595" spans="1:2" hidden="1" x14ac:dyDescent="0.3">
      <c r="A1595" s="373">
        <v>37596714</v>
      </c>
      <c r="B1595" t="s">
        <v>2308</v>
      </c>
    </row>
    <row r="1596" spans="1:2" hidden="1" x14ac:dyDescent="0.3">
      <c r="A1596" s="373">
        <v>37937689</v>
      </c>
      <c r="B1596" t="s">
        <v>2271</v>
      </c>
    </row>
    <row r="1597" spans="1:2" hidden="1" x14ac:dyDescent="0.3">
      <c r="A1597" s="373">
        <v>37937689</v>
      </c>
      <c r="B1597" t="s">
        <v>2271</v>
      </c>
    </row>
    <row r="1598" spans="1:2" hidden="1" x14ac:dyDescent="0.3">
      <c r="A1598" s="373">
        <v>37937689</v>
      </c>
      <c r="B1598" t="s">
        <v>2271</v>
      </c>
    </row>
    <row r="1599" spans="1:2" hidden="1" x14ac:dyDescent="0.3">
      <c r="A1599" s="373">
        <v>37937689</v>
      </c>
      <c r="B1599" t="s">
        <v>2271</v>
      </c>
    </row>
    <row r="1600" spans="1:2" hidden="1" x14ac:dyDescent="0.3">
      <c r="A1600" s="373">
        <v>111</v>
      </c>
      <c r="B1600" t="s">
        <v>2288</v>
      </c>
    </row>
    <row r="1601" spans="1:2" hidden="1" x14ac:dyDescent="0.3">
      <c r="A1601" s="373">
        <v>111</v>
      </c>
      <c r="B1601" t="s">
        <v>2288</v>
      </c>
    </row>
    <row r="1602" spans="1:2" hidden="1" x14ac:dyDescent="0.3">
      <c r="A1602" s="373">
        <v>30596572711</v>
      </c>
      <c r="B1602" t="s">
        <v>1381</v>
      </c>
    </row>
    <row r="1603" spans="1:2" hidden="1" x14ac:dyDescent="0.3">
      <c r="A1603" s="373">
        <v>27258239577</v>
      </c>
      <c r="B1603" t="s">
        <v>2183</v>
      </c>
    </row>
    <row r="1604" spans="1:2" hidden="1" x14ac:dyDescent="0.3">
      <c r="A1604" s="373">
        <v>27258239577</v>
      </c>
      <c r="B1604" t="s">
        <v>2183</v>
      </c>
    </row>
    <row r="1605" spans="1:2" hidden="1" x14ac:dyDescent="0.3">
      <c r="A1605" s="373">
        <v>27321118084</v>
      </c>
      <c r="B1605" t="s">
        <v>2510</v>
      </c>
    </row>
    <row r="1606" spans="1:2" hidden="1" x14ac:dyDescent="0.3">
      <c r="A1606" s="373">
        <v>30716008440</v>
      </c>
      <c r="B1606" t="s">
        <v>1382</v>
      </c>
    </row>
    <row r="1607" spans="1:2" hidden="1" x14ac:dyDescent="0.3">
      <c r="A1607" s="373">
        <v>20137542855</v>
      </c>
      <c r="B1607" t="s">
        <v>1383</v>
      </c>
    </row>
    <row r="1608" spans="1:2" hidden="1" x14ac:dyDescent="0.3">
      <c r="A1608" s="373">
        <v>33879446</v>
      </c>
      <c r="B1608" t="s">
        <v>2315</v>
      </c>
    </row>
    <row r="1609" spans="1:2" hidden="1" x14ac:dyDescent="0.3">
      <c r="A1609" s="373">
        <v>33879446</v>
      </c>
      <c r="B1609" t="s">
        <v>2315</v>
      </c>
    </row>
    <row r="1610" spans="1:2" hidden="1" x14ac:dyDescent="0.3">
      <c r="A1610" s="373">
        <v>30714725358</v>
      </c>
      <c r="B1610" t="s">
        <v>1384</v>
      </c>
    </row>
    <row r="1611" spans="1:2" hidden="1" x14ac:dyDescent="0.3">
      <c r="A1611" s="373">
        <v>30715952773</v>
      </c>
      <c r="B1611" t="s">
        <v>1385</v>
      </c>
    </row>
    <row r="1612" spans="1:2" hidden="1" x14ac:dyDescent="0.3">
      <c r="A1612" s="373">
        <v>30711022461</v>
      </c>
      <c r="B1612" t="s">
        <v>1386</v>
      </c>
    </row>
    <row r="1613" spans="1:2" hidden="1" x14ac:dyDescent="0.3">
      <c r="A1613" s="373">
        <v>20604520348</v>
      </c>
      <c r="B1613" t="s">
        <v>1387</v>
      </c>
    </row>
    <row r="1614" spans="1:2" hidden="1" x14ac:dyDescent="0.3">
      <c r="A1614" s="373">
        <v>30694562392</v>
      </c>
      <c r="B1614" t="s">
        <v>1388</v>
      </c>
    </row>
    <row r="1615" spans="1:2" hidden="1" x14ac:dyDescent="0.3">
      <c r="A1615" s="373">
        <v>23126017189</v>
      </c>
      <c r="B1615" t="s">
        <v>1390</v>
      </c>
    </row>
    <row r="1616" spans="1:2" hidden="1" x14ac:dyDescent="0.3">
      <c r="A1616" s="373">
        <v>30707523839</v>
      </c>
      <c r="B1616" t="s">
        <v>1391</v>
      </c>
    </row>
    <row r="1617" spans="1:2" hidden="1" x14ac:dyDescent="0.3">
      <c r="A1617" s="373">
        <v>27139133523</v>
      </c>
      <c r="B1617" t="s">
        <v>1392</v>
      </c>
    </row>
    <row r="1618" spans="1:2" hidden="1" x14ac:dyDescent="0.3">
      <c r="A1618" s="373">
        <v>23084885029</v>
      </c>
      <c r="B1618" t="s">
        <v>1393</v>
      </c>
    </row>
    <row r="1619" spans="1:2" hidden="1" x14ac:dyDescent="0.3">
      <c r="A1619" s="373">
        <v>30690082019</v>
      </c>
      <c r="B1619" t="s">
        <v>1394</v>
      </c>
    </row>
    <row r="1620" spans="1:2" hidden="1" x14ac:dyDescent="0.3">
      <c r="A1620" s="373">
        <v>33710560299</v>
      </c>
      <c r="B1620" t="s">
        <v>1395</v>
      </c>
    </row>
    <row r="1621" spans="1:2" hidden="1" x14ac:dyDescent="0.3">
      <c r="A1621" s="373">
        <v>30714597066</v>
      </c>
      <c r="B1621" t="s">
        <v>1398</v>
      </c>
    </row>
    <row r="1622" spans="1:2" hidden="1" x14ac:dyDescent="0.3">
      <c r="A1622" s="373">
        <v>30700902532</v>
      </c>
      <c r="B1622" t="s">
        <v>1399</v>
      </c>
    </row>
    <row r="1623" spans="1:2" hidden="1" x14ac:dyDescent="0.3">
      <c r="A1623" s="373">
        <v>30715685457</v>
      </c>
      <c r="B1623" t="s">
        <v>1400</v>
      </c>
    </row>
    <row r="1624" spans="1:2" hidden="1" x14ac:dyDescent="0.3">
      <c r="A1624" s="373">
        <v>30713134704</v>
      </c>
      <c r="B1624" t="s">
        <v>1402</v>
      </c>
    </row>
    <row r="1625" spans="1:2" hidden="1" x14ac:dyDescent="0.3">
      <c r="A1625" s="373">
        <v>30714155225</v>
      </c>
      <c r="B1625" t="s">
        <v>1404</v>
      </c>
    </row>
    <row r="1626" spans="1:2" hidden="1" x14ac:dyDescent="0.3">
      <c r="A1626" s="373">
        <v>30714155225</v>
      </c>
      <c r="B1626" t="s">
        <v>1404</v>
      </c>
    </row>
    <row r="1627" spans="1:2" hidden="1" x14ac:dyDescent="0.3">
      <c r="A1627" s="373">
        <v>20222545383</v>
      </c>
      <c r="B1627" t="s">
        <v>1405</v>
      </c>
    </row>
    <row r="1628" spans="1:2" hidden="1" x14ac:dyDescent="0.3">
      <c r="A1628" s="373">
        <v>20251522899</v>
      </c>
      <c r="B1628" t="s">
        <v>2423</v>
      </c>
    </row>
    <row r="1629" spans="1:2" hidden="1" x14ac:dyDescent="0.3">
      <c r="A1629" s="373">
        <v>20251522899</v>
      </c>
      <c r="B1629" t="s">
        <v>2423</v>
      </c>
    </row>
    <row r="1630" spans="1:2" hidden="1" x14ac:dyDescent="0.3">
      <c r="A1630" s="373">
        <v>20120338529</v>
      </c>
      <c r="B1630" t="s">
        <v>1406</v>
      </c>
    </row>
    <row r="1631" spans="1:2" hidden="1" x14ac:dyDescent="0.3">
      <c r="A1631" s="373">
        <v>20251542229</v>
      </c>
      <c r="B1631" t="s">
        <v>1407</v>
      </c>
    </row>
    <row r="1632" spans="1:2" hidden="1" x14ac:dyDescent="0.3">
      <c r="A1632" s="373">
        <v>30715418130</v>
      </c>
      <c r="B1632" t="s">
        <v>1408</v>
      </c>
    </row>
    <row r="1633" spans="1:2" hidden="1" x14ac:dyDescent="0.3">
      <c r="A1633" s="373">
        <v>44824322</v>
      </c>
      <c r="B1633" t="s">
        <v>2344</v>
      </c>
    </row>
    <row r="1634" spans="1:2" hidden="1" x14ac:dyDescent="0.3">
      <c r="A1634" s="373">
        <v>44824322</v>
      </c>
      <c r="B1634" t="s">
        <v>2344</v>
      </c>
    </row>
    <row r="1635" spans="1:2" hidden="1" x14ac:dyDescent="0.3">
      <c r="A1635" s="373">
        <v>30716829649</v>
      </c>
      <c r="B1635" t="s">
        <v>1409</v>
      </c>
    </row>
    <row r="1636" spans="1:2" hidden="1" x14ac:dyDescent="0.3">
      <c r="A1636" s="373">
        <v>30707880224</v>
      </c>
      <c r="B1636" t="s">
        <v>2821</v>
      </c>
    </row>
    <row r="1637" spans="1:2" hidden="1" x14ac:dyDescent="0.3">
      <c r="A1637" s="373">
        <v>33710682599</v>
      </c>
      <c r="B1637" t="s">
        <v>1410</v>
      </c>
    </row>
    <row r="1638" spans="1:2" hidden="1" x14ac:dyDescent="0.3">
      <c r="A1638" s="373">
        <v>30716288346</v>
      </c>
      <c r="B1638" t="s">
        <v>1412</v>
      </c>
    </row>
    <row r="1639" spans="1:2" hidden="1" x14ac:dyDescent="0.3">
      <c r="A1639" s="373">
        <v>20172008241</v>
      </c>
      <c r="B1639" t="s">
        <v>1415</v>
      </c>
    </row>
    <row r="1640" spans="1:2" hidden="1" x14ac:dyDescent="0.3">
      <c r="A1640" s="373">
        <v>20044258898</v>
      </c>
      <c r="B1640" t="s">
        <v>1416</v>
      </c>
    </row>
    <row r="1641" spans="1:2" hidden="1" x14ac:dyDescent="0.3">
      <c r="A1641" s="373">
        <v>20229538366</v>
      </c>
      <c r="B1641" t="s">
        <v>2822</v>
      </c>
    </row>
    <row r="1642" spans="1:2" hidden="1" x14ac:dyDescent="0.3">
      <c r="A1642" s="373">
        <v>23265885594</v>
      </c>
      <c r="B1642" t="s">
        <v>2464</v>
      </c>
    </row>
    <row r="1643" spans="1:2" hidden="1" x14ac:dyDescent="0.3">
      <c r="A1643" s="373">
        <v>23265885594</v>
      </c>
      <c r="B1643" t="s">
        <v>2464</v>
      </c>
    </row>
    <row r="1644" spans="1:2" hidden="1" x14ac:dyDescent="0.3">
      <c r="A1644" s="373">
        <v>27328481788</v>
      </c>
      <c r="B1644" t="s">
        <v>1418</v>
      </c>
    </row>
    <row r="1645" spans="1:2" hidden="1" x14ac:dyDescent="0.3">
      <c r="A1645" s="373">
        <v>27228778937</v>
      </c>
      <c r="B1645" t="s">
        <v>1419</v>
      </c>
    </row>
    <row r="1646" spans="1:2" hidden="1" x14ac:dyDescent="0.3">
      <c r="A1646" s="373">
        <v>20295036460</v>
      </c>
      <c r="B1646" t="s">
        <v>1420</v>
      </c>
    </row>
    <row r="1647" spans="1:2" hidden="1" x14ac:dyDescent="0.3">
      <c r="A1647" s="373">
        <v>20160152533</v>
      </c>
      <c r="B1647" t="s">
        <v>2823</v>
      </c>
    </row>
    <row r="1648" spans="1:2" hidden="1" x14ac:dyDescent="0.3">
      <c r="A1648" s="373">
        <v>27277172874</v>
      </c>
      <c r="B1648" t="s">
        <v>2500</v>
      </c>
    </row>
    <row r="1649" spans="1:2" hidden="1" x14ac:dyDescent="0.3">
      <c r="A1649" s="373">
        <v>20202134700</v>
      </c>
      <c r="B1649" t="s">
        <v>1421</v>
      </c>
    </row>
    <row r="1650" spans="1:2" hidden="1" x14ac:dyDescent="0.3">
      <c r="A1650" s="373">
        <v>20125492763</v>
      </c>
      <c r="B1650" t="s">
        <v>1423</v>
      </c>
    </row>
    <row r="1651" spans="1:2" hidden="1" x14ac:dyDescent="0.3">
      <c r="A1651" s="373">
        <v>30707963065</v>
      </c>
      <c r="B1651" t="s">
        <v>1424</v>
      </c>
    </row>
    <row r="1652" spans="1:2" hidden="1" x14ac:dyDescent="0.3">
      <c r="A1652" s="373">
        <v>30715009826</v>
      </c>
      <c r="B1652" t="s">
        <v>1425</v>
      </c>
    </row>
    <row r="1653" spans="1:2" hidden="1" x14ac:dyDescent="0.3">
      <c r="A1653" s="373">
        <v>38268441</v>
      </c>
      <c r="B1653" t="s">
        <v>2262</v>
      </c>
    </row>
    <row r="1654" spans="1:2" hidden="1" x14ac:dyDescent="0.3">
      <c r="A1654" s="373">
        <v>38268441</v>
      </c>
      <c r="B1654" t="s">
        <v>2262</v>
      </c>
    </row>
    <row r="1655" spans="1:2" hidden="1" x14ac:dyDescent="0.3">
      <c r="A1655" s="373">
        <v>38268441</v>
      </c>
      <c r="B1655" t="s">
        <v>2262</v>
      </c>
    </row>
    <row r="1656" spans="1:2" hidden="1" x14ac:dyDescent="0.3">
      <c r="A1656" s="373">
        <v>38268441</v>
      </c>
      <c r="B1656" t="s">
        <v>2262</v>
      </c>
    </row>
    <row r="1657" spans="1:2" hidden="1" x14ac:dyDescent="0.3">
      <c r="A1657" s="373">
        <v>38268441</v>
      </c>
      <c r="B1657" t="s">
        <v>2262</v>
      </c>
    </row>
    <row r="1658" spans="1:2" hidden="1" x14ac:dyDescent="0.3">
      <c r="A1658" s="373">
        <v>38268441</v>
      </c>
      <c r="B1658" t="s">
        <v>2262</v>
      </c>
    </row>
    <row r="1659" spans="1:2" hidden="1" x14ac:dyDescent="0.3">
      <c r="A1659" s="373">
        <v>30568557464</v>
      </c>
      <c r="B1659" t="s">
        <v>1427</v>
      </c>
    </row>
    <row r="1660" spans="1:2" hidden="1" x14ac:dyDescent="0.3">
      <c r="A1660" s="373">
        <v>29561228</v>
      </c>
      <c r="B1660" t="s">
        <v>2312</v>
      </c>
    </row>
    <row r="1661" spans="1:2" hidden="1" x14ac:dyDescent="0.3">
      <c r="A1661" s="373">
        <v>29561228</v>
      </c>
      <c r="B1661" t="s">
        <v>2312</v>
      </c>
    </row>
    <row r="1662" spans="1:2" hidden="1" x14ac:dyDescent="0.3">
      <c r="A1662" s="373">
        <v>20227648474</v>
      </c>
      <c r="B1662" t="s">
        <v>2572</v>
      </c>
    </row>
    <row r="1663" spans="1:2" hidden="1" x14ac:dyDescent="0.3">
      <c r="A1663" s="373">
        <v>20217508992</v>
      </c>
      <c r="B1663" t="s">
        <v>1428</v>
      </c>
    </row>
    <row r="1664" spans="1:2" hidden="1" x14ac:dyDescent="0.3">
      <c r="A1664" s="373">
        <v>40233550</v>
      </c>
      <c r="B1664" t="s">
        <v>2244</v>
      </c>
    </row>
    <row r="1665" spans="1:2" hidden="1" x14ac:dyDescent="0.3">
      <c r="A1665" s="373">
        <v>40233550</v>
      </c>
      <c r="B1665" t="s">
        <v>2244</v>
      </c>
    </row>
    <row r="1666" spans="1:2" hidden="1" x14ac:dyDescent="0.3">
      <c r="A1666" s="373">
        <v>40233550</v>
      </c>
      <c r="B1666" t="s">
        <v>2244</v>
      </c>
    </row>
    <row r="1667" spans="1:2" hidden="1" x14ac:dyDescent="0.3">
      <c r="A1667" s="373">
        <v>40233550</v>
      </c>
      <c r="B1667" t="s">
        <v>2244</v>
      </c>
    </row>
    <row r="1668" spans="1:2" hidden="1" x14ac:dyDescent="0.3">
      <c r="A1668" s="373">
        <v>26195323</v>
      </c>
      <c r="B1668" t="s">
        <v>2320</v>
      </c>
    </row>
    <row r="1669" spans="1:2" hidden="1" x14ac:dyDescent="0.3">
      <c r="A1669" s="373">
        <v>26195323</v>
      </c>
      <c r="B1669" t="s">
        <v>2320</v>
      </c>
    </row>
    <row r="1670" spans="1:2" hidden="1" x14ac:dyDescent="0.3">
      <c r="A1670" s="373">
        <v>111</v>
      </c>
      <c r="B1670" t="s">
        <v>2293</v>
      </c>
    </row>
    <row r="1671" spans="1:2" hidden="1" x14ac:dyDescent="0.3">
      <c r="A1671" s="373">
        <v>111</v>
      </c>
      <c r="B1671" t="s">
        <v>2293</v>
      </c>
    </row>
    <row r="1672" spans="1:2" hidden="1" x14ac:dyDescent="0.3">
      <c r="A1672" s="373">
        <v>20206464519</v>
      </c>
      <c r="B1672" t="s">
        <v>1430</v>
      </c>
    </row>
    <row r="1673" spans="1:2" hidden="1" x14ac:dyDescent="0.3">
      <c r="A1673" s="373">
        <v>30714625892</v>
      </c>
      <c r="B1673" t="s">
        <v>1431</v>
      </c>
    </row>
    <row r="1674" spans="1:2" hidden="1" x14ac:dyDescent="0.3">
      <c r="A1674" s="373">
        <v>20361558228</v>
      </c>
      <c r="B1674" t="s">
        <v>1433</v>
      </c>
    </row>
    <row r="1675" spans="1:2" hidden="1" x14ac:dyDescent="0.3">
      <c r="A1675" s="373">
        <v>30710377223</v>
      </c>
      <c r="B1675" t="s">
        <v>1434</v>
      </c>
    </row>
    <row r="1676" spans="1:2" hidden="1" x14ac:dyDescent="0.3">
      <c r="A1676" s="373">
        <v>30708669306</v>
      </c>
      <c r="B1676" t="s">
        <v>2548</v>
      </c>
    </row>
    <row r="1677" spans="1:2" hidden="1" x14ac:dyDescent="0.3">
      <c r="A1677" s="373">
        <v>30617095463</v>
      </c>
      <c r="B1677" t="s">
        <v>1436</v>
      </c>
    </row>
    <row r="1678" spans="1:2" hidden="1" x14ac:dyDescent="0.3">
      <c r="A1678" s="373">
        <v>20256122333</v>
      </c>
      <c r="B1678" t="s">
        <v>1437</v>
      </c>
    </row>
    <row r="1679" spans="1:2" hidden="1" x14ac:dyDescent="0.3">
      <c r="A1679" s="373">
        <v>30709982326</v>
      </c>
      <c r="B1679" t="s">
        <v>1438</v>
      </c>
    </row>
    <row r="1680" spans="1:2" hidden="1" x14ac:dyDescent="0.3">
      <c r="A1680" s="373">
        <v>30710051247</v>
      </c>
      <c r="B1680" t="s">
        <v>1442</v>
      </c>
    </row>
    <row r="1681" spans="1:2" hidden="1" x14ac:dyDescent="0.3">
      <c r="A1681" s="373">
        <v>30708655410</v>
      </c>
      <c r="B1681" t="s">
        <v>1445</v>
      </c>
    </row>
    <row r="1682" spans="1:2" hidden="1" x14ac:dyDescent="0.3">
      <c r="A1682" s="373">
        <v>30715705946</v>
      </c>
      <c r="B1682" t="s">
        <v>2526</v>
      </c>
    </row>
    <row r="1683" spans="1:2" hidden="1" x14ac:dyDescent="0.3">
      <c r="A1683" s="373">
        <v>30546771314</v>
      </c>
      <c r="B1683" t="s">
        <v>1446</v>
      </c>
    </row>
    <row r="1684" spans="1:2" hidden="1" x14ac:dyDescent="0.3">
      <c r="A1684" s="373">
        <v>20103955395</v>
      </c>
      <c r="B1684" t="s">
        <v>1447</v>
      </c>
    </row>
    <row r="1685" spans="1:2" hidden="1" x14ac:dyDescent="0.3">
      <c r="A1685" s="373">
        <v>20229907523</v>
      </c>
      <c r="B1685" t="s">
        <v>1448</v>
      </c>
    </row>
    <row r="1686" spans="1:2" hidden="1" x14ac:dyDescent="0.3">
      <c r="A1686" s="373">
        <v>30714352535</v>
      </c>
      <c r="B1686" t="s">
        <v>1449</v>
      </c>
    </row>
    <row r="1687" spans="1:2" hidden="1" x14ac:dyDescent="0.3">
      <c r="A1687" s="373">
        <v>30602422174</v>
      </c>
      <c r="B1687" t="s">
        <v>1450</v>
      </c>
    </row>
    <row r="1688" spans="1:2" hidden="1" x14ac:dyDescent="0.3">
      <c r="A1688" s="373">
        <v>30709319929</v>
      </c>
      <c r="B1688" t="s">
        <v>72</v>
      </c>
    </row>
    <row r="1689" spans="1:2" hidden="1" x14ac:dyDescent="0.3">
      <c r="A1689" s="373">
        <v>30709282588</v>
      </c>
      <c r="B1689" t="s">
        <v>1452</v>
      </c>
    </row>
    <row r="1690" spans="1:2" hidden="1" x14ac:dyDescent="0.3">
      <c r="A1690" s="373">
        <v>20132857432</v>
      </c>
      <c r="B1690" t="s">
        <v>2577</v>
      </c>
    </row>
    <row r="1691" spans="1:2" hidden="1" x14ac:dyDescent="0.3">
      <c r="A1691" s="373">
        <v>30712800700</v>
      </c>
      <c r="B1691" t="s">
        <v>1453</v>
      </c>
    </row>
    <row r="1692" spans="1:2" hidden="1" x14ac:dyDescent="0.3">
      <c r="A1692" s="373">
        <v>20044415195</v>
      </c>
      <c r="B1692" t="s">
        <v>1454</v>
      </c>
    </row>
    <row r="1693" spans="1:2" hidden="1" x14ac:dyDescent="0.3">
      <c r="A1693" s="373">
        <v>23126008929</v>
      </c>
      <c r="B1693" t="s">
        <v>1457</v>
      </c>
    </row>
    <row r="1694" spans="1:2" hidden="1" x14ac:dyDescent="0.3">
      <c r="A1694" s="373">
        <v>27119872311</v>
      </c>
      <c r="B1694" t="s">
        <v>1458</v>
      </c>
    </row>
    <row r="1695" spans="1:2" hidden="1" x14ac:dyDescent="0.3">
      <c r="A1695" s="373">
        <v>27144787019</v>
      </c>
      <c r="B1695" t="s">
        <v>1459</v>
      </c>
    </row>
    <row r="1696" spans="1:2" hidden="1" x14ac:dyDescent="0.3">
      <c r="A1696" s="373">
        <v>32290050</v>
      </c>
      <c r="B1696" t="s">
        <v>2338</v>
      </c>
    </row>
    <row r="1697" spans="1:2" hidden="1" x14ac:dyDescent="0.3">
      <c r="A1697" s="373">
        <v>32290050</v>
      </c>
      <c r="B1697" t="s">
        <v>2338</v>
      </c>
    </row>
    <row r="1698" spans="1:2" hidden="1" x14ac:dyDescent="0.3">
      <c r="A1698" s="373">
        <v>32290050</v>
      </c>
      <c r="B1698" t="s">
        <v>2338</v>
      </c>
    </row>
    <row r="1699" spans="1:2" hidden="1" x14ac:dyDescent="0.3">
      <c r="A1699" s="373">
        <v>32290050</v>
      </c>
      <c r="B1699" t="s">
        <v>2338</v>
      </c>
    </row>
    <row r="1700" spans="1:2" hidden="1" x14ac:dyDescent="0.3">
      <c r="A1700" s="373">
        <v>26558560</v>
      </c>
      <c r="B1700" t="s">
        <v>2259</v>
      </c>
    </row>
    <row r="1701" spans="1:2" hidden="1" x14ac:dyDescent="0.3">
      <c r="A1701" s="373">
        <v>26558560</v>
      </c>
      <c r="B1701" t="s">
        <v>2259</v>
      </c>
    </row>
    <row r="1702" spans="1:2" hidden="1" x14ac:dyDescent="0.3">
      <c r="A1702" s="373">
        <v>16826280</v>
      </c>
      <c r="B1702" t="s">
        <v>2254</v>
      </c>
    </row>
    <row r="1703" spans="1:2" hidden="1" x14ac:dyDescent="0.3">
      <c r="A1703" s="373">
        <v>16826280</v>
      </c>
      <c r="B1703" t="s">
        <v>2254</v>
      </c>
    </row>
    <row r="1704" spans="1:2" hidden="1" x14ac:dyDescent="0.3">
      <c r="A1704" s="373">
        <v>20117741398</v>
      </c>
      <c r="B1704" t="s">
        <v>1460</v>
      </c>
    </row>
    <row r="1705" spans="1:2" hidden="1" x14ac:dyDescent="0.3">
      <c r="A1705" s="373">
        <v>30707661492</v>
      </c>
      <c r="B1705" t="s">
        <v>1461</v>
      </c>
    </row>
    <row r="1706" spans="1:2" hidden="1" x14ac:dyDescent="0.3">
      <c r="A1706" s="373">
        <v>30715944738</v>
      </c>
      <c r="B1706" t="s">
        <v>1463</v>
      </c>
    </row>
    <row r="1707" spans="1:2" hidden="1" x14ac:dyDescent="0.3">
      <c r="A1707" s="373">
        <v>20930929981</v>
      </c>
      <c r="B1707" t="s">
        <v>1464</v>
      </c>
    </row>
    <row r="1708" spans="1:2" hidden="1" x14ac:dyDescent="0.3">
      <c r="A1708" s="373">
        <v>20261582520</v>
      </c>
      <c r="B1708" t="s">
        <v>1466</v>
      </c>
    </row>
    <row r="1709" spans="1:2" hidden="1" x14ac:dyDescent="0.3">
      <c r="A1709" s="373">
        <v>30520045798</v>
      </c>
      <c r="B1709" t="s">
        <v>1468</v>
      </c>
    </row>
    <row r="1710" spans="1:2" hidden="1" x14ac:dyDescent="0.3">
      <c r="A1710" s="373">
        <v>20083339293</v>
      </c>
      <c r="B1710" t="s">
        <v>1469</v>
      </c>
    </row>
    <row r="1711" spans="1:2" hidden="1" x14ac:dyDescent="0.3">
      <c r="A1711" s="373">
        <v>30716099667</v>
      </c>
      <c r="B1711" t="s">
        <v>1470</v>
      </c>
    </row>
    <row r="1712" spans="1:2" hidden="1" x14ac:dyDescent="0.3">
      <c r="A1712" s="373">
        <v>30709016012</v>
      </c>
      <c r="B1712" t="s">
        <v>1471</v>
      </c>
    </row>
    <row r="1713" spans="1:2" hidden="1" x14ac:dyDescent="0.3">
      <c r="A1713" s="373">
        <v>20946785300</v>
      </c>
      <c r="B1713" t="s">
        <v>2150</v>
      </c>
    </row>
    <row r="1714" spans="1:2" hidden="1" x14ac:dyDescent="0.3">
      <c r="A1714" s="373">
        <v>20946785300</v>
      </c>
      <c r="B1714" t="s">
        <v>2150</v>
      </c>
    </row>
    <row r="1715" spans="1:2" hidden="1" x14ac:dyDescent="0.3">
      <c r="A1715" s="373">
        <v>31915229</v>
      </c>
      <c r="B1715" t="s">
        <v>2287</v>
      </c>
    </row>
    <row r="1716" spans="1:2" hidden="1" x14ac:dyDescent="0.3">
      <c r="A1716" s="373">
        <v>31915229</v>
      </c>
      <c r="B1716" t="s">
        <v>2287</v>
      </c>
    </row>
    <row r="1717" spans="1:2" hidden="1" x14ac:dyDescent="0.3">
      <c r="A1717" s="373">
        <v>31915229</v>
      </c>
      <c r="B1717" t="s">
        <v>2287</v>
      </c>
    </row>
    <row r="1718" spans="1:2" hidden="1" x14ac:dyDescent="0.3">
      <c r="A1718" s="373">
        <v>31915229</v>
      </c>
      <c r="B1718" t="s">
        <v>2287</v>
      </c>
    </row>
    <row r="1719" spans="1:2" hidden="1" x14ac:dyDescent="0.3">
      <c r="A1719" s="373">
        <v>20937793252</v>
      </c>
      <c r="B1719" t="s">
        <v>1473</v>
      </c>
    </row>
    <row r="1720" spans="1:2" hidden="1" x14ac:dyDescent="0.3">
      <c r="A1720" s="373">
        <v>20171635285</v>
      </c>
      <c r="B1720" t="s">
        <v>1474</v>
      </c>
    </row>
    <row r="1721" spans="1:2" hidden="1" x14ac:dyDescent="0.3">
      <c r="A1721" s="373">
        <v>33714063079</v>
      </c>
      <c r="B1721" t="s">
        <v>1476</v>
      </c>
    </row>
    <row r="1722" spans="1:2" hidden="1" x14ac:dyDescent="0.3">
      <c r="A1722" s="373">
        <v>30708784067</v>
      </c>
      <c r="B1722" t="s">
        <v>2360</v>
      </c>
    </row>
    <row r="1723" spans="1:2" hidden="1" x14ac:dyDescent="0.3">
      <c r="A1723" s="373">
        <v>30708784067</v>
      </c>
      <c r="B1723" t="s">
        <v>2360</v>
      </c>
    </row>
    <row r="1724" spans="1:2" hidden="1" x14ac:dyDescent="0.3">
      <c r="A1724" s="373">
        <v>30708994924</v>
      </c>
      <c r="B1724" t="s">
        <v>2188</v>
      </c>
    </row>
    <row r="1725" spans="1:2" hidden="1" x14ac:dyDescent="0.3">
      <c r="A1725" s="373">
        <v>30708994924</v>
      </c>
      <c r="B1725" t="s">
        <v>2188</v>
      </c>
    </row>
    <row r="1726" spans="1:2" hidden="1" x14ac:dyDescent="0.3">
      <c r="A1726" s="373">
        <v>30715065556</v>
      </c>
      <c r="B1726" t="s">
        <v>1477</v>
      </c>
    </row>
    <row r="1727" spans="1:2" hidden="1" x14ac:dyDescent="0.3">
      <c r="A1727" s="373">
        <v>20147439882</v>
      </c>
      <c r="B1727" t="s">
        <v>1478</v>
      </c>
    </row>
    <row r="1728" spans="1:2" hidden="1" x14ac:dyDescent="0.3">
      <c r="A1728" s="373">
        <v>20283215343</v>
      </c>
      <c r="B1728" t="s">
        <v>1479</v>
      </c>
    </row>
    <row r="1729" spans="1:2" hidden="1" x14ac:dyDescent="0.3">
      <c r="A1729" s="373">
        <v>20116341566</v>
      </c>
      <c r="B1729" t="s">
        <v>1480</v>
      </c>
    </row>
    <row r="1730" spans="1:2" hidden="1" x14ac:dyDescent="0.3">
      <c r="A1730" s="373">
        <v>20331936910</v>
      </c>
      <c r="B1730" t="s">
        <v>1481</v>
      </c>
    </row>
    <row r="1731" spans="1:2" hidden="1" x14ac:dyDescent="0.3">
      <c r="A1731" s="373">
        <v>27249624298</v>
      </c>
      <c r="B1731" t="s">
        <v>1482</v>
      </c>
    </row>
    <row r="1732" spans="1:2" hidden="1" x14ac:dyDescent="0.3">
      <c r="A1732" s="373">
        <v>20205862243</v>
      </c>
      <c r="B1732" t="s">
        <v>1483</v>
      </c>
    </row>
    <row r="1733" spans="1:2" hidden="1" x14ac:dyDescent="0.3">
      <c r="A1733" s="373">
        <v>27182974922</v>
      </c>
      <c r="B1733" t="s">
        <v>1484</v>
      </c>
    </row>
    <row r="1734" spans="1:2" hidden="1" x14ac:dyDescent="0.3">
      <c r="A1734" s="373">
        <v>20400073776</v>
      </c>
      <c r="B1734" t="s">
        <v>2380</v>
      </c>
    </row>
    <row r="1735" spans="1:2" hidden="1" x14ac:dyDescent="0.3">
      <c r="A1735" s="373">
        <v>20120766598</v>
      </c>
      <c r="B1735" t="s">
        <v>1488</v>
      </c>
    </row>
    <row r="1736" spans="1:2" hidden="1" x14ac:dyDescent="0.3">
      <c r="A1736" s="373">
        <v>20959609013</v>
      </c>
      <c r="B1736" t="s">
        <v>1489</v>
      </c>
    </row>
    <row r="1737" spans="1:2" hidden="1" x14ac:dyDescent="0.3">
      <c r="A1737" s="373">
        <v>20141339517</v>
      </c>
      <c r="B1737" t="s">
        <v>1490</v>
      </c>
    </row>
    <row r="1738" spans="1:2" hidden="1" x14ac:dyDescent="0.3">
      <c r="A1738" s="373">
        <v>30535101902</v>
      </c>
      <c r="B1738" t="s">
        <v>1492</v>
      </c>
    </row>
    <row r="1739" spans="1:2" hidden="1" x14ac:dyDescent="0.3">
      <c r="A1739" s="373">
        <v>30500858628</v>
      </c>
      <c r="B1739" t="s">
        <v>73</v>
      </c>
    </row>
    <row r="1740" spans="1:2" hidden="1" x14ac:dyDescent="0.3">
      <c r="A1740" s="373">
        <v>30522982225</v>
      </c>
      <c r="B1740" t="s">
        <v>1494</v>
      </c>
    </row>
    <row r="1741" spans="1:2" hidden="1" x14ac:dyDescent="0.3">
      <c r="A1741" s="373">
        <v>20295036460</v>
      </c>
      <c r="B1741" t="s">
        <v>1495</v>
      </c>
    </row>
    <row r="1742" spans="1:2" hidden="1" x14ac:dyDescent="0.3">
      <c r="A1742" s="373">
        <v>23120821539</v>
      </c>
      <c r="B1742" t="s">
        <v>1496</v>
      </c>
    </row>
    <row r="1743" spans="1:2" hidden="1" x14ac:dyDescent="0.3">
      <c r="A1743" s="373">
        <v>22993607</v>
      </c>
      <c r="B1743" t="s">
        <v>2313</v>
      </c>
    </row>
    <row r="1744" spans="1:2" hidden="1" x14ac:dyDescent="0.3">
      <c r="A1744" s="373">
        <v>22993607</v>
      </c>
      <c r="B1744" t="s">
        <v>2313</v>
      </c>
    </row>
    <row r="1745" spans="1:2" hidden="1" x14ac:dyDescent="0.3">
      <c r="A1745" s="373">
        <v>27939999553</v>
      </c>
      <c r="B1745" t="s">
        <v>2828</v>
      </c>
    </row>
    <row r="1746" spans="1:2" hidden="1" x14ac:dyDescent="0.3">
      <c r="A1746" s="373">
        <v>345698745</v>
      </c>
      <c r="B1746" t="s">
        <v>2276</v>
      </c>
    </row>
    <row r="1747" spans="1:2" hidden="1" x14ac:dyDescent="0.3">
      <c r="A1747" s="373">
        <v>31920868</v>
      </c>
      <c r="B1747" t="s">
        <v>2276</v>
      </c>
    </row>
    <row r="1748" spans="1:2" hidden="1" x14ac:dyDescent="0.3">
      <c r="A1748" s="373">
        <v>345698745</v>
      </c>
      <c r="B1748" t="s">
        <v>2276</v>
      </c>
    </row>
    <row r="1749" spans="1:2" hidden="1" x14ac:dyDescent="0.3">
      <c r="A1749" s="373">
        <v>31920868</v>
      </c>
      <c r="B1749" t="s">
        <v>2276</v>
      </c>
    </row>
    <row r="1750" spans="1:2" hidden="1" x14ac:dyDescent="0.3">
      <c r="A1750" s="373">
        <v>23127284369</v>
      </c>
      <c r="B1750" t="s">
        <v>2361</v>
      </c>
    </row>
    <row r="1751" spans="1:2" hidden="1" x14ac:dyDescent="0.3">
      <c r="A1751" s="373">
        <v>23127284369</v>
      </c>
      <c r="B1751" t="s">
        <v>2361</v>
      </c>
    </row>
    <row r="1752" spans="1:2" hidden="1" x14ac:dyDescent="0.3">
      <c r="A1752" s="373">
        <v>20076127264</v>
      </c>
      <c r="B1752" t="s">
        <v>1498</v>
      </c>
    </row>
    <row r="1753" spans="1:2" hidden="1" x14ac:dyDescent="0.3">
      <c r="A1753" s="373">
        <v>27131715183</v>
      </c>
      <c r="B1753" t="s">
        <v>1499</v>
      </c>
    </row>
    <row r="1754" spans="1:2" hidden="1" x14ac:dyDescent="0.3">
      <c r="A1754" s="373">
        <v>17466981</v>
      </c>
      <c r="B1754" t="s">
        <v>2345</v>
      </c>
    </row>
    <row r="1755" spans="1:2" hidden="1" x14ac:dyDescent="0.3">
      <c r="A1755" s="373">
        <v>17466981</v>
      </c>
      <c r="B1755" t="s">
        <v>2345</v>
      </c>
    </row>
    <row r="1756" spans="1:2" hidden="1" x14ac:dyDescent="0.3">
      <c r="A1756" s="373">
        <v>30715119443</v>
      </c>
      <c r="B1756" t="s">
        <v>2522</v>
      </c>
    </row>
    <row r="1757" spans="1:2" hidden="1" x14ac:dyDescent="0.3">
      <c r="A1757" s="373">
        <v>20179018269</v>
      </c>
      <c r="B1757" t="s">
        <v>1500</v>
      </c>
    </row>
    <row r="1758" spans="1:2" hidden="1" x14ac:dyDescent="0.3">
      <c r="A1758" s="373">
        <v>20162452283</v>
      </c>
      <c r="B1758" t="s">
        <v>1501</v>
      </c>
    </row>
    <row r="1759" spans="1:2" hidden="1" x14ac:dyDescent="0.3">
      <c r="A1759" s="406">
        <v>20101797180</v>
      </c>
      <c r="B1759" t="s">
        <v>2829</v>
      </c>
    </row>
    <row r="1760" spans="1:2" hidden="1" x14ac:dyDescent="0.3">
      <c r="A1760" s="373">
        <v>42043394</v>
      </c>
      <c r="B1760" t="s">
        <v>2204</v>
      </c>
    </row>
    <row r="1761" spans="1:2" hidden="1" x14ac:dyDescent="0.3">
      <c r="A1761" s="373">
        <v>42043394</v>
      </c>
      <c r="B1761" t="s">
        <v>2204</v>
      </c>
    </row>
    <row r="1762" spans="1:2" hidden="1" x14ac:dyDescent="0.3">
      <c r="A1762" s="373">
        <v>42043394</v>
      </c>
      <c r="B1762" t="s">
        <v>2204</v>
      </c>
    </row>
    <row r="1763" spans="1:2" hidden="1" x14ac:dyDescent="0.3">
      <c r="A1763" s="373">
        <v>42043394</v>
      </c>
      <c r="B1763" t="s">
        <v>2204</v>
      </c>
    </row>
    <row r="1764" spans="1:2" hidden="1" x14ac:dyDescent="0.3">
      <c r="A1764" s="373">
        <v>42043394</v>
      </c>
      <c r="B1764" t="s">
        <v>2204</v>
      </c>
    </row>
    <row r="1765" spans="1:2" hidden="1" x14ac:dyDescent="0.3">
      <c r="A1765" s="373">
        <v>42043394</v>
      </c>
      <c r="B1765" t="s">
        <v>2204</v>
      </c>
    </row>
    <row r="1766" spans="1:2" hidden="1" x14ac:dyDescent="0.3">
      <c r="A1766" s="373">
        <v>42043394</v>
      </c>
      <c r="B1766" t="s">
        <v>2204</v>
      </c>
    </row>
    <row r="1767" spans="1:2" hidden="1" x14ac:dyDescent="0.3">
      <c r="A1767" s="373">
        <v>42043394</v>
      </c>
      <c r="B1767" t="s">
        <v>2204</v>
      </c>
    </row>
    <row r="1768" spans="1:2" hidden="1" x14ac:dyDescent="0.3">
      <c r="A1768" s="373">
        <v>42043394</v>
      </c>
      <c r="B1768" t="s">
        <v>2204</v>
      </c>
    </row>
    <row r="1769" spans="1:2" hidden="1" x14ac:dyDescent="0.3">
      <c r="A1769" s="373">
        <v>42043394</v>
      </c>
      <c r="B1769" t="s">
        <v>2204</v>
      </c>
    </row>
    <row r="1770" spans="1:2" hidden="1" x14ac:dyDescent="0.3">
      <c r="A1770" s="373">
        <v>42043394</v>
      </c>
      <c r="B1770" t="s">
        <v>2204</v>
      </c>
    </row>
    <row r="1771" spans="1:2" hidden="1" x14ac:dyDescent="0.3">
      <c r="A1771" s="373">
        <v>42043394</v>
      </c>
      <c r="B1771" t="s">
        <v>2204</v>
      </c>
    </row>
    <row r="1772" spans="1:2" hidden="1" x14ac:dyDescent="0.3">
      <c r="A1772" s="373">
        <v>42043394</v>
      </c>
      <c r="B1772" t="s">
        <v>2204</v>
      </c>
    </row>
    <row r="1773" spans="1:2" hidden="1" x14ac:dyDescent="0.3">
      <c r="A1773" s="373">
        <v>42043394</v>
      </c>
      <c r="B1773" t="s">
        <v>2204</v>
      </c>
    </row>
    <row r="1774" spans="1:2" hidden="1" x14ac:dyDescent="0.3">
      <c r="A1774" s="373">
        <v>20930200035</v>
      </c>
      <c r="B1774" t="s">
        <v>1502</v>
      </c>
    </row>
    <row r="1775" spans="1:2" hidden="1" x14ac:dyDescent="0.3">
      <c r="A1775" s="373">
        <v>20238449783</v>
      </c>
      <c r="B1775" t="s">
        <v>1503</v>
      </c>
    </row>
    <row r="1776" spans="1:2" hidden="1" x14ac:dyDescent="0.3">
      <c r="A1776" s="373">
        <v>30708608994</v>
      </c>
      <c r="B1776" t="s">
        <v>1504</v>
      </c>
    </row>
    <row r="1777" spans="1:2" hidden="1" x14ac:dyDescent="0.3">
      <c r="A1777" s="373">
        <v>30500786937</v>
      </c>
      <c r="B1777" t="s">
        <v>1505</v>
      </c>
    </row>
    <row r="1778" spans="1:2" hidden="1" x14ac:dyDescent="0.3">
      <c r="A1778" s="373">
        <v>30713713909</v>
      </c>
      <c r="B1778" t="s">
        <v>1506</v>
      </c>
    </row>
    <row r="1779" spans="1:2" hidden="1" x14ac:dyDescent="0.3">
      <c r="A1779" s="373">
        <v>30708456329</v>
      </c>
      <c r="B1779" t="s">
        <v>2831</v>
      </c>
    </row>
    <row r="1780" spans="1:2" hidden="1" x14ac:dyDescent="0.3">
      <c r="A1780" s="373">
        <v>33717119059</v>
      </c>
      <c r="B1780" t="s">
        <v>1507</v>
      </c>
    </row>
    <row r="1781" spans="1:2" hidden="1" x14ac:dyDescent="0.3">
      <c r="A1781" s="373">
        <v>30632563856</v>
      </c>
      <c r="B1781" t="s">
        <v>1508</v>
      </c>
    </row>
    <row r="1782" spans="1:2" hidden="1" x14ac:dyDescent="0.3">
      <c r="A1782" s="373">
        <v>30557676798</v>
      </c>
      <c r="B1782" t="s">
        <v>74</v>
      </c>
    </row>
    <row r="1783" spans="1:2" hidden="1" x14ac:dyDescent="0.3">
      <c r="A1783" s="373">
        <v>30716413817</v>
      </c>
      <c r="B1783" t="s">
        <v>2515</v>
      </c>
    </row>
    <row r="1784" spans="1:2" hidden="1" x14ac:dyDescent="0.3">
      <c r="A1784" s="373">
        <v>30707400591</v>
      </c>
      <c r="B1784" t="s">
        <v>1509</v>
      </c>
    </row>
    <row r="1785" spans="1:2" hidden="1" x14ac:dyDescent="0.3">
      <c r="A1785" s="373">
        <v>30711996547</v>
      </c>
      <c r="B1785" t="s">
        <v>1510</v>
      </c>
    </row>
    <row r="1786" spans="1:2" hidden="1" x14ac:dyDescent="0.3">
      <c r="A1786" s="373">
        <v>30715245090</v>
      </c>
      <c r="B1786" t="s">
        <v>1511</v>
      </c>
    </row>
    <row r="1787" spans="1:2" hidden="1" x14ac:dyDescent="0.3">
      <c r="A1787" s="373">
        <v>30715742221</v>
      </c>
      <c r="B1787" t="s">
        <v>1512</v>
      </c>
    </row>
    <row r="1788" spans="1:2" hidden="1" x14ac:dyDescent="0.3">
      <c r="A1788" s="373">
        <v>30715154400</v>
      </c>
      <c r="B1788" t="s">
        <v>1513</v>
      </c>
    </row>
    <row r="1789" spans="1:2" hidden="1" x14ac:dyDescent="0.3">
      <c r="A1789" s="373">
        <v>20236922880</v>
      </c>
      <c r="B1789" t="s">
        <v>2833</v>
      </c>
    </row>
    <row r="1790" spans="1:2" hidden="1" x14ac:dyDescent="0.3">
      <c r="A1790" s="373">
        <v>27062742564</v>
      </c>
      <c r="B1790" t="s">
        <v>1514</v>
      </c>
    </row>
    <row r="1791" spans="1:2" hidden="1" x14ac:dyDescent="0.3">
      <c r="A1791" s="373">
        <v>30573785742</v>
      </c>
      <c r="B1791" t="s">
        <v>1515</v>
      </c>
    </row>
    <row r="1792" spans="1:2" hidden="1" x14ac:dyDescent="0.3">
      <c r="A1792" s="373">
        <v>30716113937</v>
      </c>
      <c r="B1792" t="s">
        <v>1516</v>
      </c>
    </row>
    <row r="1793" spans="1:2" hidden="1" x14ac:dyDescent="0.3">
      <c r="A1793" s="373">
        <v>41737843</v>
      </c>
      <c r="B1793" t="s">
        <v>2346</v>
      </c>
    </row>
    <row r="1794" spans="1:2" hidden="1" x14ac:dyDescent="0.3">
      <c r="A1794" s="373">
        <v>41737843</v>
      </c>
      <c r="B1794" t="s">
        <v>2346</v>
      </c>
    </row>
    <row r="1795" spans="1:2" hidden="1" x14ac:dyDescent="0.3">
      <c r="A1795" s="373">
        <v>41737843</v>
      </c>
      <c r="B1795" t="s">
        <v>2346</v>
      </c>
    </row>
    <row r="1796" spans="1:2" hidden="1" x14ac:dyDescent="0.3">
      <c r="A1796" s="373">
        <v>41737843</v>
      </c>
      <c r="B1796" t="s">
        <v>2346</v>
      </c>
    </row>
    <row r="1797" spans="1:2" hidden="1" x14ac:dyDescent="0.3">
      <c r="A1797" s="373">
        <v>22046570</v>
      </c>
      <c r="B1797" t="s">
        <v>2347</v>
      </c>
    </row>
    <row r="1798" spans="1:2" hidden="1" x14ac:dyDescent="0.3">
      <c r="A1798" s="373">
        <v>22046570</v>
      </c>
      <c r="B1798" t="s">
        <v>2347</v>
      </c>
    </row>
    <row r="1799" spans="1:2" hidden="1" x14ac:dyDescent="0.3">
      <c r="A1799" s="373">
        <v>22046570</v>
      </c>
      <c r="B1799" t="s">
        <v>2347</v>
      </c>
    </row>
    <row r="1800" spans="1:2" hidden="1" x14ac:dyDescent="0.3">
      <c r="A1800" s="373">
        <v>22046570</v>
      </c>
      <c r="B1800" t="s">
        <v>2347</v>
      </c>
    </row>
    <row r="1801" spans="1:2" hidden="1" x14ac:dyDescent="0.3">
      <c r="A1801" s="373">
        <v>23182832324</v>
      </c>
      <c r="B1801" t="s">
        <v>1517</v>
      </c>
    </row>
    <row r="1802" spans="1:2" hidden="1" x14ac:dyDescent="0.3">
      <c r="A1802" s="373">
        <v>20226511874</v>
      </c>
      <c r="B1802" t="s">
        <v>1518</v>
      </c>
    </row>
    <row r="1803" spans="1:2" hidden="1" x14ac:dyDescent="0.3">
      <c r="A1803" s="373">
        <v>20241276458</v>
      </c>
      <c r="B1803" t="s">
        <v>1522</v>
      </c>
    </row>
    <row r="1804" spans="1:2" hidden="1" x14ac:dyDescent="0.3">
      <c r="A1804" s="373">
        <v>27209563113</v>
      </c>
      <c r="B1804" t="s">
        <v>1523</v>
      </c>
    </row>
    <row r="1805" spans="1:2" hidden="1" x14ac:dyDescent="0.3">
      <c r="A1805" s="373">
        <v>30714376523</v>
      </c>
      <c r="B1805" t="s">
        <v>1524</v>
      </c>
    </row>
    <row r="1806" spans="1:2" hidden="1" x14ac:dyDescent="0.3">
      <c r="A1806" s="373">
        <v>20310505650</v>
      </c>
      <c r="B1806" t="s">
        <v>1526</v>
      </c>
    </row>
    <row r="1807" spans="1:2" hidden="1" x14ac:dyDescent="0.3">
      <c r="A1807" s="373">
        <v>5944118</v>
      </c>
      <c r="B1807" t="s">
        <v>2201</v>
      </c>
    </row>
    <row r="1808" spans="1:2" hidden="1" x14ac:dyDescent="0.3">
      <c r="A1808" s="373">
        <v>5944118</v>
      </c>
      <c r="B1808" t="s">
        <v>2201</v>
      </c>
    </row>
    <row r="1809" spans="1:2" hidden="1" x14ac:dyDescent="0.3">
      <c r="A1809" s="373">
        <v>20220241212</v>
      </c>
      <c r="B1809" t="s">
        <v>1529</v>
      </c>
    </row>
    <row r="1810" spans="1:2" hidden="1" x14ac:dyDescent="0.3">
      <c r="A1810" s="373">
        <v>30711498504</v>
      </c>
      <c r="B1810" t="s">
        <v>1530</v>
      </c>
    </row>
    <row r="1811" spans="1:2" hidden="1" x14ac:dyDescent="0.3">
      <c r="A1811" s="373">
        <v>30707264957</v>
      </c>
      <c r="B1811" t="s">
        <v>1531</v>
      </c>
    </row>
    <row r="1812" spans="1:2" hidden="1" x14ac:dyDescent="0.3">
      <c r="A1812" s="373">
        <v>30660489181</v>
      </c>
      <c r="B1812" t="s">
        <v>1532</v>
      </c>
    </row>
    <row r="1813" spans="1:2" hidden="1" x14ac:dyDescent="0.3">
      <c r="A1813" s="373">
        <v>27259489976</v>
      </c>
      <c r="B1813" t="s">
        <v>1533</v>
      </c>
    </row>
    <row r="1814" spans="1:2" hidden="1" x14ac:dyDescent="0.3">
      <c r="A1814" s="373">
        <v>30710155336</v>
      </c>
      <c r="B1814" t="s">
        <v>1534</v>
      </c>
    </row>
    <row r="1815" spans="1:2" hidden="1" x14ac:dyDescent="0.3">
      <c r="A1815" s="373">
        <v>20334549152</v>
      </c>
      <c r="B1815" t="s">
        <v>1536</v>
      </c>
    </row>
    <row r="1816" spans="1:2" hidden="1" x14ac:dyDescent="0.3">
      <c r="A1816" s="373">
        <v>20145637415</v>
      </c>
      <c r="B1816" t="s">
        <v>1539</v>
      </c>
    </row>
    <row r="1817" spans="1:2" hidden="1" x14ac:dyDescent="0.3">
      <c r="A1817" s="373">
        <v>30714834300</v>
      </c>
      <c r="B1817" t="s">
        <v>1540</v>
      </c>
    </row>
    <row r="1818" spans="1:2" hidden="1" x14ac:dyDescent="0.3">
      <c r="A1818" s="373">
        <v>30714696838</v>
      </c>
      <c r="B1818" t="s">
        <v>1542</v>
      </c>
    </row>
    <row r="1819" spans="1:2" hidden="1" x14ac:dyDescent="0.3">
      <c r="A1819" s="373">
        <v>30710332467</v>
      </c>
      <c r="B1819" t="s">
        <v>1543</v>
      </c>
    </row>
    <row r="1820" spans="1:2" hidden="1" x14ac:dyDescent="0.3">
      <c r="A1820" s="373">
        <v>30707811540</v>
      </c>
      <c r="B1820" t="s">
        <v>1544</v>
      </c>
    </row>
    <row r="1821" spans="1:2" hidden="1" x14ac:dyDescent="0.3">
      <c r="A1821" s="373">
        <v>20381564224</v>
      </c>
      <c r="B1821" t="s">
        <v>2558</v>
      </c>
    </row>
    <row r="1822" spans="1:2" hidden="1" x14ac:dyDescent="0.3">
      <c r="A1822" s="373">
        <v>20251270202</v>
      </c>
      <c r="B1822" t="s">
        <v>1545</v>
      </c>
    </row>
    <row r="1823" spans="1:2" hidden="1" x14ac:dyDescent="0.3">
      <c r="A1823" s="373">
        <v>20298653541</v>
      </c>
      <c r="B1823" t="s">
        <v>1546</v>
      </c>
    </row>
    <row r="1824" spans="1:2" hidden="1" x14ac:dyDescent="0.3">
      <c r="A1824" s="373">
        <v>30710731868</v>
      </c>
      <c r="B1824" t="s">
        <v>1547</v>
      </c>
    </row>
    <row r="1825" spans="1:2" hidden="1" x14ac:dyDescent="0.3">
      <c r="A1825" s="373">
        <v>20327697324</v>
      </c>
      <c r="B1825" t="s">
        <v>1548</v>
      </c>
    </row>
    <row r="1826" spans="1:2" hidden="1" x14ac:dyDescent="0.3">
      <c r="A1826" s="373">
        <v>30712215689</v>
      </c>
      <c r="B1826" t="s">
        <v>1550</v>
      </c>
    </row>
    <row r="1827" spans="1:2" hidden="1" x14ac:dyDescent="0.3">
      <c r="A1827" s="373">
        <v>30712215689</v>
      </c>
      <c r="B1827" t="s">
        <v>1550</v>
      </c>
    </row>
    <row r="1828" spans="1:2" hidden="1" x14ac:dyDescent="0.3">
      <c r="A1828" s="373">
        <v>30557807175</v>
      </c>
      <c r="B1828" t="s">
        <v>1551</v>
      </c>
    </row>
    <row r="1829" spans="1:2" hidden="1" x14ac:dyDescent="0.3">
      <c r="A1829" s="373">
        <v>33716080809</v>
      </c>
      <c r="B1829" t="s">
        <v>1553</v>
      </c>
    </row>
    <row r="1830" spans="1:2" hidden="1" x14ac:dyDescent="0.3">
      <c r="A1830" s="373">
        <v>23147243669</v>
      </c>
      <c r="B1830" t="s">
        <v>1554</v>
      </c>
    </row>
    <row r="1831" spans="1:2" hidden="1" x14ac:dyDescent="0.3">
      <c r="A1831" s="373">
        <v>30696186932</v>
      </c>
      <c r="B1831" t="s">
        <v>2617</v>
      </c>
    </row>
    <row r="1832" spans="1:2" hidden="1" x14ac:dyDescent="0.3">
      <c r="A1832" s="373">
        <v>30715891154</v>
      </c>
      <c r="B1832" t="s">
        <v>1555</v>
      </c>
    </row>
    <row r="1833" spans="1:2" hidden="1" x14ac:dyDescent="0.3">
      <c r="A1833" s="373">
        <v>30711180431</v>
      </c>
      <c r="B1833" t="s">
        <v>1556</v>
      </c>
    </row>
    <row r="1834" spans="1:2" hidden="1" x14ac:dyDescent="0.3">
      <c r="A1834" s="373">
        <v>30638389548</v>
      </c>
      <c r="B1834" t="s">
        <v>1557</v>
      </c>
    </row>
    <row r="1835" spans="1:2" hidden="1" x14ac:dyDescent="0.3">
      <c r="A1835" s="373">
        <v>30638389548</v>
      </c>
      <c r="B1835" t="s">
        <v>1558</v>
      </c>
    </row>
    <row r="1836" spans="1:2" hidden="1" x14ac:dyDescent="0.3">
      <c r="A1836" s="373">
        <v>30686222086</v>
      </c>
      <c r="B1836" t="s">
        <v>1559</v>
      </c>
    </row>
    <row r="1837" spans="1:2" hidden="1" x14ac:dyDescent="0.3">
      <c r="A1837" s="373">
        <v>30685437011</v>
      </c>
      <c r="B1837" t="s">
        <v>1562</v>
      </c>
    </row>
    <row r="1838" spans="1:2" hidden="1" x14ac:dyDescent="0.3">
      <c r="A1838" s="373">
        <v>30709318965</v>
      </c>
      <c r="B1838" t="s">
        <v>1563</v>
      </c>
    </row>
    <row r="1839" spans="1:2" hidden="1" x14ac:dyDescent="0.3">
      <c r="A1839" s="373">
        <v>30714113395</v>
      </c>
      <c r="B1839" t="s">
        <v>1564</v>
      </c>
    </row>
    <row r="1840" spans="1:2" hidden="1" x14ac:dyDescent="0.3">
      <c r="A1840" s="373">
        <v>30715263676</v>
      </c>
      <c r="B1840" t="s">
        <v>1565</v>
      </c>
    </row>
    <row r="1841" spans="1:2" hidden="1" x14ac:dyDescent="0.3">
      <c r="A1841" s="40">
        <v>30709361682</v>
      </c>
      <c r="B1841" t="s">
        <v>2837</v>
      </c>
    </row>
    <row r="1842" spans="1:2" hidden="1" x14ac:dyDescent="0.3">
      <c r="A1842" s="373">
        <v>30707846425</v>
      </c>
      <c r="B1842" t="s">
        <v>1568</v>
      </c>
    </row>
    <row r="1843" spans="1:2" hidden="1" x14ac:dyDescent="0.3">
      <c r="A1843" s="373">
        <v>30694573173</v>
      </c>
      <c r="B1843" t="s">
        <v>1569</v>
      </c>
    </row>
    <row r="1844" spans="1:2" hidden="1" x14ac:dyDescent="0.3">
      <c r="A1844" s="373">
        <v>30708073519</v>
      </c>
      <c r="B1844" t="s">
        <v>2506</v>
      </c>
    </row>
    <row r="1845" spans="1:2" hidden="1" x14ac:dyDescent="0.3">
      <c r="A1845" s="373">
        <v>30695268137</v>
      </c>
      <c r="B1845" t="s">
        <v>1570</v>
      </c>
    </row>
    <row r="1846" spans="1:2" hidden="1" x14ac:dyDescent="0.3">
      <c r="A1846" s="373">
        <v>23068390</v>
      </c>
      <c r="B1846" t="s">
        <v>2350</v>
      </c>
    </row>
    <row r="1847" spans="1:2" hidden="1" x14ac:dyDescent="0.3">
      <c r="A1847" s="373">
        <v>23068390</v>
      </c>
      <c r="B1847" t="s">
        <v>2350</v>
      </c>
    </row>
    <row r="1848" spans="1:2" hidden="1" x14ac:dyDescent="0.3">
      <c r="A1848" s="373">
        <v>17681773</v>
      </c>
      <c r="B1848" t="s">
        <v>2349</v>
      </c>
    </row>
    <row r="1849" spans="1:2" hidden="1" x14ac:dyDescent="0.3">
      <c r="A1849" s="373">
        <v>17681773</v>
      </c>
      <c r="B1849" t="s">
        <v>2349</v>
      </c>
    </row>
    <row r="1850" spans="1:2" hidden="1" x14ac:dyDescent="0.3">
      <c r="A1850" s="373">
        <v>30500053522</v>
      </c>
      <c r="B1850" t="s">
        <v>1572</v>
      </c>
    </row>
    <row r="1851" spans="1:2" hidden="1" x14ac:dyDescent="0.3">
      <c r="A1851" s="373">
        <v>30658137642</v>
      </c>
      <c r="B1851" t="s">
        <v>1573</v>
      </c>
    </row>
    <row r="1852" spans="1:2" hidden="1" x14ac:dyDescent="0.3">
      <c r="A1852" s="373">
        <v>33600011869</v>
      </c>
      <c r="B1852" t="s">
        <v>1574</v>
      </c>
    </row>
    <row r="1853" spans="1:2" hidden="1" x14ac:dyDescent="0.3">
      <c r="A1853" s="373">
        <v>30609521941</v>
      </c>
      <c r="B1853" t="s">
        <v>1575</v>
      </c>
    </row>
    <row r="1854" spans="1:2" hidden="1" x14ac:dyDescent="0.3">
      <c r="A1854" s="373">
        <v>30590412631</v>
      </c>
      <c r="B1854" t="s">
        <v>1576</v>
      </c>
    </row>
    <row r="1855" spans="1:2" hidden="1" x14ac:dyDescent="0.3">
      <c r="A1855" s="373">
        <v>30707006702</v>
      </c>
      <c r="B1855" t="s">
        <v>1577</v>
      </c>
    </row>
    <row r="1856" spans="1:2" hidden="1" x14ac:dyDescent="0.3">
      <c r="A1856" s="373">
        <v>30714757012</v>
      </c>
      <c r="B1856" t="s">
        <v>1578</v>
      </c>
    </row>
    <row r="1857" spans="1:2" hidden="1" x14ac:dyDescent="0.3">
      <c r="A1857" s="373">
        <v>30585412453</v>
      </c>
      <c r="B1857" t="s">
        <v>1579</v>
      </c>
    </row>
    <row r="1858" spans="1:2" hidden="1" x14ac:dyDescent="0.3">
      <c r="A1858" s="373">
        <v>30546846217</v>
      </c>
      <c r="B1858" t="s">
        <v>1580</v>
      </c>
    </row>
    <row r="1859" spans="1:2" hidden="1" x14ac:dyDescent="0.3">
      <c r="A1859" s="373">
        <v>30701783065</v>
      </c>
      <c r="B1859" t="s">
        <v>1581</v>
      </c>
    </row>
    <row r="1860" spans="1:2" hidden="1" x14ac:dyDescent="0.3">
      <c r="A1860" s="373">
        <v>20177474844</v>
      </c>
      <c r="B1860" t="s">
        <v>1583</v>
      </c>
    </row>
    <row r="1861" spans="1:2" hidden="1" x14ac:dyDescent="0.3">
      <c r="A1861" s="373">
        <v>20050717187</v>
      </c>
      <c r="B1861" t="s">
        <v>1588</v>
      </c>
    </row>
    <row r="1862" spans="1:2" hidden="1" x14ac:dyDescent="0.3">
      <c r="A1862" s="373">
        <v>30708436573</v>
      </c>
      <c r="B1862" t="s">
        <v>1589</v>
      </c>
    </row>
    <row r="1863" spans="1:2" hidden="1" x14ac:dyDescent="0.3">
      <c r="A1863" s="373">
        <v>30708436573</v>
      </c>
      <c r="B1863" t="s">
        <v>1590</v>
      </c>
    </row>
    <row r="1864" spans="1:2" hidden="1" x14ac:dyDescent="0.3">
      <c r="A1864" s="373">
        <v>27405786066</v>
      </c>
      <c r="B1864" t="s">
        <v>1592</v>
      </c>
    </row>
    <row r="1865" spans="1:2" hidden="1" x14ac:dyDescent="0.3">
      <c r="A1865" s="373">
        <v>3468287</v>
      </c>
      <c r="B1865" t="s">
        <v>2341</v>
      </c>
    </row>
    <row r="1866" spans="1:2" hidden="1" x14ac:dyDescent="0.3">
      <c r="A1866" s="373">
        <v>3468287</v>
      </c>
      <c r="B1866" t="s">
        <v>2341</v>
      </c>
    </row>
    <row r="1867" spans="1:2" hidden="1" x14ac:dyDescent="0.3">
      <c r="A1867" s="373">
        <v>21856835</v>
      </c>
      <c r="B1867" t="s">
        <v>2206</v>
      </c>
    </row>
    <row r="1868" spans="1:2" hidden="1" x14ac:dyDescent="0.3">
      <c r="A1868" s="373">
        <v>21856835</v>
      </c>
      <c r="B1868" t="s">
        <v>2206</v>
      </c>
    </row>
    <row r="1869" spans="1:2" hidden="1" x14ac:dyDescent="0.3">
      <c r="A1869" s="373">
        <v>21856835</v>
      </c>
      <c r="B1869" t="s">
        <v>2206</v>
      </c>
    </row>
    <row r="1870" spans="1:2" hidden="1" x14ac:dyDescent="0.3">
      <c r="A1870" s="373">
        <v>21856835</v>
      </c>
      <c r="B1870" t="s">
        <v>2206</v>
      </c>
    </row>
    <row r="1871" spans="1:2" hidden="1" x14ac:dyDescent="0.3">
      <c r="A1871" s="373">
        <v>20114990419</v>
      </c>
      <c r="B1871" t="s">
        <v>1594</v>
      </c>
    </row>
    <row r="1872" spans="1:2" hidden="1" x14ac:dyDescent="0.3">
      <c r="A1872" s="373">
        <v>30645310361</v>
      </c>
      <c r="B1872" t="s">
        <v>1595</v>
      </c>
    </row>
    <row r="1873" spans="1:2" hidden="1" x14ac:dyDescent="0.3">
      <c r="A1873" s="373">
        <v>30715933140</v>
      </c>
      <c r="B1873" t="s">
        <v>2840</v>
      </c>
    </row>
    <row r="1874" spans="1:2" hidden="1" x14ac:dyDescent="0.3">
      <c r="A1874" s="373">
        <v>30655042772</v>
      </c>
      <c r="B1874" t="s">
        <v>1598</v>
      </c>
    </row>
    <row r="1875" spans="1:2" hidden="1" x14ac:dyDescent="0.3">
      <c r="A1875" s="373">
        <v>30714830453</v>
      </c>
      <c r="B1875" t="s">
        <v>1599</v>
      </c>
    </row>
    <row r="1876" spans="1:2" hidden="1" x14ac:dyDescent="0.3">
      <c r="A1876" s="373">
        <v>30710681771</v>
      </c>
      <c r="B1876" t="s">
        <v>1600</v>
      </c>
    </row>
    <row r="1877" spans="1:2" hidden="1" x14ac:dyDescent="0.3">
      <c r="A1877" s="373">
        <v>30688264711</v>
      </c>
      <c r="B1877" t="s">
        <v>1604</v>
      </c>
    </row>
    <row r="1878" spans="1:2" hidden="1" x14ac:dyDescent="0.3">
      <c r="A1878" s="373">
        <v>27944761859</v>
      </c>
      <c r="B1878" t="s">
        <v>2583</v>
      </c>
    </row>
    <row r="1879" spans="1:2" hidden="1" x14ac:dyDescent="0.3">
      <c r="A1879" s="373">
        <v>20238751560</v>
      </c>
      <c r="B1879" t="s">
        <v>1605</v>
      </c>
    </row>
    <row r="1880" spans="1:2" hidden="1" x14ac:dyDescent="0.3">
      <c r="A1880" s="373">
        <v>30701934195</v>
      </c>
      <c r="B1880" t="s">
        <v>1609</v>
      </c>
    </row>
    <row r="1881" spans="1:2" hidden="1" x14ac:dyDescent="0.3">
      <c r="A1881" s="373">
        <v>20083082136</v>
      </c>
      <c r="B1881" t="s">
        <v>1610</v>
      </c>
    </row>
    <row r="1882" spans="1:2" hidden="1" x14ac:dyDescent="0.3">
      <c r="A1882" s="373">
        <v>30711127646</v>
      </c>
      <c r="B1882" t="s">
        <v>1611</v>
      </c>
    </row>
    <row r="1883" spans="1:2" hidden="1" x14ac:dyDescent="0.3">
      <c r="A1883" s="373">
        <v>30518922897</v>
      </c>
      <c r="B1883" t="s">
        <v>1612</v>
      </c>
    </row>
    <row r="1884" spans="1:2" hidden="1" x14ac:dyDescent="0.3">
      <c r="A1884" s="373">
        <v>27106318900</v>
      </c>
      <c r="B1884" t="s">
        <v>1613</v>
      </c>
    </row>
    <row r="1885" spans="1:2" hidden="1" x14ac:dyDescent="0.3">
      <c r="A1885" s="373">
        <v>20222971676</v>
      </c>
      <c r="B1885" t="s">
        <v>1614</v>
      </c>
    </row>
    <row r="1886" spans="1:2" hidden="1" x14ac:dyDescent="0.3">
      <c r="A1886" s="40">
        <v>27128058120</v>
      </c>
      <c r="B1886" t="s">
        <v>2841</v>
      </c>
    </row>
    <row r="1887" spans="1:2" hidden="1" x14ac:dyDescent="0.3">
      <c r="A1887" s="373">
        <v>20178198050</v>
      </c>
      <c r="B1887" t="s">
        <v>1615</v>
      </c>
    </row>
    <row r="1888" spans="1:2" hidden="1" x14ac:dyDescent="0.3">
      <c r="A1888" s="373">
        <v>30600271004</v>
      </c>
      <c r="B1888" t="s">
        <v>1616</v>
      </c>
    </row>
    <row r="1889" spans="1:2" hidden="1" x14ac:dyDescent="0.3">
      <c r="A1889" s="373">
        <v>30709517976</v>
      </c>
      <c r="B1889" t="s">
        <v>1619</v>
      </c>
    </row>
    <row r="1890" spans="1:2" hidden="1" x14ac:dyDescent="0.3">
      <c r="A1890" s="373">
        <v>30715363255</v>
      </c>
      <c r="B1890" t="s">
        <v>1620</v>
      </c>
    </row>
    <row r="1891" spans="1:2" hidden="1" x14ac:dyDescent="0.3">
      <c r="A1891" s="373">
        <v>30709917516</v>
      </c>
      <c r="B1891" t="s">
        <v>1621</v>
      </c>
    </row>
    <row r="1892" spans="1:2" hidden="1" x14ac:dyDescent="0.3">
      <c r="A1892" s="373">
        <v>20266254084</v>
      </c>
      <c r="B1892" t="s">
        <v>1622</v>
      </c>
    </row>
    <row r="1893" spans="1:2" hidden="1" x14ac:dyDescent="0.3">
      <c r="A1893" s="373">
        <v>20233719618</v>
      </c>
      <c r="B1893" t="s">
        <v>1623</v>
      </c>
    </row>
    <row r="1894" spans="1:2" hidden="1" x14ac:dyDescent="0.3">
      <c r="A1894" s="373">
        <v>30715154192</v>
      </c>
      <c r="B1894" t="s">
        <v>1624</v>
      </c>
    </row>
    <row r="1895" spans="1:2" hidden="1" x14ac:dyDescent="0.3">
      <c r="A1895" s="373">
        <v>20181612410</v>
      </c>
      <c r="B1895" t="s">
        <v>2180</v>
      </c>
    </row>
    <row r="1896" spans="1:2" hidden="1" x14ac:dyDescent="0.3">
      <c r="A1896" s="373">
        <v>20181612410</v>
      </c>
      <c r="B1896" t="s">
        <v>2180</v>
      </c>
    </row>
    <row r="1897" spans="1:2" hidden="1" x14ac:dyDescent="0.3">
      <c r="A1897" s="373">
        <v>24928181428</v>
      </c>
      <c r="B1897" t="s">
        <v>1625</v>
      </c>
    </row>
    <row r="1898" spans="1:2" hidden="1" x14ac:dyDescent="0.3">
      <c r="A1898" s="373">
        <v>30707801987</v>
      </c>
      <c r="B1898" t="s">
        <v>1626</v>
      </c>
    </row>
    <row r="1899" spans="1:2" hidden="1" x14ac:dyDescent="0.3">
      <c r="A1899" s="373">
        <v>20205019775</v>
      </c>
      <c r="B1899" t="s">
        <v>1627</v>
      </c>
    </row>
    <row r="1900" spans="1:2" hidden="1" x14ac:dyDescent="0.3">
      <c r="A1900" s="373">
        <v>31316007</v>
      </c>
      <c r="B1900" t="s">
        <v>2219</v>
      </c>
    </row>
    <row r="1901" spans="1:2" hidden="1" x14ac:dyDescent="0.3">
      <c r="A1901" s="373">
        <v>31316007</v>
      </c>
      <c r="B1901" t="s">
        <v>2219</v>
      </c>
    </row>
    <row r="1902" spans="1:2" hidden="1" x14ac:dyDescent="0.3">
      <c r="A1902" s="373">
        <v>31316007</v>
      </c>
      <c r="B1902" t="s">
        <v>2219</v>
      </c>
    </row>
    <row r="1903" spans="1:2" hidden="1" x14ac:dyDescent="0.3">
      <c r="A1903" s="373">
        <v>31316007</v>
      </c>
      <c r="B1903" t="s">
        <v>2219</v>
      </c>
    </row>
    <row r="1904" spans="1:2" hidden="1" x14ac:dyDescent="0.3">
      <c r="A1904" s="373">
        <v>31316007</v>
      </c>
      <c r="B1904" t="s">
        <v>2219</v>
      </c>
    </row>
    <row r="1905" spans="1:2" hidden="1" x14ac:dyDescent="0.3">
      <c r="A1905" s="373">
        <v>31316007</v>
      </c>
      <c r="B1905" t="s">
        <v>2219</v>
      </c>
    </row>
    <row r="1906" spans="1:2" hidden="1" x14ac:dyDescent="0.3">
      <c r="A1906" s="373">
        <v>31316007</v>
      </c>
      <c r="B1906" t="s">
        <v>2219</v>
      </c>
    </row>
    <row r="1907" spans="1:2" hidden="1" x14ac:dyDescent="0.3">
      <c r="A1907" s="373">
        <v>31316007</v>
      </c>
      <c r="B1907" t="s">
        <v>2219</v>
      </c>
    </row>
    <row r="1908" spans="1:2" hidden="1" x14ac:dyDescent="0.3">
      <c r="A1908" s="373">
        <v>30658840785</v>
      </c>
      <c r="B1908" t="s">
        <v>1630</v>
      </c>
    </row>
    <row r="1909" spans="1:2" hidden="1" x14ac:dyDescent="0.3">
      <c r="A1909" s="373">
        <v>30696172877</v>
      </c>
      <c r="B1909" t="s">
        <v>1632</v>
      </c>
    </row>
    <row r="1910" spans="1:2" hidden="1" x14ac:dyDescent="0.3">
      <c r="A1910" s="373">
        <v>20137411815</v>
      </c>
      <c r="B1910" t="s">
        <v>1633</v>
      </c>
    </row>
    <row r="1911" spans="1:2" hidden="1" x14ac:dyDescent="0.3">
      <c r="A1911" s="373">
        <v>20137411815</v>
      </c>
      <c r="B1911" t="s">
        <v>1633</v>
      </c>
    </row>
    <row r="1912" spans="1:2" hidden="1" x14ac:dyDescent="0.3">
      <c r="A1912" s="373">
        <v>30687255492</v>
      </c>
      <c r="B1912" t="s">
        <v>1636</v>
      </c>
    </row>
    <row r="1913" spans="1:2" hidden="1" x14ac:dyDescent="0.3">
      <c r="A1913" s="373">
        <v>30716022354</v>
      </c>
      <c r="B1913" t="s">
        <v>1639</v>
      </c>
    </row>
    <row r="1914" spans="1:2" hidden="1" x14ac:dyDescent="0.3">
      <c r="A1914" s="373">
        <v>27066479531</v>
      </c>
      <c r="B1914" t="s">
        <v>1640</v>
      </c>
    </row>
    <row r="1915" spans="1:2" hidden="1" x14ac:dyDescent="0.3">
      <c r="A1915" s="373">
        <v>30954543</v>
      </c>
      <c r="B1915" t="s">
        <v>2194</v>
      </c>
    </row>
    <row r="1916" spans="1:2" hidden="1" x14ac:dyDescent="0.3">
      <c r="A1916" s="373">
        <v>30954543</v>
      </c>
      <c r="B1916" t="s">
        <v>2194</v>
      </c>
    </row>
    <row r="1917" spans="1:2" hidden="1" x14ac:dyDescent="0.3">
      <c r="A1917" s="373">
        <v>16218369</v>
      </c>
      <c r="B1917" t="s">
        <v>1641</v>
      </c>
    </row>
    <row r="1918" spans="1:2" hidden="1" x14ac:dyDescent="0.3">
      <c r="A1918" s="373">
        <v>20128057499</v>
      </c>
      <c r="B1918" t="s">
        <v>2184</v>
      </c>
    </row>
    <row r="1919" spans="1:2" hidden="1" x14ac:dyDescent="0.3">
      <c r="A1919" s="373">
        <v>20128057499</v>
      </c>
      <c r="B1919" t="s">
        <v>2184</v>
      </c>
    </row>
    <row r="1920" spans="1:2" hidden="1" x14ac:dyDescent="0.3">
      <c r="A1920" s="373">
        <v>30712217487</v>
      </c>
      <c r="B1920" t="s">
        <v>1642</v>
      </c>
    </row>
    <row r="1921" spans="1:2" hidden="1" x14ac:dyDescent="0.3">
      <c r="A1921" s="373">
        <v>30707515232</v>
      </c>
      <c r="B1921" t="s">
        <v>1643</v>
      </c>
    </row>
    <row r="1922" spans="1:2" hidden="1" x14ac:dyDescent="0.3">
      <c r="A1922" s="373">
        <v>30715413678</v>
      </c>
      <c r="B1922" t="s">
        <v>1644</v>
      </c>
    </row>
    <row r="1923" spans="1:2" hidden="1" x14ac:dyDescent="0.3">
      <c r="A1923" s="373">
        <v>27127809521</v>
      </c>
      <c r="B1923" t="s">
        <v>1645</v>
      </c>
    </row>
    <row r="1924" spans="1:2" hidden="1" x14ac:dyDescent="0.3">
      <c r="A1924" s="373">
        <v>30714593095</v>
      </c>
      <c r="B1924" t="s">
        <v>1646</v>
      </c>
    </row>
    <row r="1925" spans="1:2" hidden="1" x14ac:dyDescent="0.3">
      <c r="A1925" s="373">
        <v>30708084944</v>
      </c>
      <c r="B1925" t="s">
        <v>1647</v>
      </c>
    </row>
    <row r="1926" spans="1:2" hidden="1" x14ac:dyDescent="0.3">
      <c r="A1926" s="373">
        <v>27231348420</v>
      </c>
      <c r="B1926" t="s">
        <v>1648</v>
      </c>
    </row>
    <row r="1927" spans="1:2" hidden="1" x14ac:dyDescent="0.3">
      <c r="A1927" s="373">
        <v>27231348420</v>
      </c>
      <c r="B1927" t="s">
        <v>1648</v>
      </c>
    </row>
    <row r="1928" spans="1:2" hidden="1" x14ac:dyDescent="0.3">
      <c r="A1928" s="373">
        <v>27231348420</v>
      </c>
      <c r="B1928" t="s">
        <v>1648</v>
      </c>
    </row>
    <row r="1929" spans="1:2" hidden="1" x14ac:dyDescent="0.3">
      <c r="A1929" s="373">
        <v>27231348420</v>
      </c>
      <c r="B1929" t="s">
        <v>1648</v>
      </c>
    </row>
    <row r="1930" spans="1:2" hidden="1" x14ac:dyDescent="0.3">
      <c r="A1930" s="373">
        <v>27231348420</v>
      </c>
      <c r="B1930" t="s">
        <v>1648</v>
      </c>
    </row>
    <row r="1931" spans="1:2" hidden="1" x14ac:dyDescent="0.3">
      <c r="A1931" s="373">
        <v>27106477871</v>
      </c>
      <c r="B1931" t="s">
        <v>1649</v>
      </c>
    </row>
    <row r="1932" spans="1:2" hidden="1" x14ac:dyDescent="0.3">
      <c r="A1932" s="373">
        <v>30716279843</v>
      </c>
      <c r="B1932" t="s">
        <v>1650</v>
      </c>
    </row>
    <row r="1933" spans="1:2" hidden="1" x14ac:dyDescent="0.3">
      <c r="A1933" s="373">
        <v>30717080269</v>
      </c>
      <c r="B1933" t="s">
        <v>1651</v>
      </c>
    </row>
    <row r="1934" spans="1:2" hidden="1" x14ac:dyDescent="0.3">
      <c r="A1934" s="373">
        <v>30715405187</v>
      </c>
      <c r="B1934" t="s">
        <v>1652</v>
      </c>
    </row>
    <row r="1935" spans="1:2" hidden="1" x14ac:dyDescent="0.3">
      <c r="A1935" s="373">
        <v>23866620</v>
      </c>
      <c r="B1935" t="s">
        <v>2302</v>
      </c>
    </row>
    <row r="1936" spans="1:2" hidden="1" x14ac:dyDescent="0.3">
      <c r="A1936" s="373">
        <v>23866620</v>
      </c>
      <c r="B1936" t="s">
        <v>2302</v>
      </c>
    </row>
    <row r="1937" spans="1:2" hidden="1" x14ac:dyDescent="0.3">
      <c r="A1937" s="373">
        <v>23866620</v>
      </c>
      <c r="B1937" t="s">
        <v>2302</v>
      </c>
    </row>
    <row r="1938" spans="1:2" hidden="1" x14ac:dyDescent="0.3">
      <c r="A1938" s="373">
        <v>23866620</v>
      </c>
      <c r="B1938" t="s">
        <v>2302</v>
      </c>
    </row>
    <row r="1939" spans="1:2" hidden="1" x14ac:dyDescent="0.3">
      <c r="A1939" s="373">
        <v>26198343</v>
      </c>
      <c r="B1939" t="s">
        <v>1653</v>
      </c>
    </row>
    <row r="1940" spans="1:2" hidden="1" x14ac:dyDescent="0.3">
      <c r="A1940" s="373">
        <v>20182267164</v>
      </c>
      <c r="B1940" t="s">
        <v>1654</v>
      </c>
    </row>
    <row r="1941" spans="1:2" hidden="1" x14ac:dyDescent="0.3">
      <c r="A1941" s="373">
        <v>23131563779</v>
      </c>
      <c r="B1941" t="s">
        <v>1655</v>
      </c>
    </row>
    <row r="1942" spans="1:2" hidden="1" x14ac:dyDescent="0.3">
      <c r="A1942" s="373">
        <v>20929849907</v>
      </c>
      <c r="B1942" t="s">
        <v>1656</v>
      </c>
    </row>
    <row r="1943" spans="1:2" hidden="1" x14ac:dyDescent="0.3">
      <c r="A1943" s="373">
        <v>23144901819</v>
      </c>
      <c r="B1943" t="s">
        <v>1657</v>
      </c>
    </row>
    <row r="1944" spans="1:2" hidden="1" x14ac:dyDescent="0.3">
      <c r="A1944" s="373">
        <v>37582966</v>
      </c>
      <c r="B1944" t="s">
        <v>2324</v>
      </c>
    </row>
    <row r="1945" spans="1:2" hidden="1" x14ac:dyDescent="0.3">
      <c r="A1945" s="373">
        <v>37582966</v>
      </c>
      <c r="B1945" t="s">
        <v>2324</v>
      </c>
    </row>
    <row r="1946" spans="1:2" hidden="1" x14ac:dyDescent="0.3">
      <c r="A1946" s="373">
        <v>23085797</v>
      </c>
      <c r="B1946" t="s">
        <v>2330</v>
      </c>
    </row>
    <row r="1947" spans="1:2" hidden="1" x14ac:dyDescent="0.3">
      <c r="A1947" s="373">
        <v>23085797</v>
      </c>
      <c r="B1947" t="s">
        <v>2330</v>
      </c>
    </row>
    <row r="1948" spans="1:2" hidden="1" x14ac:dyDescent="0.3">
      <c r="A1948" s="373">
        <v>30957738</v>
      </c>
      <c r="B1948" t="s">
        <v>2210</v>
      </c>
    </row>
    <row r="1949" spans="1:2" hidden="1" x14ac:dyDescent="0.3">
      <c r="A1949" s="373">
        <v>30957738</v>
      </c>
      <c r="B1949" t="s">
        <v>2210</v>
      </c>
    </row>
    <row r="1950" spans="1:2" hidden="1" x14ac:dyDescent="0.3">
      <c r="A1950" s="373">
        <v>30957738</v>
      </c>
      <c r="B1950" t="s">
        <v>2210</v>
      </c>
    </row>
    <row r="1951" spans="1:2" hidden="1" x14ac:dyDescent="0.3">
      <c r="A1951" s="373">
        <v>30957738</v>
      </c>
      <c r="B1951" t="s">
        <v>2210</v>
      </c>
    </row>
    <row r="1952" spans="1:2" hidden="1" x14ac:dyDescent="0.3">
      <c r="A1952" s="373">
        <v>94658910</v>
      </c>
      <c r="B1952" t="s">
        <v>2203</v>
      </c>
    </row>
    <row r="1953" spans="1:2" hidden="1" x14ac:dyDescent="0.3">
      <c r="A1953" s="373">
        <v>94658910</v>
      </c>
      <c r="B1953" t="s">
        <v>2203</v>
      </c>
    </row>
    <row r="1954" spans="1:2" hidden="1" x14ac:dyDescent="0.3">
      <c r="A1954" s="373">
        <v>94658910</v>
      </c>
      <c r="B1954" t="s">
        <v>2203</v>
      </c>
    </row>
    <row r="1955" spans="1:2" hidden="1" x14ac:dyDescent="0.3">
      <c r="A1955" s="373">
        <v>94658910</v>
      </c>
      <c r="B1955" t="s">
        <v>2203</v>
      </c>
    </row>
    <row r="1956" spans="1:2" hidden="1" x14ac:dyDescent="0.3">
      <c r="A1956" s="373">
        <v>94658910</v>
      </c>
      <c r="B1956" t="s">
        <v>2203</v>
      </c>
    </row>
    <row r="1957" spans="1:2" hidden="1" x14ac:dyDescent="0.3">
      <c r="A1957" s="373">
        <v>94658910</v>
      </c>
      <c r="B1957" t="s">
        <v>2203</v>
      </c>
    </row>
    <row r="1958" spans="1:2" hidden="1" x14ac:dyDescent="0.3">
      <c r="A1958" s="373">
        <v>94658910</v>
      </c>
      <c r="B1958" t="s">
        <v>2203</v>
      </c>
    </row>
    <row r="1959" spans="1:2" hidden="1" x14ac:dyDescent="0.3">
      <c r="A1959" s="373">
        <v>94658910</v>
      </c>
      <c r="B1959" t="s">
        <v>2203</v>
      </c>
    </row>
    <row r="1960" spans="1:2" hidden="1" x14ac:dyDescent="0.3">
      <c r="A1960" s="373">
        <v>20126925272</v>
      </c>
      <c r="B1960" t="s">
        <v>1658</v>
      </c>
    </row>
    <row r="1961" spans="1:2" hidden="1" x14ac:dyDescent="0.3">
      <c r="A1961" s="373">
        <v>20243799296</v>
      </c>
      <c r="B1961" t="s">
        <v>1659</v>
      </c>
    </row>
    <row r="1962" spans="1:2" hidden="1" x14ac:dyDescent="0.3">
      <c r="A1962" s="373">
        <v>20120499174</v>
      </c>
      <c r="B1962" t="s">
        <v>1660</v>
      </c>
    </row>
    <row r="1963" spans="1:2" hidden="1" x14ac:dyDescent="0.3">
      <c r="A1963" s="373">
        <v>23284031709</v>
      </c>
      <c r="B1963" t="s">
        <v>1662</v>
      </c>
    </row>
    <row r="1964" spans="1:2" hidden="1" x14ac:dyDescent="0.3">
      <c r="A1964" s="373">
        <v>12493401</v>
      </c>
      <c r="B1964" t="s">
        <v>2328</v>
      </c>
    </row>
    <row r="1965" spans="1:2" hidden="1" x14ac:dyDescent="0.3">
      <c r="A1965" s="373">
        <v>12493401</v>
      </c>
      <c r="B1965" t="s">
        <v>2328</v>
      </c>
    </row>
    <row r="1966" spans="1:2" hidden="1" x14ac:dyDescent="0.3">
      <c r="A1966" s="373">
        <v>12493401</v>
      </c>
      <c r="B1966" t="s">
        <v>2295</v>
      </c>
    </row>
    <row r="1967" spans="1:2" hidden="1" x14ac:dyDescent="0.3">
      <c r="A1967" s="373">
        <v>12493401</v>
      </c>
      <c r="B1967" t="s">
        <v>2295</v>
      </c>
    </row>
    <row r="1968" spans="1:2" hidden="1" x14ac:dyDescent="0.3">
      <c r="A1968" s="373">
        <v>30647302803</v>
      </c>
      <c r="B1968" t="s">
        <v>2573</v>
      </c>
    </row>
    <row r="1969" spans="1:2" hidden="1" x14ac:dyDescent="0.3">
      <c r="A1969" s="373">
        <v>20100020751</v>
      </c>
      <c r="B1969" t="s">
        <v>1663</v>
      </c>
    </row>
    <row r="1970" spans="1:2" hidden="1" x14ac:dyDescent="0.3">
      <c r="A1970" s="373">
        <v>23304475609</v>
      </c>
      <c r="B1970" t="s">
        <v>1664</v>
      </c>
    </row>
    <row r="1971" spans="1:2" hidden="1" x14ac:dyDescent="0.3">
      <c r="A1971" s="373">
        <v>30714260290</v>
      </c>
      <c r="B1971" t="s">
        <v>1666</v>
      </c>
    </row>
    <row r="1972" spans="1:2" hidden="1" x14ac:dyDescent="0.3">
      <c r="A1972" s="373">
        <v>20257454615</v>
      </c>
      <c r="B1972" t="s">
        <v>1667</v>
      </c>
    </row>
    <row r="1973" spans="1:2" hidden="1" x14ac:dyDescent="0.3">
      <c r="A1973" s="373">
        <v>44209390</v>
      </c>
      <c r="B1973" t="s">
        <v>2309</v>
      </c>
    </row>
    <row r="1974" spans="1:2" hidden="1" x14ac:dyDescent="0.3">
      <c r="A1974" s="373">
        <v>44209390</v>
      </c>
      <c r="B1974" t="s">
        <v>2309</v>
      </c>
    </row>
    <row r="1975" spans="1:2" hidden="1" x14ac:dyDescent="0.3">
      <c r="A1975" s="373">
        <v>30710063164</v>
      </c>
      <c r="B1975" t="s">
        <v>1668</v>
      </c>
    </row>
    <row r="1976" spans="1:2" hidden="1" x14ac:dyDescent="0.3">
      <c r="A1976" s="373">
        <v>30510865363</v>
      </c>
      <c r="B1976" t="s">
        <v>1669</v>
      </c>
    </row>
    <row r="1977" spans="1:2" hidden="1" x14ac:dyDescent="0.3">
      <c r="A1977" s="373">
        <v>30709975427</v>
      </c>
      <c r="B1977" t="s">
        <v>1670</v>
      </c>
    </row>
    <row r="1978" spans="1:2" hidden="1" x14ac:dyDescent="0.3">
      <c r="A1978" s="373">
        <v>33714646899</v>
      </c>
      <c r="B1978" t="s">
        <v>1671</v>
      </c>
    </row>
    <row r="1979" spans="1:2" hidden="1" x14ac:dyDescent="0.3">
      <c r="A1979" s="373">
        <v>27137541314</v>
      </c>
      <c r="B1979" t="s">
        <v>1672</v>
      </c>
    </row>
    <row r="1980" spans="1:2" hidden="1" x14ac:dyDescent="0.3">
      <c r="A1980" s="373">
        <v>30504744538</v>
      </c>
      <c r="B1980" t="s">
        <v>77</v>
      </c>
    </row>
    <row r="1981" spans="1:2" hidden="1" x14ac:dyDescent="0.3">
      <c r="A1981" s="373">
        <v>30707950990</v>
      </c>
      <c r="B1981" t="s">
        <v>2529</v>
      </c>
    </row>
    <row r="1982" spans="1:2" hidden="1" x14ac:dyDescent="0.3">
      <c r="A1982" s="373">
        <v>30717434710</v>
      </c>
      <c r="B1982" t="s">
        <v>2429</v>
      </c>
    </row>
    <row r="1983" spans="1:2" hidden="1" x14ac:dyDescent="0.3">
      <c r="A1983" s="373">
        <v>30717434710</v>
      </c>
      <c r="B1983" t="s">
        <v>2429</v>
      </c>
    </row>
    <row r="1984" spans="1:2" hidden="1" x14ac:dyDescent="0.3">
      <c r="A1984" s="373">
        <v>19015786</v>
      </c>
      <c r="B1984" t="s">
        <v>2318</v>
      </c>
    </row>
    <row r="1985" spans="1:2" hidden="1" x14ac:dyDescent="0.3">
      <c r="A1985" s="373">
        <v>19015786</v>
      </c>
      <c r="B1985" t="s">
        <v>2318</v>
      </c>
    </row>
    <row r="1986" spans="1:2" hidden="1" x14ac:dyDescent="0.3">
      <c r="A1986" s="373">
        <v>30707228098</v>
      </c>
      <c r="B1986" t="s">
        <v>1675</v>
      </c>
    </row>
    <row r="1987" spans="1:2" hidden="1" x14ac:dyDescent="0.3">
      <c r="A1987" s="373">
        <v>20170681844</v>
      </c>
      <c r="B1987" t="s">
        <v>1676</v>
      </c>
    </row>
    <row r="1988" spans="1:2" hidden="1" x14ac:dyDescent="0.3">
      <c r="A1988" s="373">
        <v>37018499</v>
      </c>
      <c r="B1988" t="s">
        <v>2284</v>
      </c>
    </row>
    <row r="1989" spans="1:2" hidden="1" x14ac:dyDescent="0.3">
      <c r="A1989" s="373">
        <v>37018499</v>
      </c>
      <c r="B1989" t="s">
        <v>2284</v>
      </c>
    </row>
    <row r="1990" spans="1:2" hidden="1" x14ac:dyDescent="0.3">
      <c r="A1990" s="373">
        <v>24589431</v>
      </c>
      <c r="B1990" t="s">
        <v>2199</v>
      </c>
    </row>
    <row r="1991" spans="1:2" hidden="1" x14ac:dyDescent="0.3">
      <c r="A1991" s="373">
        <v>24589431</v>
      </c>
      <c r="B1991" t="s">
        <v>2199</v>
      </c>
    </row>
    <row r="1992" spans="1:2" hidden="1" x14ac:dyDescent="0.3">
      <c r="A1992" s="373">
        <v>20325657988</v>
      </c>
      <c r="B1992" t="s">
        <v>1677</v>
      </c>
    </row>
    <row r="1993" spans="1:2" hidden="1" x14ac:dyDescent="0.3">
      <c r="A1993" s="373">
        <v>20242932413</v>
      </c>
      <c r="B1993" t="s">
        <v>1678</v>
      </c>
    </row>
    <row r="1994" spans="1:2" hidden="1" x14ac:dyDescent="0.3">
      <c r="A1994" s="373">
        <v>30714971782</v>
      </c>
      <c r="B1994" t="s">
        <v>2845</v>
      </c>
    </row>
    <row r="1995" spans="1:2" hidden="1" x14ac:dyDescent="0.3">
      <c r="A1995" s="373">
        <v>20222061947</v>
      </c>
      <c r="B1995" t="s">
        <v>1682</v>
      </c>
    </row>
    <row r="1996" spans="1:2" hidden="1" x14ac:dyDescent="0.3">
      <c r="A1996" s="373">
        <v>33715426779</v>
      </c>
      <c r="B1996" t="s">
        <v>1683</v>
      </c>
    </row>
    <row r="1997" spans="1:2" hidden="1" x14ac:dyDescent="0.3">
      <c r="A1997" s="373">
        <v>20236710026</v>
      </c>
      <c r="B1997" t="s">
        <v>1684</v>
      </c>
    </row>
    <row r="1998" spans="1:2" hidden="1" x14ac:dyDescent="0.3">
      <c r="A1998" s="406">
        <v>30716250071</v>
      </c>
      <c r="B1998" t="s">
        <v>2848</v>
      </c>
    </row>
    <row r="1999" spans="1:2" hidden="1" x14ac:dyDescent="0.3">
      <c r="A1999" s="373">
        <v>30555517757</v>
      </c>
      <c r="B1999" t="s">
        <v>1686</v>
      </c>
    </row>
    <row r="2000" spans="1:2" hidden="1" x14ac:dyDescent="0.3">
      <c r="A2000" s="373">
        <v>30646811062</v>
      </c>
      <c r="B2000" t="s">
        <v>2850</v>
      </c>
    </row>
    <row r="2001" spans="1:2" hidden="1" x14ac:dyDescent="0.3">
      <c r="A2001" s="373">
        <v>33643358749</v>
      </c>
      <c r="B2001" t="s">
        <v>2665</v>
      </c>
    </row>
    <row r="2002" spans="1:2" hidden="1" x14ac:dyDescent="0.3">
      <c r="A2002" s="373">
        <v>20263156324</v>
      </c>
      <c r="B2002" t="s">
        <v>1690</v>
      </c>
    </row>
    <row r="2003" spans="1:2" hidden="1" x14ac:dyDescent="0.3">
      <c r="A2003" s="373">
        <v>5965253</v>
      </c>
      <c r="B2003" t="s">
        <v>2305</v>
      </c>
    </row>
    <row r="2004" spans="1:2" hidden="1" x14ac:dyDescent="0.3">
      <c r="A2004" s="373">
        <v>5965253</v>
      </c>
      <c r="B2004" t="s">
        <v>2305</v>
      </c>
    </row>
    <row r="2005" spans="1:2" hidden="1" x14ac:dyDescent="0.3">
      <c r="A2005" s="373">
        <v>27368065981</v>
      </c>
      <c r="B2005" t="s">
        <v>2508</v>
      </c>
    </row>
    <row r="2006" spans="1:2" hidden="1" x14ac:dyDescent="0.3">
      <c r="A2006" s="373">
        <v>30717498980</v>
      </c>
      <c r="B2006" t="s">
        <v>1691</v>
      </c>
    </row>
    <row r="2007" spans="1:2" hidden="1" x14ac:dyDescent="0.3">
      <c r="A2007" s="373">
        <v>30711540853</v>
      </c>
      <c r="B2007" t="s">
        <v>1692</v>
      </c>
    </row>
    <row r="2008" spans="1:2" hidden="1" x14ac:dyDescent="0.3">
      <c r="A2008" s="373">
        <v>30714249416</v>
      </c>
      <c r="B2008" t="s">
        <v>1693</v>
      </c>
    </row>
    <row r="2009" spans="1:2" hidden="1" x14ac:dyDescent="0.3">
      <c r="A2009" s="373">
        <v>30709463612</v>
      </c>
      <c r="B2009" t="s">
        <v>1696</v>
      </c>
    </row>
    <row r="2010" spans="1:2" hidden="1" x14ac:dyDescent="0.3">
      <c r="A2010" s="373">
        <v>27203132722</v>
      </c>
      <c r="B2010" t="s">
        <v>1697</v>
      </c>
    </row>
    <row r="2011" spans="1:2" hidden="1" x14ac:dyDescent="0.3">
      <c r="A2011" s="373">
        <v>30683550872</v>
      </c>
      <c r="B2011" t="s">
        <v>2852</v>
      </c>
    </row>
    <row r="2012" spans="1:2" hidden="1" x14ac:dyDescent="0.3">
      <c r="A2012" s="373">
        <v>23250680</v>
      </c>
      <c r="B2012" t="s">
        <v>2266</v>
      </c>
    </row>
    <row r="2013" spans="1:2" hidden="1" x14ac:dyDescent="0.3">
      <c r="A2013" s="373">
        <v>23250680</v>
      </c>
      <c r="B2013" t="s">
        <v>2266</v>
      </c>
    </row>
    <row r="2014" spans="1:2" hidden="1" x14ac:dyDescent="0.3">
      <c r="A2014" s="373">
        <v>23250680</v>
      </c>
      <c r="B2014" t="s">
        <v>2266</v>
      </c>
    </row>
    <row r="2015" spans="1:2" hidden="1" x14ac:dyDescent="0.3">
      <c r="A2015" s="373">
        <v>23250680</v>
      </c>
      <c r="B2015" t="s">
        <v>2266</v>
      </c>
    </row>
    <row r="2016" spans="1:2" hidden="1" x14ac:dyDescent="0.3">
      <c r="A2016" s="373">
        <v>23250680</v>
      </c>
      <c r="B2016" t="s">
        <v>2266</v>
      </c>
    </row>
    <row r="2017" spans="1:2" hidden="1" x14ac:dyDescent="0.3">
      <c r="A2017" s="373">
        <v>23250680</v>
      </c>
      <c r="B2017" t="s">
        <v>2266</v>
      </c>
    </row>
    <row r="2018" spans="1:2" hidden="1" x14ac:dyDescent="0.3">
      <c r="A2018" s="373">
        <v>30708390468</v>
      </c>
      <c r="B2018" t="s">
        <v>1698</v>
      </c>
    </row>
    <row r="2019" spans="1:2" hidden="1" x14ac:dyDescent="0.3">
      <c r="A2019" s="373">
        <v>30619305848</v>
      </c>
      <c r="B2019" t="s">
        <v>1699</v>
      </c>
    </row>
    <row r="2020" spans="1:2" hidden="1" x14ac:dyDescent="0.3">
      <c r="A2020" s="373">
        <v>30583464138</v>
      </c>
      <c r="B2020" t="s">
        <v>1700</v>
      </c>
    </row>
    <row r="2021" spans="1:2" hidden="1" x14ac:dyDescent="0.3">
      <c r="A2021" s="373">
        <v>33086180</v>
      </c>
      <c r="B2021" t="s">
        <v>2200</v>
      </c>
    </row>
    <row r="2022" spans="1:2" hidden="1" x14ac:dyDescent="0.3">
      <c r="A2022" s="373">
        <v>33086180</v>
      </c>
      <c r="B2022" t="s">
        <v>2200</v>
      </c>
    </row>
    <row r="2023" spans="1:2" hidden="1" x14ac:dyDescent="0.3">
      <c r="A2023" s="373">
        <v>33086180</v>
      </c>
      <c r="B2023" t="s">
        <v>2200</v>
      </c>
    </row>
    <row r="2024" spans="1:2" hidden="1" x14ac:dyDescent="0.3">
      <c r="A2024" s="373">
        <v>33086180</v>
      </c>
      <c r="B2024" t="s">
        <v>2200</v>
      </c>
    </row>
    <row r="2025" spans="1:2" hidden="1" x14ac:dyDescent="0.3">
      <c r="A2025" s="373">
        <v>33086180</v>
      </c>
      <c r="B2025" t="s">
        <v>2200</v>
      </c>
    </row>
    <row r="2026" spans="1:2" hidden="1" x14ac:dyDescent="0.3">
      <c r="A2026" s="373">
        <v>33086180</v>
      </c>
      <c r="B2026" t="s">
        <v>2200</v>
      </c>
    </row>
    <row r="2027" spans="1:2" hidden="1" x14ac:dyDescent="0.3">
      <c r="A2027" s="373">
        <v>33086180</v>
      </c>
      <c r="B2027" t="s">
        <v>2200</v>
      </c>
    </row>
    <row r="2028" spans="1:2" hidden="1" x14ac:dyDescent="0.3">
      <c r="A2028" s="373">
        <v>33086180</v>
      </c>
      <c r="B2028" t="s">
        <v>2200</v>
      </c>
    </row>
    <row r="2029" spans="1:2" hidden="1" x14ac:dyDescent="0.3">
      <c r="A2029" s="373">
        <v>30711122911</v>
      </c>
      <c r="B2029" t="s">
        <v>1701</v>
      </c>
    </row>
    <row r="2030" spans="1:2" hidden="1" x14ac:dyDescent="0.3">
      <c r="A2030" s="373">
        <v>23230332169</v>
      </c>
      <c r="B2030" t="s">
        <v>1702</v>
      </c>
    </row>
    <row r="2031" spans="1:2" hidden="1" x14ac:dyDescent="0.3">
      <c r="A2031" s="373">
        <v>20339137111</v>
      </c>
      <c r="B2031" t="s">
        <v>1703</v>
      </c>
    </row>
    <row r="2032" spans="1:2" hidden="1" x14ac:dyDescent="0.3">
      <c r="A2032" s="373">
        <v>30550005987</v>
      </c>
      <c r="B2032" t="s">
        <v>1704</v>
      </c>
    </row>
    <row r="2033" spans="1:2" hidden="1" x14ac:dyDescent="0.3">
      <c r="A2033" s="373">
        <v>27128309174</v>
      </c>
      <c r="B2033" t="s">
        <v>1706</v>
      </c>
    </row>
    <row r="2034" spans="1:2" hidden="1" x14ac:dyDescent="0.3">
      <c r="A2034" s="373">
        <v>30707970010</v>
      </c>
      <c r="B2034" t="s">
        <v>1707</v>
      </c>
    </row>
    <row r="2035" spans="1:2" hidden="1" x14ac:dyDescent="0.3">
      <c r="A2035" s="373">
        <v>30520079129</v>
      </c>
      <c r="B2035" t="s">
        <v>1708</v>
      </c>
    </row>
    <row r="2036" spans="1:2" hidden="1" x14ac:dyDescent="0.3">
      <c r="A2036" s="373">
        <v>30520079129</v>
      </c>
      <c r="B2036" t="s">
        <v>1709</v>
      </c>
    </row>
    <row r="2037" spans="1:2" hidden="1" x14ac:dyDescent="0.3">
      <c r="A2037" s="373">
        <v>30677866868</v>
      </c>
      <c r="B2037" t="s">
        <v>1710</v>
      </c>
    </row>
    <row r="2038" spans="1:2" hidden="1" x14ac:dyDescent="0.3">
      <c r="A2038" s="373">
        <v>30715853465</v>
      </c>
      <c r="B2038" t="s">
        <v>1711</v>
      </c>
    </row>
    <row r="2039" spans="1:2" hidden="1" x14ac:dyDescent="0.3">
      <c r="A2039" s="373">
        <v>30710576137</v>
      </c>
      <c r="B2039" t="s">
        <v>1712</v>
      </c>
    </row>
    <row r="2040" spans="1:2" hidden="1" x14ac:dyDescent="0.3">
      <c r="A2040" s="373">
        <v>30711989680</v>
      </c>
      <c r="B2040" t="s">
        <v>1713</v>
      </c>
    </row>
    <row r="2041" spans="1:2" hidden="1" x14ac:dyDescent="0.3">
      <c r="A2041" s="373">
        <v>33714326029</v>
      </c>
      <c r="B2041" t="s">
        <v>1714</v>
      </c>
    </row>
    <row r="2042" spans="1:2" hidden="1" x14ac:dyDescent="0.3">
      <c r="A2042" s="373">
        <v>30605215412</v>
      </c>
      <c r="B2042" t="s">
        <v>1715</v>
      </c>
    </row>
    <row r="2043" spans="1:2" hidden="1" x14ac:dyDescent="0.3">
      <c r="A2043" s="373">
        <v>30710207190</v>
      </c>
      <c r="B2043" t="s">
        <v>1716</v>
      </c>
    </row>
    <row r="2044" spans="1:2" hidden="1" x14ac:dyDescent="0.3">
      <c r="A2044" s="373">
        <v>30660432961</v>
      </c>
      <c r="B2044" t="s">
        <v>1717</v>
      </c>
    </row>
    <row r="2045" spans="1:2" hidden="1" x14ac:dyDescent="0.3">
      <c r="A2045" s="373">
        <v>33714439869</v>
      </c>
      <c r="B2045" t="s">
        <v>2854</v>
      </c>
    </row>
    <row r="2046" spans="1:2" hidden="1" x14ac:dyDescent="0.3">
      <c r="A2046" s="373">
        <v>30644602687</v>
      </c>
      <c r="B2046" t="s">
        <v>1718</v>
      </c>
    </row>
    <row r="2047" spans="1:2" hidden="1" x14ac:dyDescent="0.3">
      <c r="A2047" s="373">
        <v>30715877569</v>
      </c>
      <c r="B2047" t="s">
        <v>2581</v>
      </c>
    </row>
    <row r="2048" spans="1:2" hidden="1" x14ac:dyDescent="0.3">
      <c r="A2048" s="373">
        <v>20277651441</v>
      </c>
      <c r="B2048" t="s">
        <v>1719</v>
      </c>
    </row>
    <row r="2049" spans="1:2" hidden="1" x14ac:dyDescent="0.3">
      <c r="A2049" s="373">
        <v>23202815669</v>
      </c>
      <c r="B2049" t="s">
        <v>1721</v>
      </c>
    </row>
    <row r="2050" spans="1:2" hidden="1" x14ac:dyDescent="0.3">
      <c r="A2050" s="373">
        <v>20046224931</v>
      </c>
      <c r="B2050" t="s">
        <v>1722</v>
      </c>
    </row>
    <row r="2051" spans="1:2" hidden="1" x14ac:dyDescent="0.3">
      <c r="A2051" s="373">
        <v>30715380761</v>
      </c>
      <c r="B2051" t="s">
        <v>1723</v>
      </c>
    </row>
    <row r="2052" spans="1:2" hidden="1" x14ac:dyDescent="0.3">
      <c r="A2052" s="373">
        <v>30714861839</v>
      </c>
      <c r="B2052" t="s">
        <v>1724</v>
      </c>
    </row>
    <row r="2053" spans="1:2" hidden="1" x14ac:dyDescent="0.3">
      <c r="A2053" s="373">
        <v>30712121102</v>
      </c>
      <c r="B2053" t="s">
        <v>1726</v>
      </c>
    </row>
    <row r="2054" spans="1:2" hidden="1" x14ac:dyDescent="0.3">
      <c r="A2054" s="373">
        <v>30717398196</v>
      </c>
      <c r="B2054" t="s">
        <v>2454</v>
      </c>
    </row>
    <row r="2055" spans="1:2" hidden="1" x14ac:dyDescent="0.3">
      <c r="A2055" s="373">
        <v>30717398196</v>
      </c>
      <c r="B2055" t="s">
        <v>2454</v>
      </c>
    </row>
    <row r="2056" spans="1:2" hidden="1" x14ac:dyDescent="0.3">
      <c r="A2056" s="373">
        <v>30714863815</v>
      </c>
      <c r="B2056" t="s">
        <v>2855</v>
      </c>
    </row>
    <row r="2057" spans="1:2" hidden="1" x14ac:dyDescent="0.3">
      <c r="A2057" s="373">
        <v>30568731936</v>
      </c>
      <c r="B2057" t="s">
        <v>1728</v>
      </c>
    </row>
    <row r="2058" spans="1:2" hidden="1" x14ac:dyDescent="0.3">
      <c r="A2058" s="373">
        <v>20334579019</v>
      </c>
      <c r="B2058" t="s">
        <v>2127</v>
      </c>
    </row>
    <row r="2059" spans="1:2" hidden="1" x14ac:dyDescent="0.3">
      <c r="A2059" s="373">
        <v>20334579019</v>
      </c>
      <c r="B2059" t="s">
        <v>2127</v>
      </c>
    </row>
    <row r="2060" spans="1:2" hidden="1" x14ac:dyDescent="0.3">
      <c r="A2060" s="373">
        <v>20388902877</v>
      </c>
      <c r="B2060" t="s">
        <v>1730</v>
      </c>
    </row>
    <row r="2061" spans="1:2" hidden="1" x14ac:dyDescent="0.3">
      <c r="A2061" s="373">
        <v>30716237997</v>
      </c>
      <c r="B2061" t="s">
        <v>1731</v>
      </c>
    </row>
    <row r="2062" spans="1:2" hidden="1" x14ac:dyDescent="0.3">
      <c r="A2062" s="373">
        <v>30611843565</v>
      </c>
      <c r="B2062" t="s">
        <v>1732</v>
      </c>
    </row>
    <row r="2063" spans="1:2" hidden="1" x14ac:dyDescent="0.3">
      <c r="A2063" s="373">
        <v>12892105</v>
      </c>
      <c r="B2063" t="s">
        <v>1733</v>
      </c>
    </row>
    <row r="2064" spans="1:2" hidden="1" x14ac:dyDescent="0.3">
      <c r="A2064" s="373">
        <v>27137856870</v>
      </c>
      <c r="B2064" t="s">
        <v>1734</v>
      </c>
    </row>
    <row r="2065" spans="1:2" hidden="1" x14ac:dyDescent="0.3">
      <c r="A2065" s="373">
        <v>27233748205</v>
      </c>
      <c r="B2065" t="s">
        <v>1735</v>
      </c>
    </row>
    <row r="2066" spans="1:2" hidden="1" x14ac:dyDescent="0.3">
      <c r="A2066" s="373">
        <v>5143707</v>
      </c>
      <c r="B2066" t="s">
        <v>2321</v>
      </c>
    </row>
    <row r="2067" spans="1:2" hidden="1" x14ac:dyDescent="0.3">
      <c r="A2067" s="373">
        <v>5143707</v>
      </c>
      <c r="B2067" t="s">
        <v>2321</v>
      </c>
    </row>
    <row r="2068" spans="1:2" hidden="1" x14ac:dyDescent="0.3">
      <c r="A2068" s="373">
        <v>5143707</v>
      </c>
      <c r="B2068" t="s">
        <v>2321</v>
      </c>
    </row>
    <row r="2069" spans="1:2" hidden="1" x14ac:dyDescent="0.3">
      <c r="A2069" s="373">
        <v>5143707</v>
      </c>
      <c r="B2069" t="s">
        <v>2321</v>
      </c>
    </row>
    <row r="2070" spans="1:2" hidden="1" x14ac:dyDescent="0.3">
      <c r="A2070" s="373">
        <v>27135427069</v>
      </c>
      <c r="B2070" t="s">
        <v>1737</v>
      </c>
    </row>
    <row r="2071" spans="1:2" hidden="1" x14ac:dyDescent="0.3">
      <c r="A2071" s="373">
        <v>20045434207</v>
      </c>
      <c r="B2071" t="s">
        <v>1738</v>
      </c>
    </row>
    <row r="2072" spans="1:2" hidden="1" x14ac:dyDescent="0.3">
      <c r="A2072" s="373">
        <v>27333102035</v>
      </c>
      <c r="B2072" t="s">
        <v>2505</v>
      </c>
    </row>
    <row r="2073" spans="1:2" hidden="1" x14ac:dyDescent="0.3">
      <c r="A2073" s="373">
        <v>27179366741</v>
      </c>
      <c r="B2073" t="s">
        <v>1740</v>
      </c>
    </row>
    <row r="2074" spans="1:2" hidden="1" x14ac:dyDescent="0.3">
      <c r="A2074" s="373">
        <v>60433055</v>
      </c>
      <c r="B2074" t="s">
        <v>2264</v>
      </c>
    </row>
    <row r="2075" spans="1:2" hidden="1" x14ac:dyDescent="0.3">
      <c r="A2075" s="373">
        <v>60433055</v>
      </c>
      <c r="B2075" t="s">
        <v>2264</v>
      </c>
    </row>
    <row r="2076" spans="1:2" hidden="1" x14ac:dyDescent="0.3">
      <c r="A2076" s="373">
        <v>23180421564</v>
      </c>
      <c r="B2076" t="s">
        <v>2499</v>
      </c>
    </row>
    <row r="2077" spans="1:2" hidden="1" x14ac:dyDescent="0.3">
      <c r="A2077" s="373">
        <v>20304029561</v>
      </c>
      <c r="B2077" t="s">
        <v>1742</v>
      </c>
    </row>
    <row r="2078" spans="1:2" hidden="1" x14ac:dyDescent="0.3">
      <c r="A2078" s="373">
        <v>20043154835</v>
      </c>
      <c r="B2078" t="s">
        <v>1744</v>
      </c>
    </row>
    <row r="2079" spans="1:2" hidden="1" x14ac:dyDescent="0.3">
      <c r="A2079" s="373">
        <v>30716184826</v>
      </c>
      <c r="B2079" t="s">
        <v>1746</v>
      </c>
    </row>
    <row r="2080" spans="1:2" hidden="1" x14ac:dyDescent="0.3">
      <c r="A2080" s="373">
        <v>33711399149</v>
      </c>
      <c r="B2080" t="s">
        <v>1748</v>
      </c>
    </row>
    <row r="2081" spans="1:2" hidden="1" x14ac:dyDescent="0.3">
      <c r="A2081" s="373">
        <v>30547604888</v>
      </c>
      <c r="B2081" t="s">
        <v>1749</v>
      </c>
    </row>
    <row r="2082" spans="1:2" hidden="1" x14ac:dyDescent="0.3">
      <c r="A2082" s="373">
        <v>30687059812</v>
      </c>
      <c r="B2082" t="s">
        <v>2857</v>
      </c>
    </row>
    <row r="2083" spans="1:2" hidden="1" x14ac:dyDescent="0.3">
      <c r="A2083" s="373">
        <v>30715885596</v>
      </c>
      <c r="B2083" t="s">
        <v>2858</v>
      </c>
    </row>
    <row r="2084" spans="1:2" hidden="1" x14ac:dyDescent="0.3">
      <c r="A2084" s="373">
        <v>20085119614</v>
      </c>
      <c r="B2084" t="s">
        <v>1752</v>
      </c>
    </row>
    <row r="2085" spans="1:2" hidden="1" x14ac:dyDescent="0.3">
      <c r="A2085" s="373">
        <v>20284621434</v>
      </c>
      <c r="B2085" t="s">
        <v>1756</v>
      </c>
    </row>
    <row r="2086" spans="1:2" hidden="1" x14ac:dyDescent="0.3">
      <c r="A2086" s="373">
        <v>30714719773</v>
      </c>
      <c r="B2086" t="s">
        <v>1757</v>
      </c>
    </row>
    <row r="2087" spans="1:2" hidden="1" x14ac:dyDescent="0.3">
      <c r="A2087" s="373">
        <v>30707174788</v>
      </c>
      <c r="B2087" t="s">
        <v>2859</v>
      </c>
    </row>
    <row r="2088" spans="1:2" hidden="1" x14ac:dyDescent="0.3">
      <c r="A2088" s="373">
        <v>30501136510</v>
      </c>
      <c r="B2088" t="s">
        <v>1758</v>
      </c>
    </row>
    <row r="2089" spans="1:2" hidden="1" x14ac:dyDescent="0.3">
      <c r="A2089" s="373">
        <v>27181689183</v>
      </c>
      <c r="B2089" t="s">
        <v>2159</v>
      </c>
    </row>
    <row r="2090" spans="1:2" hidden="1" x14ac:dyDescent="0.3">
      <c r="A2090" s="373">
        <v>27181689183</v>
      </c>
      <c r="B2090" t="s">
        <v>2159</v>
      </c>
    </row>
    <row r="2091" spans="1:2" hidden="1" x14ac:dyDescent="0.3">
      <c r="A2091" s="373">
        <v>30697262063</v>
      </c>
      <c r="B2091" t="s">
        <v>2860</v>
      </c>
    </row>
    <row r="2092" spans="1:2" hidden="1" x14ac:dyDescent="0.3">
      <c r="A2092" s="373">
        <v>30711784833</v>
      </c>
      <c r="B2092" t="s">
        <v>1760</v>
      </c>
    </row>
    <row r="2093" spans="1:2" hidden="1" x14ac:dyDescent="0.3">
      <c r="A2093" s="373">
        <v>20217488738</v>
      </c>
      <c r="B2093" t="s">
        <v>1761</v>
      </c>
    </row>
    <row r="2094" spans="1:2" hidden="1" x14ac:dyDescent="0.3">
      <c r="A2094" s="373">
        <v>30559806052</v>
      </c>
      <c r="B2094" t="s">
        <v>1762</v>
      </c>
    </row>
    <row r="2095" spans="1:2" hidden="1" x14ac:dyDescent="0.3">
      <c r="A2095" s="373">
        <v>30716150891</v>
      </c>
      <c r="B2095" t="s">
        <v>1763</v>
      </c>
    </row>
    <row r="2096" spans="1:2" hidden="1" x14ac:dyDescent="0.3">
      <c r="A2096" s="373">
        <v>20210551574</v>
      </c>
      <c r="B2096" t="s">
        <v>2403</v>
      </c>
    </row>
    <row r="2097" spans="1:2" hidden="1" x14ac:dyDescent="0.3">
      <c r="A2097" s="373">
        <v>30525966859</v>
      </c>
      <c r="B2097" t="s">
        <v>1767</v>
      </c>
    </row>
    <row r="2098" spans="1:2" hidden="1" x14ac:dyDescent="0.3">
      <c r="A2098" s="373">
        <v>20210807889</v>
      </c>
      <c r="B2098" t="s">
        <v>1768</v>
      </c>
    </row>
    <row r="2099" spans="1:2" hidden="1" x14ac:dyDescent="0.3">
      <c r="A2099" s="373">
        <v>30714596574</v>
      </c>
      <c r="B2099" t="s">
        <v>1769</v>
      </c>
    </row>
    <row r="2100" spans="1:2" hidden="1" x14ac:dyDescent="0.3">
      <c r="A2100" s="373">
        <v>20925629708</v>
      </c>
      <c r="B2100" t="s">
        <v>1770</v>
      </c>
    </row>
    <row r="2101" spans="1:2" hidden="1" x14ac:dyDescent="0.3">
      <c r="A2101" s="373">
        <v>30714642762</v>
      </c>
      <c r="B2101" t="s">
        <v>1771</v>
      </c>
    </row>
    <row r="2102" spans="1:2" hidden="1" x14ac:dyDescent="0.3">
      <c r="A2102" s="373">
        <v>30608642869</v>
      </c>
      <c r="B2102" t="s">
        <v>1772</v>
      </c>
    </row>
    <row r="2103" spans="1:2" hidden="1" x14ac:dyDescent="0.3">
      <c r="A2103" s="373">
        <v>23148974314</v>
      </c>
      <c r="B2103" t="s">
        <v>2451</v>
      </c>
    </row>
    <row r="2104" spans="1:2" hidden="1" x14ac:dyDescent="0.3">
      <c r="A2104" s="373">
        <v>23148974314</v>
      </c>
      <c r="B2104" t="s">
        <v>2451</v>
      </c>
    </row>
    <row r="2105" spans="1:2" hidden="1" x14ac:dyDescent="0.3">
      <c r="A2105" s="373">
        <v>20321198946</v>
      </c>
      <c r="B2105" t="s">
        <v>1773</v>
      </c>
    </row>
    <row r="2106" spans="1:2" hidden="1" x14ac:dyDescent="0.3">
      <c r="A2106" s="373">
        <v>20180600710</v>
      </c>
      <c r="B2106" t="s">
        <v>1774</v>
      </c>
    </row>
    <row r="2107" spans="1:2" hidden="1" x14ac:dyDescent="0.3">
      <c r="A2107" s="373">
        <v>30710884281</v>
      </c>
      <c r="B2107" t="s">
        <v>1776</v>
      </c>
    </row>
    <row r="2108" spans="1:2" hidden="1" x14ac:dyDescent="0.3">
      <c r="A2108" s="373">
        <v>30710575203</v>
      </c>
      <c r="B2108" t="s">
        <v>1777</v>
      </c>
    </row>
    <row r="2109" spans="1:2" hidden="1" x14ac:dyDescent="0.3">
      <c r="A2109" s="373">
        <v>30715582593</v>
      </c>
      <c r="B2109" t="s">
        <v>1779</v>
      </c>
    </row>
    <row r="2110" spans="1:2" hidden="1" x14ac:dyDescent="0.3">
      <c r="A2110" s="373">
        <v>30716620995</v>
      </c>
      <c r="B2110" t="s">
        <v>1780</v>
      </c>
    </row>
    <row r="2111" spans="1:2" hidden="1" x14ac:dyDescent="0.3">
      <c r="A2111" s="373">
        <v>20367393042</v>
      </c>
      <c r="B2111" t="s">
        <v>2123</v>
      </c>
    </row>
    <row r="2112" spans="1:2" hidden="1" x14ac:dyDescent="0.3">
      <c r="A2112" s="373">
        <v>20367393042</v>
      </c>
      <c r="B2112" t="s">
        <v>2123</v>
      </c>
    </row>
    <row r="2113" spans="1:2" hidden="1" x14ac:dyDescent="0.3">
      <c r="A2113" s="373">
        <v>30709497789</v>
      </c>
      <c r="B2113" t="s">
        <v>1781</v>
      </c>
    </row>
    <row r="2114" spans="1:2" hidden="1" x14ac:dyDescent="0.3">
      <c r="A2114" s="373">
        <v>35329458</v>
      </c>
      <c r="B2114" t="s">
        <v>2202</v>
      </c>
    </row>
    <row r="2115" spans="1:2" hidden="1" x14ac:dyDescent="0.3">
      <c r="A2115" s="373">
        <v>35458965</v>
      </c>
      <c r="B2115" t="s">
        <v>2202</v>
      </c>
    </row>
    <row r="2116" spans="1:2" hidden="1" x14ac:dyDescent="0.3">
      <c r="A2116" s="373">
        <v>35329458</v>
      </c>
      <c r="B2116" t="s">
        <v>2202</v>
      </c>
    </row>
    <row r="2117" spans="1:2" hidden="1" x14ac:dyDescent="0.3">
      <c r="A2117" s="373">
        <v>35458965</v>
      </c>
      <c r="B2117" t="s">
        <v>2202</v>
      </c>
    </row>
    <row r="2118" spans="1:2" hidden="1" x14ac:dyDescent="0.3">
      <c r="A2118" s="373">
        <v>30714732540</v>
      </c>
      <c r="B2118" t="s">
        <v>1784</v>
      </c>
    </row>
    <row r="2119" spans="1:2" hidden="1" x14ac:dyDescent="0.3">
      <c r="A2119" s="373">
        <v>30921865</v>
      </c>
      <c r="B2119" t="s">
        <v>2228</v>
      </c>
    </row>
    <row r="2120" spans="1:2" hidden="1" x14ac:dyDescent="0.3">
      <c r="A2120" s="373">
        <v>30921865</v>
      </c>
      <c r="B2120" t="s">
        <v>2228</v>
      </c>
    </row>
    <row r="2121" spans="1:2" hidden="1" x14ac:dyDescent="0.3">
      <c r="A2121" s="373">
        <v>30921865</v>
      </c>
      <c r="B2121" t="s">
        <v>2228</v>
      </c>
    </row>
    <row r="2122" spans="1:2" hidden="1" x14ac:dyDescent="0.3">
      <c r="A2122" s="373">
        <v>30921865</v>
      </c>
      <c r="B2122" t="s">
        <v>2228</v>
      </c>
    </row>
    <row r="2123" spans="1:2" hidden="1" x14ac:dyDescent="0.3">
      <c r="A2123" s="373">
        <v>30921865</v>
      </c>
      <c r="B2123" t="s">
        <v>2228</v>
      </c>
    </row>
    <row r="2124" spans="1:2" hidden="1" x14ac:dyDescent="0.3">
      <c r="A2124" s="373">
        <v>30921865</v>
      </c>
      <c r="B2124" t="s">
        <v>2228</v>
      </c>
    </row>
    <row r="2125" spans="1:2" hidden="1" x14ac:dyDescent="0.3">
      <c r="A2125" s="373">
        <v>30921865</v>
      </c>
      <c r="B2125" t="s">
        <v>2228</v>
      </c>
    </row>
    <row r="2126" spans="1:2" hidden="1" x14ac:dyDescent="0.3">
      <c r="A2126" s="373">
        <v>30921865</v>
      </c>
      <c r="B2126" t="s">
        <v>2228</v>
      </c>
    </row>
    <row r="2127" spans="1:2" hidden="1" x14ac:dyDescent="0.3">
      <c r="A2127" s="373">
        <v>30921865</v>
      </c>
      <c r="B2127" t="s">
        <v>2228</v>
      </c>
    </row>
    <row r="2128" spans="1:2" hidden="1" x14ac:dyDescent="0.3">
      <c r="A2128" s="373">
        <v>30921865</v>
      </c>
      <c r="B2128" t="s">
        <v>2228</v>
      </c>
    </row>
    <row r="2129" spans="1:2" hidden="1" x14ac:dyDescent="0.3">
      <c r="A2129" s="373">
        <v>20049749814</v>
      </c>
      <c r="B2129" t="s">
        <v>1787</v>
      </c>
    </row>
    <row r="2130" spans="1:2" hidden="1" x14ac:dyDescent="0.3">
      <c r="A2130" s="373">
        <v>30708263849</v>
      </c>
      <c r="B2130" t="s">
        <v>1788</v>
      </c>
    </row>
    <row r="2131" spans="1:2" hidden="1" x14ac:dyDescent="0.3">
      <c r="A2131" s="373">
        <v>30687162680</v>
      </c>
      <c r="B2131" t="s">
        <v>1789</v>
      </c>
    </row>
    <row r="2132" spans="1:2" hidden="1" x14ac:dyDescent="0.3">
      <c r="A2132" s="373">
        <v>20254732363</v>
      </c>
      <c r="B2132" t="s">
        <v>1792</v>
      </c>
    </row>
    <row r="2133" spans="1:2" hidden="1" x14ac:dyDescent="0.3">
      <c r="A2133" s="373">
        <v>35942192</v>
      </c>
      <c r="B2133" t="s">
        <v>2227</v>
      </c>
    </row>
    <row r="2134" spans="1:2" hidden="1" x14ac:dyDescent="0.3">
      <c r="A2134" s="373">
        <v>35942192</v>
      </c>
      <c r="B2134" t="s">
        <v>2227</v>
      </c>
    </row>
    <row r="2135" spans="1:2" hidden="1" x14ac:dyDescent="0.3">
      <c r="A2135" s="373">
        <v>35942192</v>
      </c>
      <c r="B2135" t="s">
        <v>2227</v>
      </c>
    </row>
    <row r="2136" spans="1:2" hidden="1" x14ac:dyDescent="0.3">
      <c r="A2136" s="373">
        <v>35942192</v>
      </c>
      <c r="B2136" t="s">
        <v>2227</v>
      </c>
    </row>
    <row r="2137" spans="1:2" hidden="1" x14ac:dyDescent="0.3">
      <c r="A2137" s="373">
        <v>35942192</v>
      </c>
      <c r="B2137" t="s">
        <v>2227</v>
      </c>
    </row>
    <row r="2138" spans="1:2" hidden="1" x14ac:dyDescent="0.3">
      <c r="A2138" s="373">
        <v>35942192</v>
      </c>
      <c r="B2138" t="s">
        <v>2227</v>
      </c>
    </row>
    <row r="2139" spans="1:2" hidden="1" x14ac:dyDescent="0.3">
      <c r="A2139" s="373">
        <v>35942192</v>
      </c>
      <c r="B2139" t="s">
        <v>2227</v>
      </c>
    </row>
    <row r="2140" spans="1:2" hidden="1" x14ac:dyDescent="0.3">
      <c r="A2140" s="373">
        <v>35942192</v>
      </c>
      <c r="B2140" t="s">
        <v>2227</v>
      </c>
    </row>
    <row r="2141" spans="1:2" hidden="1" x14ac:dyDescent="0.3">
      <c r="A2141" s="373">
        <v>35942192</v>
      </c>
      <c r="B2141" t="s">
        <v>2227</v>
      </c>
    </row>
    <row r="2142" spans="1:2" hidden="1" x14ac:dyDescent="0.3">
      <c r="A2142" s="373">
        <v>35942192</v>
      </c>
      <c r="B2142" t="s">
        <v>2227</v>
      </c>
    </row>
    <row r="2143" spans="1:2" hidden="1" x14ac:dyDescent="0.3">
      <c r="A2143" s="373">
        <v>35942192</v>
      </c>
      <c r="B2143" t="s">
        <v>2227</v>
      </c>
    </row>
    <row r="2144" spans="1:2" hidden="1" x14ac:dyDescent="0.3">
      <c r="A2144" s="373">
        <v>35942192</v>
      </c>
      <c r="B2144" t="s">
        <v>2227</v>
      </c>
    </row>
    <row r="2145" spans="1:2" hidden="1" x14ac:dyDescent="0.3">
      <c r="A2145" s="373">
        <v>35942192</v>
      </c>
      <c r="B2145" t="s">
        <v>2227</v>
      </c>
    </row>
    <row r="2146" spans="1:2" hidden="1" x14ac:dyDescent="0.3">
      <c r="A2146" s="373">
        <v>35942192</v>
      </c>
      <c r="B2146" t="s">
        <v>2227</v>
      </c>
    </row>
    <row r="2147" spans="1:2" hidden="1" x14ac:dyDescent="0.3">
      <c r="A2147" s="373">
        <v>12824335</v>
      </c>
      <c r="B2147" t="s">
        <v>2239</v>
      </c>
    </row>
    <row r="2148" spans="1:2" hidden="1" x14ac:dyDescent="0.3">
      <c r="A2148" s="373">
        <v>12824335</v>
      </c>
      <c r="B2148" t="s">
        <v>2239</v>
      </c>
    </row>
    <row r="2149" spans="1:2" hidden="1" x14ac:dyDescent="0.3">
      <c r="A2149" s="373">
        <v>27161298285</v>
      </c>
      <c r="B2149" t="s">
        <v>2491</v>
      </c>
    </row>
    <row r="2150" spans="1:2" hidden="1" x14ac:dyDescent="0.3">
      <c r="A2150" s="373">
        <v>20922392413</v>
      </c>
      <c r="B2150" t="s">
        <v>1796</v>
      </c>
    </row>
    <row r="2151" spans="1:2" hidden="1" x14ac:dyDescent="0.3">
      <c r="A2151" s="373">
        <v>20223632719</v>
      </c>
      <c r="B2151" t="s">
        <v>2498</v>
      </c>
    </row>
    <row r="2152" spans="1:2" hidden="1" x14ac:dyDescent="0.3">
      <c r="A2152" s="373">
        <v>20235931967</v>
      </c>
      <c r="B2152" t="s">
        <v>1800</v>
      </c>
    </row>
    <row r="2153" spans="1:2" hidden="1" x14ac:dyDescent="0.3">
      <c r="A2153" s="373">
        <v>30682500162</v>
      </c>
      <c r="B2153" t="s">
        <v>1801</v>
      </c>
    </row>
    <row r="2154" spans="1:2" hidden="1" x14ac:dyDescent="0.3">
      <c r="A2154" s="373">
        <v>30682500162</v>
      </c>
      <c r="B2154" t="s">
        <v>1802</v>
      </c>
    </row>
    <row r="2155" spans="1:2" hidden="1" x14ac:dyDescent="0.3">
      <c r="A2155" s="373">
        <v>27127067452</v>
      </c>
      <c r="B2155" t="s">
        <v>1803</v>
      </c>
    </row>
    <row r="2156" spans="1:2" hidden="1" x14ac:dyDescent="0.3">
      <c r="A2156" s="373">
        <v>20352381218</v>
      </c>
      <c r="B2156" t="s">
        <v>1804</v>
      </c>
    </row>
    <row r="2157" spans="1:2" hidden="1" x14ac:dyDescent="0.3">
      <c r="A2157" s="373">
        <v>30708962275</v>
      </c>
      <c r="B2157" t="s">
        <v>1805</v>
      </c>
    </row>
    <row r="2158" spans="1:2" hidden="1" x14ac:dyDescent="0.3">
      <c r="A2158" s="373">
        <v>37682395</v>
      </c>
      <c r="B2158" t="s">
        <v>2307</v>
      </c>
    </row>
    <row r="2159" spans="1:2" hidden="1" x14ac:dyDescent="0.3">
      <c r="A2159" s="373">
        <v>37682395</v>
      </c>
      <c r="B2159" t="s">
        <v>2307</v>
      </c>
    </row>
    <row r="2160" spans="1:2" hidden="1" x14ac:dyDescent="0.3">
      <c r="A2160" s="373">
        <v>4829719</v>
      </c>
      <c r="B2160" t="s">
        <v>1806</v>
      </c>
    </row>
    <row r="2161" spans="1:2" hidden="1" x14ac:dyDescent="0.3">
      <c r="A2161" s="373">
        <v>27219515796</v>
      </c>
      <c r="B2161" t="s">
        <v>1808</v>
      </c>
    </row>
    <row r="2162" spans="1:2" hidden="1" x14ac:dyDescent="0.3">
      <c r="A2162" s="373">
        <v>30592032909</v>
      </c>
      <c r="B2162" t="s">
        <v>2455</v>
      </c>
    </row>
    <row r="2163" spans="1:2" hidden="1" x14ac:dyDescent="0.3">
      <c r="A2163" s="373">
        <v>30592032909</v>
      </c>
      <c r="B2163" t="s">
        <v>2455</v>
      </c>
    </row>
    <row r="2164" spans="1:2" hidden="1" x14ac:dyDescent="0.3">
      <c r="A2164" s="373">
        <v>25795171</v>
      </c>
      <c r="B2164" t="s">
        <v>2336</v>
      </c>
    </row>
    <row r="2165" spans="1:2" hidden="1" x14ac:dyDescent="0.3">
      <c r="A2165" s="373">
        <v>25795171</v>
      </c>
      <c r="B2165" t="s">
        <v>2336</v>
      </c>
    </row>
    <row r="2166" spans="1:2" hidden="1" x14ac:dyDescent="0.3">
      <c r="A2166" s="373">
        <v>23370096899</v>
      </c>
      <c r="B2166" t="s">
        <v>1809</v>
      </c>
    </row>
    <row r="2167" spans="1:2" hidden="1" x14ac:dyDescent="0.3">
      <c r="A2167" s="373">
        <v>20145341796</v>
      </c>
      <c r="B2167" t="s">
        <v>1810</v>
      </c>
    </row>
    <row r="2168" spans="1:2" hidden="1" x14ac:dyDescent="0.3">
      <c r="A2168" s="373">
        <v>30717000524</v>
      </c>
      <c r="B2168" t="s">
        <v>1811</v>
      </c>
    </row>
    <row r="2169" spans="1:2" hidden="1" x14ac:dyDescent="0.3">
      <c r="A2169" s="373">
        <v>30715407503</v>
      </c>
      <c r="B2169" t="s">
        <v>1812</v>
      </c>
    </row>
    <row r="2170" spans="1:2" hidden="1" x14ac:dyDescent="0.3">
      <c r="A2170" s="373">
        <v>30506730038</v>
      </c>
      <c r="B2170" t="s">
        <v>1815</v>
      </c>
    </row>
    <row r="2171" spans="1:2" hidden="1" x14ac:dyDescent="0.3">
      <c r="A2171" s="373">
        <v>30506730038</v>
      </c>
      <c r="B2171" t="s">
        <v>1815</v>
      </c>
    </row>
    <row r="2172" spans="1:2" hidden="1" x14ac:dyDescent="0.3">
      <c r="A2172" s="373">
        <v>30506730038</v>
      </c>
      <c r="B2172" t="s">
        <v>1815</v>
      </c>
    </row>
    <row r="2173" spans="1:2" hidden="1" x14ac:dyDescent="0.3">
      <c r="A2173" s="373">
        <v>30506730038</v>
      </c>
      <c r="B2173" t="s">
        <v>1815</v>
      </c>
    </row>
    <row r="2174" spans="1:2" hidden="1" x14ac:dyDescent="0.3">
      <c r="A2174" s="373">
        <v>33642144699</v>
      </c>
      <c r="B2174" t="s">
        <v>1816</v>
      </c>
    </row>
    <row r="2175" spans="1:2" hidden="1" x14ac:dyDescent="0.3">
      <c r="A2175" s="373">
        <v>30506730038</v>
      </c>
      <c r="B2175" t="s">
        <v>1817</v>
      </c>
    </row>
    <row r="2176" spans="1:2" hidden="1" x14ac:dyDescent="0.3">
      <c r="A2176" s="373">
        <v>20076873284</v>
      </c>
      <c r="B2176" t="s">
        <v>1818</v>
      </c>
    </row>
    <row r="2177" spans="1:2" hidden="1" x14ac:dyDescent="0.3">
      <c r="A2177" s="373">
        <v>30604078543</v>
      </c>
      <c r="B2177" t="s">
        <v>1820</v>
      </c>
    </row>
    <row r="2178" spans="1:2" hidden="1" x14ac:dyDescent="0.3">
      <c r="A2178" s="373">
        <v>30610511801</v>
      </c>
      <c r="B2178" t="s">
        <v>1821</v>
      </c>
    </row>
    <row r="2179" spans="1:2" hidden="1" x14ac:dyDescent="0.3">
      <c r="A2179" s="373">
        <v>20267161152</v>
      </c>
      <c r="B2179" t="s">
        <v>1823</v>
      </c>
    </row>
    <row r="2180" spans="1:2" hidden="1" x14ac:dyDescent="0.3">
      <c r="A2180" s="373">
        <v>34932294</v>
      </c>
      <c r="B2180" t="s">
        <v>2265</v>
      </c>
    </row>
    <row r="2181" spans="1:2" hidden="1" x14ac:dyDescent="0.3">
      <c r="A2181" s="373">
        <v>34932294</v>
      </c>
      <c r="B2181" t="s">
        <v>2265</v>
      </c>
    </row>
    <row r="2182" spans="1:2" hidden="1" x14ac:dyDescent="0.3">
      <c r="A2182" s="373">
        <v>34932294</v>
      </c>
      <c r="B2182" t="s">
        <v>2265</v>
      </c>
    </row>
    <row r="2183" spans="1:2" hidden="1" x14ac:dyDescent="0.3">
      <c r="A2183" s="373">
        <v>34932294</v>
      </c>
      <c r="B2183" t="s">
        <v>2265</v>
      </c>
    </row>
    <row r="2184" spans="1:2" hidden="1" x14ac:dyDescent="0.3">
      <c r="A2184" s="373">
        <v>33715832769</v>
      </c>
      <c r="B2184" t="s">
        <v>1825</v>
      </c>
    </row>
    <row r="2185" spans="1:2" hidden="1" x14ac:dyDescent="0.3">
      <c r="A2185" s="373">
        <v>6209031</v>
      </c>
      <c r="B2185" t="s">
        <v>1826</v>
      </c>
    </row>
    <row r="2186" spans="1:2" hidden="1" x14ac:dyDescent="0.3">
      <c r="A2186" s="373">
        <v>30645585654</v>
      </c>
      <c r="B2186" t="s">
        <v>1827</v>
      </c>
    </row>
    <row r="2187" spans="1:2" hidden="1" x14ac:dyDescent="0.3">
      <c r="A2187" s="373">
        <v>30712481516</v>
      </c>
      <c r="B2187" t="s">
        <v>1828</v>
      </c>
    </row>
    <row r="2188" spans="1:2" hidden="1" x14ac:dyDescent="0.3">
      <c r="A2188" s="373">
        <v>30710381867</v>
      </c>
      <c r="B2188" t="s">
        <v>1830</v>
      </c>
    </row>
    <row r="2189" spans="1:2" hidden="1" x14ac:dyDescent="0.3">
      <c r="A2189" s="373">
        <v>20202641424</v>
      </c>
      <c r="B2189" t="s">
        <v>1831</v>
      </c>
    </row>
    <row r="2190" spans="1:2" hidden="1" x14ac:dyDescent="0.3">
      <c r="A2190" s="373">
        <v>20202641424</v>
      </c>
      <c r="B2190" t="s">
        <v>1831</v>
      </c>
    </row>
    <row r="2191" spans="1:2" hidden="1" x14ac:dyDescent="0.3">
      <c r="A2191" s="373">
        <v>20202641424</v>
      </c>
      <c r="B2191" t="s">
        <v>1831</v>
      </c>
    </row>
    <row r="2192" spans="1:2" hidden="1" x14ac:dyDescent="0.3">
      <c r="A2192" s="373">
        <v>20202641424</v>
      </c>
      <c r="B2192" t="s">
        <v>1831</v>
      </c>
    </row>
    <row r="2193" spans="1:2" hidden="1" x14ac:dyDescent="0.3">
      <c r="A2193" s="373">
        <v>20202641424</v>
      </c>
      <c r="B2193" t="s">
        <v>1831</v>
      </c>
    </row>
    <row r="2194" spans="1:2" hidden="1" x14ac:dyDescent="0.3">
      <c r="A2194" s="373">
        <v>30657580496</v>
      </c>
      <c r="B2194" t="s">
        <v>1832</v>
      </c>
    </row>
    <row r="2195" spans="1:2" hidden="1" x14ac:dyDescent="0.3">
      <c r="A2195" s="373">
        <v>30657580496</v>
      </c>
      <c r="B2195" t="s">
        <v>1832</v>
      </c>
    </row>
    <row r="2196" spans="1:2" hidden="1" x14ac:dyDescent="0.3">
      <c r="A2196" s="373">
        <v>30517616687</v>
      </c>
      <c r="B2196" t="s">
        <v>1833</v>
      </c>
    </row>
    <row r="2197" spans="1:2" hidden="1" x14ac:dyDescent="0.3">
      <c r="A2197" s="373">
        <v>30517616687</v>
      </c>
      <c r="B2197" t="s">
        <v>1833</v>
      </c>
    </row>
    <row r="2198" spans="1:2" hidden="1" x14ac:dyDescent="0.3">
      <c r="A2198" s="373">
        <v>20236656994</v>
      </c>
      <c r="B2198" t="s">
        <v>1834</v>
      </c>
    </row>
    <row r="2199" spans="1:2" hidden="1" x14ac:dyDescent="0.3">
      <c r="A2199" s="373">
        <v>20236656994</v>
      </c>
      <c r="B2199" t="s">
        <v>1834</v>
      </c>
    </row>
    <row r="2200" spans="1:2" hidden="1" x14ac:dyDescent="0.3">
      <c r="A2200" s="373">
        <v>94018871</v>
      </c>
      <c r="B2200" t="s">
        <v>1835</v>
      </c>
    </row>
    <row r="2201" spans="1:2" hidden="1" x14ac:dyDescent="0.3">
      <c r="A2201" s="373">
        <v>94018871</v>
      </c>
      <c r="B2201" t="s">
        <v>1835</v>
      </c>
    </row>
    <row r="2202" spans="1:2" hidden="1" x14ac:dyDescent="0.3">
      <c r="A2202" s="373">
        <v>20941512438</v>
      </c>
      <c r="B2202" t="s">
        <v>1836</v>
      </c>
    </row>
    <row r="2203" spans="1:2" hidden="1" x14ac:dyDescent="0.3">
      <c r="A2203" s="373">
        <v>20941512438</v>
      </c>
      <c r="B2203" t="s">
        <v>1836</v>
      </c>
    </row>
    <row r="2204" spans="1:2" hidden="1" x14ac:dyDescent="0.3">
      <c r="A2204" s="373">
        <v>20941512438</v>
      </c>
      <c r="B2204" t="s">
        <v>1836</v>
      </c>
    </row>
    <row r="2205" spans="1:2" hidden="1" x14ac:dyDescent="0.3">
      <c r="A2205" s="373">
        <v>20941512438</v>
      </c>
      <c r="B2205" t="s">
        <v>1836</v>
      </c>
    </row>
    <row r="2206" spans="1:2" hidden="1" x14ac:dyDescent="0.3">
      <c r="A2206" s="373">
        <v>24064111</v>
      </c>
      <c r="B2206" t="s">
        <v>2334</v>
      </c>
    </row>
    <row r="2207" spans="1:2" hidden="1" x14ac:dyDescent="0.3">
      <c r="A2207" s="373">
        <v>24064111</v>
      </c>
      <c r="B2207" t="s">
        <v>2334</v>
      </c>
    </row>
    <row r="2208" spans="1:2" hidden="1" x14ac:dyDescent="0.3">
      <c r="A2208" s="373">
        <v>30710846908</v>
      </c>
      <c r="B2208" t="s">
        <v>1837</v>
      </c>
    </row>
    <row r="2209" spans="1:2" hidden="1" x14ac:dyDescent="0.3">
      <c r="A2209" s="373">
        <v>30710846908</v>
      </c>
      <c r="B2209" t="s">
        <v>1837</v>
      </c>
    </row>
    <row r="2210" spans="1:2" hidden="1" x14ac:dyDescent="0.3">
      <c r="A2210" s="373">
        <v>33711072999</v>
      </c>
      <c r="B2210" t="s">
        <v>1839</v>
      </c>
    </row>
    <row r="2211" spans="1:2" hidden="1" x14ac:dyDescent="0.3">
      <c r="A2211" s="373">
        <v>33711072999</v>
      </c>
      <c r="B2211" t="s">
        <v>1839</v>
      </c>
    </row>
    <row r="2212" spans="1:2" hidden="1" x14ac:dyDescent="0.3">
      <c r="A2212" s="373">
        <v>33711072999</v>
      </c>
      <c r="B2212" t="s">
        <v>1839</v>
      </c>
    </row>
    <row r="2213" spans="1:2" hidden="1" x14ac:dyDescent="0.3">
      <c r="A2213" s="373">
        <v>33711072999</v>
      </c>
      <c r="B2213" t="s">
        <v>1839</v>
      </c>
    </row>
    <row r="2214" spans="1:2" hidden="1" x14ac:dyDescent="0.3">
      <c r="A2214" s="373">
        <v>39831609</v>
      </c>
      <c r="B2214" t="s">
        <v>2275</v>
      </c>
    </row>
    <row r="2215" spans="1:2" hidden="1" x14ac:dyDescent="0.3">
      <c r="A2215" s="373">
        <v>39831609</v>
      </c>
      <c r="B2215" t="s">
        <v>2275</v>
      </c>
    </row>
    <row r="2216" spans="1:2" hidden="1" x14ac:dyDescent="0.3">
      <c r="A2216" s="373">
        <v>18496709</v>
      </c>
      <c r="B2216" t="s">
        <v>2208</v>
      </c>
    </row>
    <row r="2217" spans="1:2" hidden="1" x14ac:dyDescent="0.3">
      <c r="A2217" s="373">
        <v>18496709</v>
      </c>
      <c r="B2217" t="s">
        <v>2208</v>
      </c>
    </row>
    <row r="2218" spans="1:2" hidden="1" x14ac:dyDescent="0.3">
      <c r="A2218" s="373">
        <v>18496709</v>
      </c>
      <c r="B2218" t="s">
        <v>2208</v>
      </c>
    </row>
    <row r="2219" spans="1:2" hidden="1" x14ac:dyDescent="0.3">
      <c r="A2219" s="373">
        <v>18496709</v>
      </c>
      <c r="B2219" t="s">
        <v>2208</v>
      </c>
    </row>
    <row r="2220" spans="1:2" hidden="1" x14ac:dyDescent="0.3">
      <c r="A2220" s="373">
        <v>16411942</v>
      </c>
      <c r="B2220" t="s">
        <v>2212</v>
      </c>
    </row>
    <row r="2221" spans="1:2" hidden="1" x14ac:dyDescent="0.3">
      <c r="A2221" s="373">
        <v>16411942</v>
      </c>
      <c r="B2221" t="s">
        <v>2212</v>
      </c>
    </row>
    <row r="2222" spans="1:2" hidden="1" x14ac:dyDescent="0.3">
      <c r="A2222" s="373">
        <v>16411942</v>
      </c>
      <c r="B2222" t="s">
        <v>2212</v>
      </c>
    </row>
    <row r="2223" spans="1:2" hidden="1" x14ac:dyDescent="0.3">
      <c r="A2223" s="373">
        <v>16411942</v>
      </c>
      <c r="B2223" t="s">
        <v>2212</v>
      </c>
    </row>
    <row r="2224" spans="1:2" hidden="1" x14ac:dyDescent="0.3">
      <c r="A2224" s="373">
        <v>20163076676</v>
      </c>
      <c r="B2224" t="s">
        <v>1840</v>
      </c>
    </row>
    <row r="2225" spans="1:2" hidden="1" x14ac:dyDescent="0.3">
      <c r="A2225" s="373">
        <v>20163076676</v>
      </c>
      <c r="B2225" t="s">
        <v>1840</v>
      </c>
    </row>
    <row r="2226" spans="1:2" hidden="1" x14ac:dyDescent="0.3">
      <c r="A2226" s="373">
        <v>27234905924</v>
      </c>
      <c r="B2226" t="s">
        <v>2501</v>
      </c>
    </row>
    <row r="2227" spans="1:2" hidden="1" x14ac:dyDescent="0.3">
      <c r="A2227" s="373">
        <v>20176582112</v>
      </c>
      <c r="B2227" t="s">
        <v>1841</v>
      </c>
    </row>
    <row r="2228" spans="1:2" hidden="1" x14ac:dyDescent="0.3">
      <c r="A2228" s="373">
        <v>20176582112</v>
      </c>
      <c r="B2228" t="s">
        <v>1841</v>
      </c>
    </row>
    <row r="2229" spans="1:2" hidden="1" x14ac:dyDescent="0.3">
      <c r="A2229" s="373">
        <v>30710536771</v>
      </c>
      <c r="B2229" t="s">
        <v>1842</v>
      </c>
    </row>
    <row r="2230" spans="1:2" hidden="1" x14ac:dyDescent="0.3">
      <c r="A2230" s="373">
        <v>30710536771</v>
      </c>
      <c r="B2230" t="s">
        <v>1842</v>
      </c>
    </row>
    <row r="2231" spans="1:2" hidden="1" x14ac:dyDescent="0.3">
      <c r="A2231" s="373">
        <v>27245614905</v>
      </c>
      <c r="B2231" t="s">
        <v>1844</v>
      </c>
    </row>
    <row r="2232" spans="1:2" hidden="1" x14ac:dyDescent="0.3">
      <c r="A2232" s="373">
        <v>27245614905</v>
      </c>
      <c r="B2232" t="s">
        <v>1844</v>
      </c>
    </row>
    <row r="2233" spans="1:2" hidden="1" x14ac:dyDescent="0.3">
      <c r="A2233" s="373">
        <v>30707115366</v>
      </c>
      <c r="B2233" t="s">
        <v>1845</v>
      </c>
    </row>
    <row r="2234" spans="1:2" hidden="1" x14ac:dyDescent="0.3">
      <c r="A2234" s="373">
        <v>30707115366</v>
      </c>
      <c r="B2234" t="s">
        <v>1845</v>
      </c>
    </row>
    <row r="2235" spans="1:2" hidden="1" x14ac:dyDescent="0.3">
      <c r="A2235" s="373">
        <v>27240421513</v>
      </c>
      <c r="B2235" t="s">
        <v>1846</v>
      </c>
    </row>
    <row r="2236" spans="1:2" hidden="1" x14ac:dyDescent="0.3">
      <c r="A2236" s="373">
        <v>27240421513</v>
      </c>
      <c r="B2236" t="s">
        <v>1846</v>
      </c>
    </row>
    <row r="2237" spans="1:2" hidden="1" x14ac:dyDescent="0.3">
      <c r="A2237" s="373">
        <v>20203503181</v>
      </c>
      <c r="B2237" t="s">
        <v>1847</v>
      </c>
    </row>
    <row r="2238" spans="1:2" hidden="1" x14ac:dyDescent="0.3">
      <c r="A2238" s="373">
        <v>20203503181</v>
      </c>
      <c r="B2238" t="s">
        <v>1847</v>
      </c>
    </row>
    <row r="2239" spans="1:2" hidden="1" x14ac:dyDescent="0.3">
      <c r="A2239" s="373">
        <v>30716523086</v>
      </c>
      <c r="B2239" t="s">
        <v>1849</v>
      </c>
    </row>
    <row r="2240" spans="1:2" hidden="1" x14ac:dyDescent="0.3">
      <c r="A2240" s="373">
        <v>30716523086</v>
      </c>
      <c r="B2240" t="s">
        <v>1849</v>
      </c>
    </row>
    <row r="2241" spans="1:2" hidden="1" x14ac:dyDescent="0.3">
      <c r="A2241" s="373">
        <v>27226753805</v>
      </c>
      <c r="B2241" t="s">
        <v>1850</v>
      </c>
    </row>
    <row r="2242" spans="1:2" hidden="1" x14ac:dyDescent="0.3">
      <c r="A2242" s="373">
        <v>27226753805</v>
      </c>
      <c r="B2242" t="s">
        <v>1850</v>
      </c>
    </row>
    <row r="2243" spans="1:2" hidden="1" x14ac:dyDescent="0.3">
      <c r="A2243" s="373">
        <v>30517424303</v>
      </c>
      <c r="B2243" t="s">
        <v>1851</v>
      </c>
    </row>
    <row r="2244" spans="1:2" hidden="1" x14ac:dyDescent="0.3">
      <c r="A2244" s="373">
        <v>30517424303</v>
      </c>
      <c r="B2244" t="s">
        <v>1851</v>
      </c>
    </row>
    <row r="2245" spans="1:2" hidden="1" x14ac:dyDescent="0.3">
      <c r="A2245" s="373">
        <v>27129458688</v>
      </c>
      <c r="B2245" t="s">
        <v>1852</v>
      </c>
    </row>
    <row r="2246" spans="1:2" hidden="1" x14ac:dyDescent="0.3">
      <c r="A2246" s="373">
        <v>27129458688</v>
      </c>
      <c r="B2246" t="s">
        <v>1852</v>
      </c>
    </row>
    <row r="2247" spans="1:2" hidden="1" x14ac:dyDescent="0.3">
      <c r="A2247" s="373">
        <v>27129458688</v>
      </c>
      <c r="B2247" t="s">
        <v>1852</v>
      </c>
    </row>
    <row r="2248" spans="1:2" hidden="1" x14ac:dyDescent="0.3">
      <c r="A2248" s="373">
        <v>27129458688</v>
      </c>
      <c r="B2248" t="s">
        <v>1852</v>
      </c>
    </row>
    <row r="2249" spans="1:2" hidden="1" x14ac:dyDescent="0.3">
      <c r="A2249" s="373">
        <v>20295692716</v>
      </c>
      <c r="B2249" t="s">
        <v>1853</v>
      </c>
    </row>
    <row r="2250" spans="1:2" hidden="1" x14ac:dyDescent="0.3">
      <c r="A2250" s="373">
        <v>20295692716</v>
      </c>
      <c r="B2250" t="s">
        <v>1853</v>
      </c>
    </row>
    <row r="2251" spans="1:2" hidden="1" x14ac:dyDescent="0.3">
      <c r="A2251" s="373">
        <v>20309493347</v>
      </c>
      <c r="B2251" t="s">
        <v>1854</v>
      </c>
    </row>
    <row r="2252" spans="1:2" hidden="1" x14ac:dyDescent="0.3">
      <c r="A2252" s="373">
        <v>20309493347</v>
      </c>
      <c r="B2252" t="s">
        <v>1854</v>
      </c>
    </row>
    <row r="2253" spans="1:2" hidden="1" x14ac:dyDescent="0.3">
      <c r="A2253" s="373">
        <v>20085332733</v>
      </c>
      <c r="B2253" t="s">
        <v>1855</v>
      </c>
    </row>
    <row r="2254" spans="1:2" hidden="1" x14ac:dyDescent="0.3">
      <c r="A2254" s="373">
        <v>20085332733</v>
      </c>
      <c r="B2254" t="s">
        <v>1855</v>
      </c>
    </row>
    <row r="2255" spans="1:2" hidden="1" x14ac:dyDescent="0.3">
      <c r="A2255" s="373">
        <v>30708428082</v>
      </c>
      <c r="B2255" t="s">
        <v>1856</v>
      </c>
    </row>
    <row r="2256" spans="1:2" hidden="1" x14ac:dyDescent="0.3">
      <c r="A2256" s="373">
        <v>30708428082</v>
      </c>
      <c r="B2256" t="s">
        <v>1856</v>
      </c>
    </row>
    <row r="2257" spans="1:2" hidden="1" x14ac:dyDescent="0.3">
      <c r="A2257" s="373">
        <v>27168227790</v>
      </c>
      <c r="B2257" t="s">
        <v>1857</v>
      </c>
    </row>
    <row r="2258" spans="1:2" hidden="1" x14ac:dyDescent="0.3">
      <c r="A2258" s="373">
        <v>27168227790</v>
      </c>
      <c r="B2258" t="s">
        <v>1857</v>
      </c>
    </row>
    <row r="2259" spans="1:2" hidden="1" x14ac:dyDescent="0.3">
      <c r="A2259" s="373">
        <v>30710144830</v>
      </c>
      <c r="B2259" t="s">
        <v>2495</v>
      </c>
    </row>
    <row r="2260" spans="1:2" hidden="1" x14ac:dyDescent="0.3">
      <c r="A2260" s="373">
        <v>30648820704</v>
      </c>
      <c r="B2260" t="s">
        <v>1858</v>
      </c>
    </row>
    <row r="2261" spans="1:2" hidden="1" x14ac:dyDescent="0.3">
      <c r="A2261" s="373">
        <v>30648820704</v>
      </c>
      <c r="B2261" t="s">
        <v>1858</v>
      </c>
    </row>
    <row r="2262" spans="1:2" hidden="1" x14ac:dyDescent="0.3">
      <c r="A2262" s="373">
        <v>30649820704</v>
      </c>
      <c r="B2262" t="s">
        <v>1859</v>
      </c>
    </row>
    <row r="2263" spans="1:2" hidden="1" x14ac:dyDescent="0.3">
      <c r="A2263" s="373">
        <v>30649820704</v>
      </c>
      <c r="B2263" t="s">
        <v>1859</v>
      </c>
    </row>
    <row r="2264" spans="1:2" hidden="1" x14ac:dyDescent="0.3">
      <c r="A2264" s="373">
        <v>30679699535</v>
      </c>
      <c r="B2264" t="s">
        <v>1860</v>
      </c>
    </row>
    <row r="2265" spans="1:2" hidden="1" x14ac:dyDescent="0.3">
      <c r="A2265" s="373">
        <v>30679699535</v>
      </c>
      <c r="B2265" t="s">
        <v>1860</v>
      </c>
    </row>
    <row r="2266" spans="1:2" hidden="1" x14ac:dyDescent="0.3">
      <c r="A2266" s="373">
        <v>30715852590</v>
      </c>
      <c r="B2266" t="s">
        <v>1861</v>
      </c>
    </row>
    <row r="2267" spans="1:2" hidden="1" x14ac:dyDescent="0.3">
      <c r="A2267" s="373">
        <v>30715852590</v>
      </c>
      <c r="B2267" t="s">
        <v>1861</v>
      </c>
    </row>
    <row r="2268" spans="1:2" hidden="1" x14ac:dyDescent="0.3">
      <c r="A2268" s="373">
        <v>30711105014</v>
      </c>
      <c r="B2268" t="s">
        <v>1863</v>
      </c>
    </row>
    <row r="2269" spans="1:2" hidden="1" x14ac:dyDescent="0.3">
      <c r="A2269" s="373">
        <v>30711105014</v>
      </c>
      <c r="B2269" t="s">
        <v>1863</v>
      </c>
    </row>
    <row r="2270" spans="1:2" hidden="1" x14ac:dyDescent="0.3">
      <c r="A2270" s="373">
        <v>30683684143</v>
      </c>
      <c r="B2270" t="s">
        <v>1864</v>
      </c>
    </row>
    <row r="2271" spans="1:2" hidden="1" x14ac:dyDescent="0.3">
      <c r="A2271" s="373">
        <v>30683684143</v>
      </c>
      <c r="B2271" t="s">
        <v>1864</v>
      </c>
    </row>
    <row r="2272" spans="1:2" hidden="1" x14ac:dyDescent="0.3">
      <c r="A2272" s="373">
        <v>20242296355</v>
      </c>
      <c r="B2272" t="s">
        <v>1865</v>
      </c>
    </row>
    <row r="2273" spans="1:2" hidden="1" x14ac:dyDescent="0.3">
      <c r="A2273" s="373">
        <v>20242296355</v>
      </c>
      <c r="B2273" t="s">
        <v>1865</v>
      </c>
    </row>
    <row r="2274" spans="1:2" hidden="1" x14ac:dyDescent="0.3">
      <c r="A2274" s="373">
        <v>20132669644</v>
      </c>
      <c r="B2274" t="s">
        <v>2517</v>
      </c>
    </row>
    <row r="2275" spans="1:2" hidden="1" x14ac:dyDescent="0.3">
      <c r="A2275" s="373">
        <v>30645330184</v>
      </c>
      <c r="B2275" t="s">
        <v>1866</v>
      </c>
    </row>
    <row r="2276" spans="1:2" hidden="1" x14ac:dyDescent="0.3">
      <c r="A2276" s="373">
        <v>30645330184</v>
      </c>
      <c r="B2276" t="s">
        <v>1866</v>
      </c>
    </row>
    <row r="2277" spans="1:2" hidden="1" x14ac:dyDescent="0.3">
      <c r="A2277" s="373">
        <v>30610025915</v>
      </c>
      <c r="B2277" t="s">
        <v>1867</v>
      </c>
    </row>
    <row r="2278" spans="1:2" hidden="1" x14ac:dyDescent="0.3">
      <c r="A2278" s="373">
        <v>30610025915</v>
      </c>
      <c r="B2278" t="s">
        <v>1867</v>
      </c>
    </row>
    <row r="2279" spans="1:2" hidden="1" x14ac:dyDescent="0.3">
      <c r="A2279" s="373">
        <v>30616500593</v>
      </c>
      <c r="B2279" t="s">
        <v>1868</v>
      </c>
    </row>
    <row r="2280" spans="1:2" hidden="1" x14ac:dyDescent="0.3">
      <c r="A2280" s="373">
        <v>30616500593</v>
      </c>
      <c r="B2280" t="s">
        <v>1868</v>
      </c>
    </row>
    <row r="2281" spans="1:2" hidden="1" x14ac:dyDescent="0.3">
      <c r="A2281" s="373">
        <v>30647727545</v>
      </c>
      <c r="B2281" t="s">
        <v>1869</v>
      </c>
    </row>
    <row r="2282" spans="1:2" hidden="1" x14ac:dyDescent="0.3">
      <c r="A2282" s="373">
        <v>30647727545</v>
      </c>
      <c r="B2282" t="s">
        <v>1869</v>
      </c>
    </row>
    <row r="2283" spans="1:2" hidden="1" x14ac:dyDescent="0.3">
      <c r="A2283" s="373">
        <v>30647727545</v>
      </c>
      <c r="B2283" t="s">
        <v>1870</v>
      </c>
    </row>
    <row r="2284" spans="1:2" hidden="1" x14ac:dyDescent="0.3">
      <c r="A2284" s="373">
        <v>30647727545</v>
      </c>
      <c r="B2284" t="s">
        <v>1870</v>
      </c>
    </row>
    <row r="2285" spans="1:2" hidden="1" x14ac:dyDescent="0.3">
      <c r="A2285" s="373">
        <v>33712299539</v>
      </c>
      <c r="B2285" t="s">
        <v>1871</v>
      </c>
    </row>
    <row r="2286" spans="1:2" hidden="1" x14ac:dyDescent="0.3">
      <c r="A2286" s="373">
        <v>33712299539</v>
      </c>
      <c r="B2286" t="s">
        <v>1871</v>
      </c>
    </row>
    <row r="2287" spans="1:2" hidden="1" x14ac:dyDescent="0.3">
      <c r="A2287" s="373">
        <v>30633678509</v>
      </c>
      <c r="B2287" t="s">
        <v>2547</v>
      </c>
    </row>
    <row r="2288" spans="1:2" hidden="1" x14ac:dyDescent="0.3">
      <c r="A2288" s="373">
        <v>30716388553</v>
      </c>
      <c r="B2288" t="s">
        <v>1873</v>
      </c>
    </row>
    <row r="2289" spans="1:2" hidden="1" x14ac:dyDescent="0.3">
      <c r="A2289" s="373">
        <v>30716388553</v>
      </c>
      <c r="B2289" t="s">
        <v>1873</v>
      </c>
    </row>
    <row r="2290" spans="1:2" hidden="1" x14ac:dyDescent="0.3">
      <c r="A2290" s="373">
        <v>20165913281</v>
      </c>
      <c r="B2290" t="s">
        <v>1875</v>
      </c>
    </row>
    <row r="2291" spans="1:2" hidden="1" x14ac:dyDescent="0.3">
      <c r="A2291" s="373">
        <v>20165913281</v>
      </c>
      <c r="B2291" t="s">
        <v>1875</v>
      </c>
    </row>
    <row r="2292" spans="1:2" hidden="1" x14ac:dyDescent="0.3">
      <c r="A2292" s="373">
        <v>20165913281</v>
      </c>
      <c r="B2292" t="s">
        <v>1875</v>
      </c>
    </row>
    <row r="2293" spans="1:2" hidden="1" x14ac:dyDescent="0.3">
      <c r="A2293" s="373">
        <v>20165913281</v>
      </c>
      <c r="B2293" t="s">
        <v>1875</v>
      </c>
    </row>
    <row r="2294" spans="1:2" hidden="1" x14ac:dyDescent="0.3">
      <c r="A2294" s="373">
        <v>27176483291</v>
      </c>
      <c r="B2294" t="s">
        <v>1876</v>
      </c>
    </row>
    <row r="2295" spans="1:2" hidden="1" x14ac:dyDescent="0.3">
      <c r="A2295" s="373">
        <v>27176483291</v>
      </c>
      <c r="B2295" t="s">
        <v>1876</v>
      </c>
    </row>
    <row r="2296" spans="1:2" hidden="1" x14ac:dyDescent="0.3">
      <c r="A2296" s="373">
        <v>31335549</v>
      </c>
      <c r="B2296" t="s">
        <v>1877</v>
      </c>
    </row>
    <row r="2297" spans="1:2" hidden="1" x14ac:dyDescent="0.3">
      <c r="A2297" s="373">
        <v>31335549</v>
      </c>
      <c r="B2297" t="s">
        <v>1877</v>
      </c>
    </row>
    <row r="2298" spans="1:2" hidden="1" x14ac:dyDescent="0.3">
      <c r="A2298" s="373">
        <v>30700876590</v>
      </c>
      <c r="B2298" t="s">
        <v>1878</v>
      </c>
    </row>
    <row r="2299" spans="1:2" hidden="1" x14ac:dyDescent="0.3">
      <c r="A2299" s="373">
        <v>30700876590</v>
      </c>
      <c r="B2299" t="s">
        <v>1878</v>
      </c>
    </row>
    <row r="2300" spans="1:2" hidden="1" x14ac:dyDescent="0.3">
      <c r="A2300" s="373">
        <v>30715006177</v>
      </c>
      <c r="B2300" t="s">
        <v>1879</v>
      </c>
    </row>
    <row r="2301" spans="1:2" hidden="1" x14ac:dyDescent="0.3">
      <c r="A2301" s="373">
        <v>30715006177</v>
      </c>
      <c r="B2301" t="s">
        <v>1879</v>
      </c>
    </row>
    <row r="2302" spans="1:2" hidden="1" x14ac:dyDescent="0.3">
      <c r="A2302" s="373">
        <v>20184103924</v>
      </c>
      <c r="B2302" t="s">
        <v>1880</v>
      </c>
    </row>
    <row r="2303" spans="1:2" hidden="1" x14ac:dyDescent="0.3">
      <c r="A2303" s="373">
        <v>20184103924</v>
      </c>
      <c r="B2303" t="s">
        <v>1880</v>
      </c>
    </row>
    <row r="2304" spans="1:2" hidden="1" x14ac:dyDescent="0.3">
      <c r="A2304" s="373">
        <v>30663434191</v>
      </c>
      <c r="B2304" t="s">
        <v>1882</v>
      </c>
    </row>
    <row r="2305" spans="1:2" hidden="1" x14ac:dyDescent="0.3">
      <c r="A2305" s="373">
        <v>30663434191</v>
      </c>
      <c r="B2305" t="s">
        <v>1882</v>
      </c>
    </row>
    <row r="2306" spans="1:2" hidden="1" x14ac:dyDescent="0.3">
      <c r="A2306" s="373">
        <v>23309270819</v>
      </c>
      <c r="B2306" t="s">
        <v>1883</v>
      </c>
    </row>
    <row r="2307" spans="1:2" hidden="1" x14ac:dyDescent="0.3">
      <c r="A2307" s="373">
        <v>23309270819</v>
      </c>
      <c r="B2307" t="s">
        <v>1883</v>
      </c>
    </row>
    <row r="2308" spans="1:2" hidden="1" x14ac:dyDescent="0.3">
      <c r="A2308" s="373">
        <v>20243351309</v>
      </c>
      <c r="B2308" t="s">
        <v>2462</v>
      </c>
    </row>
    <row r="2309" spans="1:2" hidden="1" x14ac:dyDescent="0.3">
      <c r="A2309" s="373">
        <v>20243351309</v>
      </c>
      <c r="B2309" t="s">
        <v>2462</v>
      </c>
    </row>
    <row r="2310" spans="1:2" hidden="1" x14ac:dyDescent="0.3">
      <c r="A2310" s="373">
        <v>30707833765</v>
      </c>
      <c r="B2310" t="s">
        <v>1885</v>
      </c>
    </row>
    <row r="2311" spans="1:2" hidden="1" x14ac:dyDescent="0.3">
      <c r="A2311" s="373">
        <v>30707833765</v>
      </c>
      <c r="B2311" t="s">
        <v>1885</v>
      </c>
    </row>
    <row r="2312" spans="1:2" hidden="1" x14ac:dyDescent="0.3">
      <c r="A2312" s="373">
        <v>30500625194</v>
      </c>
      <c r="B2312" t="s">
        <v>1886</v>
      </c>
    </row>
    <row r="2313" spans="1:2" hidden="1" x14ac:dyDescent="0.3">
      <c r="A2313" s="373">
        <v>30500625194</v>
      </c>
      <c r="B2313" t="s">
        <v>1886</v>
      </c>
    </row>
    <row r="2314" spans="1:2" hidden="1" x14ac:dyDescent="0.3">
      <c r="A2314" s="373">
        <v>20162028732</v>
      </c>
      <c r="B2314" t="s">
        <v>1887</v>
      </c>
    </row>
    <row r="2315" spans="1:2" hidden="1" x14ac:dyDescent="0.3">
      <c r="A2315" s="373">
        <v>20162028732</v>
      </c>
      <c r="B2315" t="s">
        <v>1887</v>
      </c>
    </row>
    <row r="2316" spans="1:2" hidden="1" x14ac:dyDescent="0.3">
      <c r="A2316" s="373">
        <v>30715079549</v>
      </c>
      <c r="B2316" t="s">
        <v>1888</v>
      </c>
    </row>
    <row r="2317" spans="1:2" hidden="1" x14ac:dyDescent="0.3">
      <c r="A2317" s="373">
        <v>30715079549</v>
      </c>
      <c r="B2317" t="s">
        <v>1888</v>
      </c>
    </row>
    <row r="2318" spans="1:2" hidden="1" x14ac:dyDescent="0.3">
      <c r="A2318" s="373">
        <v>27226500338</v>
      </c>
      <c r="B2318" t="s">
        <v>2492</v>
      </c>
    </row>
    <row r="2319" spans="1:2" hidden="1" x14ac:dyDescent="0.3">
      <c r="A2319" s="373">
        <v>30528650003</v>
      </c>
      <c r="B2319" t="s">
        <v>1889</v>
      </c>
    </row>
    <row r="2320" spans="1:2" hidden="1" x14ac:dyDescent="0.3">
      <c r="A2320" s="373">
        <v>30528650003</v>
      </c>
      <c r="B2320" t="s">
        <v>1889</v>
      </c>
    </row>
    <row r="2321" spans="1:2" hidden="1" x14ac:dyDescent="0.3">
      <c r="A2321" s="373">
        <v>34569874</v>
      </c>
      <c r="B2321" t="s">
        <v>2207</v>
      </c>
    </row>
    <row r="2322" spans="1:2" hidden="1" x14ac:dyDescent="0.3">
      <c r="A2322" s="373">
        <v>34569874</v>
      </c>
      <c r="B2322" t="s">
        <v>2207</v>
      </c>
    </row>
    <row r="2323" spans="1:2" hidden="1" x14ac:dyDescent="0.3">
      <c r="A2323" s="373">
        <v>23344755523</v>
      </c>
      <c r="B2323" t="s">
        <v>1891</v>
      </c>
    </row>
    <row r="2324" spans="1:2" hidden="1" x14ac:dyDescent="0.3">
      <c r="A2324" s="373">
        <v>23344755523</v>
      </c>
      <c r="B2324" t="s">
        <v>1891</v>
      </c>
    </row>
    <row r="2325" spans="1:2" hidden="1" x14ac:dyDescent="0.3">
      <c r="A2325" s="373">
        <v>23344755523</v>
      </c>
      <c r="B2325" t="s">
        <v>1891</v>
      </c>
    </row>
    <row r="2326" spans="1:2" hidden="1" x14ac:dyDescent="0.3">
      <c r="A2326" s="373">
        <v>23344755523</v>
      </c>
      <c r="B2326" t="s">
        <v>1891</v>
      </c>
    </row>
    <row r="2327" spans="1:2" hidden="1" x14ac:dyDescent="0.3">
      <c r="A2327" s="373">
        <v>23344755523</v>
      </c>
      <c r="B2327" t="s">
        <v>1891</v>
      </c>
    </row>
    <row r="2328" spans="1:2" hidden="1" x14ac:dyDescent="0.3">
      <c r="A2328" s="373">
        <v>23344755523</v>
      </c>
      <c r="B2328" t="s">
        <v>1891</v>
      </c>
    </row>
    <row r="2329" spans="1:2" hidden="1" x14ac:dyDescent="0.3">
      <c r="A2329" s="373">
        <v>23344755523</v>
      </c>
      <c r="B2329" t="s">
        <v>1891</v>
      </c>
    </row>
    <row r="2330" spans="1:2" hidden="1" x14ac:dyDescent="0.3">
      <c r="A2330" s="373">
        <v>23344755523</v>
      </c>
      <c r="B2330" t="s">
        <v>1891</v>
      </c>
    </row>
    <row r="2331" spans="1:2" hidden="1" x14ac:dyDescent="0.3">
      <c r="A2331" s="373">
        <v>20210020412</v>
      </c>
      <c r="B2331" t="s">
        <v>1892</v>
      </c>
    </row>
    <row r="2332" spans="1:2" hidden="1" x14ac:dyDescent="0.3">
      <c r="A2332" s="373">
        <v>20210020412</v>
      </c>
      <c r="B2332" t="s">
        <v>1892</v>
      </c>
    </row>
    <row r="2333" spans="1:2" hidden="1" x14ac:dyDescent="0.3">
      <c r="A2333" s="373">
        <v>30584633383</v>
      </c>
      <c r="B2333" t="s">
        <v>1893</v>
      </c>
    </row>
    <row r="2334" spans="1:2" hidden="1" x14ac:dyDescent="0.3">
      <c r="A2334" s="373">
        <v>30584633383</v>
      </c>
      <c r="B2334" t="s">
        <v>1893</v>
      </c>
    </row>
    <row r="2335" spans="1:2" hidden="1" x14ac:dyDescent="0.3">
      <c r="A2335" s="373">
        <v>30715701975</v>
      </c>
      <c r="B2335" t="s">
        <v>2192</v>
      </c>
    </row>
    <row r="2336" spans="1:2" hidden="1" x14ac:dyDescent="0.3">
      <c r="A2336" s="373">
        <v>30715701975</v>
      </c>
      <c r="B2336" t="s">
        <v>2192</v>
      </c>
    </row>
    <row r="2337" spans="1:2" hidden="1" x14ac:dyDescent="0.3">
      <c r="A2337" s="373">
        <v>30709182389</v>
      </c>
      <c r="B2337" t="s">
        <v>1894</v>
      </c>
    </row>
    <row r="2338" spans="1:2" hidden="1" x14ac:dyDescent="0.3">
      <c r="A2338" s="373">
        <v>30709182389</v>
      </c>
      <c r="B2338" t="s">
        <v>1894</v>
      </c>
    </row>
    <row r="2339" spans="1:2" hidden="1" x14ac:dyDescent="0.3">
      <c r="A2339" s="373">
        <v>30665725829</v>
      </c>
      <c r="B2339" t="s">
        <v>1895</v>
      </c>
    </row>
    <row r="2340" spans="1:2" hidden="1" x14ac:dyDescent="0.3">
      <c r="A2340" s="373">
        <v>30665725829</v>
      </c>
      <c r="B2340" t="s">
        <v>1895</v>
      </c>
    </row>
    <row r="2341" spans="1:2" hidden="1" x14ac:dyDescent="0.3">
      <c r="A2341" s="373">
        <v>30715487876</v>
      </c>
      <c r="B2341" t="s">
        <v>1896</v>
      </c>
    </row>
    <row r="2342" spans="1:2" hidden="1" x14ac:dyDescent="0.3">
      <c r="A2342" s="373">
        <v>30715487876</v>
      </c>
      <c r="B2342" t="s">
        <v>1896</v>
      </c>
    </row>
    <row r="2343" spans="1:2" hidden="1" x14ac:dyDescent="0.3">
      <c r="A2343" s="373">
        <v>23110449429</v>
      </c>
      <c r="B2343" t="s">
        <v>1897</v>
      </c>
    </row>
    <row r="2344" spans="1:2" hidden="1" x14ac:dyDescent="0.3">
      <c r="A2344" s="373">
        <v>23110449429</v>
      </c>
      <c r="B2344" t="s">
        <v>1897</v>
      </c>
    </row>
    <row r="2345" spans="1:2" hidden="1" x14ac:dyDescent="0.3">
      <c r="A2345" s="373">
        <v>20171417148</v>
      </c>
      <c r="B2345" t="s">
        <v>1898</v>
      </c>
    </row>
    <row r="2346" spans="1:2" hidden="1" x14ac:dyDescent="0.3">
      <c r="A2346" s="373">
        <v>20171417148</v>
      </c>
      <c r="B2346" t="s">
        <v>1898</v>
      </c>
    </row>
    <row r="2347" spans="1:2" hidden="1" x14ac:dyDescent="0.3">
      <c r="A2347" s="373">
        <v>30697289433</v>
      </c>
      <c r="B2347" t="s">
        <v>2869</v>
      </c>
    </row>
    <row r="2348" spans="1:2" hidden="1" x14ac:dyDescent="0.3">
      <c r="A2348" s="373">
        <v>30715925164</v>
      </c>
      <c r="B2348" t="s">
        <v>1899</v>
      </c>
    </row>
    <row r="2349" spans="1:2" hidden="1" x14ac:dyDescent="0.3">
      <c r="A2349" s="373">
        <v>30715925164</v>
      </c>
      <c r="B2349" t="s">
        <v>1899</v>
      </c>
    </row>
    <row r="2350" spans="1:2" hidden="1" x14ac:dyDescent="0.3">
      <c r="A2350" s="373">
        <v>30572076764</v>
      </c>
      <c r="B2350" t="s">
        <v>1900</v>
      </c>
    </row>
    <row r="2351" spans="1:2" hidden="1" x14ac:dyDescent="0.3">
      <c r="A2351" s="373">
        <v>30572076764</v>
      </c>
      <c r="B2351" t="s">
        <v>1900</v>
      </c>
    </row>
    <row r="2352" spans="1:2" hidden="1" x14ac:dyDescent="0.3">
      <c r="A2352" s="373">
        <v>30654118767</v>
      </c>
      <c r="B2352" t="s">
        <v>1901</v>
      </c>
    </row>
    <row r="2353" spans="1:2" hidden="1" x14ac:dyDescent="0.3">
      <c r="A2353" s="373">
        <v>30654118767</v>
      </c>
      <c r="B2353" t="s">
        <v>1901</v>
      </c>
    </row>
    <row r="2354" spans="1:2" hidden="1" x14ac:dyDescent="0.3">
      <c r="A2354" s="373">
        <v>30709040908</v>
      </c>
      <c r="B2354" t="s">
        <v>1902</v>
      </c>
    </row>
    <row r="2355" spans="1:2" hidden="1" x14ac:dyDescent="0.3">
      <c r="A2355" s="373">
        <v>30709040908</v>
      </c>
      <c r="B2355" t="s">
        <v>1902</v>
      </c>
    </row>
    <row r="2356" spans="1:2" hidden="1" x14ac:dyDescent="0.3">
      <c r="A2356" s="373">
        <v>33714720789</v>
      </c>
      <c r="B2356" t="s">
        <v>1904</v>
      </c>
    </row>
    <row r="2357" spans="1:2" hidden="1" x14ac:dyDescent="0.3">
      <c r="A2357" s="373">
        <v>33714720789</v>
      </c>
      <c r="B2357" t="s">
        <v>1904</v>
      </c>
    </row>
    <row r="2358" spans="1:2" hidden="1" x14ac:dyDescent="0.3">
      <c r="A2358" s="373">
        <v>42622446</v>
      </c>
      <c r="B2358" t="s">
        <v>2261</v>
      </c>
    </row>
    <row r="2359" spans="1:2" hidden="1" x14ac:dyDescent="0.3">
      <c r="A2359" s="373">
        <v>42622446</v>
      </c>
      <c r="B2359" t="s">
        <v>2261</v>
      </c>
    </row>
    <row r="2360" spans="1:2" hidden="1" x14ac:dyDescent="0.3">
      <c r="A2360" s="373">
        <v>27103618792</v>
      </c>
      <c r="B2360" t="s">
        <v>2494</v>
      </c>
    </row>
    <row r="2361" spans="1:2" hidden="1" x14ac:dyDescent="0.3">
      <c r="A2361" s="373">
        <v>34432726</v>
      </c>
      <c r="B2361" t="s">
        <v>2282</v>
      </c>
    </row>
    <row r="2362" spans="1:2" hidden="1" x14ac:dyDescent="0.3">
      <c r="A2362" s="373">
        <v>34432726</v>
      </c>
      <c r="B2362" t="s">
        <v>2282</v>
      </c>
    </row>
    <row r="2363" spans="1:2" hidden="1" x14ac:dyDescent="0.3">
      <c r="A2363" s="373">
        <v>18198929</v>
      </c>
      <c r="B2363" t="s">
        <v>2245</v>
      </c>
    </row>
    <row r="2364" spans="1:2" hidden="1" x14ac:dyDescent="0.3">
      <c r="A2364" s="373">
        <v>18198929</v>
      </c>
      <c r="B2364" t="s">
        <v>2245</v>
      </c>
    </row>
    <row r="2365" spans="1:2" hidden="1" x14ac:dyDescent="0.3">
      <c r="A2365" s="373">
        <v>13740696</v>
      </c>
      <c r="B2365" t="s">
        <v>1908</v>
      </c>
    </row>
    <row r="2366" spans="1:2" hidden="1" x14ac:dyDescent="0.3">
      <c r="A2366" s="373">
        <v>13740696</v>
      </c>
      <c r="B2366" t="s">
        <v>1908</v>
      </c>
    </row>
    <row r="2367" spans="1:2" hidden="1" x14ac:dyDescent="0.3">
      <c r="A2367" s="373">
        <v>30710244401</v>
      </c>
      <c r="B2367" t="s">
        <v>2870</v>
      </c>
    </row>
    <row r="2368" spans="1:2" hidden="1" x14ac:dyDescent="0.3">
      <c r="A2368" s="373">
        <v>30577797281</v>
      </c>
      <c r="B2368" t="s">
        <v>1911</v>
      </c>
    </row>
    <row r="2369" spans="1:2" hidden="1" x14ac:dyDescent="0.3">
      <c r="A2369" s="373">
        <v>30577797281</v>
      </c>
      <c r="B2369" t="s">
        <v>1911</v>
      </c>
    </row>
    <row r="2370" spans="1:2" hidden="1" x14ac:dyDescent="0.3">
      <c r="A2370" s="373">
        <v>20249295869</v>
      </c>
      <c r="B2370" t="s">
        <v>1912</v>
      </c>
    </row>
    <row r="2371" spans="1:2" hidden="1" x14ac:dyDescent="0.3">
      <c r="A2371" s="373">
        <v>20249295869</v>
      </c>
      <c r="B2371" t="s">
        <v>1912</v>
      </c>
    </row>
    <row r="2372" spans="1:2" hidden="1" x14ac:dyDescent="0.3">
      <c r="A2372" s="373">
        <v>20238775389</v>
      </c>
      <c r="B2372" t="s">
        <v>1913</v>
      </c>
    </row>
    <row r="2373" spans="1:2" hidden="1" x14ac:dyDescent="0.3">
      <c r="A2373" s="373">
        <v>20238775389</v>
      </c>
      <c r="B2373" t="s">
        <v>1913</v>
      </c>
    </row>
    <row r="2374" spans="1:2" hidden="1" x14ac:dyDescent="0.3">
      <c r="A2374" s="373">
        <v>30500221956</v>
      </c>
      <c r="B2374" t="s">
        <v>1914</v>
      </c>
    </row>
    <row r="2375" spans="1:2" hidden="1" x14ac:dyDescent="0.3">
      <c r="A2375" s="373">
        <v>30500221956</v>
      </c>
      <c r="B2375" t="s">
        <v>1914</v>
      </c>
    </row>
    <row r="2376" spans="1:2" hidden="1" x14ac:dyDescent="0.3">
      <c r="A2376" s="40">
        <v>23366871349</v>
      </c>
      <c r="B2376" t="s">
        <v>2871</v>
      </c>
    </row>
    <row r="2377" spans="1:2" hidden="1" x14ac:dyDescent="0.3">
      <c r="A2377" s="373">
        <v>20388413000</v>
      </c>
      <c r="B2377" t="s">
        <v>1915</v>
      </c>
    </row>
    <row r="2378" spans="1:2" hidden="1" x14ac:dyDescent="0.3">
      <c r="A2378" s="373">
        <v>20388413000</v>
      </c>
      <c r="B2378" t="s">
        <v>1915</v>
      </c>
    </row>
    <row r="2379" spans="1:2" hidden="1" x14ac:dyDescent="0.3">
      <c r="A2379" s="373">
        <v>20276237889</v>
      </c>
      <c r="B2379" t="s">
        <v>1916</v>
      </c>
    </row>
    <row r="2380" spans="1:2" hidden="1" x14ac:dyDescent="0.3">
      <c r="A2380" s="373">
        <v>20276237889</v>
      </c>
      <c r="B2380" t="s">
        <v>1916</v>
      </c>
    </row>
    <row r="2381" spans="1:2" hidden="1" x14ac:dyDescent="0.3">
      <c r="A2381" s="373">
        <v>24847198</v>
      </c>
      <c r="B2381" t="s">
        <v>2263</v>
      </c>
    </row>
    <row r="2382" spans="1:2" hidden="1" x14ac:dyDescent="0.3">
      <c r="A2382" s="373">
        <v>24847198</v>
      </c>
      <c r="B2382" t="s">
        <v>2263</v>
      </c>
    </row>
    <row r="2383" spans="1:2" hidden="1" x14ac:dyDescent="0.3">
      <c r="A2383" s="373">
        <v>20293879681</v>
      </c>
      <c r="B2383" t="s">
        <v>1917</v>
      </c>
    </row>
    <row r="2384" spans="1:2" hidden="1" x14ac:dyDescent="0.3">
      <c r="A2384" s="373">
        <v>20293879681</v>
      </c>
      <c r="B2384" t="s">
        <v>1917</v>
      </c>
    </row>
    <row r="2385" spans="1:2" hidden="1" x14ac:dyDescent="0.3">
      <c r="A2385" s="373">
        <v>20172324240</v>
      </c>
      <c r="B2385" t="s">
        <v>1918</v>
      </c>
    </row>
    <row r="2386" spans="1:2" hidden="1" x14ac:dyDescent="0.3">
      <c r="A2386" s="373">
        <v>20172324240</v>
      </c>
      <c r="B2386" t="s">
        <v>1918</v>
      </c>
    </row>
    <row r="2387" spans="1:2" hidden="1" x14ac:dyDescent="0.3">
      <c r="A2387" s="373">
        <v>28951546</v>
      </c>
      <c r="B2387" t="s">
        <v>2217</v>
      </c>
    </row>
    <row r="2388" spans="1:2" hidden="1" x14ac:dyDescent="0.3">
      <c r="A2388" s="373">
        <v>28951546</v>
      </c>
      <c r="B2388" t="s">
        <v>2217</v>
      </c>
    </row>
    <row r="2389" spans="1:2" hidden="1" x14ac:dyDescent="0.3">
      <c r="A2389" s="373">
        <v>28951546</v>
      </c>
      <c r="B2389" t="s">
        <v>2217</v>
      </c>
    </row>
    <row r="2390" spans="1:2" hidden="1" x14ac:dyDescent="0.3">
      <c r="A2390" s="373">
        <v>28951546</v>
      </c>
      <c r="B2390" t="s">
        <v>2217</v>
      </c>
    </row>
    <row r="2391" spans="1:2" hidden="1" x14ac:dyDescent="0.3">
      <c r="A2391" s="373">
        <v>20211427834</v>
      </c>
      <c r="B2391" t="s">
        <v>1920</v>
      </c>
    </row>
    <row r="2392" spans="1:2" hidden="1" x14ac:dyDescent="0.3">
      <c r="A2392" s="373">
        <v>20211427834</v>
      </c>
      <c r="B2392" t="s">
        <v>1920</v>
      </c>
    </row>
    <row r="2393" spans="1:2" hidden="1" x14ac:dyDescent="0.3">
      <c r="A2393" s="373">
        <v>30711500711</v>
      </c>
      <c r="B2393" t="s">
        <v>1921</v>
      </c>
    </row>
    <row r="2394" spans="1:2" hidden="1" x14ac:dyDescent="0.3">
      <c r="A2394" s="373">
        <v>30711500711</v>
      </c>
      <c r="B2394" t="s">
        <v>1921</v>
      </c>
    </row>
    <row r="2395" spans="1:2" hidden="1" x14ac:dyDescent="0.3">
      <c r="A2395" s="373">
        <v>20041986078</v>
      </c>
      <c r="B2395" t="s">
        <v>1923</v>
      </c>
    </row>
    <row r="2396" spans="1:2" hidden="1" x14ac:dyDescent="0.3">
      <c r="A2396" s="373">
        <v>20041986078</v>
      </c>
      <c r="B2396" t="s">
        <v>1923</v>
      </c>
    </row>
    <row r="2397" spans="1:2" hidden="1" x14ac:dyDescent="0.3">
      <c r="A2397" s="373">
        <v>20934658230</v>
      </c>
      <c r="B2397" t="s">
        <v>1924</v>
      </c>
    </row>
    <row r="2398" spans="1:2" hidden="1" x14ac:dyDescent="0.3">
      <c r="A2398" s="373">
        <v>20934658230</v>
      </c>
      <c r="B2398" t="s">
        <v>1924</v>
      </c>
    </row>
    <row r="2399" spans="1:2" hidden="1" x14ac:dyDescent="0.3">
      <c r="A2399" s="373">
        <v>20934658230</v>
      </c>
      <c r="B2399" t="s">
        <v>1924</v>
      </c>
    </row>
    <row r="2400" spans="1:2" hidden="1" x14ac:dyDescent="0.3">
      <c r="A2400" s="373">
        <v>20934658230</v>
      </c>
      <c r="B2400" t="s">
        <v>1924</v>
      </c>
    </row>
    <row r="2401" spans="1:2" hidden="1" x14ac:dyDescent="0.3">
      <c r="A2401" s="373">
        <v>20084002675</v>
      </c>
      <c r="B2401" t="s">
        <v>1925</v>
      </c>
    </row>
    <row r="2402" spans="1:2" hidden="1" x14ac:dyDescent="0.3">
      <c r="A2402" s="373">
        <v>20084002675</v>
      </c>
      <c r="B2402" t="s">
        <v>1925</v>
      </c>
    </row>
    <row r="2403" spans="1:2" hidden="1" x14ac:dyDescent="0.3">
      <c r="A2403" s="373">
        <v>30715259407</v>
      </c>
      <c r="B2403" t="s">
        <v>1926</v>
      </c>
    </row>
    <row r="2404" spans="1:2" hidden="1" x14ac:dyDescent="0.3">
      <c r="A2404" s="373">
        <v>30715259407</v>
      </c>
      <c r="B2404" t="s">
        <v>1926</v>
      </c>
    </row>
    <row r="2405" spans="1:2" hidden="1" x14ac:dyDescent="0.3">
      <c r="A2405" s="373">
        <v>30717465403</v>
      </c>
      <c r="B2405" t="s">
        <v>1927</v>
      </c>
    </row>
    <row r="2406" spans="1:2" hidden="1" x14ac:dyDescent="0.3">
      <c r="A2406" s="373">
        <v>30717465403</v>
      </c>
      <c r="B2406" t="s">
        <v>1927</v>
      </c>
    </row>
    <row r="2407" spans="1:2" hidden="1" x14ac:dyDescent="0.3">
      <c r="A2407" s="373">
        <v>27202375958</v>
      </c>
      <c r="B2407" t="s">
        <v>1929</v>
      </c>
    </row>
    <row r="2408" spans="1:2" hidden="1" x14ac:dyDescent="0.3">
      <c r="A2408" s="373">
        <v>27202375958</v>
      </c>
      <c r="B2408" t="s">
        <v>1929</v>
      </c>
    </row>
    <row r="2409" spans="1:2" hidden="1" x14ac:dyDescent="0.3">
      <c r="A2409" s="373">
        <v>20045279244</v>
      </c>
      <c r="B2409" t="s">
        <v>1930</v>
      </c>
    </row>
    <row r="2410" spans="1:2" hidden="1" x14ac:dyDescent="0.3">
      <c r="A2410" s="373">
        <v>20045279244</v>
      </c>
      <c r="B2410" t="s">
        <v>1930</v>
      </c>
    </row>
    <row r="2411" spans="1:2" hidden="1" x14ac:dyDescent="0.3">
      <c r="A2411" s="373">
        <v>30716209551</v>
      </c>
      <c r="B2411" t="s">
        <v>1932</v>
      </c>
    </row>
    <row r="2412" spans="1:2" hidden="1" x14ac:dyDescent="0.3">
      <c r="A2412" s="373">
        <v>30716209551</v>
      </c>
      <c r="B2412" t="s">
        <v>1932</v>
      </c>
    </row>
    <row r="2413" spans="1:2" hidden="1" x14ac:dyDescent="0.3">
      <c r="A2413" s="373">
        <v>30716258439</v>
      </c>
      <c r="B2413" t="s">
        <v>1933</v>
      </c>
    </row>
    <row r="2414" spans="1:2" hidden="1" x14ac:dyDescent="0.3">
      <c r="A2414" s="373">
        <v>30716258439</v>
      </c>
      <c r="B2414" t="s">
        <v>1933</v>
      </c>
    </row>
    <row r="2415" spans="1:2" hidden="1" x14ac:dyDescent="0.3">
      <c r="A2415" s="373">
        <v>30710486952</v>
      </c>
      <c r="B2415" t="s">
        <v>1936</v>
      </c>
    </row>
    <row r="2416" spans="1:2" hidden="1" x14ac:dyDescent="0.3">
      <c r="A2416" s="373">
        <v>30710486952</v>
      </c>
      <c r="B2416" t="s">
        <v>1936</v>
      </c>
    </row>
    <row r="2417" spans="1:2" hidden="1" x14ac:dyDescent="0.3">
      <c r="A2417" s="373">
        <v>20174824585</v>
      </c>
      <c r="B2417" t="s">
        <v>1939</v>
      </c>
    </row>
    <row r="2418" spans="1:2" hidden="1" x14ac:dyDescent="0.3">
      <c r="A2418" s="373">
        <v>20174824585</v>
      </c>
      <c r="B2418" t="s">
        <v>1939</v>
      </c>
    </row>
    <row r="2419" spans="1:2" hidden="1" x14ac:dyDescent="0.3">
      <c r="A2419" s="373">
        <v>24215334</v>
      </c>
      <c r="B2419" t="s">
        <v>2297</v>
      </c>
    </row>
    <row r="2420" spans="1:2" hidden="1" x14ac:dyDescent="0.3">
      <c r="A2420" s="373">
        <v>24215334</v>
      </c>
      <c r="B2420" t="s">
        <v>2297</v>
      </c>
    </row>
    <row r="2421" spans="1:2" hidden="1" x14ac:dyDescent="0.3">
      <c r="A2421" s="373">
        <v>27166041673</v>
      </c>
      <c r="B2421" t="s">
        <v>1940</v>
      </c>
    </row>
    <row r="2422" spans="1:2" hidden="1" x14ac:dyDescent="0.3">
      <c r="A2422" s="373">
        <v>27166041673</v>
      </c>
      <c r="B2422" t="s">
        <v>1940</v>
      </c>
    </row>
    <row r="2423" spans="1:2" hidden="1" x14ac:dyDescent="0.3">
      <c r="A2423" s="373">
        <v>30649038089</v>
      </c>
      <c r="B2423" t="s">
        <v>1941</v>
      </c>
    </row>
    <row r="2424" spans="1:2" hidden="1" x14ac:dyDescent="0.3">
      <c r="A2424" s="373">
        <v>30649038089</v>
      </c>
      <c r="B2424" t="s">
        <v>1941</v>
      </c>
    </row>
    <row r="2425" spans="1:2" hidden="1" x14ac:dyDescent="0.3">
      <c r="A2425" s="373">
        <v>30709276332</v>
      </c>
      <c r="B2425" t="s">
        <v>1942</v>
      </c>
    </row>
    <row r="2426" spans="1:2" hidden="1" x14ac:dyDescent="0.3">
      <c r="A2426" s="373">
        <v>30709276332</v>
      </c>
      <c r="B2426" t="s">
        <v>1942</v>
      </c>
    </row>
    <row r="2427" spans="1:2" hidden="1" x14ac:dyDescent="0.3">
      <c r="A2427" s="373">
        <v>30685376349</v>
      </c>
      <c r="B2427" t="s">
        <v>1945</v>
      </c>
    </row>
    <row r="2428" spans="1:2" hidden="1" x14ac:dyDescent="0.3">
      <c r="A2428" s="373">
        <v>30685376349</v>
      </c>
      <c r="B2428" t="s">
        <v>1945</v>
      </c>
    </row>
    <row r="2429" spans="1:2" hidden="1" x14ac:dyDescent="0.3">
      <c r="A2429" s="373">
        <v>30716290154</v>
      </c>
      <c r="B2429" t="s">
        <v>1947</v>
      </c>
    </row>
    <row r="2430" spans="1:2" hidden="1" x14ac:dyDescent="0.3">
      <c r="A2430" s="373">
        <v>30716290154</v>
      </c>
      <c r="B2430" t="s">
        <v>1947</v>
      </c>
    </row>
    <row r="2431" spans="1:2" hidden="1" x14ac:dyDescent="0.3">
      <c r="A2431" s="373">
        <v>20267697516</v>
      </c>
      <c r="B2431" t="s">
        <v>1948</v>
      </c>
    </row>
    <row r="2432" spans="1:2" hidden="1" x14ac:dyDescent="0.3">
      <c r="A2432" s="373">
        <v>20267697516</v>
      </c>
      <c r="B2432" t="s">
        <v>1948</v>
      </c>
    </row>
    <row r="2433" spans="1:2" hidden="1" x14ac:dyDescent="0.3">
      <c r="A2433" s="373">
        <v>30715422782</v>
      </c>
      <c r="B2433" t="s">
        <v>1949</v>
      </c>
    </row>
    <row r="2434" spans="1:2" hidden="1" x14ac:dyDescent="0.3">
      <c r="A2434" s="373">
        <v>30715422782</v>
      </c>
      <c r="B2434" t="s">
        <v>1949</v>
      </c>
    </row>
    <row r="2435" spans="1:2" hidden="1" x14ac:dyDescent="0.3">
      <c r="A2435" s="373">
        <v>30714511005</v>
      </c>
      <c r="B2435" t="s">
        <v>1952</v>
      </c>
    </row>
    <row r="2436" spans="1:2" hidden="1" x14ac:dyDescent="0.3">
      <c r="A2436" s="373">
        <v>30714511005</v>
      </c>
      <c r="B2436" t="s">
        <v>1952</v>
      </c>
    </row>
    <row r="2437" spans="1:2" hidden="1" x14ac:dyDescent="0.3">
      <c r="A2437" s="373">
        <v>30708960736</v>
      </c>
      <c r="B2437" t="s">
        <v>1953</v>
      </c>
    </row>
    <row r="2438" spans="1:2" hidden="1" x14ac:dyDescent="0.3">
      <c r="A2438" s="373">
        <v>30708960736</v>
      </c>
      <c r="B2438" t="s">
        <v>1953</v>
      </c>
    </row>
    <row r="2439" spans="1:2" hidden="1" x14ac:dyDescent="0.3">
      <c r="A2439" s="373">
        <v>30708351063</v>
      </c>
      <c r="B2439" t="s">
        <v>1954</v>
      </c>
    </row>
    <row r="2440" spans="1:2" hidden="1" x14ac:dyDescent="0.3">
      <c r="A2440" s="373">
        <v>30708351063</v>
      </c>
      <c r="B2440" t="s">
        <v>1954</v>
      </c>
    </row>
    <row r="2441" spans="1:2" hidden="1" x14ac:dyDescent="0.3">
      <c r="A2441" s="373">
        <v>30711246556</v>
      </c>
      <c r="B2441" t="s">
        <v>1955</v>
      </c>
    </row>
    <row r="2442" spans="1:2" hidden="1" x14ac:dyDescent="0.3">
      <c r="A2442" s="373">
        <v>30711246556</v>
      </c>
      <c r="B2442" t="s">
        <v>1955</v>
      </c>
    </row>
    <row r="2443" spans="1:2" hidden="1" x14ac:dyDescent="0.3">
      <c r="A2443" s="373">
        <v>30707761357</v>
      </c>
      <c r="B2443" t="s">
        <v>1956</v>
      </c>
    </row>
    <row r="2444" spans="1:2" hidden="1" x14ac:dyDescent="0.3">
      <c r="A2444" s="373">
        <v>30707761357</v>
      </c>
      <c r="B2444" t="s">
        <v>1956</v>
      </c>
    </row>
    <row r="2445" spans="1:2" hidden="1" x14ac:dyDescent="0.3">
      <c r="A2445" s="373">
        <v>30502272930</v>
      </c>
      <c r="B2445" t="s">
        <v>2661</v>
      </c>
    </row>
    <row r="2446" spans="1:2" hidden="1" x14ac:dyDescent="0.3">
      <c r="A2446" s="373">
        <v>33695098419</v>
      </c>
      <c r="B2446" t="s">
        <v>1962</v>
      </c>
    </row>
    <row r="2447" spans="1:2" hidden="1" x14ac:dyDescent="0.3">
      <c r="A2447" s="373">
        <v>33695098419</v>
      </c>
      <c r="B2447" t="s">
        <v>1962</v>
      </c>
    </row>
    <row r="2448" spans="1:2" hidden="1" x14ac:dyDescent="0.3">
      <c r="A2448" s="373">
        <v>34593997202</v>
      </c>
      <c r="B2448" t="s">
        <v>1963</v>
      </c>
    </row>
    <row r="2449" spans="1:2" hidden="1" x14ac:dyDescent="0.3">
      <c r="A2449" s="373">
        <v>34593997202</v>
      </c>
      <c r="B2449" t="s">
        <v>1963</v>
      </c>
    </row>
    <row r="2450" spans="1:2" hidden="1" x14ac:dyDescent="0.3">
      <c r="A2450" s="373">
        <v>30716088320</v>
      </c>
      <c r="B2450" t="s">
        <v>1964</v>
      </c>
    </row>
    <row r="2451" spans="1:2" hidden="1" x14ac:dyDescent="0.3">
      <c r="A2451" s="373">
        <v>30716088320</v>
      </c>
      <c r="B2451" t="s">
        <v>1964</v>
      </c>
    </row>
    <row r="2452" spans="1:2" hidden="1" x14ac:dyDescent="0.3">
      <c r="A2452" s="373">
        <v>30710092784</v>
      </c>
      <c r="B2452" t="s">
        <v>1965</v>
      </c>
    </row>
    <row r="2453" spans="1:2" hidden="1" x14ac:dyDescent="0.3">
      <c r="A2453" s="373">
        <v>30710092784</v>
      </c>
      <c r="B2453" t="s">
        <v>1965</v>
      </c>
    </row>
    <row r="2454" spans="1:2" hidden="1" x14ac:dyDescent="0.3">
      <c r="A2454" s="373">
        <v>20066033946</v>
      </c>
      <c r="B2454" t="s">
        <v>1966</v>
      </c>
    </row>
    <row r="2455" spans="1:2" hidden="1" x14ac:dyDescent="0.3">
      <c r="A2455" s="373">
        <v>20066033946</v>
      </c>
      <c r="B2455" t="s">
        <v>1966</v>
      </c>
    </row>
    <row r="2456" spans="1:2" hidden="1" x14ac:dyDescent="0.3">
      <c r="A2456" s="373">
        <v>33629816599</v>
      </c>
      <c r="B2456" t="s">
        <v>1967</v>
      </c>
    </row>
    <row r="2457" spans="1:2" hidden="1" x14ac:dyDescent="0.3">
      <c r="A2457" s="373">
        <v>33629816599</v>
      </c>
      <c r="B2457" t="s">
        <v>1967</v>
      </c>
    </row>
    <row r="2458" spans="1:2" hidden="1" x14ac:dyDescent="0.3">
      <c r="A2458" s="373">
        <v>20925943410</v>
      </c>
      <c r="B2458" t="s">
        <v>1968</v>
      </c>
    </row>
    <row r="2459" spans="1:2" hidden="1" x14ac:dyDescent="0.3">
      <c r="A2459" s="373">
        <v>20925943410</v>
      </c>
      <c r="B2459" t="s">
        <v>1968</v>
      </c>
    </row>
    <row r="2460" spans="1:2" hidden="1" x14ac:dyDescent="0.3">
      <c r="A2460" s="373">
        <v>30710718438</v>
      </c>
      <c r="B2460" t="s">
        <v>1969</v>
      </c>
    </row>
    <row r="2461" spans="1:2" hidden="1" x14ac:dyDescent="0.3">
      <c r="A2461" s="373">
        <v>30710718438</v>
      </c>
      <c r="B2461" t="s">
        <v>1969</v>
      </c>
    </row>
    <row r="2462" spans="1:2" hidden="1" x14ac:dyDescent="0.3">
      <c r="A2462" s="373">
        <v>30716296438</v>
      </c>
      <c r="B2462" t="s">
        <v>1970</v>
      </c>
    </row>
    <row r="2463" spans="1:2" hidden="1" x14ac:dyDescent="0.3">
      <c r="A2463" s="373">
        <v>30716296438</v>
      </c>
      <c r="B2463" t="s">
        <v>1970</v>
      </c>
    </row>
    <row r="2464" spans="1:2" hidden="1" x14ac:dyDescent="0.3">
      <c r="A2464" s="373">
        <v>30711902054</v>
      </c>
      <c r="B2464" t="s">
        <v>1974</v>
      </c>
    </row>
    <row r="2465" spans="1:2" hidden="1" x14ac:dyDescent="0.3">
      <c r="A2465" s="373">
        <v>30711902054</v>
      </c>
      <c r="B2465" t="s">
        <v>1974</v>
      </c>
    </row>
    <row r="2466" spans="1:2" hidden="1" x14ac:dyDescent="0.3">
      <c r="A2466" s="373">
        <v>30711902054</v>
      </c>
      <c r="B2466" t="s">
        <v>1975</v>
      </c>
    </row>
    <row r="2467" spans="1:2" hidden="1" x14ac:dyDescent="0.3">
      <c r="A2467" s="373">
        <v>30711902054</v>
      </c>
      <c r="B2467" t="s">
        <v>1975</v>
      </c>
    </row>
    <row r="2468" spans="1:2" hidden="1" x14ac:dyDescent="0.3">
      <c r="A2468" s="373">
        <v>30709081728</v>
      </c>
      <c r="B2468" t="s">
        <v>1976</v>
      </c>
    </row>
    <row r="2469" spans="1:2" hidden="1" x14ac:dyDescent="0.3">
      <c r="A2469" s="373">
        <v>30709081728</v>
      </c>
      <c r="B2469" t="s">
        <v>1976</v>
      </c>
    </row>
    <row r="2470" spans="1:2" hidden="1" x14ac:dyDescent="0.3">
      <c r="A2470" s="373">
        <v>30715251201</v>
      </c>
      <c r="B2470" t="s">
        <v>1977</v>
      </c>
    </row>
    <row r="2471" spans="1:2" hidden="1" x14ac:dyDescent="0.3">
      <c r="A2471" s="373">
        <v>30715251201</v>
      </c>
      <c r="B2471" t="s">
        <v>1977</v>
      </c>
    </row>
    <row r="2472" spans="1:2" hidden="1" x14ac:dyDescent="0.3">
      <c r="A2472" s="373">
        <v>30715293923</v>
      </c>
      <c r="B2472" t="s">
        <v>1979</v>
      </c>
    </row>
    <row r="2473" spans="1:2" hidden="1" x14ac:dyDescent="0.3">
      <c r="A2473" s="373">
        <v>30715293923</v>
      </c>
      <c r="B2473" t="s">
        <v>1979</v>
      </c>
    </row>
    <row r="2474" spans="1:2" hidden="1" x14ac:dyDescent="0.3">
      <c r="A2474" s="373">
        <v>30716087588</v>
      </c>
      <c r="B2474" t="s">
        <v>2514</v>
      </c>
    </row>
    <row r="2475" spans="1:2" hidden="1" x14ac:dyDescent="0.3">
      <c r="A2475" s="373">
        <v>30707824618</v>
      </c>
      <c r="B2475" t="s">
        <v>1980</v>
      </c>
    </row>
    <row r="2476" spans="1:2" hidden="1" x14ac:dyDescent="0.3">
      <c r="A2476" s="373">
        <v>30707824618</v>
      </c>
      <c r="B2476" t="s">
        <v>1980</v>
      </c>
    </row>
    <row r="2477" spans="1:2" hidden="1" x14ac:dyDescent="0.3">
      <c r="A2477" s="373">
        <v>30715505661</v>
      </c>
      <c r="B2477" t="s">
        <v>1981</v>
      </c>
    </row>
    <row r="2478" spans="1:2" hidden="1" x14ac:dyDescent="0.3">
      <c r="A2478" s="373">
        <v>30715505661</v>
      </c>
      <c r="B2478" t="s">
        <v>1981</v>
      </c>
    </row>
    <row r="2479" spans="1:2" hidden="1" x14ac:dyDescent="0.3">
      <c r="A2479" s="373">
        <v>30712370978</v>
      </c>
      <c r="B2479" t="s">
        <v>1982</v>
      </c>
    </row>
    <row r="2480" spans="1:2" hidden="1" x14ac:dyDescent="0.3">
      <c r="A2480" s="373">
        <v>30712370978</v>
      </c>
      <c r="B2480" t="s">
        <v>1982</v>
      </c>
    </row>
    <row r="2481" spans="1:2" hidden="1" x14ac:dyDescent="0.3">
      <c r="A2481" s="373">
        <v>30708491086</v>
      </c>
      <c r="B2481" t="s">
        <v>1983</v>
      </c>
    </row>
    <row r="2482" spans="1:2" hidden="1" x14ac:dyDescent="0.3">
      <c r="A2482" s="373">
        <v>30708491086</v>
      </c>
      <c r="B2482" t="s">
        <v>1983</v>
      </c>
    </row>
    <row r="2483" spans="1:2" hidden="1" x14ac:dyDescent="0.3">
      <c r="A2483" s="373">
        <v>30661685731</v>
      </c>
      <c r="B2483" t="s">
        <v>1984</v>
      </c>
    </row>
    <row r="2484" spans="1:2" hidden="1" x14ac:dyDescent="0.3">
      <c r="A2484" s="373">
        <v>30661685731</v>
      </c>
      <c r="B2484" t="s">
        <v>1984</v>
      </c>
    </row>
    <row r="2485" spans="1:2" hidden="1" x14ac:dyDescent="0.3">
      <c r="A2485" s="373">
        <v>30715702920</v>
      </c>
      <c r="B2485" t="s">
        <v>1985</v>
      </c>
    </row>
    <row r="2486" spans="1:2" hidden="1" x14ac:dyDescent="0.3">
      <c r="A2486" s="373">
        <v>30715702920</v>
      </c>
      <c r="B2486" t="s">
        <v>1985</v>
      </c>
    </row>
    <row r="2487" spans="1:2" hidden="1" x14ac:dyDescent="0.3">
      <c r="A2487" s="373">
        <v>20229914007</v>
      </c>
      <c r="B2487" t="s">
        <v>1986</v>
      </c>
    </row>
    <row r="2488" spans="1:2" hidden="1" x14ac:dyDescent="0.3">
      <c r="A2488" s="373">
        <v>20229914007</v>
      </c>
      <c r="B2488" t="s">
        <v>1986</v>
      </c>
    </row>
    <row r="2489" spans="1:2" hidden="1" x14ac:dyDescent="0.3">
      <c r="A2489" s="373">
        <v>30710484534</v>
      </c>
      <c r="B2489" t="s">
        <v>1987</v>
      </c>
    </row>
    <row r="2490" spans="1:2" hidden="1" x14ac:dyDescent="0.3">
      <c r="A2490" s="373">
        <v>30710484534</v>
      </c>
      <c r="B2490" t="s">
        <v>1987</v>
      </c>
    </row>
    <row r="2491" spans="1:2" hidden="1" x14ac:dyDescent="0.3">
      <c r="A2491" s="373">
        <v>30708847247</v>
      </c>
      <c r="B2491" t="s">
        <v>1988</v>
      </c>
    </row>
    <row r="2492" spans="1:2" hidden="1" x14ac:dyDescent="0.3">
      <c r="A2492" s="373">
        <v>30708847247</v>
      </c>
      <c r="B2492" t="s">
        <v>1988</v>
      </c>
    </row>
    <row r="2493" spans="1:2" hidden="1" x14ac:dyDescent="0.3">
      <c r="A2493" s="373">
        <v>21934163</v>
      </c>
      <c r="B2493" t="s">
        <v>2326</v>
      </c>
    </row>
    <row r="2494" spans="1:2" hidden="1" x14ac:dyDescent="0.3">
      <c r="A2494" s="373">
        <v>21934163</v>
      </c>
      <c r="B2494" t="s">
        <v>2326</v>
      </c>
    </row>
    <row r="2495" spans="1:2" hidden="1" x14ac:dyDescent="0.3">
      <c r="A2495" s="373">
        <v>30715147250</v>
      </c>
      <c r="B2495" t="s">
        <v>1992</v>
      </c>
    </row>
    <row r="2496" spans="1:2" hidden="1" x14ac:dyDescent="0.3">
      <c r="A2496" s="373">
        <v>30715147250</v>
      </c>
      <c r="B2496" t="s">
        <v>1992</v>
      </c>
    </row>
    <row r="2497" spans="1:2" hidden="1" x14ac:dyDescent="0.3">
      <c r="A2497" s="373">
        <v>30715221426</v>
      </c>
      <c r="B2497" t="s">
        <v>1994</v>
      </c>
    </row>
    <row r="2498" spans="1:2" hidden="1" x14ac:dyDescent="0.3">
      <c r="A2498" s="373">
        <v>30715221426</v>
      </c>
      <c r="B2498" t="s">
        <v>1994</v>
      </c>
    </row>
    <row r="2499" spans="1:2" hidden="1" x14ac:dyDescent="0.3">
      <c r="A2499" s="373">
        <v>20939212508</v>
      </c>
      <c r="B2499" t="s">
        <v>1995</v>
      </c>
    </row>
    <row r="2500" spans="1:2" hidden="1" x14ac:dyDescent="0.3">
      <c r="A2500" s="373">
        <v>20939212508</v>
      </c>
      <c r="B2500" t="s">
        <v>1995</v>
      </c>
    </row>
    <row r="2501" spans="1:2" hidden="1" x14ac:dyDescent="0.3">
      <c r="A2501" s="373">
        <v>30711694605</v>
      </c>
      <c r="B2501" t="s">
        <v>2457</v>
      </c>
    </row>
    <row r="2502" spans="1:2" hidden="1" x14ac:dyDescent="0.3">
      <c r="A2502" s="373">
        <v>30711694605</v>
      </c>
      <c r="B2502" t="s">
        <v>2457</v>
      </c>
    </row>
    <row r="2503" spans="1:2" hidden="1" x14ac:dyDescent="0.3">
      <c r="A2503" s="373">
        <v>30709532568</v>
      </c>
      <c r="B2503" t="s">
        <v>1996</v>
      </c>
    </row>
    <row r="2504" spans="1:2" hidden="1" x14ac:dyDescent="0.3">
      <c r="A2504" s="373">
        <v>30709532568</v>
      </c>
      <c r="B2504" t="s">
        <v>1996</v>
      </c>
    </row>
    <row r="2505" spans="1:2" hidden="1" x14ac:dyDescent="0.3">
      <c r="A2505" s="373">
        <v>30709063061</v>
      </c>
      <c r="B2505" t="s">
        <v>1997</v>
      </c>
    </row>
    <row r="2506" spans="1:2" hidden="1" x14ac:dyDescent="0.3">
      <c r="A2506" s="373">
        <v>30709063061</v>
      </c>
      <c r="B2506" t="s">
        <v>1997</v>
      </c>
    </row>
    <row r="2507" spans="1:2" hidden="1" x14ac:dyDescent="0.3">
      <c r="A2507" s="373">
        <v>30531602273</v>
      </c>
      <c r="B2507" t="s">
        <v>1999</v>
      </c>
    </row>
    <row r="2508" spans="1:2" hidden="1" x14ac:dyDescent="0.3">
      <c r="A2508" s="373">
        <v>30531602273</v>
      </c>
      <c r="B2508" t="s">
        <v>1999</v>
      </c>
    </row>
    <row r="2509" spans="1:2" hidden="1" x14ac:dyDescent="0.3">
      <c r="A2509" s="373">
        <v>30709002755</v>
      </c>
      <c r="B2509" t="s">
        <v>2002</v>
      </c>
    </row>
    <row r="2510" spans="1:2" hidden="1" x14ac:dyDescent="0.3">
      <c r="A2510" s="373">
        <v>30709002755</v>
      </c>
      <c r="B2510" t="s">
        <v>2002</v>
      </c>
    </row>
    <row r="2511" spans="1:2" hidden="1" x14ac:dyDescent="0.3">
      <c r="A2511" s="373">
        <v>30709361895</v>
      </c>
      <c r="B2511" t="s">
        <v>2003</v>
      </c>
    </row>
    <row r="2512" spans="1:2" hidden="1" x14ac:dyDescent="0.3">
      <c r="A2512" s="373">
        <v>30709361895</v>
      </c>
      <c r="B2512" t="s">
        <v>2003</v>
      </c>
    </row>
    <row r="2513" spans="1:2" hidden="1" x14ac:dyDescent="0.3">
      <c r="A2513" s="373">
        <v>34584348951</v>
      </c>
      <c r="B2513" t="s">
        <v>2004</v>
      </c>
    </row>
    <row r="2514" spans="1:2" hidden="1" x14ac:dyDescent="0.3">
      <c r="A2514" s="373">
        <v>34584348951</v>
      </c>
      <c r="B2514" t="s">
        <v>2004</v>
      </c>
    </row>
    <row r="2515" spans="1:2" hidden="1" x14ac:dyDescent="0.3">
      <c r="A2515" s="373">
        <v>30614916490</v>
      </c>
      <c r="B2515" t="s">
        <v>2005</v>
      </c>
    </row>
    <row r="2516" spans="1:2" hidden="1" x14ac:dyDescent="0.3">
      <c r="A2516" s="373">
        <v>30614916490</v>
      </c>
      <c r="B2516" t="s">
        <v>2005</v>
      </c>
    </row>
    <row r="2517" spans="1:2" hidden="1" x14ac:dyDescent="0.3">
      <c r="A2517" s="373">
        <v>30715044060</v>
      </c>
      <c r="B2517" t="s">
        <v>2008</v>
      </c>
    </row>
    <row r="2518" spans="1:2" hidden="1" x14ac:dyDescent="0.3">
      <c r="A2518" s="373">
        <v>30715044060</v>
      </c>
      <c r="B2518" t="s">
        <v>2008</v>
      </c>
    </row>
    <row r="2519" spans="1:2" hidden="1" x14ac:dyDescent="0.3">
      <c r="A2519" s="373">
        <v>30710573936</v>
      </c>
      <c r="B2519" t="s">
        <v>2009</v>
      </c>
    </row>
    <row r="2520" spans="1:2" hidden="1" x14ac:dyDescent="0.3">
      <c r="A2520" s="373">
        <v>30710573936</v>
      </c>
      <c r="B2520" t="s">
        <v>2009</v>
      </c>
    </row>
    <row r="2521" spans="1:2" hidden="1" x14ac:dyDescent="0.3">
      <c r="A2521" s="373">
        <v>33712310419</v>
      </c>
      <c r="B2521" t="s">
        <v>2010</v>
      </c>
    </row>
    <row r="2522" spans="1:2" hidden="1" x14ac:dyDescent="0.3">
      <c r="A2522" s="373">
        <v>33712310419</v>
      </c>
      <c r="B2522" t="s">
        <v>2010</v>
      </c>
    </row>
    <row r="2523" spans="1:2" hidden="1" x14ac:dyDescent="0.3">
      <c r="A2523" s="373">
        <v>30570046663</v>
      </c>
      <c r="B2523" t="s">
        <v>2358</v>
      </c>
    </row>
    <row r="2524" spans="1:2" hidden="1" x14ac:dyDescent="0.3">
      <c r="A2524" s="373">
        <v>30570046663</v>
      </c>
      <c r="B2524" t="s">
        <v>2358</v>
      </c>
    </row>
    <row r="2525" spans="1:2" hidden="1" x14ac:dyDescent="0.3">
      <c r="A2525" s="373">
        <v>30708457244</v>
      </c>
      <c r="B2525" t="s">
        <v>2013</v>
      </c>
    </row>
    <row r="2526" spans="1:2" hidden="1" x14ac:dyDescent="0.3">
      <c r="A2526" s="373">
        <v>30708457244</v>
      </c>
      <c r="B2526" t="s">
        <v>2013</v>
      </c>
    </row>
    <row r="2527" spans="1:2" hidden="1" x14ac:dyDescent="0.3">
      <c r="A2527" s="373">
        <v>21847097</v>
      </c>
      <c r="B2527" t="s">
        <v>2014</v>
      </c>
    </row>
    <row r="2528" spans="1:2" hidden="1" x14ac:dyDescent="0.3">
      <c r="A2528" s="373">
        <v>21847097</v>
      </c>
      <c r="B2528" t="s">
        <v>2014</v>
      </c>
    </row>
    <row r="2529" spans="1:2" hidden="1" x14ac:dyDescent="0.3">
      <c r="A2529" s="373">
        <v>27249100019</v>
      </c>
      <c r="B2529" t="s">
        <v>2016</v>
      </c>
    </row>
    <row r="2530" spans="1:2" hidden="1" x14ac:dyDescent="0.3">
      <c r="A2530" s="373">
        <v>27249100019</v>
      </c>
      <c r="B2530" t="s">
        <v>2016</v>
      </c>
    </row>
    <row r="2531" spans="1:2" hidden="1" x14ac:dyDescent="0.3">
      <c r="A2531" s="373">
        <v>23161117269</v>
      </c>
      <c r="B2531" t="s">
        <v>2017</v>
      </c>
    </row>
    <row r="2532" spans="1:2" hidden="1" x14ac:dyDescent="0.3">
      <c r="A2532" s="373">
        <v>23161117269</v>
      </c>
      <c r="B2532" t="s">
        <v>2017</v>
      </c>
    </row>
    <row r="2533" spans="1:2" hidden="1" x14ac:dyDescent="0.3">
      <c r="A2533" s="373">
        <v>25024253</v>
      </c>
      <c r="B2533" t="s">
        <v>2329</v>
      </c>
    </row>
    <row r="2534" spans="1:2" hidden="1" x14ac:dyDescent="0.3">
      <c r="A2534" s="373">
        <v>25024253</v>
      </c>
      <c r="B2534" t="s">
        <v>2329</v>
      </c>
    </row>
    <row r="2535" spans="1:2" hidden="1" x14ac:dyDescent="0.3">
      <c r="A2535" s="373">
        <v>30710473168</v>
      </c>
      <c r="B2535" t="s">
        <v>2022</v>
      </c>
    </row>
    <row r="2536" spans="1:2" hidden="1" x14ac:dyDescent="0.3">
      <c r="A2536" s="373">
        <v>30710473168</v>
      </c>
      <c r="B2536" t="s">
        <v>2022</v>
      </c>
    </row>
    <row r="2537" spans="1:2" hidden="1" x14ac:dyDescent="0.3">
      <c r="A2537" s="373">
        <v>30548690796</v>
      </c>
      <c r="B2537" t="s">
        <v>2875</v>
      </c>
    </row>
    <row r="2538" spans="1:2" hidden="1" x14ac:dyDescent="0.3">
      <c r="A2538" s="373">
        <v>30501912405</v>
      </c>
      <c r="B2538" t="s">
        <v>2026</v>
      </c>
    </row>
    <row r="2539" spans="1:2" hidden="1" x14ac:dyDescent="0.3">
      <c r="A2539" s="373">
        <v>30501912405</v>
      </c>
      <c r="B2539" t="s">
        <v>2026</v>
      </c>
    </row>
    <row r="2540" spans="1:2" hidden="1" x14ac:dyDescent="0.3">
      <c r="A2540" s="373">
        <v>30710649150</v>
      </c>
      <c r="B2540" t="s">
        <v>2027</v>
      </c>
    </row>
    <row r="2541" spans="1:2" hidden="1" x14ac:dyDescent="0.3">
      <c r="A2541" s="373">
        <v>30710649150</v>
      </c>
      <c r="B2541" t="s">
        <v>2027</v>
      </c>
    </row>
    <row r="2542" spans="1:2" hidden="1" x14ac:dyDescent="0.3">
      <c r="A2542" s="373">
        <v>30710649150</v>
      </c>
      <c r="B2542" t="s">
        <v>2028</v>
      </c>
    </row>
    <row r="2543" spans="1:2" hidden="1" x14ac:dyDescent="0.3">
      <c r="A2543" s="373">
        <v>30710649150</v>
      </c>
      <c r="B2543" t="s">
        <v>2028</v>
      </c>
    </row>
    <row r="2544" spans="1:2" hidden="1" x14ac:dyDescent="0.3">
      <c r="A2544" s="373">
        <v>30532905555</v>
      </c>
      <c r="B2544" t="s">
        <v>2876</v>
      </c>
    </row>
    <row r="2545" spans="1:2" hidden="1" x14ac:dyDescent="0.3">
      <c r="A2545" s="373">
        <v>30710352689</v>
      </c>
      <c r="B2545" t="s">
        <v>2029</v>
      </c>
    </row>
    <row r="2546" spans="1:2" hidden="1" x14ac:dyDescent="0.3">
      <c r="A2546" s="373">
        <v>30710352689</v>
      </c>
      <c r="B2546" t="s">
        <v>2029</v>
      </c>
    </row>
    <row r="2547" spans="1:2" hidden="1" x14ac:dyDescent="0.3">
      <c r="A2547" s="373">
        <v>30716605007</v>
      </c>
      <c r="B2547" t="s">
        <v>2030</v>
      </c>
    </row>
    <row r="2548" spans="1:2" hidden="1" x14ac:dyDescent="0.3">
      <c r="A2548" s="373">
        <v>30716605007</v>
      </c>
      <c r="B2548" t="s">
        <v>2030</v>
      </c>
    </row>
    <row r="2549" spans="1:2" hidden="1" x14ac:dyDescent="0.3">
      <c r="A2549" s="373">
        <v>30711186138</v>
      </c>
      <c r="B2549" t="s">
        <v>2031</v>
      </c>
    </row>
    <row r="2550" spans="1:2" hidden="1" x14ac:dyDescent="0.3">
      <c r="A2550" s="373">
        <v>30711186138</v>
      </c>
      <c r="B2550" t="s">
        <v>2031</v>
      </c>
    </row>
    <row r="2551" spans="1:2" hidden="1" x14ac:dyDescent="0.3">
      <c r="A2551" s="373">
        <v>33710531299</v>
      </c>
      <c r="B2551" t="s">
        <v>2032</v>
      </c>
    </row>
    <row r="2552" spans="1:2" hidden="1" x14ac:dyDescent="0.3">
      <c r="A2552" s="373">
        <v>33710531299</v>
      </c>
      <c r="B2552" t="s">
        <v>2032</v>
      </c>
    </row>
    <row r="2553" spans="1:2" hidden="1" x14ac:dyDescent="0.3">
      <c r="A2553" s="373">
        <v>27173334414</v>
      </c>
      <c r="B2553" t="s">
        <v>2877</v>
      </c>
    </row>
    <row r="2554" spans="1:2" hidden="1" x14ac:dyDescent="0.3">
      <c r="A2554" s="373">
        <v>30717145328</v>
      </c>
      <c r="B2554" t="s">
        <v>2034</v>
      </c>
    </row>
    <row r="2555" spans="1:2" hidden="1" x14ac:dyDescent="0.3">
      <c r="A2555" s="373">
        <v>30717145328</v>
      </c>
      <c r="B2555" t="s">
        <v>2034</v>
      </c>
    </row>
    <row r="2556" spans="1:2" hidden="1" x14ac:dyDescent="0.3">
      <c r="A2556" s="373">
        <v>30709034304</v>
      </c>
      <c r="B2556" t="s">
        <v>2036</v>
      </c>
    </row>
    <row r="2557" spans="1:2" hidden="1" x14ac:dyDescent="0.3">
      <c r="A2557" s="373">
        <v>30709034304</v>
      </c>
      <c r="B2557" t="s">
        <v>2036</v>
      </c>
    </row>
    <row r="2558" spans="1:2" hidden="1" x14ac:dyDescent="0.3">
      <c r="A2558" s="373">
        <v>20234542371</v>
      </c>
      <c r="B2558" t="s">
        <v>2037</v>
      </c>
    </row>
    <row r="2559" spans="1:2" hidden="1" x14ac:dyDescent="0.3">
      <c r="A2559" s="373">
        <v>20234542371</v>
      </c>
      <c r="B2559" t="s">
        <v>2037</v>
      </c>
    </row>
    <row r="2560" spans="1:2" hidden="1" x14ac:dyDescent="0.3">
      <c r="A2560" s="373">
        <v>20161297217</v>
      </c>
      <c r="B2560" t="s">
        <v>2038</v>
      </c>
    </row>
    <row r="2561" spans="1:2" hidden="1" x14ac:dyDescent="0.3">
      <c r="A2561" s="373">
        <v>20161297217</v>
      </c>
      <c r="B2561" t="s">
        <v>2038</v>
      </c>
    </row>
    <row r="2562" spans="1:2" hidden="1" x14ac:dyDescent="0.3">
      <c r="A2562" s="373">
        <v>20135300277</v>
      </c>
      <c r="B2562" t="s">
        <v>2039</v>
      </c>
    </row>
    <row r="2563" spans="1:2" hidden="1" x14ac:dyDescent="0.3">
      <c r="A2563" s="373">
        <v>20135300277</v>
      </c>
      <c r="B2563" t="s">
        <v>2039</v>
      </c>
    </row>
    <row r="2564" spans="1:2" hidden="1" x14ac:dyDescent="0.3">
      <c r="A2564" s="373">
        <v>23269528214</v>
      </c>
      <c r="B2564" t="s">
        <v>2186</v>
      </c>
    </row>
    <row r="2565" spans="1:2" hidden="1" x14ac:dyDescent="0.3">
      <c r="A2565" s="373">
        <v>23269528214</v>
      </c>
      <c r="B2565" t="s">
        <v>2186</v>
      </c>
    </row>
    <row r="2566" spans="1:2" hidden="1" x14ac:dyDescent="0.3">
      <c r="A2566" s="373">
        <v>20044441269</v>
      </c>
      <c r="B2566" t="s">
        <v>2040</v>
      </c>
    </row>
    <row r="2567" spans="1:2" hidden="1" x14ac:dyDescent="0.3">
      <c r="A2567" s="373">
        <v>20044441269</v>
      </c>
      <c r="B2567" t="s">
        <v>2040</v>
      </c>
    </row>
    <row r="2568" spans="1:2" hidden="1" x14ac:dyDescent="0.3">
      <c r="A2568" s="373">
        <v>34569874</v>
      </c>
      <c r="B2568" t="s">
        <v>2267</v>
      </c>
    </row>
    <row r="2569" spans="1:2" hidden="1" x14ac:dyDescent="0.3">
      <c r="A2569" s="373">
        <v>34569874</v>
      </c>
      <c r="B2569" t="s">
        <v>2267</v>
      </c>
    </row>
    <row r="2570" spans="1:2" hidden="1" x14ac:dyDescent="0.3">
      <c r="A2570" s="373">
        <v>26822235</v>
      </c>
      <c r="B2570" t="s">
        <v>2231</v>
      </c>
    </row>
    <row r="2571" spans="1:2" hidden="1" x14ac:dyDescent="0.3">
      <c r="A2571" s="373">
        <v>26822235</v>
      </c>
      <c r="B2571" t="s">
        <v>2231</v>
      </c>
    </row>
    <row r="2572" spans="1:2" hidden="1" x14ac:dyDescent="0.3">
      <c r="A2572" s="373">
        <v>92475517</v>
      </c>
      <c r="B2572" t="s">
        <v>2223</v>
      </c>
    </row>
    <row r="2573" spans="1:2" hidden="1" x14ac:dyDescent="0.3">
      <c r="A2573" s="373">
        <v>92475517</v>
      </c>
      <c r="B2573" t="s">
        <v>2223</v>
      </c>
    </row>
    <row r="2574" spans="1:2" hidden="1" x14ac:dyDescent="0.3">
      <c r="A2574" s="373">
        <v>92475517</v>
      </c>
      <c r="B2574" t="s">
        <v>2223</v>
      </c>
    </row>
    <row r="2575" spans="1:2" hidden="1" x14ac:dyDescent="0.3">
      <c r="A2575" s="373">
        <v>92475517</v>
      </c>
      <c r="B2575" t="s">
        <v>2223</v>
      </c>
    </row>
    <row r="2576" spans="1:2" hidden="1" x14ac:dyDescent="0.3">
      <c r="A2576" s="373">
        <v>20138513670</v>
      </c>
      <c r="B2576" t="s">
        <v>2041</v>
      </c>
    </row>
    <row r="2577" spans="1:2" hidden="1" x14ac:dyDescent="0.3">
      <c r="A2577" s="373">
        <v>20138513670</v>
      </c>
      <c r="B2577" t="s">
        <v>2041</v>
      </c>
    </row>
    <row r="2578" spans="1:2" hidden="1" x14ac:dyDescent="0.3">
      <c r="A2578" s="373">
        <v>20121003792</v>
      </c>
      <c r="B2578" t="s">
        <v>2042</v>
      </c>
    </row>
    <row r="2579" spans="1:2" hidden="1" x14ac:dyDescent="0.3">
      <c r="A2579" s="373">
        <v>20121003792</v>
      </c>
      <c r="B2579" t="s">
        <v>2042</v>
      </c>
    </row>
    <row r="2580" spans="1:2" hidden="1" x14ac:dyDescent="0.3">
      <c r="A2580" s="373">
        <v>20161507165</v>
      </c>
      <c r="B2580" t="s">
        <v>2043</v>
      </c>
    </row>
    <row r="2581" spans="1:2" hidden="1" x14ac:dyDescent="0.3">
      <c r="A2581" s="373">
        <v>20161507165</v>
      </c>
      <c r="B2581" t="s">
        <v>2043</v>
      </c>
    </row>
    <row r="2582" spans="1:2" hidden="1" x14ac:dyDescent="0.3">
      <c r="A2582" s="373">
        <v>93455751</v>
      </c>
      <c r="B2582" t="s">
        <v>2045</v>
      </c>
    </row>
    <row r="2583" spans="1:2" hidden="1" x14ac:dyDescent="0.3">
      <c r="A2583" s="373">
        <v>93455751</v>
      </c>
      <c r="B2583" t="s">
        <v>2045</v>
      </c>
    </row>
    <row r="2584" spans="1:2" hidden="1" x14ac:dyDescent="0.3">
      <c r="A2584" s="373">
        <v>23107038124</v>
      </c>
      <c r="B2584" t="s">
        <v>2046</v>
      </c>
    </row>
    <row r="2585" spans="1:2" hidden="1" x14ac:dyDescent="0.3">
      <c r="A2585" s="373">
        <v>23107038124</v>
      </c>
      <c r="B2585" t="s">
        <v>2046</v>
      </c>
    </row>
    <row r="2586" spans="1:2" hidden="1" x14ac:dyDescent="0.3">
      <c r="A2586" s="373">
        <v>27242509612</v>
      </c>
      <c r="B2586" t="s">
        <v>2191</v>
      </c>
    </row>
    <row r="2587" spans="1:2" hidden="1" x14ac:dyDescent="0.3">
      <c r="A2587" s="373">
        <v>27242509612</v>
      </c>
      <c r="B2587" t="s">
        <v>2191</v>
      </c>
    </row>
    <row r="2588" spans="1:2" hidden="1" x14ac:dyDescent="0.3">
      <c r="A2588" s="373">
        <v>27102598747</v>
      </c>
      <c r="B2588" t="s">
        <v>2047</v>
      </c>
    </row>
    <row r="2589" spans="1:2" hidden="1" x14ac:dyDescent="0.3">
      <c r="A2589" s="373">
        <v>27102598747</v>
      </c>
      <c r="B2589" t="s">
        <v>2047</v>
      </c>
    </row>
    <row r="2590" spans="1:2" hidden="1" x14ac:dyDescent="0.3">
      <c r="A2590" s="373">
        <v>20256641993</v>
      </c>
      <c r="B2590" t="s">
        <v>2048</v>
      </c>
    </row>
    <row r="2591" spans="1:2" hidden="1" x14ac:dyDescent="0.3">
      <c r="A2591" s="373">
        <v>20256641993</v>
      </c>
      <c r="B2591" t="s">
        <v>2048</v>
      </c>
    </row>
    <row r="2592" spans="1:2" hidden="1" x14ac:dyDescent="0.3">
      <c r="A2592" s="373">
        <v>30715222112</v>
      </c>
      <c r="B2592" t="s">
        <v>2049</v>
      </c>
    </row>
    <row r="2593" spans="1:2" hidden="1" x14ac:dyDescent="0.3">
      <c r="A2593" s="373">
        <v>30715222112</v>
      </c>
      <c r="B2593" t="s">
        <v>2049</v>
      </c>
    </row>
    <row r="2594" spans="1:2" hidden="1" x14ac:dyDescent="0.3">
      <c r="A2594" s="373">
        <v>20206659379</v>
      </c>
      <c r="B2594" t="s">
        <v>2463</v>
      </c>
    </row>
    <row r="2595" spans="1:2" hidden="1" x14ac:dyDescent="0.3">
      <c r="A2595" s="373">
        <v>20206659379</v>
      </c>
      <c r="B2595" t="s">
        <v>2463</v>
      </c>
    </row>
    <row r="2596" spans="1:2" hidden="1" x14ac:dyDescent="0.3">
      <c r="A2596" s="373">
        <v>23386252629</v>
      </c>
      <c r="B2596" t="s">
        <v>2051</v>
      </c>
    </row>
    <row r="2597" spans="1:2" hidden="1" x14ac:dyDescent="0.3">
      <c r="A2597" s="373">
        <v>23386252629</v>
      </c>
      <c r="B2597" t="s">
        <v>2051</v>
      </c>
    </row>
    <row r="2598" spans="1:2" hidden="1" x14ac:dyDescent="0.3">
      <c r="A2598" s="373">
        <v>16458001</v>
      </c>
      <c r="B2598" t="s">
        <v>2052</v>
      </c>
    </row>
    <row r="2599" spans="1:2" hidden="1" x14ac:dyDescent="0.3">
      <c r="A2599" s="373">
        <v>16458001</v>
      </c>
      <c r="B2599" t="s">
        <v>2052</v>
      </c>
    </row>
    <row r="2600" spans="1:2" hidden="1" x14ac:dyDescent="0.3">
      <c r="A2600" s="373">
        <v>27036968910</v>
      </c>
      <c r="B2600" t="s">
        <v>2053</v>
      </c>
    </row>
    <row r="2601" spans="1:2" hidden="1" x14ac:dyDescent="0.3">
      <c r="A2601" s="373">
        <v>27036968910</v>
      </c>
      <c r="B2601" t="s">
        <v>2053</v>
      </c>
    </row>
    <row r="2602" spans="1:2" hidden="1" x14ac:dyDescent="0.3">
      <c r="A2602" s="373">
        <v>27149028302</v>
      </c>
      <c r="B2602" t="s">
        <v>2054</v>
      </c>
    </row>
    <row r="2603" spans="1:2" hidden="1" x14ac:dyDescent="0.3">
      <c r="A2603" s="373">
        <v>27149028302</v>
      </c>
      <c r="B2603" t="s">
        <v>2054</v>
      </c>
    </row>
    <row r="2604" spans="1:2" hidden="1" x14ac:dyDescent="0.3">
      <c r="A2604" s="373">
        <v>27003352000</v>
      </c>
      <c r="B2604" t="s">
        <v>2055</v>
      </c>
    </row>
    <row r="2605" spans="1:2" hidden="1" x14ac:dyDescent="0.3">
      <c r="A2605" s="373">
        <v>27003352000</v>
      </c>
      <c r="B2605" t="s">
        <v>2055</v>
      </c>
    </row>
    <row r="2606" spans="1:2" hidden="1" x14ac:dyDescent="0.3">
      <c r="A2606" s="373">
        <v>20242071574</v>
      </c>
      <c r="B2606" t="s">
        <v>2490</v>
      </c>
    </row>
    <row r="2607" spans="1:2" hidden="1" x14ac:dyDescent="0.3">
      <c r="A2607" s="373">
        <v>33709179379</v>
      </c>
      <c r="B2607" t="s">
        <v>2056</v>
      </c>
    </row>
    <row r="2608" spans="1:2" hidden="1" x14ac:dyDescent="0.3">
      <c r="A2608" s="373">
        <v>33709179379</v>
      </c>
      <c r="B2608" t="s">
        <v>2056</v>
      </c>
    </row>
    <row r="2609" spans="1:2" hidden="1" x14ac:dyDescent="0.3">
      <c r="A2609" s="373">
        <v>20176063573</v>
      </c>
      <c r="B2609" t="s">
        <v>2058</v>
      </c>
    </row>
    <row r="2610" spans="1:2" hidden="1" x14ac:dyDescent="0.3">
      <c r="A2610" s="373">
        <v>20176063573</v>
      </c>
      <c r="B2610" t="s">
        <v>2058</v>
      </c>
    </row>
    <row r="2611" spans="1:2" hidden="1" x14ac:dyDescent="0.3">
      <c r="A2611" s="373">
        <v>27263243116</v>
      </c>
      <c r="B2611" t="s">
        <v>2582</v>
      </c>
    </row>
    <row r="2612" spans="1:2" hidden="1" x14ac:dyDescent="0.3">
      <c r="A2612" s="373">
        <v>14287880</v>
      </c>
      <c r="B2612" t="s">
        <v>2059</v>
      </c>
    </row>
    <row r="2613" spans="1:2" hidden="1" x14ac:dyDescent="0.3">
      <c r="A2613" s="373">
        <v>14287880</v>
      </c>
      <c r="B2613" t="s">
        <v>2059</v>
      </c>
    </row>
    <row r="2614" spans="1:2" hidden="1" x14ac:dyDescent="0.3">
      <c r="A2614" s="373">
        <v>20178221974</v>
      </c>
      <c r="B2614" t="s">
        <v>2060</v>
      </c>
    </row>
    <row r="2615" spans="1:2" hidden="1" x14ac:dyDescent="0.3">
      <c r="A2615" s="373">
        <v>20178221974</v>
      </c>
      <c r="B2615" t="s">
        <v>2060</v>
      </c>
    </row>
    <row r="2616" spans="1:2" hidden="1" x14ac:dyDescent="0.3">
      <c r="A2616" s="373">
        <v>20939843907</v>
      </c>
      <c r="B2616" t="s">
        <v>2061</v>
      </c>
    </row>
    <row r="2617" spans="1:2" hidden="1" x14ac:dyDescent="0.3">
      <c r="A2617" s="373">
        <v>20939843907</v>
      </c>
      <c r="B2617" t="s">
        <v>2061</v>
      </c>
    </row>
    <row r="2618" spans="1:2" hidden="1" x14ac:dyDescent="0.3">
      <c r="A2618" s="373">
        <v>30681830800</v>
      </c>
      <c r="B2618" t="s">
        <v>2062</v>
      </c>
    </row>
    <row r="2619" spans="1:2" hidden="1" x14ac:dyDescent="0.3">
      <c r="A2619" s="373">
        <v>30681830800</v>
      </c>
      <c r="B2619" t="s">
        <v>2062</v>
      </c>
    </row>
    <row r="2620" spans="1:2" hidden="1" x14ac:dyDescent="0.3">
      <c r="A2620" s="373">
        <v>23268367969</v>
      </c>
      <c r="B2620" t="s">
        <v>2878</v>
      </c>
    </row>
    <row r="2621" spans="1:2" hidden="1" x14ac:dyDescent="0.3">
      <c r="A2621" s="373">
        <v>30624872874</v>
      </c>
      <c r="B2621" t="s">
        <v>2064</v>
      </c>
    </row>
    <row r="2622" spans="1:2" hidden="1" x14ac:dyDescent="0.3">
      <c r="A2622" s="373">
        <v>30624872874</v>
      </c>
      <c r="B2622" t="s">
        <v>2064</v>
      </c>
    </row>
    <row r="2623" spans="1:2" hidden="1" x14ac:dyDescent="0.3">
      <c r="A2623" s="373">
        <v>33717549479</v>
      </c>
      <c r="B2623" t="s">
        <v>2065</v>
      </c>
    </row>
    <row r="2624" spans="1:2" hidden="1" x14ac:dyDescent="0.3">
      <c r="A2624" s="373">
        <v>33717549479</v>
      </c>
      <c r="B2624" t="s">
        <v>2065</v>
      </c>
    </row>
    <row r="2625" spans="1:2" hidden="1" x14ac:dyDescent="0.3">
      <c r="A2625" s="373">
        <v>20278120</v>
      </c>
      <c r="B2625" t="s">
        <v>2280</v>
      </c>
    </row>
    <row r="2626" spans="1:2" hidden="1" x14ac:dyDescent="0.3">
      <c r="A2626" s="373">
        <v>20278120</v>
      </c>
      <c r="B2626" t="s">
        <v>2280</v>
      </c>
    </row>
    <row r="2627" spans="1:2" hidden="1" x14ac:dyDescent="0.3">
      <c r="A2627" s="373">
        <v>30717040267</v>
      </c>
      <c r="B2627" t="s">
        <v>2070</v>
      </c>
    </row>
    <row r="2628" spans="1:2" hidden="1" x14ac:dyDescent="0.3">
      <c r="A2628" s="373">
        <v>30717040267</v>
      </c>
      <c r="B2628" t="s">
        <v>2070</v>
      </c>
    </row>
    <row r="2629" spans="1:2" hidden="1" x14ac:dyDescent="0.3">
      <c r="A2629" s="373">
        <v>30715595407</v>
      </c>
      <c r="B2629" t="s">
        <v>2071</v>
      </c>
    </row>
    <row r="2630" spans="1:2" hidden="1" x14ac:dyDescent="0.3">
      <c r="A2630" s="373">
        <v>30715595407</v>
      </c>
      <c r="B2630" t="s">
        <v>2071</v>
      </c>
    </row>
    <row r="2631" spans="1:2" hidden="1" x14ac:dyDescent="0.3">
      <c r="A2631" s="373">
        <v>25121194</v>
      </c>
      <c r="B2631" t="s">
        <v>2277</v>
      </c>
    </row>
    <row r="2632" spans="1:2" hidden="1" x14ac:dyDescent="0.3">
      <c r="A2632" s="373">
        <v>25121194</v>
      </c>
      <c r="B2632" t="s">
        <v>2277</v>
      </c>
    </row>
    <row r="2633" spans="1:2" hidden="1" x14ac:dyDescent="0.3">
      <c r="A2633" s="373">
        <v>33682919839</v>
      </c>
      <c r="B2633" t="s">
        <v>2073</v>
      </c>
    </row>
    <row r="2634" spans="1:2" hidden="1" x14ac:dyDescent="0.3">
      <c r="A2634" s="373">
        <v>33682919839</v>
      </c>
      <c r="B2634" t="s">
        <v>2073</v>
      </c>
    </row>
    <row r="2635" spans="1:2" hidden="1" x14ac:dyDescent="0.3">
      <c r="A2635" s="373">
        <v>20188505911</v>
      </c>
      <c r="B2635" t="s">
        <v>2074</v>
      </c>
    </row>
    <row r="2636" spans="1:2" hidden="1" x14ac:dyDescent="0.3">
      <c r="A2636" s="373">
        <v>20188505911</v>
      </c>
      <c r="B2636" t="s">
        <v>2074</v>
      </c>
    </row>
    <row r="2637" spans="1:2" hidden="1" x14ac:dyDescent="0.3">
      <c r="A2637" s="373">
        <v>20945931907</v>
      </c>
      <c r="B2637" t="s">
        <v>2075</v>
      </c>
    </row>
    <row r="2638" spans="1:2" hidden="1" x14ac:dyDescent="0.3">
      <c r="A2638" s="373">
        <v>20945931907</v>
      </c>
      <c r="B2638" t="s">
        <v>2075</v>
      </c>
    </row>
    <row r="2639" spans="1:2" hidden="1" x14ac:dyDescent="0.3">
      <c r="A2639" s="373">
        <v>28732994</v>
      </c>
      <c r="B2639" t="s">
        <v>2250</v>
      </c>
    </row>
    <row r="2640" spans="1:2" hidden="1" x14ac:dyDescent="0.3">
      <c r="A2640" s="373">
        <v>28732994</v>
      </c>
      <c r="B2640" t="s">
        <v>2250</v>
      </c>
    </row>
    <row r="2641" spans="1:2" hidden="1" x14ac:dyDescent="0.3">
      <c r="A2641" s="373">
        <v>28732994</v>
      </c>
      <c r="B2641" t="s">
        <v>2250</v>
      </c>
    </row>
    <row r="2642" spans="1:2" hidden="1" x14ac:dyDescent="0.3">
      <c r="A2642" s="373">
        <v>28732994</v>
      </c>
      <c r="B2642" t="s">
        <v>2250</v>
      </c>
    </row>
    <row r="2643" spans="1:2" hidden="1" x14ac:dyDescent="0.3">
      <c r="A2643" s="373">
        <v>29266476</v>
      </c>
      <c r="B2643" t="s">
        <v>2342</v>
      </c>
    </row>
    <row r="2644" spans="1:2" hidden="1" x14ac:dyDescent="0.3">
      <c r="A2644" s="373">
        <v>29266476</v>
      </c>
      <c r="B2644" t="s">
        <v>2342</v>
      </c>
    </row>
    <row r="2645" spans="1:2" hidden="1" x14ac:dyDescent="0.3">
      <c r="A2645" s="373">
        <v>29266476</v>
      </c>
      <c r="B2645" t="s">
        <v>2342</v>
      </c>
    </row>
    <row r="2646" spans="1:2" hidden="1" x14ac:dyDescent="0.3">
      <c r="A2646" s="373">
        <v>29266476</v>
      </c>
      <c r="B2646" t="s">
        <v>2342</v>
      </c>
    </row>
    <row r="2647" spans="1:2" hidden="1" x14ac:dyDescent="0.3">
      <c r="A2647" s="373">
        <v>29266476</v>
      </c>
      <c r="B2647" t="s">
        <v>2342</v>
      </c>
    </row>
    <row r="2648" spans="1:2" hidden="1" x14ac:dyDescent="0.3">
      <c r="A2648" s="373">
        <v>29266476</v>
      </c>
      <c r="B2648" t="s">
        <v>2342</v>
      </c>
    </row>
    <row r="2649" spans="1:2" hidden="1" x14ac:dyDescent="0.3">
      <c r="A2649" s="373">
        <v>20117243533</v>
      </c>
      <c r="B2649" t="s">
        <v>2076</v>
      </c>
    </row>
    <row r="2650" spans="1:2" hidden="1" x14ac:dyDescent="0.3">
      <c r="A2650" s="373">
        <v>20117243533</v>
      </c>
      <c r="B2650" t="s">
        <v>2076</v>
      </c>
    </row>
    <row r="2651" spans="1:2" hidden="1" x14ac:dyDescent="0.3">
      <c r="A2651" s="373">
        <v>20209071550</v>
      </c>
      <c r="B2651" t="s">
        <v>2077</v>
      </c>
    </row>
    <row r="2652" spans="1:2" hidden="1" x14ac:dyDescent="0.3">
      <c r="A2652" s="373">
        <v>20209071550</v>
      </c>
      <c r="B2652" t="s">
        <v>2077</v>
      </c>
    </row>
    <row r="2653" spans="1:2" hidden="1" x14ac:dyDescent="0.3">
      <c r="A2653" s="373">
        <v>27934121088</v>
      </c>
      <c r="B2653" t="s">
        <v>2078</v>
      </c>
    </row>
    <row r="2654" spans="1:2" hidden="1" x14ac:dyDescent="0.3">
      <c r="A2654" s="373">
        <v>27934121088</v>
      </c>
      <c r="B2654" t="s">
        <v>2078</v>
      </c>
    </row>
    <row r="2655" spans="1:2" hidden="1" x14ac:dyDescent="0.3">
      <c r="A2655" s="373">
        <v>20321447997</v>
      </c>
      <c r="B2655" t="s">
        <v>2079</v>
      </c>
    </row>
    <row r="2656" spans="1:2" hidden="1" x14ac:dyDescent="0.3">
      <c r="A2656" s="373">
        <v>20321447997</v>
      </c>
      <c r="B2656" s="371" t="s">
        <v>2079</v>
      </c>
    </row>
    <row r="2657" spans="1:2" hidden="1" x14ac:dyDescent="0.3">
      <c r="A2657" s="373">
        <v>18603248</v>
      </c>
      <c r="B2657" s="371" t="s">
        <v>2235</v>
      </c>
    </row>
    <row r="2658" spans="1:2" hidden="1" x14ac:dyDescent="0.3">
      <c r="A2658" s="373">
        <v>18603248</v>
      </c>
      <c r="B2658" s="371" t="s">
        <v>2235</v>
      </c>
    </row>
    <row r="2659" spans="1:2" hidden="1" x14ac:dyDescent="0.3">
      <c r="A2659" s="373">
        <v>30714429112</v>
      </c>
      <c r="B2659" s="371" t="s">
        <v>2080</v>
      </c>
    </row>
    <row r="2660" spans="1:2" hidden="1" x14ac:dyDescent="0.3">
      <c r="A2660" s="373">
        <v>30714429112</v>
      </c>
      <c r="B2660" s="371" t="s">
        <v>2080</v>
      </c>
    </row>
    <row r="2661" spans="1:2" hidden="1" x14ac:dyDescent="0.3">
      <c r="A2661" s="373">
        <v>20169401196</v>
      </c>
      <c r="B2661" s="371" t="s">
        <v>2081</v>
      </c>
    </row>
    <row r="2662" spans="1:2" hidden="1" x14ac:dyDescent="0.3">
      <c r="A2662" s="373">
        <v>20169401196</v>
      </c>
      <c r="B2662" s="371" t="s">
        <v>2081</v>
      </c>
    </row>
    <row r="2663" spans="1:2" hidden="1" x14ac:dyDescent="0.3">
      <c r="A2663" s="373">
        <v>20325226316</v>
      </c>
      <c r="B2663" s="371" t="s">
        <v>2082</v>
      </c>
    </row>
    <row r="2664" spans="1:2" hidden="1" x14ac:dyDescent="0.3">
      <c r="A2664" s="373">
        <v>20325226316</v>
      </c>
      <c r="B2664" s="371" t="s">
        <v>2082</v>
      </c>
    </row>
    <row r="2665" spans="1:2" hidden="1" x14ac:dyDescent="0.3">
      <c r="A2665" s="373">
        <v>20137229944</v>
      </c>
      <c r="B2665" s="371" t="s">
        <v>2084</v>
      </c>
    </row>
    <row r="2666" spans="1:2" hidden="1" x14ac:dyDescent="0.3">
      <c r="A2666" s="373">
        <v>20137229944</v>
      </c>
      <c r="B2666" s="371" t="s">
        <v>2084</v>
      </c>
    </row>
    <row r="2667" spans="1:2" hidden="1" x14ac:dyDescent="0.3">
      <c r="A2667" s="373">
        <v>23112144064</v>
      </c>
      <c r="B2667" s="371" t="s">
        <v>2086</v>
      </c>
    </row>
    <row r="2668" spans="1:2" hidden="1" x14ac:dyDescent="0.3">
      <c r="A2668" s="373">
        <v>23112144064</v>
      </c>
      <c r="B2668" s="371" t="s">
        <v>2086</v>
      </c>
    </row>
    <row r="2669" spans="1:2" hidden="1" x14ac:dyDescent="0.3">
      <c r="A2669" s="373">
        <v>20250206284</v>
      </c>
      <c r="B2669" s="371" t="s">
        <v>2087</v>
      </c>
    </row>
    <row r="2670" spans="1:2" hidden="1" x14ac:dyDescent="0.3">
      <c r="A2670" s="373">
        <v>20250206284</v>
      </c>
      <c r="B2670" s="371" t="s">
        <v>2087</v>
      </c>
    </row>
    <row r="2671" spans="1:2" hidden="1" x14ac:dyDescent="0.3">
      <c r="A2671" s="373">
        <v>94318201</v>
      </c>
      <c r="B2671" s="371" t="s">
        <v>2279</v>
      </c>
    </row>
    <row r="2672" spans="1:2" hidden="1" x14ac:dyDescent="0.3">
      <c r="A2672" s="373">
        <v>94318201</v>
      </c>
      <c r="B2672" s="371" t="s">
        <v>2279</v>
      </c>
    </row>
    <row r="2673" spans="1:2" hidden="1" x14ac:dyDescent="0.3">
      <c r="A2673" s="373">
        <v>27160098746</v>
      </c>
      <c r="B2673" s="371" t="s">
        <v>2088</v>
      </c>
    </row>
    <row r="2674" spans="1:2" hidden="1" x14ac:dyDescent="0.3">
      <c r="A2674" s="373">
        <v>27160098746</v>
      </c>
      <c r="B2674" s="371" t="s">
        <v>2088</v>
      </c>
    </row>
    <row r="2675" spans="1:2" hidden="1" x14ac:dyDescent="0.3">
      <c r="A2675" s="373">
        <v>20225501190</v>
      </c>
      <c r="B2675" s="371" t="s">
        <v>2090</v>
      </c>
    </row>
    <row r="2676" spans="1:2" hidden="1" x14ac:dyDescent="0.3">
      <c r="A2676" s="373">
        <v>20225501190</v>
      </c>
      <c r="B2676" s="371" t="s">
        <v>2090</v>
      </c>
    </row>
    <row r="2677" spans="1:2" hidden="1" x14ac:dyDescent="0.3">
      <c r="A2677" s="373">
        <v>23787603</v>
      </c>
      <c r="B2677" s="371" t="s">
        <v>2291</v>
      </c>
    </row>
    <row r="2678" spans="1:2" hidden="1" x14ac:dyDescent="0.3">
      <c r="A2678" s="373">
        <v>23787603</v>
      </c>
      <c r="B2678" s="371" t="s">
        <v>2291</v>
      </c>
    </row>
    <row r="2679" spans="1:2" hidden="1" x14ac:dyDescent="0.3">
      <c r="A2679" s="373">
        <v>23787603</v>
      </c>
      <c r="B2679" s="371" t="s">
        <v>2291</v>
      </c>
    </row>
    <row r="2680" spans="1:2" hidden="1" x14ac:dyDescent="0.3">
      <c r="A2680" s="373">
        <v>23787603</v>
      </c>
      <c r="B2680" s="371" t="s">
        <v>2291</v>
      </c>
    </row>
    <row r="2681" spans="1:2" hidden="1" x14ac:dyDescent="0.3">
      <c r="A2681" s="373">
        <v>23787603</v>
      </c>
      <c r="B2681" s="371" t="s">
        <v>2291</v>
      </c>
    </row>
    <row r="2682" spans="1:2" hidden="1" x14ac:dyDescent="0.3">
      <c r="A2682" s="373">
        <v>23787603</v>
      </c>
      <c r="B2682" s="371" t="s">
        <v>2291</v>
      </c>
    </row>
    <row r="2683" spans="1:2" hidden="1" x14ac:dyDescent="0.3">
      <c r="A2683" s="373">
        <v>32758476</v>
      </c>
      <c r="B2683" s="371" t="s">
        <v>2304</v>
      </c>
    </row>
    <row r="2684" spans="1:2" hidden="1" x14ac:dyDescent="0.3">
      <c r="A2684" s="373">
        <v>32758476</v>
      </c>
      <c r="B2684" s="371" t="s">
        <v>2304</v>
      </c>
    </row>
    <row r="2685" spans="1:2" hidden="1" x14ac:dyDescent="0.3">
      <c r="A2685" s="373">
        <v>30715581562</v>
      </c>
      <c r="B2685" s="371" t="s">
        <v>2092</v>
      </c>
    </row>
    <row r="2686" spans="1:2" hidden="1" x14ac:dyDescent="0.3">
      <c r="A2686" s="373">
        <v>30715581562</v>
      </c>
      <c r="B2686" s="371" t="s">
        <v>2092</v>
      </c>
    </row>
    <row r="2687" spans="1:2" hidden="1" x14ac:dyDescent="0.3">
      <c r="A2687" s="373">
        <v>30687182959</v>
      </c>
      <c r="B2687" s="371" t="s">
        <v>2093</v>
      </c>
    </row>
    <row r="2688" spans="1:2" hidden="1" x14ac:dyDescent="0.3">
      <c r="A2688" s="373">
        <v>30687182959</v>
      </c>
      <c r="B2688" s="371" t="s">
        <v>2093</v>
      </c>
    </row>
    <row r="2689" spans="1:2" hidden="1" x14ac:dyDescent="0.3">
      <c r="A2689" s="373">
        <v>30712121714</v>
      </c>
      <c r="B2689" s="371" t="s">
        <v>2094</v>
      </c>
    </row>
    <row r="2690" spans="1:2" hidden="1" x14ac:dyDescent="0.3">
      <c r="A2690" s="373">
        <v>30712121714</v>
      </c>
      <c r="B2690" s="371" t="s">
        <v>2094</v>
      </c>
    </row>
    <row r="2691" spans="1:2" hidden="1" x14ac:dyDescent="0.3">
      <c r="A2691" s="373">
        <v>20215878822</v>
      </c>
      <c r="B2691" s="371" t="s">
        <v>2097</v>
      </c>
    </row>
    <row r="2692" spans="1:2" hidden="1" x14ac:dyDescent="0.3">
      <c r="A2692" s="373">
        <v>20215878822</v>
      </c>
      <c r="B2692" s="371" t="s">
        <v>2097</v>
      </c>
    </row>
    <row r="2693" spans="1:2" hidden="1" x14ac:dyDescent="0.3">
      <c r="A2693" s="373">
        <v>33709309159</v>
      </c>
      <c r="B2693" s="371" t="s">
        <v>2098</v>
      </c>
    </row>
    <row r="2694" spans="1:2" hidden="1" x14ac:dyDescent="0.3">
      <c r="A2694" s="373">
        <v>33709309159</v>
      </c>
      <c r="B2694" s="371" t="s">
        <v>2098</v>
      </c>
    </row>
    <row r="2695" spans="1:2" hidden="1" x14ac:dyDescent="0.3">
      <c r="A2695" s="373">
        <v>30711499500</v>
      </c>
      <c r="B2695" s="371" t="s">
        <v>2099</v>
      </c>
    </row>
    <row r="2696" spans="1:2" hidden="1" x14ac:dyDescent="0.3">
      <c r="A2696" s="373">
        <v>30711499500</v>
      </c>
      <c r="B2696" s="371" t="s">
        <v>2099</v>
      </c>
    </row>
    <row r="2697" spans="1:2" hidden="1" x14ac:dyDescent="0.3">
      <c r="A2697" s="373">
        <v>20202493751</v>
      </c>
      <c r="B2697" t="s">
        <v>2100</v>
      </c>
    </row>
    <row r="2698" spans="1:2" hidden="1" x14ac:dyDescent="0.3">
      <c r="A2698" s="373">
        <v>20202493751</v>
      </c>
      <c r="B2698" t="s">
        <v>2100</v>
      </c>
    </row>
    <row r="2699" spans="1:2" hidden="1" x14ac:dyDescent="0.3">
      <c r="A2699" s="373">
        <v>30715877453</v>
      </c>
      <c r="B2699" t="s">
        <v>2101</v>
      </c>
    </row>
    <row r="2700" spans="1:2" hidden="1" x14ac:dyDescent="0.3">
      <c r="A2700" s="373">
        <v>30715877453</v>
      </c>
      <c r="B2700" t="s">
        <v>2101</v>
      </c>
    </row>
    <row r="2701" spans="1:2" hidden="1" x14ac:dyDescent="0.3">
      <c r="A2701" s="373">
        <v>30715987437</v>
      </c>
      <c r="B2701" t="s">
        <v>2102</v>
      </c>
    </row>
    <row r="2702" spans="1:2" hidden="1" x14ac:dyDescent="0.3">
      <c r="A2702" s="373">
        <v>30715987437</v>
      </c>
      <c r="B2702" t="s">
        <v>2102</v>
      </c>
    </row>
    <row r="2703" spans="1:2" hidden="1" x14ac:dyDescent="0.3">
      <c r="A2703" s="373">
        <v>30712383603</v>
      </c>
      <c r="B2703" t="s">
        <v>2103</v>
      </c>
    </row>
    <row r="2704" spans="1:2" hidden="1" x14ac:dyDescent="0.3">
      <c r="A2704" s="373">
        <v>30712383603</v>
      </c>
      <c r="B2704" t="s">
        <v>2103</v>
      </c>
    </row>
    <row r="2705" spans="1:2" hidden="1" x14ac:dyDescent="0.3">
      <c r="A2705" s="373">
        <v>30716045028</v>
      </c>
      <c r="B2705" t="s">
        <v>2576</v>
      </c>
    </row>
    <row r="2706" spans="1:2" hidden="1" x14ac:dyDescent="0.3">
      <c r="A2706" s="373">
        <v>20202020527</v>
      </c>
      <c r="B2706" t="s">
        <v>2105</v>
      </c>
    </row>
    <row r="2707" spans="1:2" hidden="1" x14ac:dyDescent="0.3">
      <c r="A2707" s="373">
        <v>20202020527</v>
      </c>
      <c r="B2707" t="s">
        <v>2105</v>
      </c>
    </row>
    <row r="2708" spans="1:2" hidden="1" x14ac:dyDescent="0.3">
      <c r="A2708" s="373">
        <v>30712148191</v>
      </c>
      <c r="B2708" t="s">
        <v>2106</v>
      </c>
    </row>
    <row r="2709" spans="1:2" hidden="1" x14ac:dyDescent="0.3">
      <c r="A2709" s="373">
        <v>30712148191</v>
      </c>
      <c r="B2709" t="s">
        <v>2106</v>
      </c>
    </row>
    <row r="2710" spans="1:2" hidden="1" x14ac:dyDescent="0.3">
      <c r="A2710" s="373">
        <v>30688410890</v>
      </c>
      <c r="B2710" t="s">
        <v>2107</v>
      </c>
    </row>
    <row r="2711" spans="1:2" hidden="1" x14ac:dyDescent="0.3">
      <c r="A2711" s="373">
        <v>30688410890</v>
      </c>
      <c r="B2711" t="s">
        <v>2107</v>
      </c>
    </row>
    <row r="2712" spans="1:2" hidden="1" x14ac:dyDescent="0.3">
      <c r="A2712" s="373">
        <v>30695243673</v>
      </c>
      <c r="B2712" t="s">
        <v>2109</v>
      </c>
    </row>
    <row r="2713" spans="1:2" hidden="1" x14ac:dyDescent="0.3">
      <c r="A2713" s="373">
        <v>30695243673</v>
      </c>
      <c r="B2713" t="s">
        <v>2109</v>
      </c>
    </row>
    <row r="2714" spans="1:2" hidden="1" x14ac:dyDescent="0.3">
      <c r="A2714" s="373">
        <v>30707796851</v>
      </c>
      <c r="B2714" t="s">
        <v>2110</v>
      </c>
    </row>
    <row r="2715" spans="1:2" hidden="1" x14ac:dyDescent="0.3">
      <c r="A2715" s="373">
        <v>30707796851</v>
      </c>
      <c r="B2715" t="s">
        <v>2110</v>
      </c>
    </row>
    <row r="2716" spans="1:2" hidden="1" x14ac:dyDescent="0.3">
      <c r="A2716" s="373">
        <v>27209731814</v>
      </c>
      <c r="B2716" t="s">
        <v>2111</v>
      </c>
    </row>
    <row r="2717" spans="1:2" hidden="1" x14ac:dyDescent="0.3">
      <c r="A2717" s="373">
        <v>27209731814</v>
      </c>
      <c r="B2717" t="s">
        <v>2111</v>
      </c>
    </row>
    <row r="2718" spans="1:2" hidden="1" x14ac:dyDescent="0.3">
      <c r="A2718" s="373">
        <v>27325577539</v>
      </c>
      <c r="B2718" t="s">
        <v>2114</v>
      </c>
    </row>
    <row r="2719" spans="1:2" hidden="1" x14ac:dyDescent="0.3">
      <c r="A2719" s="373">
        <v>27325577539</v>
      </c>
      <c r="B2719" t="s">
        <v>2114</v>
      </c>
    </row>
    <row r="2720" spans="1:2" hidden="1" x14ac:dyDescent="0.3">
      <c r="A2720" s="373">
        <v>20179571235</v>
      </c>
      <c r="B2720" t="s">
        <v>2115</v>
      </c>
    </row>
    <row r="2721" spans="1:2" hidden="1" x14ac:dyDescent="0.3">
      <c r="A2721" s="373">
        <v>20179571235</v>
      </c>
      <c r="B2721" t="s">
        <v>2115</v>
      </c>
    </row>
    <row r="2722" spans="1:2" hidden="1" x14ac:dyDescent="0.3">
      <c r="A2722" s="373">
        <v>20238054592</v>
      </c>
      <c r="B2722" t="s">
        <v>2116</v>
      </c>
    </row>
    <row r="2723" spans="1:2" hidden="1" x14ac:dyDescent="0.3">
      <c r="A2723" s="373">
        <v>20238054592</v>
      </c>
      <c r="B2723" t="s">
        <v>2116</v>
      </c>
    </row>
    <row r="2724" spans="1:2" hidden="1" x14ac:dyDescent="0.3">
      <c r="A2724" s="373">
        <v>27242128252</v>
      </c>
      <c r="B2724" t="s">
        <v>2511</v>
      </c>
    </row>
    <row r="2725" spans="1:2" hidden="1" x14ac:dyDescent="0.3">
      <c r="A2725" s="373">
        <v>27055704444</v>
      </c>
      <c r="B2725" t="s">
        <v>2118</v>
      </c>
    </row>
    <row r="2726" spans="1:2" hidden="1" x14ac:dyDescent="0.3">
      <c r="A2726" s="373">
        <v>27055704444</v>
      </c>
      <c r="B2726" t="s">
        <v>2118</v>
      </c>
    </row>
    <row r="2727" spans="1:2" hidden="1" x14ac:dyDescent="0.3">
      <c r="A2727" s="373">
        <v>30712352341</v>
      </c>
      <c r="B2727" t="s">
        <v>2119</v>
      </c>
    </row>
    <row r="2728" spans="1:2" hidden="1" x14ac:dyDescent="0.3">
      <c r="A2728" s="373">
        <v>30712352341</v>
      </c>
      <c r="B2728" t="s">
        <v>2119</v>
      </c>
    </row>
    <row r="2729" spans="1:2" hidden="1" x14ac:dyDescent="0.3">
      <c r="A2729" s="373">
        <v>30716247054</v>
      </c>
      <c r="B2729" t="s">
        <v>2120</v>
      </c>
    </row>
    <row r="2730" spans="1:2" hidden="1" x14ac:dyDescent="0.3">
      <c r="A2730" s="373">
        <v>30716247054</v>
      </c>
      <c r="B2730" t="s">
        <v>2120</v>
      </c>
    </row>
    <row r="2731" spans="1:2" hidden="1" x14ac:dyDescent="0.3">
      <c r="A2731" s="373">
        <v>20187987335</v>
      </c>
      <c r="B2731" t="s">
        <v>2121</v>
      </c>
    </row>
    <row r="2732" spans="1:2" hidden="1" x14ac:dyDescent="0.3">
      <c r="A2732" s="373">
        <v>20187987335</v>
      </c>
      <c r="B2732" t="s">
        <v>2121</v>
      </c>
    </row>
  </sheetData>
  <dataValidations count="1">
    <dataValidation type="whole" allowBlank="1" showInputMessage="1" showErrorMessage="1" sqref="A95">
      <formula1>20000000000</formula1>
      <formula2>33999999999</formula2>
    </dataValidation>
  </dataValidations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theme="9" tint="-0.249977111117893"/>
  </sheetPr>
  <dimension ref="A1:Z166"/>
  <sheetViews>
    <sheetView showGridLines="0" topLeftCell="G61" zoomScale="70" zoomScaleNormal="70" workbookViewId="0">
      <selection activeCell="L70" sqref="L70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16.5546875" customWidth="1"/>
    <col min="17" max="17" width="20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3"/>
      <c r="B1" s="450" t="s">
        <v>28</v>
      </c>
      <c r="C1" s="450"/>
      <c r="D1" s="450"/>
      <c r="E1" s="450"/>
      <c r="F1" s="450"/>
      <c r="G1" s="451" t="s">
        <v>1123</v>
      </c>
      <c r="H1" s="451"/>
      <c r="I1" s="451"/>
      <c r="J1" s="451"/>
      <c r="K1" s="451"/>
      <c r="L1" s="451"/>
      <c r="M1" s="451"/>
      <c r="N1" s="448">
        <v>44562</v>
      </c>
      <c r="O1" s="448"/>
      <c r="P1" s="448"/>
      <c r="Q1" s="448"/>
      <c r="R1" s="448"/>
    </row>
    <row r="2" spans="1:26" ht="15" customHeight="1" x14ac:dyDescent="0.3"/>
    <row r="3" spans="1:26" ht="26.4" customHeight="1" x14ac:dyDescent="0.3">
      <c r="B3" s="453" t="s">
        <v>47</v>
      </c>
      <c r="C3" s="453"/>
      <c r="D3" s="453"/>
      <c r="E3" s="453"/>
      <c r="F3" s="34"/>
      <c r="G3" s="453" t="s">
        <v>37</v>
      </c>
      <c r="H3" s="453"/>
      <c r="I3" s="34"/>
      <c r="J3" s="445" t="s">
        <v>14</v>
      </c>
      <c r="K3" s="445"/>
      <c r="L3" s="34"/>
      <c r="M3" s="445" t="s">
        <v>12</v>
      </c>
      <c r="N3" s="445"/>
      <c r="O3" s="34"/>
      <c r="P3" s="444" t="s">
        <v>82</v>
      </c>
      <c r="Q3" s="444"/>
      <c r="R3" s="444"/>
    </row>
    <row r="4" spans="1:26" ht="25.2" customHeight="1" x14ac:dyDescent="0.4">
      <c r="B4" s="454">
        <f>SUM(compras_mes1[[#Totals],[NETO GRAVADO]])+extracto_banco_mes1[[#Totals],[NETO]]</f>
        <v>4972359.8100000005</v>
      </c>
      <c r="C4" s="454"/>
      <c r="D4" s="454"/>
      <c r="E4" s="454"/>
      <c r="F4" s="35"/>
      <c r="G4" s="455">
        <f>compras_mes1[[#Totals],[IVA 21 %]]+compras_mes1[[#Totals],[IVA 27%]]+compras_mes1[[#Totals],[IVA 10,5%]]+extracto_banco_mes1[[#Totals],[IVA 21%]]+extracto_banco_mes1[[#Totals],[IVA 10,5%]]</f>
        <v>935478.90689999994</v>
      </c>
      <c r="H4" s="455"/>
      <c r="I4" s="35"/>
      <c r="J4" s="446">
        <f>venta_a_mes1[[#Totals],[IMPORTE NETO]]+ventas_b_mes1[[#Totals],[IMPORTE NETO]]</f>
        <v>0</v>
      </c>
      <c r="K4" s="446"/>
      <c r="L4" s="35"/>
      <c r="M4" s="446">
        <f>venta_a_mes1[[#Totals],[IVA 21%]]+venta_a_mes1[[#Totals],[IVA 10,5%]]+ventas_b_mes1[[#Totals],[IVA 21%]]+ventas_b_mes1[[#Totals],[IVA 10,5%]]</f>
        <v>0</v>
      </c>
      <c r="N4" s="446"/>
      <c r="O4" s="35"/>
      <c r="P4" s="442">
        <f>G4-M4</f>
        <v>935478.90689999994</v>
      </c>
      <c r="Q4" s="443"/>
      <c r="R4" s="44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36"/>
      <c r="C7" s="37"/>
      <c r="D7" s="38"/>
      <c r="E7" s="39"/>
      <c r="F7" s="40"/>
      <c r="G7" s="41"/>
      <c r="H7" s="42"/>
      <c r="I7" s="43"/>
      <c r="J7" s="43"/>
      <c r="K7" s="43"/>
      <c r="L7" s="43"/>
      <c r="M7" s="43"/>
      <c r="N7" s="43"/>
      <c r="O7" s="43"/>
      <c r="P7" s="44"/>
      <c r="Q7" s="45"/>
      <c r="R7" s="45"/>
      <c r="T7"/>
      <c r="U7"/>
      <c r="V7"/>
      <c r="W7"/>
      <c r="X7"/>
      <c r="Y7"/>
      <c r="Z7"/>
    </row>
    <row r="8" spans="1:26" ht="38.4" customHeight="1" x14ac:dyDescent="0.3">
      <c r="B8" s="80" t="s">
        <v>0</v>
      </c>
      <c r="C8" s="80" t="s">
        <v>1</v>
      </c>
      <c r="D8" s="80" t="s">
        <v>2</v>
      </c>
      <c r="E8" s="80" t="s">
        <v>27</v>
      </c>
      <c r="F8" s="80" t="s">
        <v>3</v>
      </c>
      <c r="G8" s="80" t="s">
        <v>4</v>
      </c>
      <c r="H8" s="80" t="s">
        <v>34</v>
      </c>
      <c r="I8" s="80" t="s">
        <v>35</v>
      </c>
      <c r="J8" s="80" t="s">
        <v>6</v>
      </c>
      <c r="K8" s="80" t="s">
        <v>7</v>
      </c>
      <c r="L8" s="80" t="s">
        <v>8</v>
      </c>
      <c r="M8" s="80" t="s">
        <v>33</v>
      </c>
      <c r="N8" s="80" t="s">
        <v>9</v>
      </c>
      <c r="O8" s="80" t="s">
        <v>36</v>
      </c>
      <c r="P8" s="80" t="s">
        <v>10</v>
      </c>
      <c r="Q8" s="80" t="s">
        <v>11</v>
      </c>
      <c r="R8" s="80" t="s">
        <v>38</v>
      </c>
    </row>
    <row r="9" spans="1:26" x14ac:dyDescent="0.3">
      <c r="B9" s="36">
        <v>44580</v>
      </c>
      <c r="C9" s="37">
        <v>1</v>
      </c>
      <c r="D9" s="38">
        <v>5</v>
      </c>
      <c r="E9" s="39">
        <v>18472</v>
      </c>
      <c r="F9" s="40">
        <v>30715124919</v>
      </c>
      <c r="G9" s="466" t="str">
        <f>IFERROR(IF(compras_mes1[[#This Row],[CUIT]]="","-",VLOOKUP(compras_mes1[[#This Row],[CUIT]],Lista_CUIT[#All],2,0)),"CUIT NO CARGADO")</f>
        <v>CLEAN LAB SRL</v>
      </c>
      <c r="H9" s="42">
        <v>1287.19</v>
      </c>
      <c r="I9" s="81">
        <f>IF(compras_mes1[[#This Row],[NETO GRAVADO]]="","",compras_mes1[[#This Row],[NETO GRAVADO]]*0.21)</f>
        <v>270.30990000000003</v>
      </c>
      <c r="J9" s="81"/>
      <c r="K9" s="81"/>
      <c r="L9" s="81"/>
      <c r="M9" s="81"/>
      <c r="N9" s="81"/>
      <c r="O9" s="421">
        <v>0</v>
      </c>
      <c r="P9" s="44">
        <f>SUM(compras_mes1[[#This Row],[NETO GRAVADO]:[Otros / No Grav.]])</f>
        <v>1557.4999</v>
      </c>
      <c r="Q9" s="45" t="str">
        <f>IFERROR(IF(compras_mes1[[#This Row],[CUIT]]="","-",VLOOKUP(compras_mes1[[#This Row],[CUIT]],Lista_CUIT[#All],3,0)),"CUIT NO CARGADO")</f>
        <v>Comida-Limpieza</v>
      </c>
      <c r="R9" s="45">
        <f>IFERROR(IF(compras_mes1[[#This Row],[CUIT]]="","-",VLOOKUP(compras_mes1[[#This Row],[CUIT]],Lista_CUIT[#All],4,0)),"CUIT NO CARGADO")</f>
        <v>0</v>
      </c>
    </row>
    <row r="10" spans="1:26" x14ac:dyDescent="0.3">
      <c r="B10" s="36">
        <v>44580</v>
      </c>
      <c r="C10" s="37">
        <v>1</v>
      </c>
      <c r="D10" s="38">
        <v>5</v>
      </c>
      <c r="E10" s="39">
        <v>18473</v>
      </c>
      <c r="F10" s="40">
        <v>30715124919</v>
      </c>
      <c r="G10" s="466" t="str">
        <f>IFERROR(IF(compras_mes1[[#This Row],[CUIT]]="","-",VLOOKUP(compras_mes1[[#This Row],[CUIT]],Lista_CUIT[#All],2,0)),"CUIT NO CARGADO")</f>
        <v>CLEAN LAB SRL</v>
      </c>
      <c r="H10" s="42">
        <v>2860.24</v>
      </c>
      <c r="I10" s="81">
        <f>IF(compras_mes1[[#This Row],[NETO GRAVADO]]="","",compras_mes1[[#This Row],[NETO GRAVADO]]*0.21)</f>
        <v>600.65039999999988</v>
      </c>
      <c r="J10" s="81"/>
      <c r="K10" s="81"/>
      <c r="L10" s="81"/>
      <c r="M10" s="81"/>
      <c r="N10" s="81"/>
      <c r="O10" s="421">
        <v>0</v>
      </c>
      <c r="P10" s="44">
        <f>SUM(compras_mes1[[#This Row],[NETO GRAVADO]:[Otros / No Grav.]])</f>
        <v>3460.8903999999998</v>
      </c>
      <c r="Q10" s="45" t="str">
        <f>IFERROR(IF(compras_mes1[[#This Row],[CUIT]]="","-",VLOOKUP(compras_mes1[[#This Row],[CUIT]],Lista_CUIT[#All],3,0)),"CUIT NO CARGADO")</f>
        <v>Comida-Limpieza</v>
      </c>
      <c r="R10" s="45">
        <f>IFERROR(IF(compras_mes1[[#This Row],[CUIT]]="","-",VLOOKUP(compras_mes1[[#This Row],[CUIT]],Lista_CUIT[#All],4,0)),"CUIT NO CARGADO")</f>
        <v>0</v>
      </c>
    </row>
    <row r="11" spans="1:26" x14ac:dyDescent="0.3">
      <c r="B11" s="36">
        <v>44580</v>
      </c>
      <c r="C11" s="37">
        <v>1</v>
      </c>
      <c r="D11" s="38">
        <v>5</v>
      </c>
      <c r="E11" s="39">
        <v>18474</v>
      </c>
      <c r="F11" s="40">
        <v>30715124919</v>
      </c>
      <c r="G11" s="466" t="str">
        <f>IFERROR(IF(compras_mes1[[#This Row],[CUIT]]="","-",VLOOKUP(compras_mes1[[#This Row],[CUIT]],Lista_CUIT[#All],2,0)),"CUIT NO CARGADO")</f>
        <v>CLEAN LAB SRL</v>
      </c>
      <c r="H11" s="42">
        <v>2111.66</v>
      </c>
      <c r="I11" s="81">
        <f>IF(compras_mes1[[#This Row],[NETO GRAVADO]]="","",compras_mes1[[#This Row],[NETO GRAVADO]]*0.21)</f>
        <v>443.44859999999994</v>
      </c>
      <c r="J11" s="81"/>
      <c r="K11" s="81"/>
      <c r="L11" s="81"/>
      <c r="M11" s="81"/>
      <c r="N11" s="81"/>
      <c r="O11" s="421">
        <v>0</v>
      </c>
      <c r="P11" s="44">
        <f>SUM(compras_mes1[[#This Row],[NETO GRAVADO]:[Otros / No Grav.]])</f>
        <v>2555.1085999999996</v>
      </c>
      <c r="Q11" s="45" t="str">
        <f>IFERROR(IF(compras_mes1[[#This Row],[CUIT]]="","-",VLOOKUP(compras_mes1[[#This Row],[CUIT]],Lista_CUIT[#All],3,0)),"CUIT NO CARGADO")</f>
        <v>Comida-Limpieza</v>
      </c>
      <c r="R11" s="45">
        <f>IFERROR(IF(compras_mes1[[#This Row],[CUIT]]="","-",VLOOKUP(compras_mes1[[#This Row],[CUIT]],Lista_CUIT[#All],4,0)),"CUIT NO CARGADO")</f>
        <v>0</v>
      </c>
    </row>
    <row r="12" spans="1:26" x14ac:dyDescent="0.3">
      <c r="B12" s="36">
        <v>44580</v>
      </c>
      <c r="C12" s="37">
        <v>1</v>
      </c>
      <c r="D12" s="38">
        <v>5</v>
      </c>
      <c r="E12" s="39">
        <v>18475</v>
      </c>
      <c r="F12" s="40">
        <v>30715124919</v>
      </c>
      <c r="G12" s="466" t="str">
        <f>IFERROR(IF(compras_mes1[[#This Row],[CUIT]]="","-",VLOOKUP(compras_mes1[[#This Row],[CUIT]],Lista_CUIT[#All],2,0)),"CUIT NO CARGADO")</f>
        <v>CLEAN LAB SRL</v>
      </c>
      <c r="H12" s="42">
        <v>2111.66</v>
      </c>
      <c r="I12" s="81">
        <f>IF(compras_mes1[[#This Row],[NETO GRAVADO]]="","",compras_mes1[[#This Row],[NETO GRAVADO]]*0.21)</f>
        <v>443.44859999999994</v>
      </c>
      <c r="J12" s="81"/>
      <c r="K12" s="81"/>
      <c r="L12" s="81"/>
      <c r="M12" s="81"/>
      <c r="N12" s="81"/>
      <c r="O12" s="421">
        <v>0</v>
      </c>
      <c r="P12" s="44">
        <f>SUM(compras_mes1[[#This Row],[NETO GRAVADO]:[Otros / No Grav.]])</f>
        <v>2555.1085999999996</v>
      </c>
      <c r="Q12" s="45" t="str">
        <f>IFERROR(IF(compras_mes1[[#This Row],[CUIT]]="","-",VLOOKUP(compras_mes1[[#This Row],[CUIT]],Lista_CUIT[#All],3,0)),"CUIT NO CARGADO")</f>
        <v>Comida-Limpieza</v>
      </c>
      <c r="R12" s="45">
        <f>IFERROR(IF(compras_mes1[[#This Row],[CUIT]]="","-",VLOOKUP(compras_mes1[[#This Row],[CUIT]],Lista_CUIT[#All],4,0)),"CUIT NO CARGADO")</f>
        <v>0</v>
      </c>
    </row>
    <row r="13" spans="1:26" x14ac:dyDescent="0.3">
      <c r="B13" s="36">
        <v>44580</v>
      </c>
      <c r="C13" s="37">
        <v>1</v>
      </c>
      <c r="D13" s="38">
        <v>5</v>
      </c>
      <c r="E13" s="39">
        <v>18476</v>
      </c>
      <c r="F13" s="40">
        <v>30715124919</v>
      </c>
      <c r="G13" s="466" t="str">
        <f>IFERROR(IF(compras_mes1[[#This Row],[CUIT]]="","-",VLOOKUP(compras_mes1[[#This Row],[CUIT]],Lista_CUIT[#All],2,0)),"CUIT NO CARGADO")</f>
        <v>CLEAN LAB SRL</v>
      </c>
      <c r="H13" s="42">
        <v>3346.08</v>
      </c>
      <c r="I13" s="81">
        <f>IF(compras_mes1[[#This Row],[NETO GRAVADO]]="","",compras_mes1[[#This Row],[NETO GRAVADO]]*0.21)</f>
        <v>702.67679999999996</v>
      </c>
      <c r="J13" s="81"/>
      <c r="K13" s="81"/>
      <c r="L13" s="81"/>
      <c r="M13" s="81"/>
      <c r="N13" s="81"/>
      <c r="O13" s="421">
        <v>0</v>
      </c>
      <c r="P13" s="44">
        <f>SUM(compras_mes1[[#This Row],[NETO GRAVADO]:[Otros / No Grav.]])</f>
        <v>4048.7568000000001</v>
      </c>
      <c r="Q13" s="45" t="str">
        <f>IFERROR(IF(compras_mes1[[#This Row],[CUIT]]="","-",VLOOKUP(compras_mes1[[#This Row],[CUIT]],Lista_CUIT[#All],3,0)),"CUIT NO CARGADO")</f>
        <v>Comida-Limpieza</v>
      </c>
      <c r="R13" s="45">
        <f>IFERROR(IF(compras_mes1[[#This Row],[CUIT]]="","-",VLOOKUP(compras_mes1[[#This Row],[CUIT]],Lista_CUIT[#All],4,0)),"CUIT NO CARGADO")</f>
        <v>0</v>
      </c>
    </row>
    <row r="14" spans="1:26" x14ac:dyDescent="0.3">
      <c r="B14" s="36">
        <v>44580</v>
      </c>
      <c r="C14" s="37">
        <v>1</v>
      </c>
      <c r="D14" s="38">
        <v>5</v>
      </c>
      <c r="E14" s="39">
        <v>18477</v>
      </c>
      <c r="F14" s="40">
        <v>30715124919</v>
      </c>
      <c r="G14" s="466" t="str">
        <f>IFERROR(IF(compras_mes1[[#This Row],[CUIT]]="","-",VLOOKUP(compras_mes1[[#This Row],[CUIT]],Lista_CUIT[#All],2,0)),"CUIT NO CARGADO")</f>
        <v>CLEAN LAB SRL</v>
      </c>
      <c r="H14" s="42">
        <v>2823.68</v>
      </c>
      <c r="I14" s="81">
        <f>IF(compras_mes1[[#This Row],[NETO GRAVADO]]="","",compras_mes1[[#This Row],[NETO GRAVADO]]*0.21)</f>
        <v>592.97279999999989</v>
      </c>
      <c r="J14" s="81"/>
      <c r="K14" s="81"/>
      <c r="L14" s="81"/>
      <c r="M14" s="81"/>
      <c r="N14" s="81"/>
      <c r="O14" s="421">
        <v>0</v>
      </c>
      <c r="P14" s="44">
        <f>SUM(compras_mes1[[#This Row],[NETO GRAVADO]:[Otros / No Grav.]])</f>
        <v>3416.6527999999998</v>
      </c>
      <c r="Q14" s="45" t="str">
        <f>IFERROR(IF(compras_mes1[[#This Row],[CUIT]]="","-",VLOOKUP(compras_mes1[[#This Row],[CUIT]],Lista_CUIT[#All],3,0)),"CUIT NO CARGADO")</f>
        <v>Comida-Limpieza</v>
      </c>
      <c r="R14" s="45">
        <f>IFERROR(IF(compras_mes1[[#This Row],[CUIT]]="","-",VLOOKUP(compras_mes1[[#This Row],[CUIT]],Lista_CUIT[#All],4,0)),"CUIT NO CARGADO")</f>
        <v>0</v>
      </c>
    </row>
    <row r="15" spans="1:26" x14ac:dyDescent="0.3">
      <c r="B15" s="36">
        <v>44580</v>
      </c>
      <c r="C15" s="37">
        <v>1</v>
      </c>
      <c r="D15" s="38">
        <v>5</v>
      </c>
      <c r="E15" s="39">
        <v>18478</v>
      </c>
      <c r="F15" s="40">
        <v>30715124919</v>
      </c>
      <c r="G15" s="466" t="str">
        <f>IFERROR(IF(compras_mes1[[#This Row],[CUIT]]="","-",VLOOKUP(compras_mes1[[#This Row],[CUIT]],Lista_CUIT[#All],2,0)),"CUIT NO CARGADO")</f>
        <v>CLEAN LAB SRL</v>
      </c>
      <c r="H15" s="42">
        <v>8358.36</v>
      </c>
      <c r="I15" s="81">
        <f>IF(compras_mes1[[#This Row],[NETO GRAVADO]]="","",compras_mes1[[#This Row],[NETO GRAVADO]]*0.21)</f>
        <v>1755.2556</v>
      </c>
      <c r="J15" s="81"/>
      <c r="K15" s="81"/>
      <c r="L15" s="81"/>
      <c r="M15" s="81"/>
      <c r="N15" s="81"/>
      <c r="O15" s="421">
        <v>0</v>
      </c>
      <c r="P15" s="44">
        <f>SUM(compras_mes1[[#This Row],[NETO GRAVADO]:[Otros / No Grav.]])</f>
        <v>10113.615600000001</v>
      </c>
      <c r="Q15" s="45" t="str">
        <f>IFERROR(IF(compras_mes1[[#This Row],[CUIT]]="","-",VLOOKUP(compras_mes1[[#This Row],[CUIT]],Lista_CUIT[#All],3,0)),"CUIT NO CARGADO")</f>
        <v>Comida-Limpieza</v>
      </c>
      <c r="R15" s="45">
        <f>IFERROR(IF(compras_mes1[[#This Row],[CUIT]]="","-",VLOOKUP(compras_mes1[[#This Row],[CUIT]],Lista_CUIT[#All],4,0)),"CUIT NO CARGADO")</f>
        <v>0</v>
      </c>
    </row>
    <row r="16" spans="1:26" x14ac:dyDescent="0.3">
      <c r="B16" s="36">
        <v>44582</v>
      </c>
      <c r="C16" s="37">
        <v>1</v>
      </c>
      <c r="D16" s="38">
        <v>6</v>
      </c>
      <c r="E16" s="39">
        <v>1387</v>
      </c>
      <c r="F16" s="40">
        <v>20134664518</v>
      </c>
      <c r="G16" s="466" t="str">
        <f>IFERROR(IF(compras_mes1[[#This Row],[CUIT]]="","-",VLOOKUP(compras_mes1[[#This Row],[CUIT]],Lista_CUIT[#All],2,0)),"CUIT NO CARGADO")</f>
        <v>HOKAMA SERGIO ENRIQUE</v>
      </c>
      <c r="H16" s="42">
        <v>5773.88</v>
      </c>
      <c r="I16" s="81">
        <f>IF(compras_mes1[[#This Row],[NETO GRAVADO]]="","",compras_mes1[[#This Row],[NETO GRAVADO]]*0.21)</f>
        <v>1212.5147999999999</v>
      </c>
      <c r="J16" s="81"/>
      <c r="K16" s="81"/>
      <c r="L16" s="81"/>
      <c r="M16" s="81"/>
      <c r="N16" s="81"/>
      <c r="O16" s="421">
        <v>0</v>
      </c>
      <c r="P16" s="44">
        <f>SUM(compras_mes1[[#This Row],[NETO GRAVADO]:[Otros / No Grav.]])</f>
        <v>6986.3948</v>
      </c>
      <c r="Q16" s="45" t="str">
        <f>IFERROR(IF(compras_mes1[[#This Row],[CUIT]]="","-",VLOOKUP(compras_mes1[[#This Row],[CUIT]],Lista_CUIT[#All],3,0)),"CUIT NO CARGADO")</f>
        <v>Comida-Limpieza</v>
      </c>
      <c r="R16" s="45">
        <f>IFERROR(IF(compras_mes1[[#This Row],[CUIT]]="","-",VLOOKUP(compras_mes1[[#This Row],[CUIT]],Lista_CUIT[#All],4,0)),"CUIT NO CARGADO")</f>
        <v>0</v>
      </c>
    </row>
    <row r="17" spans="2:18" x14ac:dyDescent="0.3">
      <c r="B17" s="36">
        <v>44587</v>
      </c>
      <c r="C17" s="37">
        <v>1</v>
      </c>
      <c r="D17" s="38">
        <v>7</v>
      </c>
      <c r="E17" s="39">
        <v>22309562</v>
      </c>
      <c r="F17" s="40">
        <v>30574816870</v>
      </c>
      <c r="G17" s="466" t="str">
        <f>IFERROR(IF(compras_mes1[[#This Row],[CUIT]]="","-",VLOOKUP(compras_mes1[[#This Row],[CUIT]],Lista_CUIT[#All],2,0)),"CUIT NO CARGADO")</f>
        <v>AMERICAN  EXPRES  S.A.</v>
      </c>
      <c r="H17" s="42">
        <v>368.43</v>
      </c>
      <c r="I17" s="81">
        <v>77.37</v>
      </c>
      <c r="J17" s="81"/>
      <c r="K17" s="81"/>
      <c r="L17" s="81"/>
      <c r="M17" s="360"/>
      <c r="N17" s="81">
        <v>820.02</v>
      </c>
      <c r="O17" s="421">
        <v>0</v>
      </c>
      <c r="P17" s="44">
        <f>SUM(compras_mes1[[#This Row],[NETO GRAVADO]:[Otros / No Grav.]])</f>
        <v>1265.82</v>
      </c>
      <c r="Q17" s="45" t="str">
        <f>IFERROR(IF(compras_mes1[[#This Row],[CUIT]]="","-",VLOOKUP(compras_mes1[[#This Row],[CUIT]],Lista_CUIT[#All],3,0)),"CUIT NO CARGADO")</f>
        <v>Comisiones Bancarias</v>
      </c>
      <c r="R17" s="45">
        <f>IFERROR(IF(compras_mes1[[#This Row],[CUIT]]="","-",VLOOKUP(compras_mes1[[#This Row],[CUIT]],Lista_CUIT[#All],4,0)),"CUIT NO CARGADO")</f>
        <v>0</v>
      </c>
    </row>
    <row r="18" spans="2:18" x14ac:dyDescent="0.3">
      <c r="B18" s="36">
        <v>44579</v>
      </c>
      <c r="C18" s="37">
        <v>1</v>
      </c>
      <c r="D18" s="38">
        <v>10</v>
      </c>
      <c r="E18" s="39">
        <v>42416</v>
      </c>
      <c r="F18" s="40">
        <v>30711069360</v>
      </c>
      <c r="G18" s="466" t="str">
        <f>IFERROR(IF(compras_mes1[[#This Row],[CUIT]]="","-",VLOOKUP(compras_mes1[[#This Row],[CUIT]],Lista_CUIT[#All],2,0)),"CUIT NO CARGADO")</f>
        <v>BIDCOM  S.R.L.</v>
      </c>
      <c r="H18" s="42">
        <v>162226.23999999999</v>
      </c>
      <c r="I18" s="81"/>
      <c r="J18" s="81"/>
      <c r="K18" s="81">
        <v>17033.759999999998</v>
      </c>
      <c r="L18" s="81"/>
      <c r="M18" s="81"/>
      <c r="N18" s="81">
        <v>9733.57</v>
      </c>
      <c r="O18" s="421">
        <v>0</v>
      </c>
      <c r="P18" s="44">
        <f>SUM(compras_mes1[[#This Row],[NETO GRAVADO]:[Otros / No Grav.]])</f>
        <v>188993.57</v>
      </c>
      <c r="Q18" s="45" t="str">
        <f>IFERROR(IF(compras_mes1[[#This Row],[CUIT]]="","-",VLOOKUP(compras_mes1[[#This Row],[CUIT]],Lista_CUIT[#All],3,0)),"CUIT NO CARGADO")</f>
        <v>Equipos de Informatica</v>
      </c>
      <c r="R18" s="45">
        <f>IFERROR(IF(compras_mes1[[#This Row],[CUIT]]="","-",VLOOKUP(compras_mes1[[#This Row],[CUIT]],Lista_CUIT[#All],4,0)),"CUIT NO CARGADO")</f>
        <v>0</v>
      </c>
    </row>
    <row r="19" spans="2:18" x14ac:dyDescent="0.3">
      <c r="B19" s="36">
        <v>44579</v>
      </c>
      <c r="C19" s="37">
        <v>1</v>
      </c>
      <c r="D19" s="38">
        <v>10</v>
      </c>
      <c r="E19" s="39">
        <v>42418</v>
      </c>
      <c r="F19" s="40">
        <v>30711069360</v>
      </c>
      <c r="G19" s="466" t="str">
        <f>IFERROR(IF(compras_mes1[[#This Row],[CUIT]]="","-",VLOOKUP(compras_mes1[[#This Row],[CUIT]],Lista_CUIT[#All],2,0)),"CUIT NO CARGADO")</f>
        <v>BIDCOM  S.R.L.</v>
      </c>
      <c r="H19" s="42">
        <v>27778.62</v>
      </c>
      <c r="I19" s="81">
        <f>IF(compras_mes1[[#This Row],[NETO GRAVADO]]="","",compras_mes1[[#This Row],[NETO GRAVADO]]*0.21)</f>
        <v>5833.5101999999997</v>
      </c>
      <c r="J19" s="81"/>
      <c r="K19" s="81"/>
      <c r="L19" s="81"/>
      <c r="M19" s="81"/>
      <c r="N19" s="81">
        <v>1666.72</v>
      </c>
      <c r="O19" s="421">
        <v>0</v>
      </c>
      <c r="P19" s="44">
        <f>SUM(compras_mes1[[#This Row],[NETO GRAVADO]:[Otros / No Grav.]])</f>
        <v>35278.850200000001</v>
      </c>
      <c r="Q19" s="45" t="str">
        <f>IFERROR(IF(compras_mes1[[#This Row],[CUIT]]="","-",VLOOKUP(compras_mes1[[#This Row],[CUIT]],Lista_CUIT[#All],3,0)),"CUIT NO CARGADO")</f>
        <v>Equipos de Informatica</v>
      </c>
      <c r="R19" s="45">
        <f>IFERROR(IF(compras_mes1[[#This Row],[CUIT]]="","-",VLOOKUP(compras_mes1[[#This Row],[CUIT]],Lista_CUIT[#All],4,0)),"CUIT NO CARGADO")</f>
        <v>0</v>
      </c>
    </row>
    <row r="20" spans="2:18" x14ac:dyDescent="0.3">
      <c r="B20" s="36">
        <v>44583</v>
      </c>
      <c r="C20" s="37">
        <v>1</v>
      </c>
      <c r="D20" s="38">
        <v>10</v>
      </c>
      <c r="E20" s="39">
        <v>42945</v>
      </c>
      <c r="F20" s="40">
        <v>30711069360</v>
      </c>
      <c r="G20" s="466" t="str">
        <f>IFERROR(IF(compras_mes1[[#This Row],[CUIT]]="","-",VLOOKUP(compras_mes1[[#This Row],[CUIT]],Lista_CUIT[#All],2,0)),"CUIT NO CARGADO")</f>
        <v>BIDCOM  S.R.L.</v>
      </c>
      <c r="H20" s="42">
        <v>162226.23999999999</v>
      </c>
      <c r="I20" s="81"/>
      <c r="J20" s="81"/>
      <c r="K20" s="81">
        <v>17033.759999999998</v>
      </c>
      <c r="L20" s="81"/>
      <c r="M20" s="81"/>
      <c r="N20" s="81">
        <v>9733.57</v>
      </c>
      <c r="O20" s="421">
        <v>0</v>
      </c>
      <c r="P20" s="44">
        <f>SUM(compras_mes1[[#This Row],[NETO GRAVADO]:[Otros / No Grav.]])</f>
        <v>188993.57</v>
      </c>
      <c r="Q20" s="45" t="str">
        <f>IFERROR(IF(compras_mes1[[#This Row],[CUIT]]="","-",VLOOKUP(compras_mes1[[#This Row],[CUIT]],Lista_CUIT[#All],3,0)),"CUIT NO CARGADO")</f>
        <v>Equipos de Informatica</v>
      </c>
      <c r="R20" s="45">
        <f>IFERROR(IF(compras_mes1[[#This Row],[CUIT]]="","-",VLOOKUP(compras_mes1[[#This Row],[CUIT]],Lista_CUIT[#All],4,0)),"CUIT NO CARGADO")</f>
        <v>0</v>
      </c>
    </row>
    <row r="21" spans="2:18" x14ac:dyDescent="0.3">
      <c r="B21" s="36">
        <v>44582</v>
      </c>
      <c r="C21" s="37">
        <v>1</v>
      </c>
      <c r="D21" s="38">
        <v>4</v>
      </c>
      <c r="E21" s="39">
        <v>4692</v>
      </c>
      <c r="F21" s="40">
        <v>27293936450</v>
      </c>
      <c r="G21" s="466" t="str">
        <f>IFERROR(IF(compras_mes1[[#This Row],[CUIT]]="","-",VLOOKUP(compras_mes1[[#This Row],[CUIT]],Lista_CUIT[#All],2,0)),"CUIT NO CARGADO")</f>
        <v>PELLIZA  PAOLA  DANIELA</v>
      </c>
      <c r="H21" s="42">
        <v>5371.9</v>
      </c>
      <c r="I21" s="81">
        <f>IF(compras_mes1[[#This Row],[NETO GRAVADO]]="","",compras_mes1[[#This Row],[NETO GRAVADO]]*0.21)</f>
        <v>1128.0989999999999</v>
      </c>
      <c r="J21" s="81"/>
      <c r="K21" s="81"/>
      <c r="L21" s="81"/>
      <c r="M21" s="81"/>
      <c r="N21" s="81"/>
      <c r="O21" s="421">
        <v>0</v>
      </c>
      <c r="P21" s="44">
        <f>SUM(compras_mes1[[#This Row],[NETO GRAVADO]:[Otros / No Grav.]])</f>
        <v>6499.9989999999998</v>
      </c>
      <c r="Q21" s="45" t="str">
        <f>IFERROR(IF(compras_mes1[[#This Row],[CUIT]]="","-",VLOOKUP(compras_mes1[[#This Row],[CUIT]],Lista_CUIT[#All],3,0)),"CUIT NO CARGADO")</f>
        <v>Ferreteria</v>
      </c>
      <c r="R21" s="45" t="str">
        <f>IFERROR(IF(compras_mes1[[#This Row],[CUIT]]="","-",VLOOKUP(compras_mes1[[#This Row],[CUIT]],Lista_CUIT[#All],4,0)),"CUIT NO CARGADO")</f>
        <v>CABA</v>
      </c>
    </row>
    <row r="22" spans="2:18" x14ac:dyDescent="0.3">
      <c r="B22" s="36">
        <v>44582</v>
      </c>
      <c r="C22" s="37">
        <v>1</v>
      </c>
      <c r="D22" s="38">
        <v>4</v>
      </c>
      <c r="E22" s="39">
        <v>4693</v>
      </c>
      <c r="F22" s="40">
        <v>27293936450</v>
      </c>
      <c r="G22" s="466" t="str">
        <f>IFERROR(IF(compras_mes1[[#This Row],[CUIT]]="","-",VLOOKUP(compras_mes1[[#This Row],[CUIT]],Lista_CUIT[#All],2,0)),"CUIT NO CARGADO")</f>
        <v>PELLIZA  PAOLA  DANIELA</v>
      </c>
      <c r="H22" s="42">
        <v>6714.88</v>
      </c>
      <c r="I22" s="81">
        <f>IF(compras_mes1[[#This Row],[NETO GRAVADO]]="","",compras_mes1[[#This Row],[NETO GRAVADO]]*0.21)</f>
        <v>1410.1248000000001</v>
      </c>
      <c r="J22" s="81"/>
      <c r="K22" s="81"/>
      <c r="L22" s="81"/>
      <c r="M22" s="81"/>
      <c r="N22" s="81"/>
      <c r="O22" s="421">
        <v>0</v>
      </c>
      <c r="P22" s="44">
        <f>SUM(compras_mes1[[#This Row],[NETO GRAVADO]:[Otros / No Grav.]])</f>
        <v>8125.0048000000006</v>
      </c>
      <c r="Q22" s="45" t="str">
        <f>IFERROR(IF(compras_mes1[[#This Row],[CUIT]]="","-",VLOOKUP(compras_mes1[[#This Row],[CUIT]],Lista_CUIT[#All],3,0)),"CUIT NO CARGADO")</f>
        <v>Ferreteria</v>
      </c>
      <c r="R22" s="45" t="str">
        <f>IFERROR(IF(compras_mes1[[#This Row],[CUIT]]="","-",VLOOKUP(compras_mes1[[#This Row],[CUIT]],Lista_CUIT[#All],4,0)),"CUIT NO CARGADO")</f>
        <v>CABA</v>
      </c>
    </row>
    <row r="23" spans="2:18" x14ac:dyDescent="0.3">
      <c r="B23" s="36">
        <v>44579</v>
      </c>
      <c r="C23" s="37">
        <v>1</v>
      </c>
      <c r="D23" s="38">
        <v>4</v>
      </c>
      <c r="E23" s="39">
        <v>41</v>
      </c>
      <c r="F23" s="40">
        <v>23231010939</v>
      </c>
      <c r="G23" s="466" t="str">
        <f>IFERROR(IF(compras_mes1[[#This Row],[CUIT]]="","-",VLOOKUP(compras_mes1[[#This Row],[CUIT]],Lista_CUIT[#All],2,0)),"CUIT NO CARGADO")</f>
        <v>GARCIA  REDONDO  ROBERTO  SATU</v>
      </c>
      <c r="H23" s="42">
        <v>495.86</v>
      </c>
      <c r="I23" s="81">
        <f>IF(compras_mes1[[#This Row],[NETO GRAVADO]]="","",compras_mes1[[#This Row],[NETO GRAVADO]]*0.21)</f>
        <v>104.1306</v>
      </c>
      <c r="J23" s="81"/>
      <c r="K23" s="81"/>
      <c r="L23" s="81"/>
      <c r="M23" s="81"/>
      <c r="N23" s="81"/>
      <c r="O23" s="421">
        <v>0</v>
      </c>
      <c r="P23" s="44">
        <f>SUM(compras_mes1[[#This Row],[NETO GRAVADO]:[Otros / No Grav.]])</f>
        <v>599.99059999999997</v>
      </c>
      <c r="Q23" s="45" t="str">
        <f>IFERROR(IF(compras_mes1[[#This Row],[CUIT]]="","-",VLOOKUP(compras_mes1[[#This Row],[CUIT]],Lista_CUIT[#All],3,0)),"CUIT NO CARGADO")</f>
        <v>Gastos Varios</v>
      </c>
      <c r="R23" s="45" t="str">
        <f>IFERROR(IF(compras_mes1[[#This Row],[CUIT]]="","-",VLOOKUP(compras_mes1[[#This Row],[CUIT]],Lista_CUIT[#All],4,0)),"CUIT NO CARGADO")</f>
        <v>BUENOS AIRES</v>
      </c>
    </row>
    <row r="24" spans="2:18" x14ac:dyDescent="0.3">
      <c r="B24" s="36">
        <v>44580</v>
      </c>
      <c r="C24" s="37">
        <v>1</v>
      </c>
      <c r="D24" s="38">
        <v>113</v>
      </c>
      <c r="E24" s="39">
        <v>2664972</v>
      </c>
      <c r="F24" s="40">
        <v>30577207190</v>
      </c>
      <c r="G24" s="466" t="str">
        <f>IFERROR(IF(compras_mes1[[#This Row],[CUIT]]="","-",VLOOKUP(compras_mes1[[#This Row],[CUIT]],Lista_CUIT[#All],2,0)),"CUIT NO CARGADO")</f>
        <v>COORDINACION ECOLOGICA AREA METROPOLITANA SOCIEDAD DEL ESTADO</v>
      </c>
      <c r="H24" s="42">
        <v>1034.71</v>
      </c>
      <c r="I24" s="81">
        <f>IF(compras_mes1[[#This Row],[NETO GRAVADO]]="","",compras_mes1[[#This Row],[NETO GRAVADO]]*0.21)</f>
        <v>217.28909999999999</v>
      </c>
      <c r="J24" s="81"/>
      <c r="K24" s="81"/>
      <c r="L24" s="81"/>
      <c r="M24" s="81"/>
      <c r="N24" s="81"/>
      <c r="O24" s="421">
        <v>0</v>
      </c>
      <c r="P24" s="44">
        <f>SUM(compras_mes1[[#This Row],[NETO GRAVADO]:[Otros / No Grav.]])</f>
        <v>1251.9991</v>
      </c>
      <c r="Q24" s="45" t="str">
        <f>IFERROR(IF(compras_mes1[[#This Row],[CUIT]]="","-",VLOOKUP(compras_mes1[[#This Row],[CUIT]],Lista_CUIT[#All],3,0)),"CUIT NO CARGADO")</f>
        <v>Gastos Varios</v>
      </c>
      <c r="R24" s="45" t="str">
        <f>IFERROR(IF(compras_mes1[[#This Row],[CUIT]]="","-",VLOOKUP(compras_mes1[[#This Row],[CUIT]],Lista_CUIT[#All],4,0)),"CUIT NO CARGADO")</f>
        <v>CABA</v>
      </c>
    </row>
    <row r="25" spans="2:18" x14ac:dyDescent="0.3">
      <c r="B25" s="36">
        <v>44585</v>
      </c>
      <c r="C25" s="37">
        <v>1</v>
      </c>
      <c r="D25" s="38">
        <v>8</v>
      </c>
      <c r="E25" s="39">
        <v>456</v>
      </c>
      <c r="F25" s="40">
        <v>20388915413</v>
      </c>
      <c r="G25" s="466" t="str">
        <f>IFERROR(IF(compras_mes1[[#This Row],[CUIT]]="","-",VLOOKUP(compras_mes1[[#This Row],[CUIT]],Lista_CUIT[#All],2,0)),"CUIT NO CARGADO")</f>
        <v>GONZALO  MARTIN  GUENZANI</v>
      </c>
      <c r="H25" s="42">
        <v>21734</v>
      </c>
      <c r="I25" s="81">
        <f>IF(compras_mes1[[#This Row],[NETO GRAVADO]]="","",compras_mes1[[#This Row],[NETO GRAVADO]]*0.21)</f>
        <v>4564.1399999999994</v>
      </c>
      <c r="J25" s="81"/>
      <c r="K25" s="81"/>
      <c r="L25" s="81"/>
      <c r="M25" s="81"/>
      <c r="N25" s="81"/>
      <c r="O25" s="421">
        <v>0</v>
      </c>
      <c r="P25" s="44">
        <f>SUM(compras_mes1[[#This Row],[NETO GRAVADO]:[Otros / No Grav.]])</f>
        <v>26298.14</v>
      </c>
      <c r="Q25" s="45" t="str">
        <f>IFERROR(IF(compras_mes1[[#This Row],[CUIT]]="","-",VLOOKUP(compras_mes1[[#This Row],[CUIT]],Lista_CUIT[#All],3,0)),"CUIT NO CARGADO")</f>
        <v>Gastos Varios</v>
      </c>
      <c r="R25" s="45" t="str">
        <f>IFERROR(IF(compras_mes1[[#This Row],[CUIT]]="","-",VLOOKUP(compras_mes1[[#This Row],[CUIT]],Lista_CUIT[#All],4,0)),"CUIT NO CARGADO")</f>
        <v>BUENOS AIRES</v>
      </c>
    </row>
    <row r="26" spans="2:18" x14ac:dyDescent="0.3">
      <c r="B26" s="36">
        <v>44587</v>
      </c>
      <c r="C26" s="37">
        <v>1</v>
      </c>
      <c r="D26" s="38">
        <v>4</v>
      </c>
      <c r="E26" s="39">
        <v>11705</v>
      </c>
      <c r="F26" s="40">
        <v>20116347742</v>
      </c>
      <c r="G26" s="466" t="str">
        <f>IFERROR(IF(compras_mes1[[#This Row],[CUIT]]="","-",VLOOKUP(compras_mes1[[#This Row],[CUIT]],Lista_CUIT[#All],2,0)),"CUIT NO CARGADO")</f>
        <v>VALDEZ PEDRO ALBERTO</v>
      </c>
      <c r="H26" s="42">
        <v>334.85</v>
      </c>
      <c r="I26" s="81">
        <f>IF(compras_mes1[[#This Row],[NETO GRAVADO]]="","",compras_mes1[[#This Row],[NETO GRAVADO]]*0.21)</f>
        <v>70.3185</v>
      </c>
      <c r="J26" s="81"/>
      <c r="K26" s="81"/>
      <c r="L26" s="81"/>
      <c r="M26" s="81"/>
      <c r="N26" s="81"/>
      <c r="O26" s="421">
        <v>0</v>
      </c>
      <c r="P26" s="44">
        <f>SUM(compras_mes1[[#This Row],[NETO GRAVADO]:[Otros / No Grav.]])</f>
        <v>405.16849999999999</v>
      </c>
      <c r="Q26" s="45" t="str">
        <f>IFERROR(IF(compras_mes1[[#This Row],[CUIT]]="","-",VLOOKUP(compras_mes1[[#This Row],[CUIT]],Lista_CUIT[#All],3,0)),"CUIT NO CARGADO")</f>
        <v>Gastos Varios</v>
      </c>
      <c r="R26" s="45" t="str">
        <f>IFERROR(IF(compras_mes1[[#This Row],[CUIT]]="","-",VLOOKUP(compras_mes1[[#This Row],[CUIT]],Lista_CUIT[#All],4,0)),"CUIT NO CARGADO")</f>
        <v>CABA</v>
      </c>
    </row>
    <row r="27" spans="2:18" x14ac:dyDescent="0.3">
      <c r="B27" s="36">
        <v>44585</v>
      </c>
      <c r="C27" s="37">
        <v>1</v>
      </c>
      <c r="D27" s="38">
        <v>4</v>
      </c>
      <c r="E27" s="39">
        <v>15123</v>
      </c>
      <c r="F27" s="40">
        <v>30552433595</v>
      </c>
      <c r="G27" s="466" t="str">
        <f>IFERROR(IF(compras_mes1[[#This Row],[CUIT]]="","-",VLOOKUP(compras_mes1[[#This Row],[CUIT]],Lista_CUIT[#All],2,0)),"CUIT NO CARGADO")</f>
        <v>PIROPLAST  S.R.L.</v>
      </c>
      <c r="H27" s="42">
        <v>375396.88</v>
      </c>
      <c r="I27" s="81">
        <f>IF(compras_mes1[[#This Row],[NETO GRAVADO]]="","",compras_mes1[[#This Row],[NETO GRAVADO]]*0.21)</f>
        <v>78833.344799999992</v>
      </c>
      <c r="J27" s="81"/>
      <c r="K27" s="81"/>
      <c r="L27" s="81"/>
      <c r="M27" s="81"/>
      <c r="N27" s="81"/>
      <c r="O27" s="421">
        <v>0</v>
      </c>
      <c r="P27" s="44">
        <f>SUM(compras_mes1[[#This Row],[NETO GRAVADO]:[Otros / No Grav.]])</f>
        <v>454230.22479999997</v>
      </c>
      <c r="Q27" s="45" t="str">
        <f>IFERROR(IF(compras_mes1[[#This Row],[CUIT]]="","-",VLOOKUP(compras_mes1[[#This Row],[CUIT]],Lista_CUIT[#All],3,0)),"CUIT NO CARGADO")</f>
        <v>Gtos Comercializacion</v>
      </c>
      <c r="R27" s="45">
        <f>IFERROR(IF(compras_mes1[[#This Row],[CUIT]]="","-",VLOOKUP(compras_mes1[[#This Row],[CUIT]],Lista_CUIT[#All],4,0)),"CUIT NO CARGADO")</f>
        <v>0</v>
      </c>
    </row>
    <row r="28" spans="2:18" x14ac:dyDescent="0.3">
      <c r="B28" s="36">
        <v>44590</v>
      </c>
      <c r="C28" s="37">
        <v>1</v>
      </c>
      <c r="D28" s="38">
        <v>27</v>
      </c>
      <c r="E28" s="39">
        <v>196350</v>
      </c>
      <c r="F28" s="40">
        <v>30703088534</v>
      </c>
      <c r="G28" s="466" t="str">
        <f>IFERROR(IF(compras_mes1[[#This Row],[CUIT]]="","-",VLOOKUP(compras_mes1[[#This Row],[CUIT]],Lista_CUIT[#All],2,0)),"CUIT NO CARGADO")</f>
        <v>MERCADO LIBRE SRL</v>
      </c>
      <c r="H28" s="42">
        <v>64452.7</v>
      </c>
      <c r="I28" s="81">
        <f>IF(compras_mes1[[#This Row],[NETO GRAVADO]]="","",compras_mes1[[#This Row],[NETO GRAVADO]]*0.21)</f>
        <v>13535.066999999999</v>
      </c>
      <c r="J28" s="81"/>
      <c r="K28" s="81"/>
      <c r="L28" s="81">
        <v>1933.6</v>
      </c>
      <c r="M28" s="81"/>
      <c r="N28" s="81">
        <v>3867.18</v>
      </c>
      <c r="O28" s="421">
        <v>0</v>
      </c>
      <c r="P28" s="44">
        <f>SUM(compras_mes1[[#This Row],[NETO GRAVADO]:[Otros / No Grav.]])</f>
        <v>83788.546999999991</v>
      </c>
      <c r="Q28" s="45" t="str">
        <f>IFERROR(IF(compras_mes1[[#This Row],[CUIT]]="","-",VLOOKUP(compras_mes1[[#This Row],[CUIT]],Lista_CUIT[#All],3,0)),"CUIT NO CARGADO")</f>
        <v>Gtos Comercializacion</v>
      </c>
      <c r="R28" s="45">
        <f>IFERROR(IF(compras_mes1[[#This Row],[CUIT]]="","-",VLOOKUP(compras_mes1[[#This Row],[CUIT]],Lista_CUIT[#All],4,0)),"CUIT NO CARGADO")</f>
        <v>0</v>
      </c>
    </row>
    <row r="29" spans="2:18" x14ac:dyDescent="0.3">
      <c r="B29" s="36">
        <v>44582</v>
      </c>
      <c r="C29" s="37">
        <v>1</v>
      </c>
      <c r="D29" s="38">
        <v>10</v>
      </c>
      <c r="E29" s="39">
        <v>1014</v>
      </c>
      <c r="F29" s="40">
        <v>23127284369</v>
      </c>
      <c r="G29" s="466" t="str">
        <f>IFERROR(IF(compras_mes1[[#This Row],[CUIT]]="","-",VLOOKUP(compras_mes1[[#This Row],[CUIT]],Lista_CUIT[#All],2,0)),"CUIT NO CARGADO")</f>
        <v>DEALER  FX  -  MONTORRO  D.</v>
      </c>
      <c r="H29" s="42">
        <v>10330.1</v>
      </c>
      <c r="I29" s="81">
        <f>IF(compras_mes1[[#This Row],[NETO GRAVADO]]="","",compras_mes1[[#This Row],[NETO GRAVADO]]*0.21)</f>
        <v>2169.3209999999999</v>
      </c>
      <c r="J29" s="81"/>
      <c r="K29" s="81"/>
      <c r="L29" s="81"/>
      <c r="M29" s="81"/>
      <c r="N29" s="81"/>
      <c r="O29" s="421">
        <v>0</v>
      </c>
      <c r="P29" s="44">
        <f>SUM(compras_mes1[[#This Row],[NETO GRAVADO]:[Otros / No Grav.]])</f>
        <v>12499.421</v>
      </c>
      <c r="Q29" s="45" t="str">
        <f>IFERROR(IF(compras_mes1[[#This Row],[CUIT]]="","-",VLOOKUP(compras_mes1[[#This Row],[CUIT]],Lista_CUIT[#All],3,0)),"CUIT NO CARGADO")</f>
        <v>Librería</v>
      </c>
      <c r="R29" s="45">
        <f>IFERROR(IF(compras_mes1[[#This Row],[CUIT]]="","-",VLOOKUP(compras_mes1[[#This Row],[CUIT]],Lista_CUIT[#All],4,0)),"CUIT NO CARGADO")</f>
        <v>0</v>
      </c>
    </row>
    <row r="30" spans="2:18" x14ac:dyDescent="0.3">
      <c r="B30" s="36">
        <v>44587</v>
      </c>
      <c r="C30" s="37">
        <v>1</v>
      </c>
      <c r="D30" s="38">
        <v>22</v>
      </c>
      <c r="E30" s="39">
        <v>40648</v>
      </c>
      <c r="F30" s="40">
        <v>30699654309</v>
      </c>
      <c r="G30" s="466" t="str">
        <f>IFERROR(IF(compras_mes1[[#This Row],[CUIT]]="","-",VLOOKUP(compras_mes1[[#This Row],[CUIT]],Lista_CUIT[#All],2,0)),"CUIT NO CARGADO")</f>
        <v>SAN JUAN Y SOLIS SA</v>
      </c>
      <c r="H30" s="42">
        <v>55084.3</v>
      </c>
      <c r="I30" s="81">
        <f>IF(compras_mes1[[#This Row],[NETO GRAVADO]]="","",compras_mes1[[#This Row],[NETO GRAVADO]]*0.21)</f>
        <v>11567.703</v>
      </c>
      <c r="J30" s="81"/>
      <c r="K30" s="81"/>
      <c r="L30" s="81"/>
      <c r="M30" s="81"/>
      <c r="N30" s="81"/>
      <c r="O30" s="421">
        <v>0</v>
      </c>
      <c r="P30" s="44">
        <f>SUM(compras_mes1[[#This Row],[NETO GRAVADO]:[Otros / No Grav.]])</f>
        <v>66652.002999999997</v>
      </c>
      <c r="Q30" s="45" t="str">
        <f>IFERROR(IF(compras_mes1[[#This Row],[CUIT]]="","-",VLOOKUP(compras_mes1[[#This Row],[CUIT]],Lista_CUIT[#All],3,0)),"CUIT NO CARGADO")</f>
        <v>Mantenimiento Auto</v>
      </c>
      <c r="R30" s="45" t="str">
        <f>IFERROR(IF(compras_mes1[[#This Row],[CUIT]]="","-",VLOOKUP(compras_mes1[[#This Row],[CUIT]],Lista_CUIT[#All],4,0)),"CUIT NO CARGADO")</f>
        <v>CABA</v>
      </c>
    </row>
    <row r="31" spans="2:18" x14ac:dyDescent="0.3">
      <c r="B31" s="36">
        <v>44588</v>
      </c>
      <c r="C31" s="37">
        <v>1</v>
      </c>
      <c r="D31" s="38">
        <v>301</v>
      </c>
      <c r="E31" s="39">
        <v>55951</v>
      </c>
      <c r="F31" s="40">
        <v>30640079378</v>
      </c>
      <c r="G31" s="466" t="str">
        <f>IFERROR(IF(compras_mes1[[#This Row],[CUIT]]="","-",VLOOKUP(compras_mes1[[#This Row],[CUIT]],Lista_CUIT[#All],2,0)),"CUIT NO CARGADO")</f>
        <v>GOMERIAS  NEUMEN  S.A.</v>
      </c>
      <c r="H31" s="42">
        <v>33411.57</v>
      </c>
      <c r="I31" s="81">
        <f>IF(compras_mes1[[#This Row],[NETO GRAVADO]]="","",compras_mes1[[#This Row],[NETO GRAVADO]]*0.21)</f>
        <v>7016.4296999999997</v>
      </c>
      <c r="J31" s="81"/>
      <c r="K31" s="81"/>
      <c r="L31" s="81"/>
      <c r="M31" s="361"/>
      <c r="N31" s="81">
        <v>2004.69</v>
      </c>
      <c r="O31" s="421">
        <v>0</v>
      </c>
      <c r="P31" s="44">
        <f>SUM(compras_mes1[[#This Row],[NETO GRAVADO]:[Otros / No Grav.]])</f>
        <v>42432.689700000003</v>
      </c>
      <c r="Q31" s="45" t="str">
        <f>IFERROR(IF(compras_mes1[[#This Row],[CUIT]]="","-",VLOOKUP(compras_mes1[[#This Row],[CUIT]],Lista_CUIT[#All],3,0)),"CUIT NO CARGADO")</f>
        <v>Mantenimiento Auto</v>
      </c>
      <c r="R31" s="45" t="str">
        <f>IFERROR(IF(compras_mes1[[#This Row],[CUIT]]="","-",VLOOKUP(compras_mes1[[#This Row],[CUIT]],Lista_CUIT[#All],4,0)),"CUIT NO CARGADO")</f>
        <v>CABA</v>
      </c>
    </row>
    <row r="32" spans="2:18" x14ac:dyDescent="0.3">
      <c r="B32" s="36">
        <v>44578</v>
      </c>
      <c r="C32" s="37">
        <v>1</v>
      </c>
      <c r="D32" s="38">
        <v>10</v>
      </c>
      <c r="E32" s="39">
        <v>11451</v>
      </c>
      <c r="F32" s="40">
        <v>30696186932</v>
      </c>
      <c r="G32" s="466" t="str">
        <f>IFERROR(IF(compras_mes1[[#This Row],[CUIT]]="","-",VLOOKUP(compras_mes1[[#This Row],[CUIT]],Lista_CUIT[#All],2,0)),"CUIT NO CARGADO")</f>
        <v>NORDESTNOVA  S.A.</v>
      </c>
      <c r="H32" s="42">
        <v>79561.5</v>
      </c>
      <c r="I32" s="81">
        <f>IF(compras_mes1[[#This Row],[NETO GRAVADO]]="","",compras_mes1[[#This Row],[NETO GRAVADO]]*0.21)</f>
        <v>16707.915000000001</v>
      </c>
      <c r="J32" s="81"/>
      <c r="K32" s="81"/>
      <c r="L32" s="81"/>
      <c r="M32" s="81"/>
      <c r="N32" s="81"/>
      <c r="O32" s="421">
        <v>0</v>
      </c>
      <c r="P32" s="44">
        <f>SUM(compras_mes1[[#This Row],[NETO GRAVADO]:[Otros / No Grav.]])</f>
        <v>96269.415000000008</v>
      </c>
      <c r="Q32" s="45" t="str">
        <f>IFERROR(IF(compras_mes1[[#This Row],[CUIT]]="","-",VLOOKUP(compras_mes1[[#This Row],[CUIT]],Lista_CUIT[#All],3,0)),"CUIT NO CARGADO")</f>
        <v>Materia Prima</v>
      </c>
      <c r="R32" s="45">
        <f>IFERROR(IF(compras_mes1[[#This Row],[CUIT]]="","-",VLOOKUP(compras_mes1[[#This Row],[CUIT]],Lista_CUIT[#All],4,0)),"CUIT NO CARGADO")</f>
        <v>0</v>
      </c>
    </row>
    <row r="33" spans="2:18" x14ac:dyDescent="0.3">
      <c r="B33" s="36">
        <v>44575</v>
      </c>
      <c r="C33" s="37">
        <v>1</v>
      </c>
      <c r="D33" s="38">
        <v>6</v>
      </c>
      <c r="E33" s="39">
        <v>1898</v>
      </c>
      <c r="F33" s="40">
        <v>30574603788</v>
      </c>
      <c r="G33" s="466" t="str">
        <f>IFERROR(IF(compras_mes1[[#This Row],[CUIT]]="","-",VLOOKUP(compras_mes1[[#This Row],[CUIT]],Lista_CUIT[#All],2,0)),"CUIT NO CARGADO")</f>
        <v>Codac SRL</v>
      </c>
      <c r="H33" s="42">
        <v>148851</v>
      </c>
      <c r="I33" s="81">
        <f>IF(compras_mes1[[#This Row],[NETO GRAVADO]]="","",compras_mes1[[#This Row],[NETO GRAVADO]]*0.21)</f>
        <v>31258.71</v>
      </c>
      <c r="J33" s="81"/>
      <c r="K33" s="81"/>
      <c r="L33" s="81"/>
      <c r="M33" s="81"/>
      <c r="N33" s="81"/>
      <c r="O33" s="421">
        <v>0</v>
      </c>
      <c r="P33" s="44">
        <f>SUM(compras_mes1[[#This Row],[NETO GRAVADO]:[Otros / No Grav.]])</f>
        <v>180109.71</v>
      </c>
      <c r="Q33" s="45" t="str">
        <f>IFERROR(IF(compras_mes1[[#This Row],[CUIT]]="","-",VLOOKUP(compras_mes1[[#This Row],[CUIT]],Lista_CUIT[#All],3,0)),"CUIT NO CARGADO")</f>
        <v>Mercaderia</v>
      </c>
      <c r="R33" s="45">
        <f>IFERROR(IF(compras_mes1[[#This Row],[CUIT]]="","-",VLOOKUP(compras_mes1[[#This Row],[CUIT]],Lista_CUIT[#All],4,0)),"CUIT NO CARGADO")</f>
        <v>0</v>
      </c>
    </row>
    <row r="34" spans="2:18" x14ac:dyDescent="0.3">
      <c r="B34" s="36">
        <v>44578</v>
      </c>
      <c r="C34" s="37">
        <v>1</v>
      </c>
      <c r="D34" s="38">
        <v>3</v>
      </c>
      <c r="E34" s="39">
        <v>5744</v>
      </c>
      <c r="F34" s="40">
        <v>30708006420</v>
      </c>
      <c r="G34" s="466" t="str">
        <f>IFERROR(IF(compras_mes1[[#This Row],[CUIT]]="","-",VLOOKUP(compras_mes1[[#This Row],[CUIT]],Lista_CUIT[#All],2,0)),"CUIT NO CARGADO")</f>
        <v>MEDILEA  S.A.</v>
      </c>
      <c r="H34" s="42">
        <v>239229</v>
      </c>
      <c r="I34" s="81">
        <f>IF(compras_mes1[[#This Row],[NETO GRAVADO]]="","",compras_mes1[[#This Row],[NETO GRAVADO]]*0.21)</f>
        <v>50238.09</v>
      </c>
      <c r="J34" s="81"/>
      <c r="K34" s="81"/>
      <c r="L34" s="81"/>
      <c r="M34" s="81"/>
      <c r="N34" s="81"/>
      <c r="O34" s="421">
        <v>0</v>
      </c>
      <c r="P34" s="44">
        <f>SUM(compras_mes1[[#This Row],[NETO GRAVADO]:[Otros / No Grav.]])</f>
        <v>289467.08999999997</v>
      </c>
      <c r="Q34" s="45" t="str">
        <f>IFERROR(IF(compras_mes1[[#This Row],[CUIT]]="","-",VLOOKUP(compras_mes1[[#This Row],[CUIT]],Lista_CUIT[#All],3,0)),"CUIT NO CARGADO")</f>
        <v>Mercaderia</v>
      </c>
      <c r="R34" s="45">
        <f>IFERROR(IF(compras_mes1[[#This Row],[CUIT]]="","-",VLOOKUP(compras_mes1[[#This Row],[CUIT]],Lista_CUIT[#All],4,0)),"CUIT NO CARGADO")</f>
        <v>0</v>
      </c>
    </row>
    <row r="35" spans="2:18" x14ac:dyDescent="0.3">
      <c r="B35" s="36">
        <v>44578</v>
      </c>
      <c r="C35" s="37">
        <v>1</v>
      </c>
      <c r="D35" s="38">
        <v>6</v>
      </c>
      <c r="E35" s="39">
        <v>20654</v>
      </c>
      <c r="F35" s="40">
        <v>33640878679</v>
      </c>
      <c r="G35" s="466" t="str">
        <f>IFERROR(IF(compras_mes1[[#This Row],[CUIT]]="","-",VLOOKUP(compras_mes1[[#This Row],[CUIT]],Lista_CUIT[#All],2,0)),"CUIT NO CARGADO")</f>
        <v>DHACAM  S.R.L.</v>
      </c>
      <c r="H35" s="42">
        <v>55120</v>
      </c>
      <c r="I35" s="81">
        <f>IF(compras_mes1[[#This Row],[NETO GRAVADO]]="","",compras_mes1[[#This Row],[NETO GRAVADO]]*0.21)</f>
        <v>11575.199999999999</v>
      </c>
      <c r="J35" s="81"/>
      <c r="K35" s="81"/>
      <c r="L35" s="81"/>
      <c r="M35" s="81"/>
      <c r="N35" s="81"/>
      <c r="O35" s="421">
        <v>0</v>
      </c>
      <c r="P35" s="44">
        <f>SUM(compras_mes1[[#This Row],[NETO GRAVADO]:[Otros / No Grav.]])</f>
        <v>66695.199999999997</v>
      </c>
      <c r="Q35" s="45" t="str">
        <f>IFERROR(IF(compras_mes1[[#This Row],[CUIT]]="","-",VLOOKUP(compras_mes1[[#This Row],[CUIT]],Lista_CUIT[#All],3,0)),"CUIT NO CARGADO")</f>
        <v>Mercaderia</v>
      </c>
      <c r="R35" s="45">
        <f>IFERROR(IF(compras_mes1[[#This Row],[CUIT]]="","-",VLOOKUP(compras_mes1[[#This Row],[CUIT]],Lista_CUIT[#All],4,0)),"CUIT NO CARGADO")</f>
        <v>0</v>
      </c>
    </row>
    <row r="36" spans="2:18" x14ac:dyDescent="0.3">
      <c r="B36" s="36">
        <v>44582</v>
      </c>
      <c r="C36" s="37">
        <v>1</v>
      </c>
      <c r="D36" s="38">
        <v>6</v>
      </c>
      <c r="E36" s="39">
        <v>20679</v>
      </c>
      <c r="F36" s="40">
        <v>33640878679</v>
      </c>
      <c r="G36" s="466" t="str">
        <f>IFERROR(IF(compras_mes1[[#This Row],[CUIT]]="","-",VLOOKUP(compras_mes1[[#This Row],[CUIT]],Lista_CUIT[#All],2,0)),"CUIT NO CARGADO")</f>
        <v>DHACAM  S.R.L.</v>
      </c>
      <c r="H36" s="42">
        <v>116550</v>
      </c>
      <c r="I36" s="81">
        <f>IF(compras_mes1[[#This Row],[NETO GRAVADO]]="","",compras_mes1[[#This Row],[NETO GRAVADO]]*0.21)</f>
        <v>24475.5</v>
      </c>
      <c r="J36" s="81"/>
      <c r="K36" s="81"/>
      <c r="L36" s="81"/>
      <c r="M36" s="81"/>
      <c r="N36" s="81"/>
      <c r="O36" s="421">
        <v>0</v>
      </c>
      <c r="P36" s="44">
        <f>SUM(compras_mes1[[#This Row],[NETO GRAVADO]:[Otros / No Grav.]])</f>
        <v>141025.5</v>
      </c>
      <c r="Q36" s="45" t="str">
        <f>IFERROR(IF(compras_mes1[[#This Row],[CUIT]]="","-",VLOOKUP(compras_mes1[[#This Row],[CUIT]],Lista_CUIT[#All],3,0)),"CUIT NO CARGADO")</f>
        <v>Mercaderia</v>
      </c>
      <c r="R36" s="45">
        <f>IFERROR(IF(compras_mes1[[#This Row],[CUIT]]="","-",VLOOKUP(compras_mes1[[#This Row],[CUIT]],Lista_CUIT[#All],4,0)),"CUIT NO CARGADO")</f>
        <v>0</v>
      </c>
    </row>
    <row r="37" spans="2:18" x14ac:dyDescent="0.3">
      <c r="B37" s="36">
        <v>44587</v>
      </c>
      <c r="C37" s="37">
        <v>1</v>
      </c>
      <c r="D37" s="38">
        <v>2</v>
      </c>
      <c r="E37" s="39">
        <v>2971</v>
      </c>
      <c r="F37" s="40">
        <v>30629863571</v>
      </c>
      <c r="G37" s="466" t="str">
        <f>IFERROR(IF(compras_mes1[[#This Row],[CUIT]]="","-",VLOOKUP(compras_mes1[[#This Row],[CUIT]],Lista_CUIT[#All],2,0)),"CUIT NO CARGADO")</f>
        <v>TECNIMAR S R L</v>
      </c>
      <c r="H37" s="42">
        <v>129681.02</v>
      </c>
      <c r="I37" s="81">
        <f>IF(compras_mes1[[#This Row],[NETO GRAVADO]]="","",compras_mes1[[#This Row],[NETO GRAVADO]]*0.21)</f>
        <v>27233.014200000001</v>
      </c>
      <c r="J37" s="81"/>
      <c r="K37" s="81"/>
      <c r="L37" s="81"/>
      <c r="M37" s="81"/>
      <c r="N37" s="81"/>
      <c r="O37" s="421">
        <v>0</v>
      </c>
      <c r="P37" s="44">
        <f>SUM(compras_mes1[[#This Row],[NETO GRAVADO]:[Otros / No Grav.]])</f>
        <v>156914.03419999999</v>
      </c>
      <c r="Q37" s="45" t="str">
        <f>IFERROR(IF(compras_mes1[[#This Row],[CUIT]]="","-",VLOOKUP(compras_mes1[[#This Row],[CUIT]],Lista_CUIT[#All],3,0)),"CUIT NO CARGADO")</f>
        <v>Mercaderia</v>
      </c>
      <c r="R37" s="45">
        <f>IFERROR(IF(compras_mes1[[#This Row],[CUIT]]="","-",VLOOKUP(compras_mes1[[#This Row],[CUIT]],Lista_CUIT[#All],4,0)),"CUIT NO CARGADO")</f>
        <v>0</v>
      </c>
    </row>
    <row r="38" spans="2:18" x14ac:dyDescent="0.3">
      <c r="B38" s="36">
        <v>44587</v>
      </c>
      <c r="C38" s="37">
        <v>1</v>
      </c>
      <c r="D38" s="38">
        <v>3</v>
      </c>
      <c r="E38" s="39">
        <v>5770</v>
      </c>
      <c r="F38" s="40">
        <v>30708006420</v>
      </c>
      <c r="G38" s="466" t="str">
        <f>IFERROR(IF(compras_mes1[[#This Row],[CUIT]]="","-",VLOOKUP(compras_mes1[[#This Row],[CUIT]],Lista_CUIT[#All],2,0)),"CUIT NO CARGADO")</f>
        <v>MEDILEA  S.A.</v>
      </c>
      <c r="H38" s="42">
        <v>84390</v>
      </c>
      <c r="I38" s="81">
        <f>IF(compras_mes1[[#This Row],[NETO GRAVADO]]="","",compras_mes1[[#This Row],[NETO GRAVADO]]*0.21)</f>
        <v>17721.899999999998</v>
      </c>
      <c r="J38" s="81"/>
      <c r="K38" s="81"/>
      <c r="L38" s="81"/>
      <c r="M38" s="81"/>
      <c r="N38" s="81"/>
      <c r="O38" s="421">
        <v>0</v>
      </c>
      <c r="P38" s="44">
        <f>SUM(compras_mes1[[#This Row],[NETO GRAVADO]:[Otros / No Grav.]])</f>
        <v>102111.9</v>
      </c>
      <c r="Q38" s="45" t="str">
        <f>IFERROR(IF(compras_mes1[[#This Row],[CUIT]]="","-",VLOOKUP(compras_mes1[[#This Row],[CUIT]],Lista_CUIT[#All],3,0)),"CUIT NO CARGADO")</f>
        <v>Mercaderia</v>
      </c>
      <c r="R38" s="45">
        <f>IFERROR(IF(compras_mes1[[#This Row],[CUIT]]="","-",VLOOKUP(compras_mes1[[#This Row],[CUIT]],Lista_CUIT[#All],4,0)),"CUIT NO CARGADO")</f>
        <v>0</v>
      </c>
    </row>
    <row r="39" spans="2:18" x14ac:dyDescent="0.3">
      <c r="B39" s="36">
        <v>44589</v>
      </c>
      <c r="C39" s="37">
        <v>1</v>
      </c>
      <c r="D39" s="38">
        <v>3</v>
      </c>
      <c r="E39" s="39">
        <v>5780</v>
      </c>
      <c r="F39" s="40">
        <v>30708006420</v>
      </c>
      <c r="G39" s="466" t="str">
        <f>IFERROR(IF(compras_mes1[[#This Row],[CUIT]]="","-",VLOOKUP(compras_mes1[[#This Row],[CUIT]],Lista_CUIT[#All],2,0)),"CUIT NO CARGADO")</f>
        <v>MEDILEA  S.A.</v>
      </c>
      <c r="H39" s="42">
        <v>189500</v>
      </c>
      <c r="I39" s="81">
        <f>IF(compras_mes1[[#This Row],[NETO GRAVADO]]="","",compras_mes1[[#This Row],[NETO GRAVADO]]*0.21)</f>
        <v>39795</v>
      </c>
      <c r="J39" s="81"/>
      <c r="K39" s="81"/>
      <c r="L39" s="81"/>
      <c r="M39" s="81"/>
      <c r="N39" s="81"/>
      <c r="O39" s="421">
        <v>0</v>
      </c>
      <c r="P39" s="44">
        <f>SUM(compras_mes1[[#This Row],[NETO GRAVADO]:[Otros / No Grav.]])</f>
        <v>229295</v>
      </c>
      <c r="Q39" s="45" t="str">
        <f>IFERROR(IF(compras_mes1[[#This Row],[CUIT]]="","-",VLOOKUP(compras_mes1[[#This Row],[CUIT]],Lista_CUIT[#All],3,0)),"CUIT NO CARGADO")</f>
        <v>Mercaderia</v>
      </c>
      <c r="R39" s="45">
        <f>IFERROR(IF(compras_mes1[[#This Row],[CUIT]]="","-",VLOOKUP(compras_mes1[[#This Row],[CUIT]],Lista_CUIT[#All],4,0)),"CUIT NO CARGADO")</f>
        <v>0</v>
      </c>
    </row>
    <row r="40" spans="2:18" x14ac:dyDescent="0.3">
      <c r="B40" s="36">
        <v>44579</v>
      </c>
      <c r="C40" s="37">
        <v>1</v>
      </c>
      <c r="D40" s="38">
        <v>711</v>
      </c>
      <c r="E40" s="39">
        <v>2943028</v>
      </c>
      <c r="F40" s="40">
        <v>30663498513</v>
      </c>
      <c r="G40" s="466" t="str">
        <f>IFERROR(IF(compras_mes1[[#This Row],[CUIT]]="","-",VLOOKUP(compras_mes1[[#This Row],[CUIT]],Lista_CUIT[#All],2,0)),"CUIT NO CARGADO")</f>
        <v>GRUPO CONCES. DEL OESTE SA</v>
      </c>
      <c r="H40" s="42">
        <v>738.84</v>
      </c>
      <c r="I40" s="81">
        <f>IF(compras_mes1[[#This Row],[NETO GRAVADO]]="","",compras_mes1[[#This Row],[NETO GRAVADO]]*0.21)</f>
        <v>155.15639999999999</v>
      </c>
      <c r="J40" s="81"/>
      <c r="K40" s="81"/>
      <c r="L40" s="81"/>
      <c r="M40" s="81"/>
      <c r="N40" s="81"/>
      <c r="O40" s="421">
        <v>0</v>
      </c>
      <c r="P40" s="44">
        <f>SUM(compras_mes1[[#This Row],[NETO GRAVADO]:[Otros / No Grav.]])</f>
        <v>893.99639999999999</v>
      </c>
      <c r="Q40" s="45" t="str">
        <f>IFERROR(IF(compras_mes1[[#This Row],[CUIT]]="","-",VLOOKUP(compras_mes1[[#This Row],[CUIT]],Lista_CUIT[#All],3,0)),"CUIT NO CARGADO")</f>
        <v>Peaje</v>
      </c>
      <c r="R40" s="45">
        <f>IFERROR(IF(compras_mes1[[#This Row],[CUIT]]="","-",VLOOKUP(compras_mes1[[#This Row],[CUIT]],Lista_CUIT[#All],4,0)),"CUIT NO CARGADO")</f>
        <v>0</v>
      </c>
    </row>
    <row r="41" spans="2:18" x14ac:dyDescent="0.3">
      <c r="B41" s="36">
        <v>44579</v>
      </c>
      <c r="C41" s="37">
        <v>1</v>
      </c>
      <c r="D41" s="38">
        <v>711</v>
      </c>
      <c r="E41" s="39">
        <v>2521064</v>
      </c>
      <c r="F41" s="40">
        <v>30677237119</v>
      </c>
      <c r="G41" s="466" t="str">
        <f>IFERROR(IF(compras_mes1[[#This Row],[CUIT]]="","-",VLOOKUP(compras_mes1[[#This Row],[CUIT]],Lista_CUIT[#All],2,0)),"CUIT NO CARGADO")</f>
        <v>AUTOPISTAS DEL SOL S A</v>
      </c>
      <c r="H41" s="42">
        <v>560.79999999999995</v>
      </c>
      <c r="I41" s="81">
        <f>IF(compras_mes1[[#This Row],[NETO GRAVADO]]="","",compras_mes1[[#This Row],[NETO GRAVADO]]*0.21)</f>
        <v>117.76799999999999</v>
      </c>
      <c r="J41" s="81"/>
      <c r="K41" s="81"/>
      <c r="L41" s="81"/>
      <c r="M41" s="81"/>
      <c r="N41" s="81"/>
      <c r="O41" s="421">
        <v>0</v>
      </c>
      <c r="P41" s="44">
        <f>SUM(compras_mes1[[#This Row],[NETO GRAVADO]:[Otros / No Grav.]])</f>
        <v>678.56799999999998</v>
      </c>
      <c r="Q41" s="45" t="str">
        <f>IFERROR(IF(compras_mes1[[#This Row],[CUIT]]="","-",VLOOKUP(compras_mes1[[#This Row],[CUIT]],Lista_CUIT[#All],3,0)),"CUIT NO CARGADO")</f>
        <v>Peaje</v>
      </c>
      <c r="R41" s="45">
        <f>IFERROR(IF(compras_mes1[[#This Row],[CUIT]]="","-",VLOOKUP(compras_mes1[[#This Row],[CUIT]],Lista_CUIT[#All],4,0)),"CUIT NO CARGADO")</f>
        <v>0</v>
      </c>
    </row>
    <row r="42" spans="2:18" x14ac:dyDescent="0.3">
      <c r="B42" s="36">
        <v>44585</v>
      </c>
      <c r="C42" s="37">
        <v>1</v>
      </c>
      <c r="D42" s="38">
        <v>700</v>
      </c>
      <c r="E42" s="39">
        <v>340629</v>
      </c>
      <c r="F42" s="40">
        <v>30715804812</v>
      </c>
      <c r="G42" s="466" t="str">
        <f>IFERROR(IF(compras_mes1[[#This Row],[CUIT]]="","-",VLOOKUP(compras_mes1[[#This Row],[CUIT]],Lista_CUIT[#All],2,0)),"CUIT NO CARGADO")</f>
        <v>CORREDORES VIALES SOCIEDAD ANONIMA</v>
      </c>
      <c r="H42" s="42">
        <v>1295.78</v>
      </c>
      <c r="I42" s="81">
        <f>IF(compras_mes1[[#This Row],[NETO GRAVADO]]="","",compras_mes1[[#This Row],[NETO GRAVADO]]*0.21)</f>
        <v>272.11379999999997</v>
      </c>
      <c r="J42" s="81"/>
      <c r="K42" s="81"/>
      <c r="L42" s="81"/>
      <c r="M42" s="81"/>
      <c r="N42" s="81"/>
      <c r="O42" s="421">
        <v>0</v>
      </c>
      <c r="P42" s="44">
        <f>SUM(compras_mes1[[#This Row],[NETO GRAVADO]:[Otros / No Grav.]])</f>
        <v>1567.8937999999998</v>
      </c>
      <c r="Q42" s="45" t="str">
        <f>IFERROR(IF(compras_mes1[[#This Row],[CUIT]]="","-",VLOOKUP(compras_mes1[[#This Row],[CUIT]],Lista_CUIT[#All],3,0)),"CUIT NO CARGADO")</f>
        <v>Peaje</v>
      </c>
      <c r="R42" s="45">
        <f>IFERROR(IF(compras_mes1[[#This Row],[CUIT]]="","-",VLOOKUP(compras_mes1[[#This Row],[CUIT]],Lista_CUIT[#All],4,0)),"CUIT NO CARGADO")</f>
        <v>0</v>
      </c>
    </row>
    <row r="43" spans="2:18" x14ac:dyDescent="0.3">
      <c r="B43" s="36">
        <v>44574</v>
      </c>
      <c r="C43" s="37">
        <v>1</v>
      </c>
      <c r="D43" s="38">
        <v>5</v>
      </c>
      <c r="E43" s="39">
        <v>17</v>
      </c>
      <c r="F43" s="40">
        <v>30716385961</v>
      </c>
      <c r="G43" s="466" t="str">
        <f>IFERROR(IF(compras_mes1[[#This Row],[CUIT]]="","-",VLOOKUP(compras_mes1[[#This Row],[CUIT]],Lista_CUIT[#All],2,0)),"CUIT NO CARGADO")</f>
        <v>GRUPO  VDB  TEXTIL  S.R.L.</v>
      </c>
      <c r="H43" s="42">
        <v>2317.48</v>
      </c>
      <c r="I43" s="81">
        <f>IF(compras_mes1[[#This Row],[NETO GRAVADO]]="","",compras_mes1[[#This Row],[NETO GRAVADO]]*0.21)</f>
        <v>486.67079999999999</v>
      </c>
      <c r="J43" s="81"/>
      <c r="K43" s="81"/>
      <c r="L43" s="81"/>
      <c r="M43" s="81"/>
      <c r="N43" s="81"/>
      <c r="O43" s="421">
        <v>0</v>
      </c>
      <c r="P43" s="44">
        <f>SUM(compras_mes1[[#This Row],[NETO GRAVADO]:[Otros / No Grav.]])</f>
        <v>2804.1507999999999</v>
      </c>
      <c r="Q43" s="45" t="str">
        <f>IFERROR(IF(compras_mes1[[#This Row],[CUIT]]="","-",VLOOKUP(compras_mes1[[#This Row],[CUIT]],Lista_CUIT[#All],3,0)),"CUIT NO CARGADO")</f>
        <v>Ropa de Trabajo</v>
      </c>
      <c r="R43" s="45" t="str">
        <f>IFERROR(IF(compras_mes1[[#This Row],[CUIT]]="","-",VLOOKUP(compras_mes1[[#This Row],[CUIT]],Lista_CUIT[#All],4,0)),"CUIT NO CARGADO")</f>
        <v>CABA</v>
      </c>
    </row>
    <row r="44" spans="2:18" x14ac:dyDescent="0.3">
      <c r="B44" s="36">
        <v>44580</v>
      </c>
      <c r="C44" s="37">
        <v>1</v>
      </c>
      <c r="D44" s="38">
        <v>92</v>
      </c>
      <c r="E44" s="39">
        <v>598</v>
      </c>
      <c r="F44" s="40">
        <v>30574893395</v>
      </c>
      <c r="G44" s="466" t="str">
        <f>IFERROR(IF(compras_mes1[[#This Row],[CUIT]]="","-",VLOOKUP(compras_mes1[[#This Row],[CUIT]],Lista_CUIT[#All],2,0)),"CUIT NO CARGADO")</f>
        <v>BLOISE  GENARO  Y  BLOISE  ANGE</v>
      </c>
      <c r="H44" s="42">
        <v>5784.3</v>
      </c>
      <c r="I44" s="81">
        <f>IF(compras_mes1[[#This Row],[NETO GRAVADO]]="","",compras_mes1[[#This Row],[NETO GRAVADO]]*0.21)</f>
        <v>1214.703</v>
      </c>
      <c r="J44" s="81"/>
      <c r="K44" s="81"/>
      <c r="L44" s="81"/>
      <c r="M44" s="81"/>
      <c r="N44" s="81"/>
      <c r="O44" s="421">
        <v>0</v>
      </c>
      <c r="P44" s="44">
        <f>SUM(compras_mes1[[#This Row],[NETO GRAVADO]:[Otros / No Grav.]])</f>
        <v>6999.0030000000006</v>
      </c>
      <c r="Q44" s="45" t="str">
        <f>IFERROR(IF(compras_mes1[[#This Row],[CUIT]]="","-",VLOOKUP(compras_mes1[[#This Row],[CUIT]],Lista_CUIT[#All],3,0)),"CUIT NO CARGADO")</f>
        <v>Ropa de Trabajo</v>
      </c>
      <c r="R44" s="45">
        <f>IFERROR(IF(compras_mes1[[#This Row],[CUIT]]="","-",VLOOKUP(compras_mes1[[#This Row],[CUIT]],Lista_CUIT[#All],4,0)),"CUIT NO CARGADO")</f>
        <v>0</v>
      </c>
    </row>
    <row r="45" spans="2:18" x14ac:dyDescent="0.3">
      <c r="B45" s="36">
        <v>44582</v>
      </c>
      <c r="C45" s="37">
        <v>1</v>
      </c>
      <c r="D45" s="38">
        <v>7</v>
      </c>
      <c r="E45" s="39">
        <v>22045</v>
      </c>
      <c r="F45" s="40">
        <v>30709781428</v>
      </c>
      <c r="G45" s="466" t="str">
        <f>IFERROR(IF(compras_mes1[[#This Row],[CUIT]]="","-",VLOOKUP(compras_mes1[[#This Row],[CUIT]],Lista_CUIT[#All],2,0)),"CUIT NO CARGADO")</f>
        <v>DUAL  TIGRE  S.A.</v>
      </c>
      <c r="H45" s="42">
        <v>463.7</v>
      </c>
      <c r="I45" s="81">
        <f>IF(compras_mes1[[#This Row],[NETO GRAVADO]]="","",compras_mes1[[#This Row],[NETO GRAVADO]]*0.21)</f>
        <v>97.376999999999995</v>
      </c>
      <c r="J45" s="81"/>
      <c r="K45" s="81"/>
      <c r="L45" s="81"/>
      <c r="M45" s="81"/>
      <c r="N45" s="81"/>
      <c r="O45" s="421">
        <v>4.01</v>
      </c>
      <c r="P45" s="44">
        <f>SUM(compras_mes1[[#This Row],[NETO GRAVADO]:[Otros / No Grav.]])</f>
        <v>565.08699999999999</v>
      </c>
      <c r="Q45" s="45" t="str">
        <f>IFERROR(IF(compras_mes1[[#This Row],[CUIT]]="","-",VLOOKUP(compras_mes1[[#This Row],[CUIT]],Lista_CUIT[#All],3,0)),"CUIT NO CARGADO")</f>
        <v>Combustible</v>
      </c>
      <c r="R45" s="45">
        <f>IFERROR(IF(compras_mes1[[#This Row],[CUIT]]="","-",VLOOKUP(compras_mes1[[#This Row],[CUIT]],Lista_CUIT[#All],4,0)),"CUIT NO CARGADO")</f>
        <v>0</v>
      </c>
    </row>
    <row r="46" spans="2:18" x14ac:dyDescent="0.3">
      <c r="B46" s="36">
        <v>44575</v>
      </c>
      <c r="C46" s="37">
        <v>1</v>
      </c>
      <c r="D46" s="38">
        <v>13</v>
      </c>
      <c r="E46" s="39">
        <v>104030</v>
      </c>
      <c r="F46" s="40">
        <v>30650296997</v>
      </c>
      <c r="G46" s="466" t="str">
        <f>IFERROR(IF(compras_mes1[[#This Row],[CUIT]]="","-",VLOOKUP(compras_mes1[[#This Row],[CUIT]],Lista_CUIT[#All],2,0)),"CUIT NO CARGADO")</f>
        <v>GAS  PARQUE  S.A.</v>
      </c>
      <c r="H46" s="42">
        <v>3433.55</v>
      </c>
      <c r="I46" s="81">
        <f>IF(compras_mes1[[#This Row],[NETO GRAVADO]]="","",compras_mes1[[#This Row],[NETO GRAVADO]]*0.21)</f>
        <v>721.04550000000006</v>
      </c>
      <c r="J46" s="81"/>
      <c r="K46" s="81"/>
      <c r="L46" s="81"/>
      <c r="M46" s="81"/>
      <c r="N46" s="81"/>
      <c r="O46" s="421">
        <v>7.41</v>
      </c>
      <c r="P46" s="44">
        <f>SUM(compras_mes1[[#This Row],[NETO GRAVADO]:[Otros / No Grav.]])</f>
        <v>4162.0055000000002</v>
      </c>
      <c r="Q46" s="45" t="str">
        <f>IFERROR(IF(compras_mes1[[#This Row],[CUIT]]="","-",VLOOKUP(compras_mes1[[#This Row],[CUIT]],Lista_CUIT[#All],3,0)),"CUIT NO CARGADO")</f>
        <v>Combustible</v>
      </c>
      <c r="R46" s="45">
        <f>IFERROR(IF(compras_mes1[[#This Row],[CUIT]]="","-",VLOOKUP(compras_mes1[[#This Row],[CUIT]],Lista_CUIT[#All],4,0)),"CUIT NO CARGADO")</f>
        <v>0</v>
      </c>
    </row>
    <row r="47" spans="2:18" x14ac:dyDescent="0.3">
      <c r="B47" s="36">
        <v>44579</v>
      </c>
      <c r="C47" s="37">
        <v>1</v>
      </c>
      <c r="D47" s="38">
        <v>1666</v>
      </c>
      <c r="E47" s="39">
        <v>17407</v>
      </c>
      <c r="F47" s="40">
        <v>30589621499</v>
      </c>
      <c r="G47" s="466" t="str">
        <f>IFERROR(IF(compras_mes1[[#This Row],[CUIT]]="","-",VLOOKUP(compras_mes1[[#This Row],[CUIT]],Lista_CUIT[#All],2,0)),"CUIT NO CARGADO")</f>
        <v>MAKRO SA</v>
      </c>
      <c r="H47" s="42">
        <v>8901.9500000000007</v>
      </c>
      <c r="I47" s="81">
        <v>1813.35</v>
      </c>
      <c r="J47" s="81"/>
      <c r="K47" s="81"/>
      <c r="L47" s="81">
        <v>259.05</v>
      </c>
      <c r="M47" s="81"/>
      <c r="N47" s="81">
        <v>534.12</v>
      </c>
      <c r="O47" s="421">
        <v>26.67</v>
      </c>
      <c r="P47" s="44">
        <f>SUM(compras_mes1[[#This Row],[NETO GRAVADO]:[Otros / No Grav.]])</f>
        <v>11535.140000000001</v>
      </c>
      <c r="Q47" s="45" t="str">
        <f>IFERROR(IF(compras_mes1[[#This Row],[CUIT]]="","-",VLOOKUP(compras_mes1[[#This Row],[CUIT]],Lista_CUIT[#All],3,0)),"CUIT NO CARGADO")</f>
        <v>Comida-Limpieza</v>
      </c>
      <c r="R47" s="45">
        <f>IFERROR(IF(compras_mes1[[#This Row],[CUIT]]="","-",VLOOKUP(compras_mes1[[#This Row],[CUIT]],Lista_CUIT[#All],4,0)),"CUIT NO CARGADO")</f>
        <v>0</v>
      </c>
    </row>
    <row r="48" spans="2:18" x14ac:dyDescent="0.3">
      <c r="B48" s="36">
        <v>44571</v>
      </c>
      <c r="C48" s="37">
        <v>1</v>
      </c>
      <c r="D48" s="38">
        <v>6</v>
      </c>
      <c r="E48" s="39">
        <v>11563153</v>
      </c>
      <c r="F48" s="40">
        <v>30620177497</v>
      </c>
      <c r="G48" s="466" t="str">
        <f>IFERROR(IF(compras_mes1[[#This Row],[CUIT]]="","-",VLOOKUP(compras_mes1[[#This Row],[CUIT]],Lista_CUIT[#All],2,0)),"CUIT NO CARGADO")</f>
        <v>POSNET SRL</v>
      </c>
      <c r="H48" s="42">
        <v>1580</v>
      </c>
      <c r="I48" s="81">
        <f>IF(compras_mes1[[#This Row],[NETO GRAVADO]]="","",compras_mes1[[#This Row],[NETO GRAVADO]]*0.21)</f>
        <v>331.8</v>
      </c>
      <c r="J48" s="81"/>
      <c r="K48" s="81"/>
      <c r="L48" s="81">
        <v>47.4</v>
      </c>
      <c r="M48" s="81"/>
      <c r="N48" s="81"/>
      <c r="O48" s="420">
        <v>94.8</v>
      </c>
      <c r="P48" s="44">
        <f>SUM(compras_mes1[[#This Row],[NETO GRAVADO]:[Otros / No Grav.]])</f>
        <v>2054</v>
      </c>
      <c r="Q48" s="45" t="str">
        <f>IFERROR(IF(compras_mes1[[#This Row],[CUIT]]="","-",VLOOKUP(compras_mes1[[#This Row],[CUIT]],Lista_CUIT[#All],3,0)),"CUIT NO CARGADO")</f>
        <v>Gtos Comercializacion</v>
      </c>
      <c r="R48" s="45">
        <f>IFERROR(IF(compras_mes1[[#This Row],[CUIT]]="","-",VLOOKUP(compras_mes1[[#This Row],[CUIT]],Lista_CUIT[#All],4,0)),"CUIT NO CARGADO")</f>
        <v>0</v>
      </c>
    </row>
    <row r="49" spans="2:18" x14ac:dyDescent="0.3">
      <c r="B49" s="36">
        <v>44571</v>
      </c>
      <c r="C49" s="37">
        <v>1</v>
      </c>
      <c r="D49" s="38">
        <v>6</v>
      </c>
      <c r="E49" s="39">
        <v>11563174</v>
      </c>
      <c r="F49" s="40">
        <v>30620177497</v>
      </c>
      <c r="G49" s="466" t="str">
        <f>IFERROR(IF(compras_mes1[[#This Row],[CUIT]]="","-",VLOOKUP(compras_mes1[[#This Row],[CUIT]],Lista_CUIT[#All],2,0)),"CUIT NO CARGADO")</f>
        <v>POSNET SRL</v>
      </c>
      <c r="H49" s="42">
        <v>1580</v>
      </c>
      <c r="I49" s="81">
        <f>IF(compras_mes1[[#This Row],[NETO GRAVADO]]="","",compras_mes1[[#This Row],[NETO GRAVADO]]*0.21)</f>
        <v>331.8</v>
      </c>
      <c r="J49" s="81"/>
      <c r="K49" s="81"/>
      <c r="L49" s="81">
        <v>47.4</v>
      </c>
      <c r="M49" s="81"/>
      <c r="N49" s="81"/>
      <c r="O49" s="420">
        <v>94.8</v>
      </c>
      <c r="P49" s="44">
        <f>SUM(compras_mes1[[#This Row],[NETO GRAVADO]:[Otros / No Grav.]])</f>
        <v>2054</v>
      </c>
      <c r="Q49" s="45" t="str">
        <f>IFERROR(IF(compras_mes1[[#This Row],[CUIT]]="","-",VLOOKUP(compras_mes1[[#This Row],[CUIT]],Lista_CUIT[#All],3,0)),"CUIT NO CARGADO")</f>
        <v>Gtos Comercializacion</v>
      </c>
      <c r="R49" s="45">
        <f>IFERROR(IF(compras_mes1[[#This Row],[CUIT]]="","-",VLOOKUP(compras_mes1[[#This Row],[CUIT]],Lista_CUIT[#All],4,0)),"CUIT NO CARGADO")</f>
        <v>0</v>
      </c>
    </row>
    <row r="50" spans="2:18" x14ac:dyDescent="0.3">
      <c r="B50" s="36">
        <v>44571</v>
      </c>
      <c r="C50" s="37">
        <v>1</v>
      </c>
      <c r="D50" s="38">
        <v>6</v>
      </c>
      <c r="E50" s="39">
        <v>11563178</v>
      </c>
      <c r="F50" s="40">
        <v>30620177497</v>
      </c>
      <c r="G50" s="466" t="str">
        <f>IFERROR(IF(compras_mes1[[#This Row],[CUIT]]="","-",VLOOKUP(compras_mes1[[#This Row],[CUIT]],Lista_CUIT[#All],2,0)),"CUIT NO CARGADO")</f>
        <v>POSNET SRL</v>
      </c>
      <c r="H50" s="42">
        <v>1580</v>
      </c>
      <c r="I50" s="81">
        <f>IF(compras_mes1[[#This Row],[NETO GRAVADO]]="","",compras_mes1[[#This Row],[NETO GRAVADO]]*0.21)</f>
        <v>331.8</v>
      </c>
      <c r="J50" s="81"/>
      <c r="K50" s="81"/>
      <c r="L50" s="81">
        <v>47.4</v>
      </c>
      <c r="M50" s="81"/>
      <c r="N50" s="81"/>
      <c r="O50" s="420">
        <v>94.8</v>
      </c>
      <c r="P50" s="44">
        <f>SUM(compras_mes1[[#This Row],[NETO GRAVADO]:[Otros / No Grav.]])</f>
        <v>2054</v>
      </c>
      <c r="Q50" s="45" t="str">
        <f>IFERROR(IF(compras_mes1[[#This Row],[CUIT]]="","-",VLOOKUP(compras_mes1[[#This Row],[CUIT]],Lista_CUIT[#All],3,0)),"CUIT NO CARGADO")</f>
        <v>Gtos Comercializacion</v>
      </c>
      <c r="R50" s="45">
        <f>IFERROR(IF(compras_mes1[[#This Row],[CUIT]]="","-",VLOOKUP(compras_mes1[[#This Row],[CUIT]],Lista_CUIT[#All],4,0)),"CUIT NO CARGADO")</f>
        <v>0</v>
      </c>
    </row>
    <row r="51" spans="2:18" x14ac:dyDescent="0.3">
      <c r="B51" s="36">
        <v>44589</v>
      </c>
      <c r="C51" s="37">
        <v>1</v>
      </c>
      <c r="D51" s="38">
        <v>5026</v>
      </c>
      <c r="E51" s="39">
        <v>4940</v>
      </c>
      <c r="F51" s="40">
        <v>30695542476</v>
      </c>
      <c r="G51" s="466" t="str">
        <f>IFERROR(IF(compras_mes1[[#This Row],[CUIT]]="","-",VLOOKUP(compras_mes1[[#This Row],[CUIT]],Lista_CUIT[#All],2,0)),"CUIT NO CARGADO")</f>
        <v>PAN  AMERICAN  ENERGY  SL  S.AR</v>
      </c>
      <c r="H51" s="42">
        <v>1761.73</v>
      </c>
      <c r="I51" s="81">
        <f>IF(compras_mes1[[#This Row],[NETO GRAVADO]]="","",compras_mes1[[#This Row],[NETO GRAVADO]]*0.21)</f>
        <v>369.9633</v>
      </c>
      <c r="J51" s="81"/>
      <c r="K51" s="81"/>
      <c r="L51" s="81"/>
      <c r="M51" s="81"/>
      <c r="N51" s="81"/>
      <c r="O51" s="421">
        <v>101.59</v>
      </c>
      <c r="P51" s="44">
        <f>SUM(compras_mes1[[#This Row],[NETO GRAVADO]:[Otros / No Grav.]])</f>
        <v>2233.2833000000001</v>
      </c>
      <c r="Q51" s="45" t="str">
        <f>IFERROR(IF(compras_mes1[[#This Row],[CUIT]]="","-",VLOOKUP(compras_mes1[[#This Row],[CUIT]],Lista_CUIT[#All],3,0)),"CUIT NO CARGADO")</f>
        <v>Combustible</v>
      </c>
      <c r="R51" s="45">
        <f>IFERROR(IF(compras_mes1[[#This Row],[CUIT]]="","-",VLOOKUP(compras_mes1[[#This Row],[CUIT]],Lista_CUIT[#All],4,0)),"CUIT NO CARGADO")</f>
        <v>0</v>
      </c>
    </row>
    <row r="52" spans="2:18" x14ac:dyDescent="0.3">
      <c r="B52" s="36">
        <v>44570</v>
      </c>
      <c r="C52" s="37">
        <v>1</v>
      </c>
      <c r="D52" s="38">
        <v>948</v>
      </c>
      <c r="E52" s="39">
        <v>536271</v>
      </c>
      <c r="F52" s="40">
        <v>30639453975</v>
      </c>
      <c r="G52" s="466" t="str">
        <f>IFERROR(IF(compras_mes1[[#This Row],[CUIT]]="","-",VLOOKUP(compras_mes1[[#This Row],[CUIT]],Lista_CUIT[#All],2,0)),"CUIT NO CARGADO")</f>
        <v>TELEFONICA DE ARG S.A.</v>
      </c>
      <c r="H52" s="42">
        <v>2575.3200000000002</v>
      </c>
      <c r="I52" s="81">
        <v>695.34</v>
      </c>
      <c r="J52" s="81"/>
      <c r="K52" s="81"/>
      <c r="L52" s="81">
        <v>77.260000000000005</v>
      </c>
      <c r="M52" s="81"/>
      <c r="N52" s="81"/>
      <c r="O52" s="420">
        <v>154.52000000000001</v>
      </c>
      <c r="P52" s="44">
        <f>SUM(compras_mes1[[#This Row],[NETO GRAVADO]:[Otros / No Grav.]])</f>
        <v>3502.4400000000005</v>
      </c>
      <c r="Q52" s="45" t="str">
        <f>IFERROR(IF(compras_mes1[[#This Row],[CUIT]]="","-",VLOOKUP(compras_mes1[[#This Row],[CUIT]],Lista_CUIT[#All],3,0)),"CUIT NO CARGADO")</f>
        <v>Servicios Gas, Luz, etc.</v>
      </c>
      <c r="R52" s="45">
        <f>IFERROR(IF(compras_mes1[[#This Row],[CUIT]]="","-",VLOOKUP(compras_mes1[[#This Row],[CUIT]],Lista_CUIT[#All],4,0)),"CUIT NO CARGADO")</f>
        <v>0</v>
      </c>
    </row>
    <row r="53" spans="2:18" x14ac:dyDescent="0.3">
      <c r="B53" s="36">
        <v>44571</v>
      </c>
      <c r="C53" s="37">
        <v>1</v>
      </c>
      <c r="D53" s="38">
        <v>6</v>
      </c>
      <c r="E53" s="39">
        <v>11563220</v>
      </c>
      <c r="F53" s="40">
        <v>30620177497</v>
      </c>
      <c r="G53" s="466" t="str">
        <f>IFERROR(IF(compras_mes1[[#This Row],[CUIT]]="","-",VLOOKUP(compras_mes1[[#This Row],[CUIT]],Lista_CUIT[#All],2,0)),"CUIT NO CARGADO")</f>
        <v>POSNET SRL</v>
      </c>
      <c r="H53" s="42">
        <v>4740</v>
      </c>
      <c r="I53" s="81">
        <f>IF(compras_mes1[[#This Row],[NETO GRAVADO]]="","",compras_mes1[[#This Row],[NETO GRAVADO]]*0.21)</f>
        <v>995.4</v>
      </c>
      <c r="J53" s="81"/>
      <c r="K53" s="81"/>
      <c r="L53" s="81">
        <v>142.19999999999999</v>
      </c>
      <c r="M53" s="81"/>
      <c r="N53" s="81"/>
      <c r="O53" s="420">
        <v>284.39999999999998</v>
      </c>
      <c r="P53" s="44">
        <f>SUM(compras_mes1[[#This Row],[NETO GRAVADO]:[Otros / No Grav.]])</f>
        <v>6161.9999999999991</v>
      </c>
      <c r="Q53" s="45" t="str">
        <f>IFERROR(IF(compras_mes1[[#This Row],[CUIT]]="","-",VLOOKUP(compras_mes1[[#This Row],[CUIT]],Lista_CUIT[#All],3,0)),"CUIT NO CARGADO")</f>
        <v>Gtos Comercializacion</v>
      </c>
      <c r="R53" s="45">
        <f>IFERROR(IF(compras_mes1[[#This Row],[CUIT]]="","-",VLOOKUP(compras_mes1[[#This Row],[CUIT]],Lista_CUIT[#All],4,0)),"CUIT NO CARGADO")</f>
        <v>0</v>
      </c>
    </row>
    <row r="54" spans="2:18" x14ac:dyDescent="0.3">
      <c r="B54" s="36">
        <v>44579</v>
      </c>
      <c r="C54" s="37">
        <v>1</v>
      </c>
      <c r="D54" s="38">
        <v>5014</v>
      </c>
      <c r="E54" s="39">
        <v>182365</v>
      </c>
      <c r="F54" s="40">
        <v>30574876474</v>
      </c>
      <c r="G54" s="466" t="str">
        <f>IFERROR(IF(compras_mes1[[#This Row],[CUIT]]="","-",VLOOKUP(compras_mes1[[#This Row],[CUIT]],Lista_CUIT[#All],2,0)),"CUIT NO CARGADO")</f>
        <v>AUTOPISTAS URBANAS S A</v>
      </c>
      <c r="H54" s="42">
        <v>6649.66</v>
      </c>
      <c r="I54" s="81">
        <f>IF(compras_mes1[[#This Row],[NETO GRAVADO]]="","",compras_mes1[[#This Row],[NETO GRAVADO]]*0.21)</f>
        <v>1396.4286</v>
      </c>
      <c r="J54" s="81"/>
      <c r="K54" s="81"/>
      <c r="L54" s="81">
        <v>199.48</v>
      </c>
      <c r="M54" s="81"/>
      <c r="N54" s="81"/>
      <c r="O54" s="421">
        <v>614.61</v>
      </c>
      <c r="P54" s="44">
        <f>SUM(compras_mes1[[#This Row],[NETO GRAVADO]:[Otros / No Grav.]])</f>
        <v>8860.1786000000011</v>
      </c>
      <c r="Q54" s="45" t="str">
        <f>IFERROR(IF(compras_mes1[[#This Row],[CUIT]]="","-",VLOOKUP(compras_mes1[[#This Row],[CUIT]],Lista_CUIT[#All],3,0)),"CUIT NO CARGADO")</f>
        <v>Peaje</v>
      </c>
      <c r="R54" s="45">
        <f>IFERROR(IF(compras_mes1[[#This Row],[CUIT]]="","-",VLOOKUP(compras_mes1[[#This Row],[CUIT]],Lista_CUIT[#All],4,0)),"CUIT NO CARGADO")</f>
        <v>0</v>
      </c>
    </row>
    <row r="55" spans="2:18" x14ac:dyDescent="0.3">
      <c r="B55" s="36">
        <v>44589</v>
      </c>
      <c r="C55" s="37">
        <v>1</v>
      </c>
      <c r="D55" s="38">
        <v>2199</v>
      </c>
      <c r="E55" s="39">
        <v>14249</v>
      </c>
      <c r="F55" s="40">
        <v>30548083156</v>
      </c>
      <c r="G55" s="466" t="str">
        <f>IFERROR(IF(compras_mes1[[#This Row],[CUIT]]="","-",VLOOKUP(compras_mes1[[#This Row],[CUIT]],Lista_CUIT[#All],2,0)),"CUIT NO CARGADO")</f>
        <v>COTO  S.A.</v>
      </c>
      <c r="H55" s="42">
        <v>30776.92</v>
      </c>
      <c r="I55" s="81">
        <v>6012.16</v>
      </c>
      <c r="J55" s="81"/>
      <c r="K55" s="81"/>
      <c r="L55" s="81"/>
      <c r="M55" s="360"/>
      <c r="N55" s="81">
        <v>878.71</v>
      </c>
      <c r="O55" s="421">
        <v>779.73</v>
      </c>
      <c r="P55" s="44">
        <f>SUM(compras_mes1[[#This Row],[NETO GRAVADO]:[Otros / No Grav.]])</f>
        <v>38447.520000000004</v>
      </c>
      <c r="Q55" s="45" t="str">
        <f>IFERROR(IF(compras_mes1[[#This Row],[CUIT]]="","-",VLOOKUP(compras_mes1[[#This Row],[CUIT]],Lista_CUIT[#All],3,0)),"CUIT NO CARGADO")</f>
        <v>Gastos Varios</v>
      </c>
      <c r="R55" s="45">
        <f>IFERROR(IF(compras_mes1[[#This Row],[CUIT]]="","-",VLOOKUP(compras_mes1[[#This Row],[CUIT]],Lista_CUIT[#All],4,0)),"CUIT NO CARGADO")</f>
        <v>0</v>
      </c>
    </row>
    <row r="56" spans="2:18" x14ac:dyDescent="0.3">
      <c r="B56" s="36">
        <v>44572</v>
      </c>
      <c r="C56" s="37">
        <v>1</v>
      </c>
      <c r="D56" s="38">
        <v>8263</v>
      </c>
      <c r="E56" s="39">
        <v>1633</v>
      </c>
      <c r="F56" s="40">
        <v>30590360763</v>
      </c>
      <c r="G56" s="466" t="str">
        <f>IFERROR(IF(compras_mes1[[#This Row],[CUIT]]="","-",VLOOKUP(compras_mes1[[#This Row],[CUIT]],Lista_CUIT[#All],2,0)),"CUIT NO CARGADO")</f>
        <v>CENCOSUD S.A</v>
      </c>
      <c r="H56" s="42">
        <v>16271.07</v>
      </c>
      <c r="I56" s="81">
        <f>IF(compras_mes1[[#This Row],[NETO GRAVADO]]="","",compras_mes1[[#This Row],[NETO GRAVADO]]*0.21)</f>
        <v>3416.9247</v>
      </c>
      <c r="J56" s="81"/>
      <c r="K56" s="81"/>
      <c r="L56" s="81">
        <v>488.13</v>
      </c>
      <c r="M56" s="81"/>
      <c r="N56" s="81"/>
      <c r="O56" s="420">
        <v>976.26</v>
      </c>
      <c r="P56" s="44">
        <f>SUM(compras_mes1[[#This Row],[NETO GRAVADO]:[Otros / No Grav.]])</f>
        <v>21152.384699999999</v>
      </c>
      <c r="Q56" s="45" t="str">
        <f>IFERROR(IF(compras_mes1[[#This Row],[CUIT]]="","-",VLOOKUP(compras_mes1[[#This Row],[CUIT]],Lista_CUIT[#All],3,0)),"CUIT NO CARGADO")</f>
        <v>Gastos Varios</v>
      </c>
      <c r="R56" s="45">
        <f>IFERROR(IF(compras_mes1[[#This Row],[CUIT]]="","-",VLOOKUP(compras_mes1[[#This Row],[CUIT]],Lista_CUIT[#All],4,0)),"CUIT NO CARGADO")</f>
        <v>0</v>
      </c>
    </row>
    <row r="57" spans="2:18" x14ac:dyDescent="0.3">
      <c r="B57" s="36">
        <v>44571</v>
      </c>
      <c r="C57" s="37">
        <v>1</v>
      </c>
      <c r="D57" s="38">
        <v>12</v>
      </c>
      <c r="E57" s="39">
        <v>49843</v>
      </c>
      <c r="F57" s="40">
        <v>20130138005</v>
      </c>
      <c r="G57" s="466" t="str">
        <f>IFERROR(IF(compras_mes1[[#This Row],[CUIT]]="","-",VLOOKUP(compras_mes1[[#This Row],[CUIT]],Lista_CUIT[#All],2,0)),"CUIT NO CARGADO")</f>
        <v>YPF  KM  296</v>
      </c>
      <c r="H57" s="42">
        <v>5125.13</v>
      </c>
      <c r="I57" s="81">
        <f>IF(compras_mes1[[#This Row],[NETO GRAVADO]]="","",compras_mes1[[#This Row],[NETO GRAVADO]]*0.21)</f>
        <v>1076.2773</v>
      </c>
      <c r="J57" s="81"/>
      <c r="K57" s="81"/>
      <c r="L57" s="81"/>
      <c r="M57" s="81"/>
      <c r="N57" s="81"/>
      <c r="O57" s="420">
        <v>1398.43</v>
      </c>
      <c r="P57" s="44">
        <f>SUM(compras_mes1[[#This Row],[NETO GRAVADO]:[Otros / No Grav.]])</f>
        <v>7599.8373000000001</v>
      </c>
      <c r="Q57" s="45" t="str">
        <f>IFERROR(IF(compras_mes1[[#This Row],[CUIT]]="","-",VLOOKUP(compras_mes1[[#This Row],[CUIT]],Lista_CUIT[#All],3,0)),"CUIT NO CARGADO")</f>
        <v>Combustible</v>
      </c>
      <c r="R57" s="45">
        <f>IFERROR(IF(compras_mes1[[#This Row],[CUIT]]="","-",VLOOKUP(compras_mes1[[#This Row],[CUIT]],Lista_CUIT[#All],4,0)),"CUIT NO CARGADO")</f>
        <v>0</v>
      </c>
    </row>
    <row r="58" spans="2:18" x14ac:dyDescent="0.3">
      <c r="B58" s="36">
        <v>44571</v>
      </c>
      <c r="C58" s="37">
        <v>1</v>
      </c>
      <c r="D58" s="38">
        <v>6364</v>
      </c>
      <c r="E58" s="39">
        <v>5613460</v>
      </c>
      <c r="F58" s="40">
        <v>30639453738</v>
      </c>
      <c r="G58" s="466" t="str">
        <f>IFERROR(IF(compras_mes1[[#This Row],[CUIT]]="","-",VLOOKUP(compras_mes1[[#This Row],[CUIT]],Lista_CUIT[#All],2,0)),"CUIT NO CARGADO")</f>
        <v>TELECOM ARG SA</v>
      </c>
      <c r="H58" s="42">
        <v>32413.47</v>
      </c>
      <c r="I58" s="81">
        <v>6891.98</v>
      </c>
      <c r="J58" s="81"/>
      <c r="K58" s="81"/>
      <c r="L58" s="81">
        <v>972.42</v>
      </c>
      <c r="M58" s="81"/>
      <c r="N58" s="81"/>
      <c r="O58" s="420">
        <v>1873.03</v>
      </c>
      <c r="P58" s="44">
        <f>SUM(compras_mes1[[#This Row],[NETO GRAVADO]:[Otros / No Grav.]])</f>
        <v>42150.899999999994</v>
      </c>
      <c r="Q58" s="45" t="str">
        <f>IFERROR(IF(compras_mes1[[#This Row],[CUIT]]="","-",VLOOKUP(compras_mes1[[#This Row],[CUIT]],Lista_CUIT[#All],3,0)),"CUIT NO CARGADO")</f>
        <v>Servicios Gas, Luz, etc.</v>
      </c>
      <c r="R58" s="45">
        <f>IFERROR(IF(compras_mes1[[#This Row],[CUIT]]="","-",VLOOKUP(compras_mes1[[#This Row],[CUIT]],Lista_CUIT[#All],4,0)),"CUIT NO CARGADO")</f>
        <v>0</v>
      </c>
    </row>
    <row r="59" spans="2:18" x14ac:dyDescent="0.3">
      <c r="B59" s="36">
        <v>44589</v>
      </c>
      <c r="C59" s="37">
        <v>1</v>
      </c>
      <c r="D59" s="38">
        <v>4</v>
      </c>
      <c r="E59" s="39">
        <v>137853</v>
      </c>
      <c r="F59" s="40">
        <v>30550847589</v>
      </c>
      <c r="G59" s="466" t="str">
        <f>IFERROR(IF(compras_mes1[[#This Row],[CUIT]]="","-",VLOOKUP(compras_mes1[[#This Row],[CUIT]],Lista_CUIT[#All],2,0)),"CUIT NO CARGADO")</f>
        <v>CORAFAL  NORTE  S.A.</v>
      </c>
      <c r="H59" s="42">
        <v>11132.18</v>
      </c>
      <c r="I59" s="81">
        <v>2337.7600000000002</v>
      </c>
      <c r="J59" s="81"/>
      <c r="K59" s="81"/>
      <c r="L59" s="81"/>
      <c r="M59" s="81"/>
      <c r="N59" s="81"/>
      <c r="O59" s="421">
        <v>2337.7600000000002</v>
      </c>
      <c r="P59" s="44">
        <f>SUM(compras_mes1[[#This Row],[NETO GRAVADO]:[Otros / No Grav.]])</f>
        <v>15807.7</v>
      </c>
      <c r="Q59" s="45" t="str">
        <f>IFERROR(IF(compras_mes1[[#This Row],[CUIT]]="","-",VLOOKUP(compras_mes1[[#This Row],[CUIT]],Lista_CUIT[#All],3,0)),"CUIT NO CARGADO")</f>
        <v>Combustible</v>
      </c>
      <c r="R59" s="45" t="str">
        <f>IFERROR(IF(compras_mes1[[#This Row],[CUIT]]="","-",VLOOKUP(compras_mes1[[#This Row],[CUIT]],Lista_CUIT[#All],4,0)),"CUIT NO CARGADO")</f>
        <v>BUENOS AIRES</v>
      </c>
    </row>
    <row r="60" spans="2:18" x14ac:dyDescent="0.3">
      <c r="B60" s="36">
        <v>44584</v>
      </c>
      <c r="C60" s="37">
        <v>1</v>
      </c>
      <c r="D60" s="38">
        <v>6860</v>
      </c>
      <c r="E60" s="39">
        <v>7835</v>
      </c>
      <c r="F60" s="40">
        <v>30678774495</v>
      </c>
      <c r="G60" s="466" t="str">
        <f>IFERROR(IF(compras_mes1[[#This Row],[CUIT]]="","-",VLOOKUP(compras_mes1[[#This Row],[CUIT]],Lista_CUIT[#All],2,0)),"CUIT NO CARGADO")</f>
        <v>OPER. DE EST. DE SERV. SA</v>
      </c>
      <c r="H60" s="42">
        <v>7570.14</v>
      </c>
      <c r="I60" s="81">
        <f>IF(compras_mes1[[#This Row],[NETO GRAVADO]]="","",compras_mes1[[#This Row],[NETO GRAVADO]]*0.21)</f>
        <v>1589.7293999999999</v>
      </c>
      <c r="J60" s="81"/>
      <c r="K60" s="81"/>
      <c r="L60" s="81"/>
      <c r="M60" s="81"/>
      <c r="N60" s="81"/>
      <c r="O60" s="421">
        <v>2366.63</v>
      </c>
      <c r="P60" s="44">
        <f>SUM(compras_mes1[[#This Row],[NETO GRAVADO]:[Otros / No Grav.]])</f>
        <v>11526.499400000001</v>
      </c>
      <c r="Q60" s="45" t="str">
        <f>IFERROR(IF(compras_mes1[[#This Row],[CUIT]]="","-",VLOOKUP(compras_mes1[[#This Row],[CUIT]],Lista_CUIT[#All],3,0)),"CUIT NO CARGADO")</f>
        <v>Combustible</v>
      </c>
      <c r="R60" s="45">
        <f>IFERROR(IF(compras_mes1[[#This Row],[CUIT]]="","-",VLOOKUP(compras_mes1[[#This Row],[CUIT]],Lista_CUIT[#All],4,0)),"CUIT NO CARGADO")</f>
        <v>0</v>
      </c>
    </row>
    <row r="61" spans="2:18" x14ac:dyDescent="0.3">
      <c r="B61" s="36">
        <v>44592</v>
      </c>
      <c r="C61" s="37">
        <v>1</v>
      </c>
      <c r="D61" s="38">
        <v>20</v>
      </c>
      <c r="E61" s="39">
        <v>718</v>
      </c>
      <c r="F61" s="40">
        <v>30515800219</v>
      </c>
      <c r="G61" s="466" t="str">
        <f>IFERROR(IF(compras_mes1[[#This Row],[CUIT]]="","-",VLOOKUP(compras_mes1[[#This Row],[CUIT]],Lista_CUIT[#All],2,0)),"CUIT NO CARGADO")</f>
        <v>INCAT SRL</v>
      </c>
      <c r="H61" s="42">
        <v>13262.48</v>
      </c>
      <c r="I61" s="81">
        <f>IF(compras_mes1[[#This Row],[NETO GRAVADO]]="","",compras_mes1[[#This Row],[NETO GRAVADO]]*0.21)</f>
        <v>2785.1207999999997</v>
      </c>
      <c r="J61" s="81"/>
      <c r="K61" s="81"/>
      <c r="L61" s="81"/>
      <c r="M61" s="81"/>
      <c r="N61" s="81"/>
      <c r="O61" s="420">
        <v>2965.22</v>
      </c>
      <c r="P61" s="44">
        <f>SUM(compras_mes1[[#This Row],[NETO GRAVADO]:[Otros / No Grav.]])</f>
        <v>19012.820800000001</v>
      </c>
      <c r="Q61" s="45" t="str">
        <f>IFERROR(IF(compras_mes1[[#This Row],[CUIT]]="","-",VLOOKUP(compras_mes1[[#This Row],[CUIT]],Lista_CUIT[#All],3,0)),"CUIT NO CARGADO")</f>
        <v>Combustible</v>
      </c>
      <c r="R61" s="45">
        <f>IFERROR(IF(compras_mes1[[#This Row],[CUIT]]="","-",VLOOKUP(compras_mes1[[#This Row],[CUIT]],Lista_CUIT[#All],4,0)),"CUIT NO CARGADO")</f>
        <v>0</v>
      </c>
    </row>
    <row r="62" spans="2:18" x14ac:dyDescent="0.3">
      <c r="B62" s="36">
        <v>44590</v>
      </c>
      <c r="C62" s="37">
        <v>1</v>
      </c>
      <c r="D62" s="38">
        <v>7</v>
      </c>
      <c r="E62" s="39">
        <v>54951</v>
      </c>
      <c r="F62" s="40">
        <v>30696131003</v>
      </c>
      <c r="G62" s="466" t="str">
        <f>IFERROR(IF(compras_mes1[[#This Row],[CUIT]]="","-",VLOOKUP(compras_mes1[[#This Row],[CUIT]],Lista_CUIT[#All],2,0)),"CUIT NO CARGADO")</f>
        <v>PETROLFE  S.A.</v>
      </c>
      <c r="H62" s="42">
        <v>28728.86</v>
      </c>
      <c r="I62" s="81">
        <f>IF(compras_mes1[[#This Row],[NETO GRAVADO]]="","",compras_mes1[[#This Row],[NETO GRAVADO]]*0.21)</f>
        <v>6033.0605999999998</v>
      </c>
      <c r="J62" s="81"/>
      <c r="K62" s="81"/>
      <c r="L62" s="81"/>
      <c r="M62" s="81"/>
      <c r="N62" s="81"/>
      <c r="O62" s="421">
        <v>8831.59</v>
      </c>
      <c r="P62" s="44">
        <f>SUM(compras_mes1[[#This Row],[NETO GRAVADO]:[Otros / No Grav.]])</f>
        <v>43593.510599999994</v>
      </c>
      <c r="Q62" s="45" t="str">
        <f>IFERROR(IF(compras_mes1[[#This Row],[CUIT]]="","-",VLOOKUP(compras_mes1[[#This Row],[CUIT]],Lista_CUIT[#All],3,0)),"CUIT NO CARGADO")</f>
        <v>Combustible</v>
      </c>
      <c r="R62" s="45">
        <f>IFERROR(IF(compras_mes1[[#This Row],[CUIT]]="","-",VLOOKUP(compras_mes1[[#This Row],[CUIT]],Lista_CUIT[#All],4,0)),"CUIT NO CARGADO")</f>
        <v>0</v>
      </c>
    </row>
    <row r="63" spans="2:18" x14ac:dyDescent="0.3">
      <c r="B63" s="36">
        <v>44573</v>
      </c>
      <c r="C63" s="37">
        <v>1</v>
      </c>
      <c r="D63" s="38">
        <v>6</v>
      </c>
      <c r="E63" s="39">
        <v>21490</v>
      </c>
      <c r="F63" s="40">
        <v>30641221771</v>
      </c>
      <c r="G63" s="466" t="str">
        <f>IFERROR(IF(compras_mes1[[#This Row],[CUIT]]="","-",VLOOKUP(compras_mes1[[#This Row],[CUIT]],Lista_CUIT[#All],2,0)),"CUIT NO CARGADO")</f>
        <v>FARMATRADE  S.R.L.</v>
      </c>
      <c r="H63" s="42">
        <v>150075</v>
      </c>
      <c r="I63" s="81">
        <f>IF(compras_mes1[[#This Row],[NETO GRAVADO]]="","",compras_mes1[[#This Row],[NETO GRAVADO]]*0.21)</f>
        <v>31515.75</v>
      </c>
      <c r="J63" s="81"/>
      <c r="K63" s="81"/>
      <c r="L63" s="81"/>
      <c r="M63" s="81"/>
      <c r="N63" s="81"/>
      <c r="O63" s="420">
        <v>9004.5</v>
      </c>
      <c r="P63" s="44">
        <f>SUM(compras_mes1[[#This Row],[NETO GRAVADO]:[Otros / No Grav.]])</f>
        <v>190595.25</v>
      </c>
      <c r="Q63" s="45" t="str">
        <f>IFERROR(IF(compras_mes1[[#This Row],[CUIT]]="","-",VLOOKUP(compras_mes1[[#This Row],[CUIT]],Lista_CUIT[#All],3,0)),"CUIT NO CARGADO")</f>
        <v>Mercaderia</v>
      </c>
      <c r="R63" s="45" t="str">
        <f>IFERROR(IF(compras_mes1[[#This Row],[CUIT]]="","-",VLOOKUP(compras_mes1[[#This Row],[CUIT]],Lista_CUIT[#All],4,0)),"CUIT NO CARGADO")</f>
        <v>BUENOS AIRES</v>
      </c>
    </row>
    <row r="64" spans="2:18" x14ac:dyDescent="0.3">
      <c r="B64" s="36">
        <v>44564</v>
      </c>
      <c r="C64" s="37">
        <v>1</v>
      </c>
      <c r="D64" s="38">
        <v>1</v>
      </c>
      <c r="E64" s="39">
        <v>205</v>
      </c>
      <c r="F64" s="40">
        <v>20131206144</v>
      </c>
      <c r="G64" s="466" t="str">
        <f>IFERROR(IF(compras_mes1[[#This Row],[CUIT]]="","-",VLOOKUP(compras_mes1[[#This Row],[CUIT]],Lista_CUIT[#All],2,0)),"CUIT NO CARGADO")</f>
        <v>CHAMORRO MANUEL</v>
      </c>
      <c r="H64" s="42">
        <v>18000</v>
      </c>
      <c r="I64" s="81">
        <f>IF(compras_mes1[[#This Row],[NETO GRAVADO]]="","",compras_mes1[[#This Row],[NETO GRAVADO]]*0.21)</f>
        <v>3780</v>
      </c>
      <c r="J64" s="81"/>
      <c r="K64" s="81"/>
      <c r="L64" s="81"/>
      <c r="M64" s="81"/>
      <c r="N64" s="81"/>
      <c r="O64" s="420"/>
      <c r="P64" s="44">
        <f>SUM(compras_mes1[[#This Row],[NETO GRAVADO]:[Otros / No Grav.]])</f>
        <v>21780</v>
      </c>
      <c r="Q64" s="45" t="str">
        <f>IFERROR(IF(compras_mes1[[#This Row],[CUIT]]="","-",VLOOKUP(compras_mes1[[#This Row],[CUIT]],Lista_CUIT[#All],3,0)),"CUIT NO CARGADO")</f>
        <v>Alquiler</v>
      </c>
      <c r="R64" s="45">
        <f>IFERROR(IF(compras_mes1[[#This Row],[CUIT]]="","-",VLOOKUP(compras_mes1[[#This Row],[CUIT]],Lista_CUIT[#All],4,0)),"CUIT NO CARGADO")</f>
        <v>0</v>
      </c>
    </row>
    <row r="65" spans="2:18" x14ac:dyDescent="0.3">
      <c r="B65" s="36">
        <v>44565</v>
      </c>
      <c r="C65" s="37">
        <v>1</v>
      </c>
      <c r="D65" s="38">
        <v>1</v>
      </c>
      <c r="E65" s="39">
        <v>27</v>
      </c>
      <c r="F65" s="40">
        <v>30716010313</v>
      </c>
      <c r="G65" s="466" t="str">
        <f>IFERROR(IF(compras_mes1[[#This Row],[CUIT]]="","-",VLOOKUP(compras_mes1[[#This Row],[CUIT]],Lista_CUIT[#All],2,0)),"CUIT NO CARGADO")</f>
        <v>H UNO 1469 S.A.</v>
      </c>
      <c r="H65" s="42">
        <v>32000</v>
      </c>
      <c r="I65" s="81">
        <f>IF(compras_mes1[[#This Row],[NETO GRAVADO]]="","",compras_mes1[[#This Row],[NETO GRAVADO]]*0.21)</f>
        <v>6720</v>
      </c>
      <c r="J65" s="81"/>
      <c r="K65" s="81"/>
      <c r="L65" s="81"/>
      <c r="M65" s="81"/>
      <c r="N65" s="81"/>
      <c r="O65" s="420"/>
      <c r="P65" s="44">
        <f>SUM(compras_mes1[[#This Row],[NETO GRAVADO]:[Otros / No Grav.]])</f>
        <v>38720</v>
      </c>
      <c r="Q65" s="45" t="str">
        <f>IFERROR(IF(compras_mes1[[#This Row],[CUIT]]="","-",VLOOKUP(compras_mes1[[#This Row],[CUIT]],Lista_CUIT[#All],3,0)),"CUIT NO CARGADO")</f>
        <v>Alquiler</v>
      </c>
      <c r="R65" s="45">
        <f>IFERROR(IF(compras_mes1[[#This Row],[CUIT]]="","-",VLOOKUP(compras_mes1[[#This Row],[CUIT]],Lista_CUIT[#All],4,0)),"CUIT NO CARGADO")</f>
        <v>0</v>
      </c>
    </row>
    <row r="66" spans="2:18" x14ac:dyDescent="0.3">
      <c r="B66" s="36">
        <v>44567</v>
      </c>
      <c r="C66" s="37">
        <v>1</v>
      </c>
      <c r="D66" s="38">
        <v>2</v>
      </c>
      <c r="E66" s="39">
        <v>145</v>
      </c>
      <c r="F66" s="40">
        <v>27309896063</v>
      </c>
      <c r="G66" s="466" t="str">
        <f>IFERROR(IF(compras_mes1[[#This Row],[CUIT]]="","-",VLOOKUP(compras_mes1[[#This Row],[CUIT]],Lista_CUIT[#All],2,0)),"CUIT NO CARGADO")</f>
        <v>BATTELLINI MARIA SOLEDAD</v>
      </c>
      <c r="H66" s="42">
        <v>18000</v>
      </c>
      <c r="I66" s="81">
        <f>IF(compras_mes1[[#This Row],[NETO GRAVADO]]="","",compras_mes1[[#This Row],[NETO GRAVADO]]*0.21)</f>
        <v>3780</v>
      </c>
      <c r="J66" s="81"/>
      <c r="K66" s="81"/>
      <c r="L66" s="81"/>
      <c r="M66" s="81"/>
      <c r="N66" s="81"/>
      <c r="O66" s="420"/>
      <c r="P66" s="44">
        <f>SUM(compras_mes1[[#This Row],[NETO GRAVADO]:[Otros / No Grav.]])</f>
        <v>21780</v>
      </c>
      <c r="Q66" s="45" t="str">
        <f>IFERROR(IF(compras_mes1[[#This Row],[CUIT]]="","-",VLOOKUP(compras_mes1[[#This Row],[CUIT]],Lista_CUIT[#All],3,0)),"CUIT NO CARGADO")</f>
        <v>Alquiler</v>
      </c>
      <c r="R66" s="45">
        <f>IFERROR(IF(compras_mes1[[#This Row],[CUIT]]="","-",VLOOKUP(compras_mes1[[#This Row],[CUIT]],Lista_CUIT[#All],4,0)),"CUIT NO CARGADO")</f>
        <v>0</v>
      </c>
    </row>
    <row r="67" spans="2:18" x14ac:dyDescent="0.3">
      <c r="B67" s="36">
        <v>44568</v>
      </c>
      <c r="C67" s="37">
        <v>1</v>
      </c>
      <c r="D67" s="38">
        <v>10</v>
      </c>
      <c r="E67" s="39">
        <v>41268</v>
      </c>
      <c r="F67" s="40">
        <v>30711069360</v>
      </c>
      <c r="G67" s="466" t="str">
        <f>IFERROR(IF(compras_mes1[[#This Row],[CUIT]]="","-",VLOOKUP(compras_mes1[[#This Row],[CUIT]],Lista_CUIT[#All],2,0)),"CUIT NO CARGADO")</f>
        <v>BIDCOM  S.R.L.</v>
      </c>
      <c r="H67" s="42">
        <v>694803.03</v>
      </c>
      <c r="I67" s="81"/>
      <c r="J67" s="81"/>
      <c r="K67" s="81">
        <v>74110.97</v>
      </c>
      <c r="L67" s="81"/>
      <c r="M67" s="81"/>
      <c r="N67" s="81">
        <v>41688.18</v>
      </c>
      <c r="O67" s="420"/>
      <c r="P67" s="44">
        <f>SUM(compras_mes1[[#This Row],[NETO GRAVADO]:[Otros / No Grav.]])</f>
        <v>810602.18</v>
      </c>
      <c r="Q67" s="45" t="str">
        <f>IFERROR(IF(compras_mes1[[#This Row],[CUIT]]="","-",VLOOKUP(compras_mes1[[#This Row],[CUIT]],Lista_CUIT[#All],3,0)),"CUIT NO CARGADO")</f>
        <v>Equipos de Informatica</v>
      </c>
      <c r="R67" s="45">
        <f>IFERROR(IF(compras_mes1[[#This Row],[CUIT]]="","-",VLOOKUP(compras_mes1[[#This Row],[CUIT]],Lista_CUIT[#All],4,0)),"CUIT NO CARGADO")</f>
        <v>0</v>
      </c>
    </row>
    <row r="68" spans="2:18" x14ac:dyDescent="0.3">
      <c r="B68" s="36">
        <v>44564</v>
      </c>
      <c r="C68" s="37">
        <v>1</v>
      </c>
      <c r="D68" s="38">
        <v>5</v>
      </c>
      <c r="E68" s="39">
        <v>202</v>
      </c>
      <c r="F68" s="40">
        <v>30711651779</v>
      </c>
      <c r="G68" s="466" t="str">
        <f>IFERROR(IF(compras_mes1[[#This Row],[CUIT]]="","-",VLOOKUP(compras_mes1[[#This Row],[CUIT]],Lista_CUIT[#All],2,0)),"CUIT NO CARGADO")</f>
        <v>INFOSOL BUENOS AIRES S.R.L.</v>
      </c>
      <c r="H68" s="42">
        <v>3305.79</v>
      </c>
      <c r="I68" s="81">
        <f>IF(compras_mes1[[#This Row],[NETO GRAVADO]]="","",compras_mes1[[#This Row],[NETO GRAVADO]]*0.21)</f>
        <v>694.21589999999992</v>
      </c>
      <c r="J68" s="81"/>
      <c r="K68" s="81"/>
      <c r="L68" s="81"/>
      <c r="M68" s="81"/>
      <c r="N68" s="81"/>
      <c r="O68" s="420"/>
      <c r="P68" s="44">
        <f>SUM(compras_mes1[[#This Row],[NETO GRAVADO]:[Otros / No Grav.]])</f>
        <v>4000.0059000000001</v>
      </c>
      <c r="Q68" s="45" t="str">
        <f>IFERROR(IF(compras_mes1[[#This Row],[CUIT]]="","-",VLOOKUP(compras_mes1[[#This Row],[CUIT]],Lista_CUIT[#All],3,0)),"CUIT NO CARGADO")</f>
        <v>Equipos de Informatica</v>
      </c>
      <c r="R68" s="45">
        <f>IFERROR(IF(compras_mes1[[#This Row],[CUIT]]="","-",VLOOKUP(compras_mes1[[#This Row],[CUIT]],Lista_CUIT[#All],4,0)),"CUIT NO CARGADO")</f>
        <v>0</v>
      </c>
    </row>
    <row r="69" spans="2:18" x14ac:dyDescent="0.3">
      <c r="B69" s="36">
        <v>44592</v>
      </c>
      <c r="C69" s="37">
        <v>1</v>
      </c>
      <c r="D69" s="38">
        <v>2</v>
      </c>
      <c r="E69" s="39">
        <v>572</v>
      </c>
      <c r="F69" s="40">
        <v>30717264122</v>
      </c>
      <c r="G69" s="466" t="str">
        <f>IFERROR(IF(compras_mes1[[#This Row],[CUIT]]="","-",VLOOKUP(compras_mes1[[#This Row],[CUIT]],Lista_CUIT[#All],2,0)),"CUIT NO CARGADO")</f>
        <v>CAPOLOG  S.R.L.</v>
      </c>
      <c r="H69" s="42">
        <v>1156.2</v>
      </c>
      <c r="I69" s="81">
        <f>IF(compras_mes1[[#This Row],[NETO GRAVADO]]="","",compras_mes1[[#This Row],[NETO GRAVADO]]*0.21)</f>
        <v>242.80199999999999</v>
      </c>
      <c r="J69" s="81"/>
      <c r="K69" s="81"/>
      <c r="L69" s="81"/>
      <c r="M69" s="81"/>
      <c r="N69" s="81"/>
      <c r="O69" s="420"/>
      <c r="P69" s="44">
        <f>SUM(compras_mes1[[#This Row],[NETO GRAVADO]:[Otros / No Grav.]])</f>
        <v>1399.002</v>
      </c>
      <c r="Q69" s="45" t="str">
        <f>IFERROR(IF(compras_mes1[[#This Row],[CUIT]]="","-",VLOOKUP(compras_mes1[[#This Row],[CUIT]],Lista_CUIT[#All],3,0)),"CUIT NO CARGADO")</f>
        <v>Flete-Logistica</v>
      </c>
      <c r="R69" s="45">
        <f>IFERROR(IF(compras_mes1[[#This Row],[CUIT]]="","-",VLOOKUP(compras_mes1[[#This Row],[CUIT]],Lista_CUIT[#All],4,0)),"CUIT NO CARGADO")</f>
        <v>0</v>
      </c>
    </row>
    <row r="70" spans="2:18" x14ac:dyDescent="0.3">
      <c r="B70" s="36">
        <v>44566</v>
      </c>
      <c r="C70" s="37">
        <v>1</v>
      </c>
      <c r="D70" s="38">
        <v>10</v>
      </c>
      <c r="E70" s="39">
        <v>753</v>
      </c>
      <c r="F70" s="40">
        <v>20261696828</v>
      </c>
      <c r="G70" s="466" t="str">
        <f>IFERROR(IF(compras_mes1[[#This Row],[CUIT]]="","-",VLOOKUP(compras_mes1[[#This Row],[CUIT]],Lista_CUIT[#All],2,0)),"CUIT NO CARGADO")</f>
        <v>GARAVAGNO JUAN MATIAS</v>
      </c>
      <c r="H70" s="42">
        <v>15004.94</v>
      </c>
      <c r="I70" s="81">
        <f>IF(compras_mes1[[#This Row],[NETO GRAVADO]]="","",compras_mes1[[#This Row],[NETO GRAVADO]]*0.21)</f>
        <v>3151.0374000000002</v>
      </c>
      <c r="J70" s="81"/>
      <c r="K70" s="81"/>
      <c r="L70" s="81"/>
      <c r="M70" s="81"/>
      <c r="N70" s="81"/>
      <c r="O70" s="420"/>
      <c r="P70" s="44">
        <f>SUM(compras_mes1[[#This Row],[NETO GRAVADO]:[Otros / No Grav.]])</f>
        <v>18155.9774</v>
      </c>
      <c r="Q70" s="45" t="str">
        <f>IFERROR(IF(compras_mes1[[#This Row],[CUIT]]="","-",VLOOKUP(compras_mes1[[#This Row],[CUIT]],Lista_CUIT[#All],3,0)),"CUIT NO CARGADO")</f>
        <v>Flete-Logistica</v>
      </c>
      <c r="R70" s="45" t="str">
        <f>IFERROR(IF(compras_mes1[[#This Row],[CUIT]]="","-",VLOOKUP(compras_mes1[[#This Row],[CUIT]],Lista_CUIT[#All],4,0)),"CUIT NO CARGADO")</f>
        <v>BUENOS AIRES</v>
      </c>
    </row>
    <row r="71" spans="2:18" x14ac:dyDescent="0.3">
      <c r="B71" s="36">
        <v>44564</v>
      </c>
      <c r="C71" s="37">
        <v>1</v>
      </c>
      <c r="D71" s="38">
        <v>1</v>
      </c>
      <c r="E71" s="39">
        <v>15726</v>
      </c>
      <c r="F71" s="40">
        <v>20173025557</v>
      </c>
      <c r="G71" s="466" t="str">
        <f>IFERROR(IF(compras_mes1[[#This Row],[CUIT]]="","-",VLOOKUP(compras_mes1[[#This Row],[CUIT]],Lista_CUIT[#All],2,0)),"CUIT NO CARGADO")</f>
        <v>MARAUDA HECTOR</v>
      </c>
      <c r="H71" s="42">
        <v>991.74</v>
      </c>
      <c r="I71" s="81">
        <f>IF(compras_mes1[[#This Row],[NETO GRAVADO]]="","",compras_mes1[[#This Row],[NETO GRAVADO]]*0.21)</f>
        <v>208.2654</v>
      </c>
      <c r="J71" s="81"/>
      <c r="K71" s="81"/>
      <c r="L71" s="81"/>
      <c r="M71" s="81"/>
      <c r="N71" s="81"/>
      <c r="O71" s="420"/>
      <c r="P71" s="44">
        <f>SUM(compras_mes1[[#This Row],[NETO GRAVADO]:[Otros / No Grav.]])</f>
        <v>1200.0054</v>
      </c>
      <c r="Q71" s="45" t="str">
        <f>IFERROR(IF(compras_mes1[[#This Row],[CUIT]]="","-",VLOOKUP(compras_mes1[[#This Row],[CUIT]],Lista_CUIT[#All],3,0)),"CUIT NO CARGADO")</f>
        <v>Gastos Varios</v>
      </c>
      <c r="R71" s="45">
        <f>IFERROR(IF(compras_mes1[[#This Row],[CUIT]]="","-",VLOOKUP(compras_mes1[[#This Row],[CUIT]],Lista_CUIT[#All],4,0)),"CUIT NO CARGADO")</f>
        <v>0</v>
      </c>
    </row>
    <row r="72" spans="2:18" x14ac:dyDescent="0.3">
      <c r="B72" s="36">
        <v>44565</v>
      </c>
      <c r="C72" s="37">
        <v>1</v>
      </c>
      <c r="D72" s="38">
        <v>3</v>
      </c>
      <c r="E72" s="39">
        <v>386</v>
      </c>
      <c r="F72" s="40">
        <v>33716659769</v>
      </c>
      <c r="G72" s="466" t="str">
        <f>IFERROR(IF(compras_mes1[[#This Row],[CUIT]]="","-",VLOOKUP(compras_mes1[[#This Row],[CUIT]],Lista_CUIT[#All],2,0)),"CUIT NO CARGADO")</f>
        <v>OPTIMOOD  COOLING</v>
      </c>
      <c r="H72" s="42">
        <v>2663.35</v>
      </c>
      <c r="I72" s="81">
        <v>279.64999999999998</v>
      </c>
      <c r="J72" s="81"/>
      <c r="K72" s="81"/>
      <c r="L72" s="81"/>
      <c r="M72" s="81"/>
      <c r="N72" s="81"/>
      <c r="O72" s="420"/>
      <c r="P72" s="44">
        <f>SUM(compras_mes1[[#This Row],[NETO GRAVADO]:[Otros / No Grav.]])</f>
        <v>2943</v>
      </c>
      <c r="Q72" s="45" t="str">
        <f>IFERROR(IF(compras_mes1[[#This Row],[CUIT]]="","-",VLOOKUP(compras_mes1[[#This Row],[CUIT]],Lista_CUIT[#All],3,0)),"CUIT NO CARGADO")</f>
        <v>Gastos Varios</v>
      </c>
      <c r="R72" s="45" t="str">
        <f>IFERROR(IF(compras_mes1[[#This Row],[CUIT]]="","-",VLOOKUP(compras_mes1[[#This Row],[CUIT]],Lista_CUIT[#All],4,0)),"CUIT NO CARGADO")</f>
        <v>CABA</v>
      </c>
    </row>
    <row r="73" spans="2:18" x14ac:dyDescent="0.3">
      <c r="B73" s="36">
        <v>44592</v>
      </c>
      <c r="C73" s="37">
        <v>1</v>
      </c>
      <c r="D73" s="38">
        <v>1</v>
      </c>
      <c r="E73" s="39">
        <v>2176</v>
      </c>
      <c r="F73" s="40">
        <v>20103906149</v>
      </c>
      <c r="G73" s="466" t="str">
        <f>IFERROR(IF(compras_mes1[[#This Row],[CUIT]]="","-",VLOOKUP(compras_mes1[[#This Row],[CUIT]],Lista_CUIT[#All],2,0)),"CUIT NO CARGADO")</f>
        <v>MC LEAN ROBERTO</v>
      </c>
      <c r="H73" s="42">
        <v>45000</v>
      </c>
      <c r="I73" s="81">
        <f>IF(compras_mes1[[#This Row],[NETO GRAVADO]]="","",compras_mes1[[#This Row],[NETO GRAVADO]]*0.21)</f>
        <v>9450</v>
      </c>
      <c r="J73" s="81"/>
      <c r="K73" s="81"/>
      <c r="L73" s="81"/>
      <c r="M73" s="81"/>
      <c r="N73" s="81"/>
      <c r="O73" s="420"/>
      <c r="P73" s="44">
        <f>SUM(compras_mes1[[#This Row],[NETO GRAVADO]:[Otros / No Grav.]])</f>
        <v>54450</v>
      </c>
      <c r="Q73" s="45" t="str">
        <f>IFERROR(IF(compras_mes1[[#This Row],[CUIT]]="","-",VLOOKUP(compras_mes1[[#This Row],[CUIT]],Lista_CUIT[#All],3,0)),"CUIT NO CARGADO")</f>
        <v>Honorarios Contables</v>
      </c>
      <c r="R73" s="45">
        <f>IFERROR(IF(compras_mes1[[#This Row],[CUIT]]="","-",VLOOKUP(compras_mes1[[#This Row],[CUIT]],Lista_CUIT[#All],4,0)),"CUIT NO CARGADO")</f>
        <v>0</v>
      </c>
    </row>
    <row r="74" spans="2:18" x14ac:dyDescent="0.3">
      <c r="B74" s="36">
        <v>44564</v>
      </c>
      <c r="C74" s="37">
        <v>1</v>
      </c>
      <c r="D74" s="38">
        <v>1</v>
      </c>
      <c r="E74" s="39">
        <v>2166</v>
      </c>
      <c r="F74" s="40">
        <v>20103906149</v>
      </c>
      <c r="G74" s="466" t="str">
        <f>IFERROR(IF(compras_mes1[[#This Row],[CUIT]]="","-",VLOOKUP(compras_mes1[[#This Row],[CUIT]],Lista_CUIT[#All],2,0)),"CUIT NO CARGADO")</f>
        <v>MC LEAN ROBERTO</v>
      </c>
      <c r="H74" s="42">
        <v>29504.13</v>
      </c>
      <c r="I74" s="81">
        <f>IF(compras_mes1[[#This Row],[NETO GRAVADO]]="","",compras_mes1[[#This Row],[NETO GRAVADO]]*0.21)</f>
        <v>6195.8672999999999</v>
      </c>
      <c r="J74" s="81"/>
      <c r="K74" s="81"/>
      <c r="L74" s="81"/>
      <c r="M74" s="81"/>
      <c r="N74" s="81"/>
      <c r="O74" s="420"/>
      <c r="P74" s="44">
        <f>SUM(compras_mes1[[#This Row],[NETO GRAVADO]:[Otros / No Grav.]])</f>
        <v>35699.997300000003</v>
      </c>
      <c r="Q74" s="45" t="str">
        <f>IFERROR(IF(compras_mes1[[#This Row],[CUIT]]="","-",VLOOKUP(compras_mes1[[#This Row],[CUIT]],Lista_CUIT[#All],3,0)),"CUIT NO CARGADO")</f>
        <v>Honorarios Contables</v>
      </c>
      <c r="R74" s="45">
        <f>IFERROR(IF(compras_mes1[[#This Row],[CUIT]]="","-",VLOOKUP(compras_mes1[[#This Row],[CUIT]],Lista_CUIT[#All],4,0)),"CUIT NO CARGADO")</f>
        <v>0</v>
      </c>
    </row>
    <row r="75" spans="2:18" x14ac:dyDescent="0.3">
      <c r="B75" s="36">
        <v>44567</v>
      </c>
      <c r="C75" s="37">
        <v>1</v>
      </c>
      <c r="D75" s="38">
        <v>9</v>
      </c>
      <c r="E75" s="39">
        <v>593</v>
      </c>
      <c r="F75" s="40">
        <v>30710446047</v>
      </c>
      <c r="G75" s="466" t="str">
        <f>IFERROR(IF(compras_mes1[[#This Row],[CUIT]]="","-",VLOOKUP(compras_mes1[[#This Row],[CUIT]],Lista_CUIT[#All],2,0)),"CUIT NO CARGADO")</f>
        <v>ENSAMBLE GRAFICO S.H.</v>
      </c>
      <c r="H75" s="42">
        <v>189468</v>
      </c>
      <c r="I75" s="81">
        <f>IF(compras_mes1[[#This Row],[NETO GRAVADO]]="","",compras_mes1[[#This Row],[NETO GRAVADO]]*0.21)</f>
        <v>39788.28</v>
      </c>
      <c r="J75" s="81"/>
      <c r="K75" s="81"/>
      <c r="L75" s="81"/>
      <c r="M75" s="81"/>
      <c r="N75" s="81"/>
      <c r="O75" s="420"/>
      <c r="P75" s="44">
        <f>SUM(compras_mes1[[#This Row],[NETO GRAVADO]:[Otros / No Grav.]])</f>
        <v>229256.28</v>
      </c>
      <c r="Q75" s="45" t="str">
        <f>IFERROR(IF(compras_mes1[[#This Row],[CUIT]]="","-",VLOOKUP(compras_mes1[[#This Row],[CUIT]],Lista_CUIT[#All],3,0)),"CUIT NO CARGADO")</f>
        <v>Mercaderia</v>
      </c>
      <c r="R75" s="45">
        <f>IFERROR(IF(compras_mes1[[#This Row],[CUIT]]="","-",VLOOKUP(compras_mes1[[#This Row],[CUIT]],Lista_CUIT[#All],4,0)),"CUIT NO CARGADO")</f>
        <v>0</v>
      </c>
    </row>
    <row r="76" spans="2:18" x14ac:dyDescent="0.3">
      <c r="B76" s="36">
        <v>44564</v>
      </c>
      <c r="C76" s="37">
        <v>1</v>
      </c>
      <c r="D76" s="38">
        <v>6</v>
      </c>
      <c r="E76" s="39">
        <v>1875</v>
      </c>
      <c r="F76" s="40">
        <v>30574603788</v>
      </c>
      <c r="G76" s="466" t="str">
        <f>IFERROR(IF(compras_mes1[[#This Row],[CUIT]]="","-",VLOOKUP(compras_mes1[[#This Row],[CUIT]],Lista_CUIT[#All],2,0)),"CUIT NO CARGADO")</f>
        <v>Codac SRL</v>
      </c>
      <c r="H76" s="42">
        <v>197041</v>
      </c>
      <c r="I76" s="81">
        <f>IF(compras_mes1[[#This Row],[NETO GRAVADO]]="","",compras_mes1[[#This Row],[NETO GRAVADO]]*0.21)</f>
        <v>41378.61</v>
      </c>
      <c r="J76" s="81"/>
      <c r="K76" s="81"/>
      <c r="L76" s="81"/>
      <c r="M76" s="81"/>
      <c r="N76" s="81"/>
      <c r="O76" s="420"/>
      <c r="P76" s="44">
        <f>SUM(compras_mes1[[#This Row],[NETO GRAVADO]:[Otros / No Grav.]])</f>
        <v>238419.61</v>
      </c>
      <c r="Q76" s="45" t="str">
        <f>IFERROR(IF(compras_mes1[[#This Row],[CUIT]]="","-",VLOOKUP(compras_mes1[[#This Row],[CUIT]],Lista_CUIT[#All],3,0)),"CUIT NO CARGADO")</f>
        <v>Mercaderia</v>
      </c>
      <c r="R76" s="45">
        <f>IFERROR(IF(compras_mes1[[#This Row],[CUIT]]="","-",VLOOKUP(compras_mes1[[#This Row],[CUIT]],Lista_CUIT[#All],4,0)),"CUIT NO CARGADO")</f>
        <v>0</v>
      </c>
    </row>
    <row r="77" spans="2:18" x14ac:dyDescent="0.3">
      <c r="B77" s="36">
        <v>44566</v>
      </c>
      <c r="C77" s="37">
        <v>1</v>
      </c>
      <c r="D77" s="38">
        <v>2</v>
      </c>
      <c r="E77" s="39">
        <v>2956</v>
      </c>
      <c r="F77" s="40">
        <v>30629863571</v>
      </c>
      <c r="G77" s="466" t="str">
        <f>IFERROR(IF(compras_mes1[[#This Row],[CUIT]]="","-",VLOOKUP(compras_mes1[[#This Row],[CUIT]],Lista_CUIT[#All],2,0)),"CUIT NO CARGADO")</f>
        <v>TECNIMAR S R L</v>
      </c>
      <c r="H77" s="42">
        <v>113609.32</v>
      </c>
      <c r="I77" s="81">
        <f>IF(compras_mes1[[#This Row],[NETO GRAVADO]]="","",compras_mes1[[#This Row],[NETO GRAVADO]]*0.21)</f>
        <v>23857.957200000001</v>
      </c>
      <c r="J77" s="81"/>
      <c r="K77" s="81"/>
      <c r="L77" s="81"/>
      <c r="M77" s="81"/>
      <c r="N77" s="81"/>
      <c r="O77" s="420"/>
      <c r="P77" s="44">
        <f>SUM(compras_mes1[[#This Row],[NETO GRAVADO]:[Otros / No Grav.]])</f>
        <v>137467.27720000001</v>
      </c>
      <c r="Q77" s="45" t="str">
        <f>IFERROR(IF(compras_mes1[[#This Row],[CUIT]]="","-",VLOOKUP(compras_mes1[[#This Row],[CUIT]],Lista_CUIT[#All],3,0)),"CUIT NO CARGADO")</f>
        <v>Mercaderia</v>
      </c>
      <c r="R77" s="45">
        <f>IFERROR(IF(compras_mes1[[#This Row],[CUIT]]="","-",VLOOKUP(compras_mes1[[#This Row],[CUIT]],Lista_CUIT[#All],4,0)),"CUIT NO CARGADO")</f>
        <v>0</v>
      </c>
    </row>
    <row r="78" spans="2:18" x14ac:dyDescent="0.3">
      <c r="B78" s="36">
        <v>44567</v>
      </c>
      <c r="C78" s="37">
        <v>1</v>
      </c>
      <c r="D78" s="38">
        <v>6</v>
      </c>
      <c r="E78" s="39">
        <v>1880</v>
      </c>
      <c r="F78" s="40">
        <v>30574603788</v>
      </c>
      <c r="G78" s="466" t="str">
        <f>IFERROR(IF(compras_mes1[[#This Row],[CUIT]]="","-",VLOOKUP(compras_mes1[[#This Row],[CUIT]],Lista_CUIT[#All],2,0)),"CUIT NO CARGADO")</f>
        <v>Codac SRL</v>
      </c>
      <c r="H78" s="42">
        <v>374380</v>
      </c>
      <c r="I78" s="81">
        <f>IF(compras_mes1[[#This Row],[NETO GRAVADO]]="","",compras_mes1[[#This Row],[NETO GRAVADO]]*0.21)</f>
        <v>78619.8</v>
      </c>
      <c r="J78" s="81"/>
      <c r="K78" s="81"/>
      <c r="L78" s="81"/>
      <c r="M78" s="81"/>
      <c r="N78" s="81"/>
      <c r="O78" s="420"/>
      <c r="P78" s="44">
        <f>SUM(compras_mes1[[#This Row],[NETO GRAVADO]:[Otros / No Grav.]])</f>
        <v>452999.8</v>
      </c>
      <c r="Q78" s="45" t="str">
        <f>IFERROR(IF(compras_mes1[[#This Row],[CUIT]]="","-",VLOOKUP(compras_mes1[[#This Row],[CUIT]],Lista_CUIT[#All],3,0)),"CUIT NO CARGADO")</f>
        <v>Mercaderia</v>
      </c>
      <c r="R78" s="45">
        <f>IFERROR(IF(compras_mes1[[#This Row],[CUIT]]="","-",VLOOKUP(compras_mes1[[#This Row],[CUIT]],Lista_CUIT[#All],4,0)),"CUIT NO CARGADO")</f>
        <v>0</v>
      </c>
    </row>
    <row r="79" spans="2:18" x14ac:dyDescent="0.3">
      <c r="B79" s="36">
        <v>44571</v>
      </c>
      <c r="C79" s="37">
        <v>1</v>
      </c>
      <c r="D79" s="38">
        <v>2</v>
      </c>
      <c r="E79" s="39">
        <v>22280</v>
      </c>
      <c r="F79" s="40">
        <v>30712121781</v>
      </c>
      <c r="G79" s="466" t="str">
        <f>IFERROR(IF(compras_mes1[[#This Row],[CUIT]]="","-",VLOOKUP(compras_mes1[[#This Row],[CUIT]],Lista_CUIT[#All],2,0)),"CUIT NO CARGADO")</f>
        <v>SUTURA  S.R.L.</v>
      </c>
      <c r="H79" s="42">
        <v>2637.2</v>
      </c>
      <c r="I79" s="81">
        <f>IF(compras_mes1[[#This Row],[NETO GRAVADO]]="","",compras_mes1[[#This Row],[NETO GRAVADO]]*0.21)</f>
        <v>553.8119999999999</v>
      </c>
      <c r="J79" s="81"/>
      <c r="K79" s="81"/>
      <c r="L79" s="81"/>
      <c r="M79" s="81"/>
      <c r="N79" s="81"/>
      <c r="O79" s="420"/>
      <c r="P79" s="44">
        <f>SUM(compras_mes1[[#This Row],[NETO GRAVADO]:[Otros / No Grav.]])</f>
        <v>3191.0119999999997</v>
      </c>
      <c r="Q79" s="45" t="str">
        <f>IFERROR(IF(compras_mes1[[#This Row],[CUIT]]="","-",VLOOKUP(compras_mes1[[#This Row],[CUIT]],Lista_CUIT[#All],3,0)),"CUIT NO CARGADO")</f>
        <v>Mercaderia</v>
      </c>
      <c r="R79" s="45">
        <f>IFERROR(IF(compras_mes1[[#This Row],[CUIT]]="","-",VLOOKUP(compras_mes1[[#This Row],[CUIT]],Lista_CUIT[#All],4,0)),"CUIT NO CARGADO")</f>
        <v>0</v>
      </c>
    </row>
    <row r="80" spans="2:18" x14ac:dyDescent="0.3">
      <c r="B80" s="36">
        <v>44571</v>
      </c>
      <c r="C80" s="37">
        <v>1</v>
      </c>
      <c r="D80" s="38">
        <v>3</v>
      </c>
      <c r="E80" s="39">
        <v>19463</v>
      </c>
      <c r="F80" s="40">
        <v>30712121781</v>
      </c>
      <c r="G80" s="466" t="str">
        <f>IFERROR(IF(compras_mes1[[#This Row],[CUIT]]="","-",VLOOKUP(compras_mes1[[#This Row],[CUIT]],Lista_CUIT[#All],2,0)),"CUIT NO CARGADO")</f>
        <v>SUTURA  S.R.L.</v>
      </c>
      <c r="H80" s="42">
        <v>72713.5</v>
      </c>
      <c r="I80" s="81">
        <f>IF(compras_mes1[[#This Row],[NETO GRAVADO]]="","",compras_mes1[[#This Row],[NETO GRAVADO]]*0.21)</f>
        <v>15269.834999999999</v>
      </c>
      <c r="J80" s="81"/>
      <c r="K80" s="81"/>
      <c r="L80" s="81"/>
      <c r="M80" s="81"/>
      <c r="N80" s="81"/>
      <c r="O80" s="420"/>
      <c r="P80" s="44">
        <f>SUM(compras_mes1[[#This Row],[NETO GRAVADO]:[Otros / No Grav.]])</f>
        <v>87983.334999999992</v>
      </c>
      <c r="Q80" s="45" t="str">
        <f>IFERROR(IF(compras_mes1[[#This Row],[CUIT]]="","-",VLOOKUP(compras_mes1[[#This Row],[CUIT]],Lista_CUIT[#All],3,0)),"CUIT NO CARGADO")</f>
        <v>Mercaderia</v>
      </c>
      <c r="R80" s="45">
        <f>IFERROR(IF(compras_mes1[[#This Row],[CUIT]]="","-",VLOOKUP(compras_mes1[[#This Row],[CUIT]],Lista_CUIT[#All],4,0)),"CUIT NO CARGADO")</f>
        <v>0</v>
      </c>
    </row>
    <row r="81" spans="2:23" s="52" customFormat="1" ht="18.600000000000001" customHeight="1" x14ac:dyDescent="0.3">
      <c r="B81" s="36">
        <v>44573</v>
      </c>
      <c r="C81" s="37">
        <v>1</v>
      </c>
      <c r="D81" s="38">
        <v>2</v>
      </c>
      <c r="E81" s="39">
        <v>2965</v>
      </c>
      <c r="F81" s="40">
        <v>30629863571</v>
      </c>
      <c r="G81" s="466" t="str">
        <f>IFERROR(IF(compras_mes1[[#This Row],[CUIT]]="","-",VLOOKUP(compras_mes1[[#This Row],[CUIT]],Lista_CUIT[#All],2,0)),"CUIT NO CARGADO")</f>
        <v>TECNIMAR S R L</v>
      </c>
      <c r="H81" s="42">
        <v>183080.78</v>
      </c>
      <c r="I81" s="81">
        <f>IF(compras_mes1[[#This Row],[NETO GRAVADO]]="","",compras_mes1[[#This Row],[NETO GRAVADO]]*0.21)</f>
        <v>38446.963799999998</v>
      </c>
      <c r="J81" s="81"/>
      <c r="K81" s="81"/>
      <c r="L81" s="81"/>
      <c r="M81" s="81"/>
      <c r="N81" s="81"/>
      <c r="O81" s="420"/>
      <c r="P81" s="44">
        <f>SUM(compras_mes1[[#This Row],[NETO GRAVADO]:[Otros / No Grav.]])</f>
        <v>221527.7438</v>
      </c>
      <c r="Q81" s="45" t="str">
        <f>IFERROR(IF(compras_mes1[[#This Row],[CUIT]]="","-",VLOOKUP(compras_mes1[[#This Row],[CUIT]],Lista_CUIT[#All],3,0)),"CUIT NO CARGADO")</f>
        <v>Mercaderia</v>
      </c>
      <c r="R81" s="45">
        <f>IFERROR(IF(compras_mes1[[#This Row],[CUIT]]="","-",VLOOKUP(compras_mes1[[#This Row],[CUIT]],Lista_CUIT[#All],4,0)),"CUIT NO CARGADO")</f>
        <v>0</v>
      </c>
    </row>
    <row r="82" spans="2:23" x14ac:dyDescent="0.3">
      <c r="B82" s="36">
        <v>44573</v>
      </c>
      <c r="C82" s="37">
        <v>1</v>
      </c>
      <c r="D82" s="38">
        <v>6</v>
      </c>
      <c r="E82" s="39">
        <v>1889</v>
      </c>
      <c r="F82" s="40">
        <v>30574603788</v>
      </c>
      <c r="G82" s="466" t="str">
        <f>IFERROR(IF(compras_mes1[[#This Row],[CUIT]]="","-",VLOOKUP(compras_mes1[[#This Row],[CUIT]],Lista_CUIT[#All],2,0)),"CUIT NO CARGADO")</f>
        <v>Codac SRL</v>
      </c>
      <c r="H82" s="42">
        <v>487027</v>
      </c>
      <c r="I82" s="81">
        <f>IF(compras_mes1[[#This Row],[NETO GRAVADO]]="","",compras_mes1[[#This Row],[NETO GRAVADO]]*0.21)</f>
        <v>102275.67</v>
      </c>
      <c r="J82" s="81"/>
      <c r="K82" s="81"/>
      <c r="L82" s="81"/>
      <c r="M82" s="81"/>
      <c r="N82" s="81"/>
      <c r="O82" s="420"/>
      <c r="P82" s="44">
        <f>SUM(compras_mes1[[#This Row],[NETO GRAVADO]:[Otros / No Grav.]])</f>
        <v>589302.67000000004</v>
      </c>
      <c r="Q82" s="45" t="str">
        <f>IFERROR(IF(compras_mes1[[#This Row],[CUIT]]="","-",VLOOKUP(compras_mes1[[#This Row],[CUIT]],Lista_CUIT[#All],3,0)),"CUIT NO CARGADO")</f>
        <v>Mercaderia</v>
      </c>
      <c r="R82" s="45">
        <f>IFERROR(IF(compras_mes1[[#This Row],[CUIT]]="","-",VLOOKUP(compras_mes1[[#This Row],[CUIT]],Lista_CUIT[#All],4,0)),"CUIT NO CARGADO")</f>
        <v>0</v>
      </c>
    </row>
    <row r="83" spans="2:23" x14ac:dyDescent="0.3">
      <c r="B83" s="36">
        <v>44565</v>
      </c>
      <c r="C83" s="37">
        <v>1</v>
      </c>
      <c r="D83" s="38">
        <v>629</v>
      </c>
      <c r="E83" s="39">
        <v>2905383</v>
      </c>
      <c r="F83" s="40">
        <v>30663498513</v>
      </c>
      <c r="G83" s="466" t="str">
        <f>IFERROR(IF(compras_mes1[[#This Row],[CUIT]]="","-",VLOOKUP(compras_mes1[[#This Row],[CUIT]],Lista_CUIT[#All],2,0)),"CUIT NO CARGADO")</f>
        <v>GRUPO CONCES. DEL OESTE SA</v>
      </c>
      <c r="H83" s="42">
        <v>939.83</v>
      </c>
      <c r="I83" s="81">
        <f>IF(compras_mes1[[#This Row],[NETO GRAVADO]]="","",compras_mes1[[#This Row],[NETO GRAVADO]]*0.21)</f>
        <v>197.36430000000001</v>
      </c>
      <c r="J83" s="81"/>
      <c r="K83" s="81"/>
      <c r="L83" s="81"/>
      <c r="M83" s="81"/>
      <c r="N83" s="81"/>
      <c r="O83" s="420"/>
      <c r="P83" s="44">
        <f>SUM(compras_mes1[[#This Row],[NETO GRAVADO]:[Otros / No Grav.]])</f>
        <v>1137.1943000000001</v>
      </c>
      <c r="Q83" s="45" t="str">
        <f>IFERROR(IF(compras_mes1[[#This Row],[CUIT]]="","-",VLOOKUP(compras_mes1[[#This Row],[CUIT]],Lista_CUIT[#All],3,0)),"CUIT NO CARGADO")</f>
        <v>Peaje</v>
      </c>
      <c r="R83" s="45">
        <f>IFERROR(IF(compras_mes1[[#This Row],[CUIT]]="","-",VLOOKUP(compras_mes1[[#This Row],[CUIT]],Lista_CUIT[#All],4,0)),"CUIT NO CARGADO")</f>
        <v>0</v>
      </c>
    </row>
    <row r="84" spans="2:23" ht="14.4" customHeight="1" x14ac:dyDescent="0.3">
      <c r="B84" s="36">
        <v>44565</v>
      </c>
      <c r="C84" s="37">
        <v>1</v>
      </c>
      <c r="D84" s="38">
        <v>711</v>
      </c>
      <c r="E84" s="39">
        <v>2466697</v>
      </c>
      <c r="F84" s="40">
        <v>30677237119</v>
      </c>
      <c r="G84" s="466" t="str">
        <f>IFERROR(IF(compras_mes1[[#This Row],[CUIT]]="","-",VLOOKUP(compras_mes1[[#This Row],[CUIT]],Lista_CUIT[#All],2,0)),"CUIT NO CARGADO")</f>
        <v>AUTOPISTAS DEL SOL S A</v>
      </c>
      <c r="H84" s="42">
        <v>1336.1</v>
      </c>
      <c r="I84" s="81">
        <f>IF(compras_mes1[[#This Row],[NETO GRAVADO]]="","",compras_mes1[[#This Row],[NETO GRAVADO]]*0.21)</f>
        <v>280.58099999999996</v>
      </c>
      <c r="J84" s="81"/>
      <c r="K84" s="81"/>
      <c r="L84" s="81"/>
      <c r="M84" s="81"/>
      <c r="N84" s="81"/>
      <c r="O84" s="420"/>
      <c r="P84" s="44">
        <f>SUM(compras_mes1[[#This Row],[NETO GRAVADO]:[Otros / No Grav.]])</f>
        <v>1616.6809999999998</v>
      </c>
      <c r="Q84" s="45" t="str">
        <f>IFERROR(IF(compras_mes1[[#This Row],[CUIT]]="","-",VLOOKUP(compras_mes1[[#This Row],[CUIT]],Lista_CUIT[#All],3,0)),"CUIT NO CARGADO")</f>
        <v>Peaje</v>
      </c>
      <c r="R84" s="45">
        <f>IFERROR(IF(compras_mes1[[#This Row],[CUIT]]="","-",VLOOKUP(compras_mes1[[#This Row],[CUIT]],Lista_CUIT[#All],4,0)),"CUIT NO CARGADO")</f>
        <v>0</v>
      </c>
    </row>
    <row r="85" spans="2:23" x14ac:dyDescent="0.3">
      <c r="B85" s="36">
        <v>44565</v>
      </c>
      <c r="C85" s="37">
        <v>1</v>
      </c>
      <c r="D85" s="38">
        <v>5014</v>
      </c>
      <c r="E85" s="39">
        <v>175575</v>
      </c>
      <c r="F85" s="40">
        <v>30574876474</v>
      </c>
      <c r="G85" s="466" t="str">
        <f>IFERROR(IF(compras_mes1[[#This Row],[CUIT]]="","-",VLOOKUP(compras_mes1[[#This Row],[CUIT]],Lista_CUIT[#All],2,0)),"CUIT NO CARGADO")</f>
        <v>AUTOPISTAS URBANAS S A</v>
      </c>
      <c r="H85" s="42">
        <v>7424.92</v>
      </c>
      <c r="I85" s="81">
        <f>IF(compras_mes1[[#This Row],[NETO GRAVADO]]="","",compras_mes1[[#This Row],[NETO GRAVADO]]*0.21)</f>
        <v>1559.2331999999999</v>
      </c>
      <c r="J85" s="81"/>
      <c r="K85" s="81"/>
      <c r="L85" s="81">
        <v>222.73</v>
      </c>
      <c r="M85" s="81"/>
      <c r="N85" s="81">
        <v>741.77</v>
      </c>
      <c r="O85" s="420"/>
      <c r="P85" s="44">
        <f>SUM(compras_mes1[[#This Row],[NETO GRAVADO]:[Otros / No Grav.]])</f>
        <v>9948.6532000000007</v>
      </c>
      <c r="Q85" s="45" t="str">
        <f>IFERROR(IF(compras_mes1[[#This Row],[CUIT]]="","-",VLOOKUP(compras_mes1[[#This Row],[CUIT]],Lista_CUIT[#All],3,0)),"CUIT NO CARGADO")</f>
        <v>Peaje</v>
      </c>
      <c r="R85" s="45">
        <f>IFERROR(IF(compras_mes1[[#This Row],[CUIT]]="","-",VLOOKUP(compras_mes1[[#This Row],[CUIT]],Lista_CUIT[#All],4,0)),"CUIT NO CARGADO")</f>
        <v>0</v>
      </c>
    </row>
    <row r="86" spans="2:23" ht="20.25" customHeight="1" x14ac:dyDescent="0.3">
      <c r="B86" s="36">
        <v>44573</v>
      </c>
      <c r="C86" s="37">
        <v>1</v>
      </c>
      <c r="D86" s="38">
        <v>50</v>
      </c>
      <c r="E86" s="39">
        <v>2422371</v>
      </c>
      <c r="F86" s="40">
        <v>30714112836</v>
      </c>
      <c r="G86" s="466" t="str">
        <f>IFERROR(IF(compras_mes1[[#This Row],[CUIT]]="","-",VLOOKUP(compras_mes1[[#This Row],[CUIT]],Lista_CUIT[#All],2,0)),"CUIT NO CARGADO")</f>
        <v>AUTOPISTAS DE BS AS</v>
      </c>
      <c r="H86" s="42">
        <v>885.12</v>
      </c>
      <c r="I86" s="81">
        <f>IF(compras_mes1[[#This Row],[NETO GRAVADO]]="","",compras_mes1[[#This Row],[NETO GRAVADO]]*0.21)</f>
        <v>185.87520000000001</v>
      </c>
      <c r="J86" s="81"/>
      <c r="K86" s="81"/>
      <c r="L86" s="81">
        <v>26.56</v>
      </c>
      <c r="M86" s="81"/>
      <c r="N86" s="81"/>
      <c r="O86" s="420"/>
      <c r="P86" s="44">
        <f>SUM(compras_mes1[[#This Row],[NETO GRAVADO]:[Otros / No Grav.]])</f>
        <v>1097.5552</v>
      </c>
      <c r="Q86" s="45" t="str">
        <f>IFERROR(IF(compras_mes1[[#This Row],[CUIT]]="","-",VLOOKUP(compras_mes1[[#This Row],[CUIT]],Lista_CUIT[#All],3,0)),"CUIT NO CARGADO")</f>
        <v>Peaje</v>
      </c>
      <c r="R86" s="45">
        <f>IFERROR(IF(compras_mes1[[#This Row],[CUIT]]="","-",VLOOKUP(compras_mes1[[#This Row],[CUIT]],Lista_CUIT[#All],4,0)),"CUIT NO CARGADO")</f>
        <v>0</v>
      </c>
      <c r="S86" s="365"/>
      <c r="T86" s="365"/>
      <c r="U86" s="364"/>
      <c r="V86" s="364"/>
      <c r="W86" s="364"/>
    </row>
    <row r="87" spans="2:23" ht="14.4" customHeight="1" x14ac:dyDescent="0.3">
      <c r="B87" s="36">
        <v>44537</v>
      </c>
      <c r="C87" s="37">
        <v>1</v>
      </c>
      <c r="D87" s="38">
        <v>695</v>
      </c>
      <c r="E87" s="39">
        <v>507</v>
      </c>
      <c r="F87" s="40">
        <v>30638485733</v>
      </c>
      <c r="G87" s="466" t="str">
        <f>IFERROR(IF(compras_mes1[[#This Row],[CUIT]]="","-",VLOOKUP(compras_mes1[[#This Row],[CUIT]],Lista_CUIT[#All],2,0)),"CUIT NO CARGADO")</f>
        <v>DABRA  S.A.</v>
      </c>
      <c r="H87" s="42">
        <v>27227.26</v>
      </c>
      <c r="I87" s="81">
        <f>IF(compras_mes1[[#This Row],[NETO GRAVADO]]="","",compras_mes1[[#This Row],[NETO GRAVADO]]*0.21)</f>
        <v>5717.7245999999996</v>
      </c>
      <c r="J87" s="81"/>
      <c r="K87" s="81"/>
      <c r="L87" s="81"/>
      <c r="M87" s="81"/>
      <c r="N87" s="81"/>
      <c r="O87" s="420"/>
      <c r="P87" s="44">
        <f>SUM(compras_mes1[[#This Row],[NETO GRAVADO]:[Otros / No Grav.]])</f>
        <v>32944.984599999996</v>
      </c>
      <c r="Q87" s="45" t="str">
        <f>IFERROR(IF(compras_mes1[[#This Row],[CUIT]]="","-",VLOOKUP(compras_mes1[[#This Row],[CUIT]],Lista_CUIT[#All],3,0)),"CUIT NO CARGADO")</f>
        <v>Ropa de Trabajo</v>
      </c>
      <c r="R87" s="45">
        <f>IFERROR(IF(compras_mes1[[#This Row],[CUIT]]="","-",VLOOKUP(compras_mes1[[#This Row],[CUIT]],Lista_CUIT[#All],4,0)),"CUIT NO CARGADO")</f>
        <v>0</v>
      </c>
      <c r="S87" s="158"/>
      <c r="T87" s="158"/>
    </row>
    <row r="88" spans="2:23" ht="15" customHeight="1" x14ac:dyDescent="0.3">
      <c r="B88" s="36">
        <v>44564</v>
      </c>
      <c r="C88" s="37">
        <v>1</v>
      </c>
      <c r="D88" s="38">
        <v>943</v>
      </c>
      <c r="E88" s="39">
        <v>86491</v>
      </c>
      <c r="F88" s="40">
        <v>30639453975</v>
      </c>
      <c r="G88" s="466" t="str">
        <f>IFERROR(IF(compras_mes1[[#This Row],[CUIT]]="","-",VLOOKUP(compras_mes1[[#This Row],[CUIT]],Lista_CUIT[#All],2,0)),"CUIT NO CARGADO")</f>
        <v>TELEFONICA DE ARG S.A.</v>
      </c>
      <c r="H88" s="42">
        <v>8089.46</v>
      </c>
      <c r="I88" s="81"/>
      <c r="J88" s="81">
        <v>2184.15</v>
      </c>
      <c r="K88" s="81"/>
      <c r="L88" s="81"/>
      <c r="M88" s="81"/>
      <c r="N88" s="81"/>
      <c r="O88" s="420"/>
      <c r="P88" s="44">
        <f>SUM(compras_mes1[[#This Row],[NETO GRAVADO]:[Otros / No Grav.]])</f>
        <v>10273.61</v>
      </c>
      <c r="Q88" s="45" t="str">
        <f>IFERROR(IF(compras_mes1[[#This Row],[CUIT]]="","-",VLOOKUP(compras_mes1[[#This Row],[CUIT]],Lista_CUIT[#All],3,0)),"CUIT NO CARGADO")</f>
        <v>Servicios Gas, Luz, etc.</v>
      </c>
      <c r="R88" s="45">
        <f>IFERROR(IF(compras_mes1[[#This Row],[CUIT]]="","-",VLOOKUP(compras_mes1[[#This Row],[CUIT]],Lista_CUIT[#All],4,0)),"CUIT NO CARGADO")</f>
        <v>0</v>
      </c>
    </row>
    <row r="89" spans="2:23" ht="15" customHeight="1" x14ac:dyDescent="0.3">
      <c r="B89" s="36">
        <v>44565</v>
      </c>
      <c r="C89" s="37">
        <v>1</v>
      </c>
      <c r="D89" s="38">
        <v>63</v>
      </c>
      <c r="E89" s="39">
        <v>1775198</v>
      </c>
      <c r="F89" s="40">
        <v>30640897267</v>
      </c>
      <c r="G89" s="466" t="str">
        <f>IFERROR(IF(compras_mes1[[#This Row],[CUIT]]="","-",VLOOKUP(compras_mes1[[#This Row],[CUIT]],Lista_CUIT[#All],2,0)),"CUIT NO CARGADO")</f>
        <v>TELECENTRO S.A.</v>
      </c>
      <c r="H89" s="42">
        <v>4425.45</v>
      </c>
      <c r="I89" s="81">
        <f>IF(compras_mes1[[#This Row],[NETO GRAVADO]]="","",compras_mes1[[#This Row],[NETO GRAVADO]]*0.21)</f>
        <v>929.34449999999993</v>
      </c>
      <c r="J89" s="81"/>
      <c r="K89" s="81"/>
      <c r="L89" s="81">
        <v>132.76</v>
      </c>
      <c r="M89" s="81"/>
      <c r="N89" s="81">
        <v>265.52999999999997</v>
      </c>
      <c r="O89" s="420"/>
      <c r="P89" s="44">
        <f>SUM(compras_mes1[[#This Row],[NETO GRAVADO]:[Otros / No Grav.]])</f>
        <v>5753.0844999999999</v>
      </c>
      <c r="Q89" s="45" t="str">
        <f>IFERROR(IF(compras_mes1[[#This Row],[CUIT]]="","-",VLOOKUP(compras_mes1[[#This Row],[CUIT]],Lista_CUIT[#All],3,0)),"CUIT NO CARGADO")</f>
        <v>Servicios Gas, Luz, etc.</v>
      </c>
      <c r="R89" s="45">
        <f>IFERROR(IF(compras_mes1[[#This Row],[CUIT]]="","-",VLOOKUP(compras_mes1[[#This Row],[CUIT]],Lista_CUIT[#All],4,0)),"CUIT NO CARGADO")</f>
        <v>0</v>
      </c>
    </row>
    <row r="90" spans="2:23" ht="15" customHeight="1" x14ac:dyDescent="0.3">
      <c r="B90" s="36">
        <v>44565</v>
      </c>
      <c r="C90" s="37">
        <v>1</v>
      </c>
      <c r="D90" s="38">
        <v>63</v>
      </c>
      <c r="E90" s="39">
        <v>1775346</v>
      </c>
      <c r="F90" s="40">
        <v>30640897267</v>
      </c>
      <c r="G90" s="466" t="str">
        <f>IFERROR(IF(compras_mes1[[#This Row],[CUIT]]="","-",VLOOKUP(compras_mes1[[#This Row],[CUIT]],Lista_CUIT[#All],2,0)),"CUIT NO CARGADO")</f>
        <v>TELECENTRO S.A.</v>
      </c>
      <c r="H90" s="42">
        <v>4180</v>
      </c>
      <c r="I90" s="81">
        <f>IF(compras_mes1[[#This Row],[NETO GRAVADO]]="","",compras_mes1[[#This Row],[NETO GRAVADO]]*0.21)</f>
        <v>877.8</v>
      </c>
      <c r="J90" s="81"/>
      <c r="K90" s="81"/>
      <c r="L90" s="81">
        <v>125.4</v>
      </c>
      <c r="M90" s="81"/>
      <c r="N90" s="81">
        <v>250.8</v>
      </c>
      <c r="O90" s="420"/>
      <c r="P90" s="44">
        <f>SUM(compras_mes1[[#This Row],[NETO GRAVADO]:[Otros / No Grav.]])</f>
        <v>5434</v>
      </c>
      <c r="Q90" s="45" t="str">
        <f>IFERROR(IF(compras_mes1[[#This Row],[CUIT]]="","-",VLOOKUP(compras_mes1[[#This Row],[CUIT]],Lista_CUIT[#All],3,0)),"CUIT NO CARGADO")</f>
        <v>Servicios Gas, Luz, etc.</v>
      </c>
      <c r="R90" s="45">
        <f>IFERROR(IF(compras_mes1[[#This Row],[CUIT]]="","-",VLOOKUP(compras_mes1[[#This Row],[CUIT]],Lista_CUIT[#All],4,0)),"CUIT NO CARGADO")</f>
        <v>0</v>
      </c>
    </row>
    <row r="91" spans="2:23" ht="17.25" customHeight="1" x14ac:dyDescent="0.3">
      <c r="B91" s="36">
        <v>44565</v>
      </c>
      <c r="C91" s="37">
        <v>1</v>
      </c>
      <c r="D91" s="38">
        <v>63</v>
      </c>
      <c r="E91" s="39">
        <v>1775791</v>
      </c>
      <c r="F91" s="40">
        <v>30640897267</v>
      </c>
      <c r="G91" s="466" t="str">
        <f>IFERROR(IF(compras_mes1[[#This Row],[CUIT]]="","-",VLOOKUP(compras_mes1[[#This Row],[CUIT]],Lista_CUIT[#All],2,0)),"CUIT NO CARGADO")</f>
        <v>TELECENTRO S.A.</v>
      </c>
      <c r="H91" s="42">
        <v>4425.45</v>
      </c>
      <c r="I91" s="81">
        <f>IF(compras_mes1[[#This Row],[NETO GRAVADO]]="","",compras_mes1[[#This Row],[NETO GRAVADO]]*0.21)</f>
        <v>929.34449999999993</v>
      </c>
      <c r="J91" s="81"/>
      <c r="K91" s="81"/>
      <c r="L91" s="81">
        <v>132.76</v>
      </c>
      <c r="M91" s="81"/>
      <c r="N91" s="81">
        <v>265.52999999999997</v>
      </c>
      <c r="O91" s="420"/>
      <c r="P91" s="44">
        <f>SUM(compras_mes1[[#This Row],[NETO GRAVADO]:[Otros / No Grav.]])</f>
        <v>5753.0844999999999</v>
      </c>
      <c r="Q91" s="45" t="str">
        <f>IFERROR(IF(compras_mes1[[#This Row],[CUIT]]="","-",VLOOKUP(compras_mes1[[#This Row],[CUIT]],Lista_CUIT[#All],3,0)),"CUIT NO CARGADO")</f>
        <v>Servicios Gas, Luz, etc.</v>
      </c>
      <c r="R91" s="45">
        <f>IFERROR(IF(compras_mes1[[#This Row],[CUIT]]="","-",VLOOKUP(compras_mes1[[#This Row],[CUIT]],Lista_CUIT[#All],4,0)),"CUIT NO CARGADO")</f>
        <v>0</v>
      </c>
    </row>
    <row r="92" spans="2:23" ht="17.25" customHeight="1" x14ac:dyDescent="0.3">
      <c r="B92" s="36">
        <v>44567</v>
      </c>
      <c r="C92" s="37">
        <v>1</v>
      </c>
      <c r="D92" s="38">
        <v>2</v>
      </c>
      <c r="E92" s="39">
        <v>28558</v>
      </c>
      <c r="F92" s="40">
        <v>33714232199</v>
      </c>
      <c r="G92" s="466" t="str">
        <f>IFERROR(IF(compras_mes1[[#This Row],[CUIT]]="","-",VLOOKUP(compras_mes1[[#This Row],[CUIT]],Lista_CUIT[#All],2,0)),"CUIT NO CARGADO")</f>
        <v>NUAGE SYSTEMS S.A</v>
      </c>
      <c r="H92" s="42">
        <v>15876</v>
      </c>
      <c r="I92" s="81">
        <f>IF(compras_mes1[[#This Row],[NETO GRAVADO]]="","",compras_mes1[[#This Row],[NETO GRAVADO]]*0.21)</f>
        <v>3333.96</v>
      </c>
      <c r="J92" s="81"/>
      <c r="K92" s="81"/>
      <c r="L92" s="81"/>
      <c r="M92" s="81"/>
      <c r="N92" s="81"/>
      <c r="O92" s="420"/>
      <c r="P92" s="44">
        <f>SUM(compras_mes1[[#This Row],[NETO GRAVADO]:[Otros / No Grav.]])</f>
        <v>19209.96</v>
      </c>
      <c r="Q92" s="45" t="str">
        <f>IFERROR(IF(compras_mes1[[#This Row],[CUIT]]="","-",VLOOKUP(compras_mes1[[#This Row],[CUIT]],Lista_CUIT[#All],3,0)),"CUIT NO CARGADO")</f>
        <v>Servicios Informatica</v>
      </c>
      <c r="R92" s="45">
        <f>IFERROR(IF(compras_mes1[[#This Row],[CUIT]]="","-",VLOOKUP(compras_mes1[[#This Row],[CUIT]],Lista_CUIT[#All],4,0)),"CUIT NO CARGADO")</f>
        <v>0</v>
      </c>
    </row>
    <row r="93" spans="2:23" ht="17.25" customHeight="1" x14ac:dyDescent="0.3">
      <c r="B93" s="92" t="s">
        <v>83</v>
      </c>
      <c r="C93" s="92"/>
      <c r="D93" s="92"/>
      <c r="E93" s="92"/>
      <c r="F93" s="92"/>
      <c r="G93" s="93"/>
      <c r="H93" s="94">
        <f>SUBTOTAL(109,compras_mes1[NETO GRAVADO])</f>
        <v>4893030.4800000004</v>
      </c>
      <c r="I93" s="94">
        <f>SUBTOTAL(109,compras_mes1[IVA 21 %])</f>
        <v>811246.92689999996</v>
      </c>
      <c r="J93" s="94">
        <f>SUBTOTAL(109,compras_mes1[IVA 27%])</f>
        <v>2184.15</v>
      </c>
      <c r="K93" s="94">
        <f>SUBTOTAL(109,compras_mes1[IVA 10,5%])</f>
        <v>108178.48999999999</v>
      </c>
      <c r="L93" s="94">
        <f>SUBTOTAL(109,compras_mes1[PERC. IVA])</f>
        <v>4854.55</v>
      </c>
      <c r="M93" s="94">
        <f>SUBTOTAL(109,compras_mes1[PERC IIBB 
BS AS])</f>
        <v>0</v>
      </c>
      <c r="N93" s="94">
        <f>SUBTOTAL(109,compras_mes1[PERC. IIBB CABA])</f>
        <v>72450.39</v>
      </c>
      <c r="O93" s="94">
        <f>SUBTOTAL(109,compras_mes1[Otros / No Grav.])</f>
        <v>32010.760000000002</v>
      </c>
      <c r="P93" s="94">
        <f>SUBTOTAL(109,compras_mes1[TOTAL])</f>
        <v>5923955.7468999997</v>
      </c>
      <c r="Q93" s="92"/>
      <c r="R93" s="92"/>
    </row>
    <row r="94" spans="2:23" ht="17.25" customHeight="1" x14ac:dyDescent="0.3">
      <c r="B94" s="36"/>
      <c r="C94" s="37"/>
      <c r="D94" s="38"/>
      <c r="E94" s="39"/>
      <c r="F94" s="40"/>
      <c r="G94" s="41"/>
      <c r="H94" s="42"/>
      <c r="I94" s="43"/>
      <c r="J94" s="43"/>
      <c r="K94" s="43"/>
      <c r="L94" s="43"/>
      <c r="M94" s="43"/>
      <c r="N94" s="43"/>
      <c r="O94" s="43"/>
      <c r="P94" s="44"/>
      <c r="Q94" s="45"/>
      <c r="R94" s="45"/>
    </row>
    <row r="95" spans="2:23" ht="17.25" customHeight="1" x14ac:dyDescent="0.3">
      <c r="B95" s="36"/>
      <c r="C95" s="37"/>
      <c r="D95" s="38"/>
      <c r="E95" s="39"/>
      <c r="F95" s="40"/>
      <c r="G95" s="41"/>
      <c r="H95" s="42"/>
      <c r="I95" s="43"/>
      <c r="J95" s="43"/>
      <c r="K95" s="43"/>
      <c r="L95" s="43"/>
      <c r="M95" s="43"/>
      <c r="N95" s="43"/>
      <c r="O95" s="43"/>
      <c r="P95" s="44"/>
      <c r="Q95" s="45"/>
      <c r="R95" s="45"/>
    </row>
    <row r="96" spans="2:23" ht="15" customHeight="1" x14ac:dyDescent="0.3">
      <c r="B96" s="36"/>
      <c r="C96" s="37"/>
      <c r="D96" s="38"/>
      <c r="E96" s="39"/>
      <c r="F96" s="40"/>
      <c r="G96" s="41"/>
      <c r="H96" s="42"/>
      <c r="I96" s="43"/>
      <c r="J96" s="43"/>
      <c r="K96" s="43"/>
      <c r="L96" s="43"/>
      <c r="M96" s="43"/>
      <c r="N96" s="43"/>
      <c r="O96" s="43"/>
      <c r="P96" s="44"/>
      <c r="Q96" s="45"/>
      <c r="R96" s="45"/>
    </row>
    <row r="97" spans="2:18" ht="15" customHeight="1" x14ac:dyDescent="0.3">
      <c r="B97" s="36"/>
      <c r="C97" s="37"/>
      <c r="D97" s="38"/>
      <c r="E97" s="39"/>
      <c r="F97" s="40"/>
      <c r="G97" s="41"/>
      <c r="H97" s="42"/>
      <c r="I97" s="43"/>
      <c r="J97" s="43"/>
      <c r="K97" s="43"/>
      <c r="L97" s="43"/>
    </row>
    <row r="98" spans="2:18" ht="15" customHeight="1" x14ac:dyDescent="0.3">
      <c r="D98" s="441" t="s">
        <v>15</v>
      </c>
      <c r="E98" s="441"/>
      <c r="F98" s="441"/>
      <c r="G98" s="441"/>
      <c r="H98" s="441"/>
      <c r="I98" s="441"/>
      <c r="J98" s="441"/>
      <c r="K98" s="441"/>
      <c r="L98" s="441"/>
      <c r="M98" s="441"/>
      <c r="N98" s="364"/>
      <c r="P98" s="365"/>
      <c r="Q98" s="365"/>
      <c r="R98" s="365"/>
    </row>
    <row r="99" spans="2:18" ht="15" customHeight="1" x14ac:dyDescent="0.3">
      <c r="D99" s="69" t="s">
        <v>0</v>
      </c>
      <c r="E99" s="70" t="s">
        <v>26</v>
      </c>
      <c r="F99" s="70" t="s">
        <v>16</v>
      </c>
      <c r="G99" s="70" t="s">
        <v>5</v>
      </c>
      <c r="H99" s="70" t="s">
        <v>17</v>
      </c>
      <c r="I99" s="70" t="s">
        <v>7</v>
      </c>
      <c r="J99" s="71" t="s">
        <v>18</v>
      </c>
      <c r="K99" s="71" t="s">
        <v>19</v>
      </c>
      <c r="L99" s="72" t="s">
        <v>20</v>
      </c>
      <c r="M99" s="363" t="s">
        <v>2649</v>
      </c>
      <c r="N99" s="363" t="s">
        <v>2650</v>
      </c>
      <c r="P99" s="158"/>
      <c r="Q99" s="158"/>
      <c r="R99" s="158"/>
    </row>
    <row r="100" spans="2:18" ht="23.4" customHeight="1" x14ac:dyDescent="0.3">
      <c r="D100" s="46">
        <v>44591</v>
      </c>
      <c r="E100" s="76">
        <v>2022</v>
      </c>
      <c r="F100" s="76" t="s">
        <v>2644</v>
      </c>
      <c r="G100" s="77">
        <v>8426</v>
      </c>
      <c r="H100" s="77">
        <v>1769.46</v>
      </c>
      <c r="I100" s="77"/>
      <c r="J100" s="77">
        <v>33866.28</v>
      </c>
      <c r="K100" s="77">
        <v>81.900000000000006</v>
      </c>
      <c r="L100" s="77">
        <v>68231.960000000006</v>
      </c>
      <c r="M100" s="77"/>
      <c r="N100" s="77"/>
    </row>
    <row r="101" spans="2:18" x14ac:dyDescent="0.3">
      <c r="D101" s="46">
        <v>44591</v>
      </c>
      <c r="E101" s="76">
        <v>2022</v>
      </c>
      <c r="F101" s="76" t="s">
        <v>2648</v>
      </c>
      <c r="G101" s="77">
        <v>2826</v>
      </c>
      <c r="H101" s="77">
        <v>593.46</v>
      </c>
      <c r="I101" s="77"/>
      <c r="J101" s="77"/>
      <c r="K101" s="77">
        <v>84.78</v>
      </c>
      <c r="L101" s="77">
        <v>169.56</v>
      </c>
      <c r="M101" s="77">
        <v>1890.1</v>
      </c>
      <c r="N101" s="77">
        <v>930.94</v>
      </c>
    </row>
    <row r="102" spans="2:18" x14ac:dyDescent="0.3">
      <c r="D102" s="46">
        <v>44591</v>
      </c>
      <c r="E102" s="76">
        <v>2022</v>
      </c>
      <c r="F102" s="76" t="s">
        <v>2651</v>
      </c>
      <c r="G102" s="77">
        <v>355.37</v>
      </c>
      <c r="H102" s="77">
        <v>74.63</v>
      </c>
      <c r="I102" s="77"/>
      <c r="J102" s="77"/>
      <c r="K102" s="77"/>
      <c r="L102" s="77"/>
      <c r="M102" s="77">
        <v>37691.839999999997</v>
      </c>
      <c r="N102" s="77">
        <v>45700.67</v>
      </c>
    </row>
    <row r="103" spans="2:18" x14ac:dyDescent="0.3">
      <c r="D103" s="46">
        <v>44591</v>
      </c>
      <c r="E103" s="76">
        <v>2022</v>
      </c>
      <c r="F103" s="76" t="s">
        <v>2652</v>
      </c>
      <c r="G103" s="77">
        <v>221.97</v>
      </c>
      <c r="H103" s="77">
        <v>46.61</v>
      </c>
      <c r="I103" s="77"/>
      <c r="J103" s="77">
        <v>1238.58</v>
      </c>
      <c r="K103" s="77"/>
      <c r="L103" s="77"/>
      <c r="M103" s="77"/>
      <c r="N103" s="77"/>
    </row>
    <row r="104" spans="2:18" x14ac:dyDescent="0.3">
      <c r="D104" s="46">
        <v>44591</v>
      </c>
      <c r="E104" s="76">
        <v>439853</v>
      </c>
      <c r="F104" s="76" t="s">
        <v>2653</v>
      </c>
      <c r="G104" s="77">
        <v>256</v>
      </c>
      <c r="H104" s="77">
        <v>53.76</v>
      </c>
      <c r="I104" s="77"/>
      <c r="J104" s="77"/>
      <c r="K104" s="77"/>
      <c r="L104" s="77"/>
      <c r="M104" s="77">
        <v>447.03</v>
      </c>
      <c r="N104" s="77"/>
    </row>
    <row r="105" spans="2:18" x14ac:dyDescent="0.3">
      <c r="D105" s="46">
        <v>44591</v>
      </c>
      <c r="E105" s="76">
        <v>8806134</v>
      </c>
      <c r="F105" s="76" t="s">
        <v>2651</v>
      </c>
      <c r="G105" s="77">
        <v>5495</v>
      </c>
      <c r="H105" s="77">
        <v>1153.95</v>
      </c>
      <c r="I105" s="77"/>
      <c r="J105" s="77"/>
      <c r="K105" s="77">
        <v>164.85</v>
      </c>
      <c r="L105" s="77"/>
      <c r="M105" s="77"/>
      <c r="N105" s="77"/>
    </row>
    <row r="106" spans="2:18" x14ac:dyDescent="0.3">
      <c r="D106" s="46">
        <v>44591</v>
      </c>
      <c r="E106" s="76">
        <v>95492939</v>
      </c>
      <c r="F106" s="76" t="s">
        <v>2654</v>
      </c>
      <c r="G106" s="77">
        <v>174</v>
      </c>
      <c r="H106" s="77">
        <v>36.549999999999997</v>
      </c>
      <c r="I106" s="77"/>
      <c r="J106" s="77"/>
      <c r="K106" s="77">
        <v>141.26</v>
      </c>
      <c r="L106" s="77">
        <v>854.75</v>
      </c>
      <c r="M106" s="77"/>
      <c r="N106" s="77"/>
    </row>
    <row r="107" spans="2:18" s="52" customFormat="1" ht="18.600000000000001" customHeight="1" x14ac:dyDescent="0.3">
      <c r="B107"/>
      <c r="C107"/>
      <c r="D107" s="46">
        <v>44591</v>
      </c>
      <c r="E107" s="76">
        <v>12022</v>
      </c>
      <c r="F107" s="76" t="s">
        <v>2655</v>
      </c>
      <c r="G107" s="77">
        <v>54685.120000000003</v>
      </c>
      <c r="H107" s="77">
        <v>8694.0499999999993</v>
      </c>
      <c r="I107" s="77"/>
      <c r="J107" s="77"/>
      <c r="K107" s="77">
        <v>7703.71</v>
      </c>
      <c r="L107" s="77">
        <v>80694.33</v>
      </c>
      <c r="M107" s="77"/>
      <c r="N107" s="77">
        <v>2275.94</v>
      </c>
      <c r="O107"/>
      <c r="P107"/>
      <c r="Q107"/>
      <c r="R107"/>
    </row>
    <row r="108" spans="2:18" x14ac:dyDescent="0.3">
      <c r="D108" s="46">
        <v>44563</v>
      </c>
      <c r="E108" s="76">
        <v>2325960</v>
      </c>
      <c r="F108" s="76" t="s">
        <v>2644</v>
      </c>
      <c r="G108" s="77">
        <v>0</v>
      </c>
      <c r="H108" s="77"/>
      <c r="I108" s="77"/>
      <c r="J108" s="77"/>
      <c r="K108" s="77"/>
      <c r="L108" s="77"/>
      <c r="M108" s="77">
        <v>3602.14</v>
      </c>
      <c r="N108" s="77"/>
    </row>
    <row r="109" spans="2:18" x14ac:dyDescent="0.3">
      <c r="D109" s="46">
        <v>44563</v>
      </c>
      <c r="E109" s="76">
        <v>2325961</v>
      </c>
      <c r="F109" s="76" t="s">
        <v>2644</v>
      </c>
      <c r="G109" s="77">
        <v>0</v>
      </c>
      <c r="H109" s="77"/>
      <c r="I109" s="77"/>
      <c r="J109" s="77"/>
      <c r="K109" s="77"/>
      <c r="L109" s="77"/>
      <c r="M109" s="77">
        <v>3600.37</v>
      </c>
      <c r="N109" s="77"/>
    </row>
    <row r="110" spans="2:18" x14ac:dyDescent="0.3">
      <c r="D110" s="46">
        <v>44563</v>
      </c>
      <c r="E110" s="76">
        <v>2325962</v>
      </c>
      <c r="F110" s="76" t="s">
        <v>2644</v>
      </c>
      <c r="G110" s="77">
        <v>0</v>
      </c>
      <c r="H110" s="77"/>
      <c r="I110" s="77"/>
      <c r="J110" s="77"/>
      <c r="K110" s="77"/>
      <c r="L110" s="77"/>
      <c r="M110" s="77">
        <v>8265.14</v>
      </c>
      <c r="N110" s="77"/>
    </row>
    <row r="111" spans="2:18" x14ac:dyDescent="0.3">
      <c r="D111" s="46">
        <v>44563</v>
      </c>
      <c r="E111" s="76">
        <v>2325959</v>
      </c>
      <c r="F111" s="76" t="s">
        <v>2644</v>
      </c>
      <c r="G111" s="77">
        <v>6889.87</v>
      </c>
      <c r="H111" s="77">
        <v>1446.87</v>
      </c>
      <c r="I111" s="77"/>
      <c r="J111" s="77"/>
      <c r="K111" s="77">
        <v>206.69</v>
      </c>
      <c r="L111" s="77"/>
      <c r="M111" s="77"/>
      <c r="N111" s="77"/>
    </row>
    <row r="112" spans="2:18" x14ac:dyDescent="0.3">
      <c r="D112" s="78" t="s">
        <v>83</v>
      </c>
      <c r="E112" s="76"/>
      <c r="F112" s="76"/>
      <c r="G112" s="79">
        <f>SUBTOTAL(109,extracto_banco_mes1[NETO])</f>
        <v>79329.33</v>
      </c>
      <c r="H112" s="79">
        <f>SUBTOTAL(109,extracto_banco_mes1[IVA 21%])</f>
        <v>13869.34</v>
      </c>
      <c r="I112" s="79">
        <f>SUBTOTAL(109,extracto_banco_mes1[IVA 10,5%])</f>
        <v>0</v>
      </c>
      <c r="J112" s="79">
        <f>SUBTOTAL(109,extracto_banco_mes1[RET IIBB CABA])</f>
        <v>35104.86</v>
      </c>
      <c r="K112" s="79">
        <f>SUBTOTAL(109,extracto_banco_mes1[PERC IVA])</f>
        <v>8383.19</v>
      </c>
      <c r="L112" s="79">
        <f>SUBTOTAL(109,extracto_banco_mes1[PERC IIBB])</f>
        <v>149950.6</v>
      </c>
      <c r="M112" s="79">
        <f>SUM(extracto_banco_mes1[No grav.])</f>
        <v>55496.619999999995</v>
      </c>
      <c r="N112" s="362">
        <f>SUM(extracto_banco_mes1[RET. GAN])</f>
        <v>48907.55</v>
      </c>
    </row>
    <row r="114" spans="2:18" ht="22.5" customHeight="1" x14ac:dyDescent="0.3"/>
    <row r="115" spans="2:18" ht="21" x14ac:dyDescent="0.3">
      <c r="D115" s="441" t="s">
        <v>25</v>
      </c>
      <c r="E115" s="441"/>
      <c r="F115" s="441"/>
      <c r="G115" s="441"/>
      <c r="H115" s="441"/>
      <c r="I115" s="441"/>
      <c r="J115" s="441"/>
      <c r="K115" s="441"/>
    </row>
    <row r="116" spans="2:18" ht="18" customHeight="1" x14ac:dyDescent="0.3">
      <c r="D116" s="47" t="s">
        <v>0</v>
      </c>
      <c r="E116" s="47" t="s">
        <v>2</v>
      </c>
      <c r="F116" s="47" t="s">
        <v>56</v>
      </c>
      <c r="G116" s="47" t="s">
        <v>3</v>
      </c>
      <c r="H116" s="47" t="s">
        <v>4</v>
      </c>
      <c r="I116" s="48" t="s">
        <v>10</v>
      </c>
      <c r="J116" s="47" t="s">
        <v>13</v>
      </c>
      <c r="K116" s="47" t="s">
        <v>38</v>
      </c>
    </row>
    <row r="117" spans="2:18" x14ac:dyDescent="0.3">
      <c r="C117" t="s">
        <v>2646</v>
      </c>
      <c r="D117" s="46">
        <v>44587</v>
      </c>
      <c r="E117" s="38">
        <v>12</v>
      </c>
      <c r="F117" s="39">
        <v>2021</v>
      </c>
      <c r="G117" s="40">
        <v>30707826890</v>
      </c>
      <c r="H117" s="49" t="str">
        <f>IFERROR(IF(factura_c_mes1[[#This Row],[CUIT]]="","-",VLOOKUP(factura_c_mes1[[#This Row],[CUIT]],Lista_CUIT[#All],2,0)),"CUIT NO CARGADO")</f>
        <v>JUVIALE  S.R.L.</v>
      </c>
      <c r="I117" s="77">
        <v>6250.47</v>
      </c>
      <c r="J117" s="50" t="str">
        <f>IFERROR(IF(factura_c_mes1[[#This Row],[CUIT]]="","-",VLOOKUP(factura_c_mes1[[#This Row],[CUIT]],Lista_CUIT[#All],3,0)),"CUIT NO CARGADO")</f>
        <v>EXPENSAS</v>
      </c>
      <c r="K117" s="50">
        <f>IFERROR(IF(factura_c_mes1[[#This Row],[CUIT]]="","-",VLOOKUP(factura_c_mes1[[#This Row],[CUIT]],Lista_CUIT[#All],4,0)),"CUIT NO CARGADO")</f>
        <v>0</v>
      </c>
    </row>
    <row r="118" spans="2:18" x14ac:dyDescent="0.3">
      <c r="D118" s="46">
        <v>44592</v>
      </c>
      <c r="E118" s="38">
        <v>3</v>
      </c>
      <c r="F118" s="39">
        <v>87</v>
      </c>
      <c r="G118" s="40">
        <v>20174208094</v>
      </c>
      <c r="H118" s="49" t="str">
        <f>IFERROR(IF(factura_c_mes1[[#This Row],[CUIT]]="","-",VLOOKUP(factura_c_mes1[[#This Row],[CUIT]],Lista_CUIT[#All],2,0)),"CUIT NO CARGADO")</f>
        <v>VILLARUEL OSCAR EDUARDO</v>
      </c>
      <c r="I118" s="77">
        <v>22000</v>
      </c>
      <c r="J118" s="50" t="str">
        <f>IFERROR(IF(factura_c_mes1[[#This Row],[CUIT]]="","-",VLOOKUP(factura_c_mes1[[#This Row],[CUIT]],Lista_CUIT[#All],3,0)),"CUIT NO CARGADO")</f>
        <v>Alquiler</v>
      </c>
      <c r="K118" s="50">
        <f>IFERROR(IF(factura_c_mes1[[#This Row],[CUIT]]="","-",VLOOKUP(factura_c_mes1[[#This Row],[CUIT]],Lista_CUIT[#All],4,0)),"CUIT NO CARGADO")</f>
        <v>0</v>
      </c>
    </row>
    <row r="119" spans="2:18" x14ac:dyDescent="0.3">
      <c r="D119" s="46"/>
      <c r="E119" s="38"/>
      <c r="F119" s="39"/>
      <c r="G119" s="40"/>
      <c r="H119" s="49" t="str">
        <f>IFERROR(IF(factura_c_mes1[[#This Row],[CUIT]]="","-",VLOOKUP(factura_c_mes1[[#This Row],[CUIT]],Lista_CUIT[#All],2,0)),"CUIT NO CARGADO")</f>
        <v>-</v>
      </c>
      <c r="I119" s="77"/>
      <c r="J119" s="50" t="str">
        <f>IFERROR(IF(factura_c_mes1[[#This Row],[CUIT]]="","-",VLOOKUP(factura_c_mes1[[#This Row],[CUIT]],Lista_CUIT[#All],3,0)),"CUIT NO CARGADO")</f>
        <v>-</v>
      </c>
      <c r="K119" s="50" t="str">
        <f>IFERROR(IF(factura_c_mes1[[#This Row],[CUIT]]="","-",VLOOKUP(factura_c_mes1[[#This Row],[CUIT]],Lista_CUIT[#All],4,0)),"CUIT NO CARGADO")</f>
        <v>-</v>
      </c>
    </row>
    <row r="120" spans="2:18" x14ac:dyDescent="0.3">
      <c r="D120" s="46"/>
      <c r="E120" s="38"/>
      <c r="F120" s="39"/>
      <c r="G120" s="40"/>
      <c r="H120" s="49" t="str">
        <f>IFERROR(IF(factura_c_mes1[[#This Row],[CUIT]]="","-",VLOOKUP(factura_c_mes1[[#This Row],[CUIT]],Lista_CUIT[#All],2,0)),"CUIT NO CARGADO")</f>
        <v>-</v>
      </c>
      <c r="I120" s="77"/>
      <c r="J120" s="50" t="str">
        <f>IFERROR(IF(factura_c_mes1[[#This Row],[CUIT]]="","-",VLOOKUP(factura_c_mes1[[#This Row],[CUIT]],Lista_CUIT[#All],3,0)),"CUIT NO CARGADO")</f>
        <v>-</v>
      </c>
      <c r="K120" s="50" t="str">
        <f>IFERROR(IF(factura_c_mes1[[#This Row],[CUIT]]="","-",VLOOKUP(factura_c_mes1[[#This Row],[CUIT]],Lista_CUIT[#All],4,0)),"CUIT NO CARGADO")</f>
        <v>-</v>
      </c>
    </row>
    <row r="121" spans="2:18" x14ac:dyDescent="0.3">
      <c r="D121" s="51" t="s">
        <v>83</v>
      </c>
      <c r="E121" s="51"/>
      <c r="F121" s="51"/>
      <c r="G121" s="51"/>
      <c r="H121" s="53"/>
      <c r="I121" s="54">
        <f>SUBTOTAL(109,factura_c_mes1[TOTAL])</f>
        <v>28250.47</v>
      </c>
      <c r="J121" s="51"/>
      <c r="K121" s="51"/>
    </row>
    <row r="122" spans="2:18" x14ac:dyDescent="0.3">
      <c r="B122" s="52"/>
      <c r="C122" s="52"/>
      <c r="L122" s="52"/>
      <c r="M122" s="52"/>
      <c r="N122" s="52"/>
      <c r="O122" s="52"/>
      <c r="P122" s="52"/>
      <c r="Q122" s="52"/>
      <c r="R122" s="52"/>
    </row>
    <row r="126" spans="2:18" ht="25.95" customHeight="1" x14ac:dyDescent="0.3"/>
    <row r="127" spans="2:18" ht="25.8" x14ac:dyDescent="0.3">
      <c r="B127" s="456" t="s">
        <v>29</v>
      </c>
      <c r="C127" s="456"/>
      <c r="D127" s="456"/>
      <c r="E127" s="456"/>
      <c r="F127" s="456"/>
      <c r="G127" s="456"/>
      <c r="H127" s="456"/>
      <c r="I127" s="456"/>
      <c r="J127" s="456"/>
      <c r="K127" s="452">
        <f>N1</f>
        <v>44562</v>
      </c>
      <c r="L127" s="452"/>
      <c r="M127" s="452"/>
    </row>
    <row r="128" spans="2:18" ht="17.25" customHeight="1" x14ac:dyDescent="0.3"/>
    <row r="129" spans="2:13" ht="31.5" customHeight="1" x14ac:dyDescent="0.3">
      <c r="B129" s="449" t="s">
        <v>30</v>
      </c>
      <c r="C129" s="449"/>
    </row>
    <row r="130" spans="2:13" ht="15.6" x14ac:dyDescent="0.3">
      <c r="B130" s="56" t="s">
        <v>0</v>
      </c>
      <c r="C130" s="57" t="s">
        <v>1</v>
      </c>
      <c r="D130" s="57" t="s">
        <v>21</v>
      </c>
      <c r="E130" s="57" t="s">
        <v>22</v>
      </c>
      <c r="F130" s="57" t="s">
        <v>3</v>
      </c>
      <c r="G130" s="57" t="s">
        <v>4</v>
      </c>
      <c r="H130" s="57" t="s">
        <v>23</v>
      </c>
      <c r="I130" s="57" t="s">
        <v>17</v>
      </c>
      <c r="J130" s="57" t="s">
        <v>7</v>
      </c>
      <c r="K130" s="57" t="s">
        <v>24</v>
      </c>
      <c r="L130" s="57" t="s">
        <v>10</v>
      </c>
      <c r="M130" s="58" t="s">
        <v>38</v>
      </c>
    </row>
    <row r="131" spans="2:13" x14ac:dyDescent="0.3">
      <c r="B131" s="36"/>
      <c r="C131" s="37"/>
      <c r="D131" s="38"/>
      <c r="E131" s="39"/>
      <c r="F131" s="40"/>
      <c r="G131" s="95" t="str">
        <f>IFERROR(IF(venta_a_mes1[[#This Row],[CUIT]]="","-",VLOOKUP(venta_a_mes1[[#This Row],[CUIT]],Lista_CUIT[#All],2,0)),"CUIT NO CARGADO")</f>
        <v>-</v>
      </c>
      <c r="H131" s="96"/>
      <c r="I131" s="97">
        <f>venta_a_mes1[[#This Row],[IMPORTE NETO]]*0.21</f>
        <v>0</v>
      </c>
      <c r="J131" s="61"/>
      <c r="K131" s="61"/>
      <c r="L131" s="61">
        <f>SUM(venta_a_mes1[[#This Row],[IMPORTE NETO]:[EXENTO]])</f>
        <v>0</v>
      </c>
      <c r="M131" s="55"/>
    </row>
    <row r="132" spans="2:13" x14ac:dyDescent="0.3">
      <c r="B132" s="36"/>
      <c r="C132" s="37"/>
      <c r="D132" s="38"/>
      <c r="E132" s="39"/>
      <c r="F132" s="40"/>
      <c r="G132" s="95" t="str">
        <f>IFERROR(IF(venta_a_mes1[[#This Row],[CUIT]]="","-",VLOOKUP(venta_a_mes1[[#This Row],[CUIT]],Lista_CUIT[#All],2,0)),"CUIT NO CARGADO")</f>
        <v>-</v>
      </c>
      <c r="H132" s="96"/>
      <c r="I132" s="97">
        <f>venta_a_mes1[[#This Row],[IMPORTE NETO]]*0.21</f>
        <v>0</v>
      </c>
      <c r="J132" s="61"/>
      <c r="K132" s="61"/>
      <c r="L132" s="61">
        <f>SUM(venta_a_mes1[[#This Row],[IMPORTE NETO]:[EXENTO]])</f>
        <v>0</v>
      </c>
      <c r="M132" s="55"/>
    </row>
    <row r="133" spans="2:13" x14ac:dyDescent="0.3">
      <c r="B133" s="36"/>
      <c r="C133" s="37"/>
      <c r="D133" s="38"/>
      <c r="E133" s="39"/>
      <c r="F133" s="40"/>
      <c r="G133" s="95" t="str">
        <f>IFERROR(IF(venta_a_mes1[[#This Row],[CUIT]]="","-",VLOOKUP(venta_a_mes1[[#This Row],[CUIT]],Lista_CUIT[#All],2,0)),"CUIT NO CARGADO")</f>
        <v>-</v>
      </c>
      <c r="H133" s="96"/>
      <c r="I133" s="97">
        <f>venta_a_mes1[[#This Row],[IMPORTE NETO]]*0.21</f>
        <v>0</v>
      </c>
      <c r="J133" s="61"/>
      <c r="K133" s="61"/>
      <c r="L133" s="61">
        <f>SUM(venta_a_mes1[[#This Row],[IMPORTE NETO]:[EXENTO]])</f>
        <v>0</v>
      </c>
      <c r="M133" s="55"/>
    </row>
    <row r="134" spans="2:13" x14ac:dyDescent="0.3">
      <c r="B134" s="36"/>
      <c r="C134" s="37"/>
      <c r="D134" s="38"/>
      <c r="E134" s="39"/>
      <c r="F134" s="40"/>
      <c r="G134" s="95" t="str">
        <f>IFERROR(IF(venta_a_mes1[[#This Row],[CUIT]]="","-",VLOOKUP(venta_a_mes1[[#This Row],[CUIT]],Lista_CUIT[#All],2,0)),"CUIT NO CARGADO")</f>
        <v>-</v>
      </c>
      <c r="H134" s="96"/>
      <c r="I134" s="97">
        <f>venta_a_mes1[[#This Row],[IMPORTE NETO]]*0.21</f>
        <v>0</v>
      </c>
      <c r="J134" s="61"/>
      <c r="K134" s="61"/>
      <c r="L134" s="61">
        <f>SUM(venta_a_mes1[[#This Row],[IMPORTE NETO]:[EXENTO]])</f>
        <v>0</v>
      </c>
      <c r="M134" s="55"/>
    </row>
    <row r="135" spans="2:13" x14ac:dyDescent="0.3">
      <c r="B135" s="36"/>
      <c r="C135" s="37"/>
      <c r="D135" s="38"/>
      <c r="E135" s="39"/>
      <c r="F135" s="40"/>
      <c r="G135" s="95" t="str">
        <f>IFERROR(IF(venta_a_mes1[[#This Row],[CUIT]]="","-",VLOOKUP(venta_a_mes1[[#This Row],[CUIT]],Lista_CUIT[#All],2,0)),"CUIT NO CARGADO")</f>
        <v>-</v>
      </c>
      <c r="H135" s="96"/>
      <c r="I135" s="97">
        <f>venta_a_mes1[[#This Row],[IMPORTE NETO]]*0.21</f>
        <v>0</v>
      </c>
      <c r="J135" s="61"/>
      <c r="K135" s="61"/>
      <c r="L135" s="61">
        <f>SUM(venta_a_mes1[[#This Row],[IMPORTE NETO]:[EXENTO]])</f>
        <v>0</v>
      </c>
      <c r="M135" s="55"/>
    </row>
    <row r="136" spans="2:13" x14ac:dyDescent="0.3">
      <c r="B136" s="36"/>
      <c r="C136" s="37"/>
      <c r="D136" s="38"/>
      <c r="E136" s="39"/>
      <c r="F136" s="40"/>
      <c r="G136" s="95" t="str">
        <f>IFERROR(IF(venta_a_mes1[[#This Row],[CUIT]]="","-",VLOOKUP(venta_a_mes1[[#This Row],[CUIT]],Lista_CUIT[#All],2,0)),"CUIT NO CARGADO")</f>
        <v>-</v>
      </c>
      <c r="H136" s="96"/>
      <c r="I136" s="97">
        <f>venta_a_mes1[[#This Row],[IMPORTE NETO]]*0.21</f>
        <v>0</v>
      </c>
      <c r="J136" s="61"/>
      <c r="K136" s="61"/>
      <c r="L136" s="61">
        <f>SUM(venta_a_mes1[[#This Row],[IMPORTE NETO]:[EXENTO]])</f>
        <v>0</v>
      </c>
      <c r="M136" s="55"/>
    </row>
    <row r="137" spans="2:13" x14ac:dyDescent="0.3">
      <c r="B137" s="36"/>
      <c r="C137" s="37"/>
      <c r="D137" s="38"/>
      <c r="E137" s="39"/>
      <c r="F137" s="40"/>
      <c r="G137" s="95" t="str">
        <f>IFERROR(IF(venta_a_mes1[[#This Row],[CUIT]]="","-",VLOOKUP(venta_a_mes1[[#This Row],[CUIT]],Lista_CUIT[#All],2,0)),"CUIT NO CARGADO")</f>
        <v>-</v>
      </c>
      <c r="H137" s="96"/>
      <c r="I137" s="97">
        <f>venta_a_mes1[[#This Row],[IMPORTE NETO]]*0.21</f>
        <v>0</v>
      </c>
      <c r="J137" s="61"/>
      <c r="K137" s="61"/>
      <c r="L137" s="61">
        <f>SUM(venta_a_mes1[[#This Row],[IMPORTE NETO]:[EXENTO]])</f>
        <v>0</v>
      </c>
      <c r="M137" s="59"/>
    </row>
    <row r="138" spans="2:13" x14ac:dyDescent="0.3">
      <c r="B138" s="98"/>
      <c r="C138" s="99"/>
      <c r="D138" s="100"/>
      <c r="E138" s="101"/>
      <c r="F138" s="102"/>
      <c r="G138" s="95" t="str">
        <f>IFERROR(IF(venta_a_mes1[[#This Row],[CUIT]]="","-",VLOOKUP(venta_a_mes1[[#This Row],[CUIT]],Lista_CUIT[#All],2,0)),"CUIT NO CARGADO")</f>
        <v>-</v>
      </c>
      <c r="H138" s="103"/>
      <c r="I138" s="104">
        <f>venta_a_mes1[[#This Row],[IMPORTE NETO]]*0.21</f>
        <v>0</v>
      </c>
      <c r="J138" s="68"/>
      <c r="K138" s="68"/>
      <c r="L138" s="68">
        <f>SUM(venta_a_mes1[[#This Row],[IMPORTE NETO]:[EXENTO]])</f>
        <v>0</v>
      </c>
      <c r="M138" s="59"/>
    </row>
    <row r="139" spans="2:13" ht="19.2" customHeight="1" x14ac:dyDescent="0.3">
      <c r="B139" s="105"/>
      <c r="C139" s="106"/>
      <c r="D139" s="107"/>
      <c r="E139" s="108"/>
      <c r="F139" s="109"/>
      <c r="G139" s="95" t="str">
        <f>IFERROR(IF(venta_a_mes1[[#This Row],[CUIT]]="","-",VLOOKUP(venta_a_mes1[[#This Row],[CUIT]],Lista_CUIT[#All],2,0)),"CUIT NO CARGADO")</f>
        <v>-</v>
      </c>
      <c r="H139" s="96"/>
      <c r="I139" s="97">
        <f>venta_a_mes1[[#This Row],[IMPORTE NETO]]*0.21</f>
        <v>0</v>
      </c>
      <c r="J139" s="61"/>
      <c r="K139" s="61"/>
      <c r="L139" s="61">
        <f>SUM(venta_a_mes1[[#This Row],[IMPORTE NETO]:[EXENTO]])</f>
        <v>0</v>
      </c>
      <c r="M139" s="55"/>
    </row>
    <row r="140" spans="2:13" ht="28.95" customHeight="1" x14ac:dyDescent="0.3">
      <c r="B140" s="62" t="s">
        <v>83</v>
      </c>
      <c r="C140" s="63"/>
      <c r="D140" s="63"/>
      <c r="E140" s="63"/>
      <c r="F140" s="63"/>
      <c r="G140" s="63"/>
      <c r="H140" s="65">
        <f>SUBTOTAL(109,venta_a_mes1[IMPORTE NETO])</f>
        <v>0</v>
      </c>
      <c r="I140" s="66">
        <f>SUBTOTAL(109,venta_a_mes1[IVA 21%])</f>
        <v>0</v>
      </c>
      <c r="J140" s="67">
        <f>SUBTOTAL(109,venta_a_mes1[IVA 10,5%])</f>
        <v>0</v>
      </c>
      <c r="K140" s="67">
        <f>SUBTOTAL(109,venta_a_mes1[EXENTO])</f>
        <v>0</v>
      </c>
      <c r="L140" s="67">
        <f>SUBTOTAL(109,venta_a_mes1[TOTAL])</f>
        <v>0</v>
      </c>
      <c r="M140" s="64">
        <f>SUBTOTAL(103,venta_a_mes1[Provincia])</f>
        <v>0</v>
      </c>
    </row>
    <row r="143" spans="2:13" ht="21" x14ac:dyDescent="0.3">
      <c r="B143" s="449" t="s">
        <v>31</v>
      </c>
      <c r="C143" s="449"/>
    </row>
    <row r="144" spans="2:13" ht="15.6" x14ac:dyDescent="0.3">
      <c r="B144" s="56" t="s">
        <v>0</v>
      </c>
      <c r="C144" s="57" t="s">
        <v>1</v>
      </c>
      <c r="D144" s="57" t="s">
        <v>21</v>
      </c>
      <c r="E144" s="57" t="s">
        <v>22</v>
      </c>
      <c r="F144" s="57" t="s">
        <v>3</v>
      </c>
      <c r="G144" s="57" t="s">
        <v>4</v>
      </c>
      <c r="H144" s="57" t="s">
        <v>23</v>
      </c>
      <c r="I144" s="57" t="s">
        <v>17</v>
      </c>
      <c r="J144" s="57" t="s">
        <v>7</v>
      </c>
      <c r="K144" s="57" t="s">
        <v>24</v>
      </c>
      <c r="L144" s="57" t="s">
        <v>10</v>
      </c>
      <c r="M144" s="58" t="s">
        <v>38</v>
      </c>
    </row>
    <row r="145" spans="2:13" x14ac:dyDescent="0.3">
      <c r="B145" s="36"/>
      <c r="C145" s="37"/>
      <c r="D145" s="38"/>
      <c r="E145" s="39"/>
      <c r="F145" s="40"/>
      <c r="G145" s="1" t="str">
        <f>IFERROR(IF(ventas_b_mes1[[#This Row],[CUIT]]="","-",VLOOKUP(ventas_b_mes1[[#This Row],[CUIT]],Lista_CUIT[#All],2,0)),"CUIT NO CARGADO")</f>
        <v>-</v>
      </c>
      <c r="H145" s="60"/>
      <c r="I145" s="60"/>
      <c r="J145" s="60"/>
      <c r="K145" s="60"/>
      <c r="L145" s="60">
        <f>SUM(ventas_b_mes1[[#This Row],[IMPORTE NETO]:[EXENTO]])</f>
        <v>0</v>
      </c>
      <c r="M145" s="55"/>
    </row>
    <row r="146" spans="2:13" x14ac:dyDescent="0.3">
      <c r="B146" s="36"/>
      <c r="C146" s="37"/>
      <c r="D146" s="38"/>
      <c r="E146" s="39"/>
      <c r="F146" s="40"/>
      <c r="G146" s="1"/>
      <c r="H146" s="60"/>
      <c r="I146" s="60"/>
      <c r="J146" s="60"/>
      <c r="K146" s="60"/>
      <c r="L146" s="60">
        <f>SUM(ventas_b_mes1[[#This Row],[IMPORTE NETO]:[EXENTO]])</f>
        <v>0</v>
      </c>
      <c r="M146" s="55"/>
    </row>
    <row r="147" spans="2:13" x14ac:dyDescent="0.3">
      <c r="B147" s="36"/>
      <c r="C147" s="37"/>
      <c r="D147" s="38"/>
      <c r="E147" s="39"/>
      <c r="F147" s="40"/>
      <c r="G147" s="1"/>
      <c r="H147" s="60"/>
      <c r="I147" s="60"/>
      <c r="J147" s="60"/>
      <c r="K147" s="60"/>
      <c r="L147" s="60">
        <f>SUM(ventas_b_mes1[[#This Row],[IMPORTE NETO]:[EXENTO]])</f>
        <v>0</v>
      </c>
      <c r="M147" s="55"/>
    </row>
    <row r="148" spans="2:13" x14ac:dyDescent="0.3">
      <c r="B148" s="36"/>
      <c r="C148" s="37"/>
      <c r="D148" s="38"/>
      <c r="E148" s="39"/>
      <c r="F148" s="40"/>
      <c r="G148" s="1"/>
      <c r="H148" s="60"/>
      <c r="I148" s="60"/>
      <c r="J148" s="60"/>
      <c r="K148" s="60"/>
      <c r="L148" s="60">
        <f>SUM(ventas_b_mes1[[#This Row],[IMPORTE NETO]:[EXENTO]])</f>
        <v>0</v>
      </c>
      <c r="M148" s="55"/>
    </row>
    <row r="149" spans="2:13" x14ac:dyDescent="0.3">
      <c r="B149" s="36"/>
      <c r="C149" s="37"/>
      <c r="D149" s="38"/>
      <c r="E149" s="39"/>
      <c r="F149" s="40"/>
      <c r="G149" s="1"/>
      <c r="H149" s="60"/>
      <c r="I149" s="60"/>
      <c r="J149" s="60"/>
      <c r="K149" s="60"/>
      <c r="L149" s="60">
        <f>SUM(ventas_b_mes1[[#This Row],[IMPORTE NETO]:[EXENTO]])</f>
        <v>0</v>
      </c>
      <c r="M149" s="55"/>
    </row>
    <row r="150" spans="2:13" x14ac:dyDescent="0.3">
      <c r="B150" s="36"/>
      <c r="C150" s="37"/>
      <c r="D150" s="38"/>
      <c r="E150" s="39"/>
      <c r="F150" s="40"/>
      <c r="G150" s="1"/>
      <c r="H150" s="60"/>
      <c r="I150" s="60"/>
      <c r="J150" s="60"/>
      <c r="K150" s="60"/>
      <c r="L150" s="60">
        <f>SUM(ventas_b_mes1[[#This Row],[IMPORTE NETO]:[EXENTO]])</f>
        <v>0</v>
      </c>
      <c r="M150" s="55"/>
    </row>
    <row r="151" spans="2:13" x14ac:dyDescent="0.3">
      <c r="B151" s="62" t="s">
        <v>83</v>
      </c>
      <c r="C151" s="63"/>
      <c r="D151" s="63"/>
      <c r="E151" s="63"/>
      <c r="F151" s="63"/>
      <c r="G151" s="63"/>
      <c r="H151" s="73">
        <f>SUBTOTAL(109,ventas_b_mes1[IMPORTE NETO])</f>
        <v>0</v>
      </c>
      <c r="I151" s="73">
        <f>SUBTOTAL(109,ventas_b_mes1[IVA 21%])</f>
        <v>0</v>
      </c>
      <c r="J151" s="74">
        <f>SUBTOTAL(109,ventas_b_mes1[IVA 10,5%])</f>
        <v>0</v>
      </c>
      <c r="K151" s="74">
        <f>SUBTOTAL(109,ventas_b_mes1[EXENTO])</f>
        <v>0</v>
      </c>
      <c r="L151" s="74">
        <f>SUBTOTAL(109,ventas_b_mes1[TOTAL])</f>
        <v>0</v>
      </c>
      <c r="M151" s="64">
        <f>SUBTOTAL(103,ventas_b_mes1[Provincia])</f>
        <v>0</v>
      </c>
    </row>
    <row r="158" spans="2:13" ht="15" thickBot="1" x14ac:dyDescent="0.35"/>
    <row r="159" spans="2:13" ht="15" thickTop="1" x14ac:dyDescent="0.3">
      <c r="C159" s="447" t="s">
        <v>48</v>
      </c>
      <c r="D159" s="447"/>
      <c r="E159" s="447"/>
      <c r="F159" s="447"/>
      <c r="G159" s="447"/>
      <c r="H159" s="29"/>
      <c r="I159" s="29"/>
      <c r="J159" s="29"/>
    </row>
    <row r="160" spans="2:13" ht="15.6" x14ac:dyDescent="0.3">
      <c r="C160" s="110" t="s">
        <v>49</v>
      </c>
      <c r="D160" s="111" t="s">
        <v>50</v>
      </c>
      <c r="E160" s="111" t="s">
        <v>85</v>
      </c>
      <c r="F160" s="111" t="s">
        <v>3</v>
      </c>
      <c r="G160" s="111" t="s">
        <v>4</v>
      </c>
      <c r="H160" s="112" t="s">
        <v>51</v>
      </c>
      <c r="I160" s="112" t="s">
        <v>52</v>
      </c>
      <c r="J160" s="112" t="s">
        <v>53</v>
      </c>
      <c r="K160" s="112" t="s">
        <v>54</v>
      </c>
      <c r="L160" s="112" t="s">
        <v>55</v>
      </c>
    </row>
    <row r="161" spans="3:12" x14ac:dyDescent="0.3">
      <c r="C161" s="113"/>
      <c r="D161" s="114"/>
      <c r="E161" s="114"/>
      <c r="F161" s="115"/>
      <c r="G161" s="49" t="str">
        <f>IFERROR(IF(retenciones_mes1[[#This Row],[CUIT]]="","-",VLOOKUP(retenciones_mes1[[#This Row],[CUIT]],Lista_CUIT[#All],2,0)),"CUIT NO CARGADO")</f>
        <v>-</v>
      </c>
      <c r="H161" s="116"/>
      <c r="I161" s="116"/>
      <c r="J161" s="116"/>
      <c r="K161" s="116"/>
      <c r="L161" s="116"/>
    </row>
    <row r="162" spans="3:12" x14ac:dyDescent="0.3">
      <c r="C162" s="113"/>
      <c r="D162" s="114"/>
      <c r="E162" s="114"/>
      <c r="F162" s="115"/>
      <c r="G162" s="49" t="str">
        <f>IFERROR(IF(retenciones_mes1[[#This Row],[CUIT]]="","-",VLOOKUP(retenciones_mes1[[#This Row],[CUIT]],Lista_CUIT[#All],2,0)),"CUIT NO CARGADO")</f>
        <v>-</v>
      </c>
      <c r="H162" s="116"/>
      <c r="I162" s="116"/>
      <c r="J162" s="116"/>
      <c r="K162" s="116"/>
      <c r="L162" s="116"/>
    </row>
    <row r="163" spans="3:12" x14ac:dyDescent="0.3">
      <c r="C163" s="113"/>
      <c r="D163" s="114"/>
      <c r="E163" s="114"/>
      <c r="F163" s="115"/>
      <c r="G163" s="49" t="str">
        <f>IFERROR(IF(retenciones_mes1[[#This Row],[CUIT]]="","-",VLOOKUP(retenciones_mes1[[#This Row],[CUIT]],Lista_CUIT[#All],2,0)),"CUIT NO CARGADO")</f>
        <v>-</v>
      </c>
      <c r="H163" s="116"/>
      <c r="I163" s="116"/>
      <c r="J163" s="116"/>
      <c r="K163" s="116"/>
      <c r="L163" s="116"/>
    </row>
    <row r="164" spans="3:12" x14ac:dyDescent="0.3">
      <c r="C164" s="113"/>
      <c r="D164" s="114"/>
      <c r="E164" s="114"/>
      <c r="F164" s="115"/>
      <c r="G164" s="49" t="str">
        <f>IFERROR(IF(retenciones_mes1[[#This Row],[CUIT]]="","-",VLOOKUP(retenciones_mes1[[#This Row],[CUIT]],Lista_CUIT[#All],2,0)),"CUIT NO CARGADO")</f>
        <v>-</v>
      </c>
      <c r="H164" s="116"/>
      <c r="I164" s="116"/>
      <c r="J164" s="116"/>
      <c r="K164" s="116"/>
      <c r="L164" s="116"/>
    </row>
    <row r="165" spans="3:12" x14ac:dyDescent="0.3">
      <c r="D165" s="114"/>
      <c r="E165" s="114"/>
      <c r="G165" s="49" t="str">
        <f>IFERROR(IF(retenciones_mes1[[#This Row],[CUIT]]="","-",VLOOKUP(retenciones_mes1[[#This Row],[CUIT]],Lista_CUIT[#All],2,0)),"CUIT NO CARGADO")</f>
        <v>-</v>
      </c>
    </row>
    <row r="166" spans="3:12" x14ac:dyDescent="0.3">
      <c r="C166" s="30"/>
    </row>
  </sheetData>
  <mergeCells count="20">
    <mergeCell ref="C159:G159"/>
    <mergeCell ref="N1:R1"/>
    <mergeCell ref="B129:C129"/>
    <mergeCell ref="B143:C143"/>
    <mergeCell ref="B1:F1"/>
    <mergeCell ref="G1:M1"/>
    <mergeCell ref="K127:M127"/>
    <mergeCell ref="B3:E3"/>
    <mergeCell ref="B4:E4"/>
    <mergeCell ref="G4:H4"/>
    <mergeCell ref="G3:H3"/>
    <mergeCell ref="B127:J127"/>
    <mergeCell ref="D98:M98"/>
    <mergeCell ref="D115:K115"/>
    <mergeCell ref="P4:R4"/>
    <mergeCell ref="P3:R3"/>
    <mergeCell ref="J3:K3"/>
    <mergeCell ref="J4:K4"/>
    <mergeCell ref="M4:N4"/>
    <mergeCell ref="M3:N3"/>
  </mergeCells>
  <phoneticPr fontId="38" type="noConversion"/>
  <dataValidations count="15">
    <dataValidation type="whole" allowBlank="1" showInputMessage="1" showErrorMessage="1" sqref="E117:E120 D131:D139 D145:D150 D9:D92">
      <formula1>1</formula1>
      <formula2>9999</formula2>
    </dataValidation>
    <dataValidation type="whole" allowBlank="1" showInputMessage="1" showErrorMessage="1" sqref="F117:F120 E131:E139 E145:E150 E9:E92">
      <formula1>1</formula1>
      <formula2>99999999</formula2>
    </dataValidation>
    <dataValidation type="whole" allowBlank="1" showInputMessage="1" showErrorMessage="1" sqref="G117:G120 F131:F139 F145:F150 F9:F92">
      <formula1>20000000000</formula1>
      <formula2>33999999999</formula2>
    </dataValidation>
    <dataValidation type="date" allowBlank="1" showInputMessage="1" showErrorMessage="1" sqref="B131:B139 D117:D120 B94:B97 B145:B150 D100:D109 B9:B92">
      <formula1>40179</formula1>
      <formula2>TODAY()</formula2>
    </dataValidation>
    <dataValidation type="whole" allowBlank="1" showInputMessage="1" showErrorMessage="1" sqref="C131:C139 C94:C97 C9:C92">
      <formula1>1</formula1>
      <formula2>3</formula2>
    </dataValidation>
    <dataValidation type="custom" allowBlank="1" showInputMessage="1" showErrorMessage="1" sqref="H131:K131 H133:K133 H135:K135 H137:K137">
      <formula1>IF($C131=3,H131&lt;0,H131&gt;=0)</formula1>
    </dataValidation>
    <dataValidation type="whole" allowBlank="1" showInputMessage="1" showErrorMessage="1" sqref="C145:C150">
      <formula1>6</formula1>
      <formula2>8</formula2>
    </dataValidation>
    <dataValidation type="custom" allowBlank="1" showInputMessage="1" showErrorMessage="1" sqref="H145:L150">
      <formula1>IF($C145=8,H145&lt;0,H145&gt;=0)</formula1>
    </dataValidation>
    <dataValidation type="custom" allowBlank="1" showInputMessage="1" showErrorMessage="1" sqref="L131">
      <formula1>IF(#REF!=3,#REF!&lt;0,#REF!&gt;=0)</formula1>
    </dataValidation>
    <dataValidation type="custom" allowBlank="1" showInputMessage="1" showErrorMessage="1" sqref="L132">
      <formula1>IF(#REF!=3,#REF!&lt;0,#REF!&gt;=0)</formula1>
    </dataValidation>
    <dataValidation type="custom" allowBlank="1" showInputMessage="1" showErrorMessage="1" sqref="L133:L135">
      <formula1>IF(#REF!=3,#REF!&lt;0,#REF!&gt;=0)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O91:O92 H67:N92 O67:O89 I9:O66 H9:H65">
      <formula1>IF($C9=3,H9&lt;0,H9&gt;=0)</formula1>
    </dataValidation>
    <dataValidation type="custom" allowBlank="1" showInputMessage="1" showErrorMessage="1" sqref="L136:L137">
      <formula1>IF($C93=3,L93&lt;0,L93&gt;=0)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66">
      <formula1>IF(#REF!=3,H66&lt;0,H66&gt;=0)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O90">
      <formula1>IF($C89=3,O90&lt;0,O90&gt;=0)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9" tint="0.79998168889431442"/>
  </sheetPr>
  <dimension ref="A1:Z147"/>
  <sheetViews>
    <sheetView showGridLines="0" tabSelected="1" topLeftCell="G34" zoomScale="80" zoomScaleNormal="80" workbookViewId="0">
      <selection activeCell="M19" sqref="M19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5.6640625" customWidth="1"/>
    <col min="6" max="6" width="16.88671875" customWidth="1"/>
    <col min="7" max="7" width="27.554687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4" width="15.109375" customWidth="1"/>
    <col min="15" max="16" width="16.5546875" customWidth="1"/>
    <col min="17" max="17" width="20.10937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3"/>
      <c r="B1" s="450" t="s">
        <v>28</v>
      </c>
      <c r="C1" s="450"/>
      <c r="D1" s="450"/>
      <c r="E1" s="450"/>
      <c r="F1" s="450"/>
      <c r="G1" s="457" t="str">
        <f>'Ene-22'!G1:M1</f>
        <v>EUROARGENTINA</v>
      </c>
      <c r="H1" s="457"/>
      <c r="I1" s="457"/>
      <c r="J1" s="457"/>
      <c r="K1" s="457"/>
      <c r="L1" s="457"/>
      <c r="M1" s="457"/>
      <c r="N1" s="448">
        <f>EDATE('Ene-22'!N1,1)</f>
        <v>44593</v>
      </c>
      <c r="O1" s="448"/>
      <c r="P1" s="448"/>
      <c r="Q1" s="448"/>
      <c r="R1" s="448"/>
    </row>
    <row r="2" spans="1:26" ht="15" customHeight="1" x14ac:dyDescent="0.3"/>
    <row r="3" spans="1:26" ht="26.4" customHeight="1" x14ac:dyDescent="0.3">
      <c r="B3" s="453" t="s">
        <v>47</v>
      </c>
      <c r="C3" s="453"/>
      <c r="D3" s="453"/>
      <c r="E3" s="453"/>
      <c r="F3" s="34"/>
      <c r="G3" s="453" t="s">
        <v>37</v>
      </c>
      <c r="H3" s="453"/>
      <c r="I3" s="34"/>
      <c r="J3" s="445" t="s">
        <v>14</v>
      </c>
      <c r="K3" s="445"/>
      <c r="L3" s="34"/>
      <c r="M3" s="445" t="s">
        <v>12</v>
      </c>
      <c r="N3" s="445"/>
      <c r="O3" s="34"/>
      <c r="P3" s="444" t="s">
        <v>82</v>
      </c>
      <c r="Q3" s="444"/>
      <c r="R3" s="444"/>
    </row>
    <row r="4" spans="1:26" ht="25.2" customHeight="1" x14ac:dyDescent="0.4">
      <c r="B4" s="454">
        <f>SUM(compras_mes2[[#Totals],[NETO GRAVADO]])+extracto_banco_mes2[[#Totals],[NETO]]</f>
        <v>4108673.2499999995</v>
      </c>
      <c r="C4" s="454"/>
      <c r="D4" s="454"/>
      <c r="E4" s="454"/>
      <c r="F4" s="35"/>
      <c r="G4" s="455">
        <f>compras_mes2[[#Totals],[IVA 21 %]]+compras_mes2[[#Totals],[IVA 27%]]+compras_mes2[[#Totals],[IVA 10,5%]]+extracto_banco_mes2[[#Totals],[IVA 21%]]+extracto_banco_mes2[[#Totals],[IVA 10,5%]]</f>
        <v>814677.59299999988</v>
      </c>
      <c r="H4" s="455"/>
      <c r="I4" s="35"/>
      <c r="J4" s="446">
        <f>venta_a_mes2[[#Totals],[IMPORTE NETO]]+ventas_b_mes2[[#Totals],[IMPORTE NETO]]</f>
        <v>0</v>
      </c>
      <c r="K4" s="446"/>
      <c r="L4" s="35"/>
      <c r="M4" s="446">
        <f>venta_a_mes2[[#Totals],[IVA 21%]]+venta_a_mes2[[#Totals],[IVA 10,5%]]+ventas_b_mes2[[#Totals],[IVA 21%]]+ventas_b_mes2[[#Totals],[IVA 10,5%]]</f>
        <v>0</v>
      </c>
      <c r="N4" s="446"/>
      <c r="O4" s="35"/>
      <c r="P4" s="442">
        <f>G4-M4</f>
        <v>814677.59299999988</v>
      </c>
      <c r="Q4" s="443"/>
      <c r="R4" s="44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36"/>
      <c r="C7" s="37"/>
      <c r="D7" s="38"/>
      <c r="E7" s="39"/>
      <c r="F7" s="40"/>
      <c r="G7" s="41"/>
      <c r="H7" s="42"/>
      <c r="I7" s="43"/>
      <c r="J7" s="43"/>
      <c r="K7" s="43"/>
      <c r="L7" s="43"/>
      <c r="M7" s="43"/>
      <c r="N7" s="43"/>
      <c r="O7" s="43"/>
      <c r="P7" s="44"/>
      <c r="Q7" s="45"/>
      <c r="R7" s="45"/>
      <c r="T7"/>
      <c r="U7"/>
      <c r="V7"/>
      <c r="W7"/>
      <c r="X7"/>
      <c r="Y7"/>
      <c r="Z7"/>
    </row>
    <row r="8" spans="1:26" ht="38.4" customHeight="1" x14ac:dyDescent="0.3">
      <c r="B8" s="80" t="s">
        <v>0</v>
      </c>
      <c r="C8" s="80" t="s">
        <v>1</v>
      </c>
      <c r="D8" s="80" t="s">
        <v>2</v>
      </c>
      <c r="E8" s="80" t="s">
        <v>27</v>
      </c>
      <c r="F8" s="80" t="s">
        <v>3</v>
      </c>
      <c r="G8" s="80" t="s">
        <v>4</v>
      </c>
      <c r="H8" s="80" t="s">
        <v>34</v>
      </c>
      <c r="I8" s="80" t="s">
        <v>35</v>
      </c>
      <c r="J8" s="80" t="s">
        <v>6</v>
      </c>
      <c r="K8" s="80" t="s">
        <v>7</v>
      </c>
      <c r="L8" s="80" t="s">
        <v>8</v>
      </c>
      <c r="M8" s="80" t="s">
        <v>33</v>
      </c>
      <c r="N8" s="80" t="s">
        <v>9</v>
      </c>
      <c r="O8" s="80" t="s">
        <v>36</v>
      </c>
      <c r="P8" s="80" t="s">
        <v>10</v>
      </c>
      <c r="Q8" s="80" t="s">
        <v>11</v>
      </c>
      <c r="R8" s="80" t="s">
        <v>38</v>
      </c>
    </row>
    <row r="9" spans="1:26" ht="17.25" customHeight="1" x14ac:dyDescent="0.3">
      <c r="B9" s="36">
        <v>44593</v>
      </c>
      <c r="C9" s="37">
        <v>1</v>
      </c>
      <c r="D9" s="38">
        <v>1</v>
      </c>
      <c r="E9" s="39">
        <v>218</v>
      </c>
      <c r="F9" s="40">
        <v>20131206144</v>
      </c>
      <c r="G9" s="41" t="str">
        <f>IFERROR(IF(compras_mes2[[#This Row],[CUIT]]="","-",VLOOKUP(compras_mes2[[#This Row],[CUIT]],Lista_CUIT[#All],2,0)),"CUIT NO CARGADO")</f>
        <v>CHAMORRO MANUEL</v>
      </c>
      <c r="H9" s="42">
        <v>18000</v>
      </c>
      <c r="I9" s="81">
        <f>IF(compras_mes2[[#This Row],[NETO GRAVADO]]="","",compras_mes2[[#This Row],[NETO GRAVADO]]*0.21)</f>
        <v>3780</v>
      </c>
      <c r="J9" s="81"/>
      <c r="K9" s="81"/>
      <c r="L9" s="81"/>
      <c r="M9" s="81"/>
      <c r="N9" s="81"/>
      <c r="O9" s="81"/>
      <c r="P9" s="44">
        <f>SUM(compras_mes2[[#This Row],[NETO GRAVADO]:[Otros / No Grav.]])</f>
        <v>21780</v>
      </c>
      <c r="Q9" s="45" t="str">
        <f>IFERROR(IF(compras_mes2[[#This Row],[CUIT]]="","-",VLOOKUP(compras_mes2[[#This Row],[CUIT]],Lista_CUIT[#All],3,0)),"CUIT NO CARGADO")</f>
        <v>Alquiler</v>
      </c>
      <c r="R9" s="45">
        <f>IFERROR(IF(compras_mes2[[#This Row],[CUIT]]="","-",VLOOKUP(compras_mes2[[#This Row],[CUIT]],Lista_CUIT[#All],4,0)),"CUIT NO CARGADO")</f>
        <v>0</v>
      </c>
    </row>
    <row r="10" spans="1:26" ht="16.5" customHeight="1" x14ac:dyDescent="0.3">
      <c r="B10" s="36">
        <v>44595</v>
      </c>
      <c r="C10" s="37">
        <v>1</v>
      </c>
      <c r="D10" s="38">
        <v>1</v>
      </c>
      <c r="E10" s="39">
        <v>29</v>
      </c>
      <c r="F10" s="40">
        <v>30716010313</v>
      </c>
      <c r="G10" s="41" t="str">
        <f>IFERROR(IF(compras_mes2[[#This Row],[CUIT]]="","-",VLOOKUP(compras_mes2[[#This Row],[CUIT]],Lista_CUIT[#All],2,0)),"CUIT NO CARGADO")</f>
        <v>H UNO 1469 S.A.</v>
      </c>
      <c r="H10" s="42">
        <v>32000</v>
      </c>
      <c r="I10" s="81">
        <f>IF(compras_mes2[[#This Row],[NETO GRAVADO]]="","",compras_mes2[[#This Row],[NETO GRAVADO]]*0.21)</f>
        <v>6720</v>
      </c>
      <c r="J10" s="81"/>
      <c r="K10" s="81"/>
      <c r="L10" s="81"/>
      <c r="M10" s="81"/>
      <c r="N10" s="81"/>
      <c r="O10" s="81"/>
      <c r="P10" s="44">
        <f>SUM(compras_mes2[[#This Row],[NETO GRAVADO]:[Otros / No Grav.]])</f>
        <v>38720</v>
      </c>
      <c r="Q10" s="45" t="str">
        <f>IFERROR(IF(compras_mes2[[#This Row],[CUIT]]="","-",VLOOKUP(compras_mes2[[#This Row],[CUIT]],Lista_CUIT[#All],3,0)),"CUIT NO CARGADO")</f>
        <v>Alquiler</v>
      </c>
      <c r="R10" s="45">
        <f>IFERROR(IF(compras_mes2[[#This Row],[CUIT]]="","-",VLOOKUP(compras_mes2[[#This Row],[CUIT]],Lista_CUIT[#All],4,0)),"CUIT NO CARGADO")</f>
        <v>0</v>
      </c>
    </row>
    <row r="11" spans="1:26" x14ac:dyDescent="0.3">
      <c r="B11" s="36">
        <v>44594</v>
      </c>
      <c r="C11" s="37">
        <v>1</v>
      </c>
      <c r="D11" s="38">
        <v>8</v>
      </c>
      <c r="E11" s="39">
        <v>989</v>
      </c>
      <c r="F11" s="40">
        <v>30712212817</v>
      </c>
      <c r="G11" s="41" t="str">
        <f>IFERROR(IF(compras_mes2[[#This Row],[CUIT]]="","-",VLOOKUP(compras_mes2[[#This Row],[CUIT]],Lista_CUIT[#All],2,0)),"CUIT NO CARGADO")</f>
        <v>LIQUID  GAS  S.A.</v>
      </c>
      <c r="H11" s="42">
        <v>914.05</v>
      </c>
      <c r="I11" s="81">
        <f>IF(compras_mes2[[#This Row],[NETO GRAVADO]]="","",compras_mes2[[#This Row],[NETO GRAVADO]]*0.21)</f>
        <v>191.95049999999998</v>
      </c>
      <c r="J11" s="81"/>
      <c r="K11" s="81"/>
      <c r="L11" s="81"/>
      <c r="M11" s="81"/>
      <c r="N11" s="81"/>
      <c r="O11" s="81"/>
      <c r="P11" s="44">
        <f>SUM(compras_mes2[[#This Row],[NETO GRAVADO]:[Otros / No Grav.]])</f>
        <v>1106.0004999999999</v>
      </c>
      <c r="Q11" s="45" t="str">
        <f>IFERROR(IF(compras_mes2[[#This Row],[CUIT]]="","-",VLOOKUP(compras_mes2[[#This Row],[CUIT]],Lista_CUIT[#All],3,0)),"CUIT NO CARGADO")</f>
        <v>Combustible</v>
      </c>
      <c r="R11" s="45" t="str">
        <f>IFERROR(IF(compras_mes2[[#This Row],[CUIT]]="","-",VLOOKUP(compras_mes2[[#This Row],[CUIT]],Lista_CUIT[#All],4,0)),"CUIT NO CARGADO")</f>
        <v>BS AS</v>
      </c>
    </row>
    <row r="12" spans="1:26" x14ac:dyDescent="0.3">
      <c r="B12" s="36">
        <v>44604</v>
      </c>
      <c r="C12" s="37">
        <v>1</v>
      </c>
      <c r="D12" s="38">
        <v>4</v>
      </c>
      <c r="E12" s="39">
        <v>2964</v>
      </c>
      <c r="F12" s="40">
        <v>30707949550</v>
      </c>
      <c r="G12" s="41" t="str">
        <f>IFERROR(IF(compras_mes2[[#This Row],[CUIT]]="","-",VLOOKUP(compras_mes2[[#This Row],[CUIT]],Lista_CUIT[#All],2,0)),"CUIT NO CARGADO")</f>
        <v>LNG  GAS  S.A.</v>
      </c>
      <c r="H12" s="42">
        <v>1283.75</v>
      </c>
      <c r="I12" s="81">
        <f>IF(compras_mes2[[#This Row],[NETO GRAVADO]]="","",compras_mes2[[#This Row],[NETO GRAVADO]]*0.21)</f>
        <v>269.58749999999998</v>
      </c>
      <c r="J12" s="81"/>
      <c r="K12" s="81"/>
      <c r="L12" s="81"/>
      <c r="M12" s="81"/>
      <c r="N12" s="81"/>
      <c r="O12" s="81">
        <v>17.77</v>
      </c>
      <c r="P12" s="44">
        <f>SUM(compras_mes2[[#This Row],[NETO GRAVADO]:[Otros / No Grav.]])</f>
        <v>1571.1075000000001</v>
      </c>
      <c r="Q12" s="45" t="str">
        <f>IFERROR(IF(compras_mes2[[#This Row],[CUIT]]="","-",VLOOKUP(compras_mes2[[#This Row],[CUIT]],Lista_CUIT[#All],3,0)),"CUIT NO CARGADO")</f>
        <v>Combustible</v>
      </c>
      <c r="R12" s="45" t="str">
        <f>IFERROR(IF(compras_mes2[[#This Row],[CUIT]]="","-",VLOOKUP(compras_mes2[[#This Row],[CUIT]],Lista_CUIT[#All],4,0)),"CUIT NO CARGADO")</f>
        <v>BS AS</v>
      </c>
    </row>
    <row r="13" spans="1:26" x14ac:dyDescent="0.3">
      <c r="B13" s="36">
        <v>44608</v>
      </c>
      <c r="C13" s="37">
        <v>1</v>
      </c>
      <c r="D13" s="38">
        <v>6866</v>
      </c>
      <c r="E13" s="39">
        <v>2198</v>
      </c>
      <c r="F13" s="40">
        <v>30678774495</v>
      </c>
      <c r="G13" s="41" t="str">
        <f>IFERROR(IF(compras_mes2[[#This Row],[CUIT]]="","-",VLOOKUP(compras_mes2[[#This Row],[CUIT]],Lista_CUIT[#All],2,0)),"CUIT NO CARGADO")</f>
        <v>OPER. DE EST. DE SERV. SA</v>
      </c>
      <c r="H13" s="42">
        <v>1611.53</v>
      </c>
      <c r="I13" s="81">
        <f>IF(compras_mes2[[#This Row],[NETO GRAVADO]]="","",compras_mes2[[#This Row],[NETO GRAVADO]]*0.21)</f>
        <v>338.42129999999997</v>
      </c>
      <c r="J13" s="81"/>
      <c r="K13" s="81"/>
      <c r="L13" s="81"/>
      <c r="M13" s="81"/>
      <c r="N13" s="81"/>
      <c r="O13" s="81">
        <v>428.06</v>
      </c>
      <c r="P13" s="44">
        <f>SUM(compras_mes2[[#This Row],[NETO GRAVADO]:[Otros / No Grav.]])</f>
        <v>2378.0113000000001</v>
      </c>
      <c r="Q13" s="45" t="str">
        <f>IFERROR(IF(compras_mes2[[#This Row],[CUIT]]="","-",VLOOKUP(compras_mes2[[#This Row],[CUIT]],Lista_CUIT[#All],3,0)),"CUIT NO CARGADO")</f>
        <v>Combustible</v>
      </c>
      <c r="R13" s="45">
        <f>IFERROR(IF(compras_mes2[[#This Row],[CUIT]]="","-",VLOOKUP(compras_mes2[[#This Row],[CUIT]],Lista_CUIT[#All],4,0)),"CUIT NO CARGADO")</f>
        <v>0</v>
      </c>
    </row>
    <row r="14" spans="1:26" x14ac:dyDescent="0.3">
      <c r="B14" s="36">
        <v>44611</v>
      </c>
      <c r="C14" s="37">
        <v>1</v>
      </c>
      <c r="D14" s="38">
        <v>7</v>
      </c>
      <c r="E14" s="39">
        <v>56262</v>
      </c>
      <c r="F14" s="40">
        <v>30696131003</v>
      </c>
      <c r="G14" s="41" t="str">
        <f>IFERROR(IF(compras_mes2[[#This Row],[CUIT]]="","-",VLOOKUP(compras_mes2[[#This Row],[CUIT]],Lista_CUIT[#All],2,0)),"CUIT NO CARGADO")</f>
        <v>PETROLFE  S.A.</v>
      </c>
      <c r="H14" s="42">
        <v>30608.04</v>
      </c>
      <c r="I14" s="81">
        <f>IF(compras_mes2[[#This Row],[NETO GRAVADO]]="","",compras_mes2[[#This Row],[NETO GRAVADO]]*0.21)</f>
        <v>6427.6884</v>
      </c>
      <c r="J14" s="81"/>
      <c r="K14" s="81"/>
      <c r="L14" s="81"/>
      <c r="M14" s="81"/>
      <c r="N14" s="81"/>
      <c r="O14" s="81">
        <v>9263.67</v>
      </c>
      <c r="P14" s="44">
        <f>SUM(compras_mes2[[#This Row],[NETO GRAVADO]:[Otros / No Grav.]])</f>
        <v>46299.398399999998</v>
      </c>
      <c r="Q14" s="45" t="str">
        <f>IFERROR(IF(compras_mes2[[#This Row],[CUIT]]="","-",VLOOKUP(compras_mes2[[#This Row],[CUIT]],Lista_CUIT[#All],3,0)),"CUIT NO CARGADO")</f>
        <v>Combustible</v>
      </c>
      <c r="R14" s="45">
        <f>IFERROR(IF(compras_mes2[[#This Row],[CUIT]]="","-",VLOOKUP(compras_mes2[[#This Row],[CUIT]],Lista_CUIT[#All],4,0)),"CUIT NO CARGADO")</f>
        <v>0</v>
      </c>
    </row>
    <row r="15" spans="1:26" x14ac:dyDescent="0.3">
      <c r="B15" s="36">
        <v>44615</v>
      </c>
      <c r="C15" s="37">
        <v>1</v>
      </c>
      <c r="D15" s="38">
        <v>7</v>
      </c>
      <c r="E15" s="39">
        <v>66786</v>
      </c>
      <c r="F15" s="40">
        <v>30568586391</v>
      </c>
      <c r="G15" s="41" t="str">
        <f>IFERROR(IF(compras_mes2[[#This Row],[CUIT]]="","-",VLOOKUP(compras_mes2[[#This Row],[CUIT]],Lista_CUIT[#All],2,0)),"CUIT NO CARGADO")</f>
        <v>ESTACION  DE  SERVICIO  AXION</v>
      </c>
      <c r="H15" s="42">
        <v>1857.6</v>
      </c>
      <c r="I15" s="81">
        <f>IF(compras_mes2[[#This Row],[NETO GRAVADO]]="","",compras_mes2[[#This Row],[NETO GRAVADO]]*0.21)</f>
        <v>390.09599999999995</v>
      </c>
      <c r="J15" s="81"/>
      <c r="K15" s="81"/>
      <c r="L15" s="81"/>
      <c r="M15" s="81"/>
      <c r="N15" s="81"/>
      <c r="O15" s="81">
        <v>25.26</v>
      </c>
      <c r="P15" s="44">
        <f>SUM(compras_mes2[[#This Row],[NETO GRAVADO]:[Otros / No Grav.]])</f>
        <v>2272.9560000000001</v>
      </c>
      <c r="Q15" s="45" t="str">
        <f>IFERROR(IF(compras_mes2[[#This Row],[CUIT]]="","-",VLOOKUP(compras_mes2[[#This Row],[CUIT]],Lista_CUIT[#All],3,0)),"CUIT NO CARGADO")</f>
        <v>Combustible</v>
      </c>
      <c r="R15" s="45">
        <f>IFERROR(IF(compras_mes2[[#This Row],[CUIT]]="","-",VLOOKUP(compras_mes2[[#This Row],[CUIT]],Lista_CUIT[#All],4,0)),"CUIT NO CARGADO")</f>
        <v>0</v>
      </c>
    </row>
    <row r="16" spans="1:26" x14ac:dyDescent="0.3">
      <c r="B16" s="36">
        <v>44616</v>
      </c>
      <c r="C16" s="37">
        <v>1</v>
      </c>
      <c r="D16" s="38">
        <v>20</v>
      </c>
      <c r="E16" s="39">
        <v>2039</v>
      </c>
      <c r="F16" s="40">
        <v>30515800219</v>
      </c>
      <c r="G16" s="41" t="str">
        <f>IFERROR(IF(compras_mes2[[#This Row],[CUIT]]="","-",VLOOKUP(compras_mes2[[#This Row],[CUIT]],Lista_CUIT[#All],2,0)),"CUIT NO CARGADO")</f>
        <v>INCAT SRL</v>
      </c>
      <c r="H16" s="42">
        <v>9118.67</v>
      </c>
      <c r="I16" s="81">
        <f>IF(compras_mes2[[#This Row],[NETO GRAVADO]]="","",compras_mes2[[#This Row],[NETO GRAVADO]]*0.21)</f>
        <v>1914.9206999999999</v>
      </c>
      <c r="J16" s="81"/>
      <c r="K16" s="81"/>
      <c r="L16" s="81"/>
      <c r="M16" s="81"/>
      <c r="N16" s="81"/>
      <c r="O16" s="81">
        <v>2708.17</v>
      </c>
      <c r="P16" s="44">
        <f>SUM(compras_mes2[[#This Row],[NETO GRAVADO]:[Otros / No Grav.]])</f>
        <v>13741.760700000001</v>
      </c>
      <c r="Q16" s="45" t="str">
        <f>IFERROR(IF(compras_mes2[[#This Row],[CUIT]]="","-",VLOOKUP(compras_mes2[[#This Row],[CUIT]],Lista_CUIT[#All],3,0)),"CUIT NO CARGADO")</f>
        <v>Combustible</v>
      </c>
      <c r="R16" s="45">
        <f>IFERROR(IF(compras_mes2[[#This Row],[CUIT]]="","-",VLOOKUP(compras_mes2[[#This Row],[CUIT]],Lista_CUIT[#All],4,0)),"CUIT NO CARGADO")</f>
        <v>0</v>
      </c>
    </row>
    <row r="17" spans="2:18" x14ac:dyDescent="0.3">
      <c r="B17" s="36">
        <v>44618</v>
      </c>
      <c r="C17" s="37">
        <v>1</v>
      </c>
      <c r="D17" s="38">
        <v>5140</v>
      </c>
      <c r="E17" s="39">
        <v>443</v>
      </c>
      <c r="F17" s="40">
        <v>30695542476</v>
      </c>
      <c r="G17" s="41" t="str">
        <f>IFERROR(IF(compras_mes2[[#This Row],[CUIT]]="","-",VLOOKUP(compras_mes2[[#This Row],[CUIT]],Lista_CUIT[#All],2,0)),"CUIT NO CARGADO")</f>
        <v>PAN  AMERICAN  ENERGY  SL  S.AR</v>
      </c>
      <c r="H17" s="42">
        <v>867.96</v>
      </c>
      <c r="I17" s="81">
        <f>IF(compras_mes2[[#This Row],[NETO GRAVADO]]="","",compras_mes2[[#This Row],[NETO GRAVADO]]*0.21)</f>
        <v>182.27160000000001</v>
      </c>
      <c r="J17" s="81"/>
      <c r="K17" s="81"/>
      <c r="L17" s="81"/>
      <c r="M17" s="81"/>
      <c r="N17" s="81"/>
      <c r="O17" s="81">
        <v>92.76</v>
      </c>
      <c r="P17" s="44">
        <f>SUM(compras_mes2[[#This Row],[NETO GRAVADO]:[Otros / No Grav.]])</f>
        <v>1142.9916000000001</v>
      </c>
      <c r="Q17" s="45" t="str">
        <f>IFERROR(IF(compras_mes2[[#This Row],[CUIT]]="","-",VLOOKUP(compras_mes2[[#This Row],[CUIT]],Lista_CUIT[#All],3,0)),"CUIT NO CARGADO")</f>
        <v>Combustible</v>
      </c>
      <c r="R17" s="45">
        <f>IFERROR(IF(compras_mes2[[#This Row],[CUIT]]="","-",VLOOKUP(compras_mes2[[#This Row],[CUIT]],Lista_CUIT[#All],4,0)),"CUIT NO CARGADO")</f>
        <v>0</v>
      </c>
    </row>
    <row r="18" spans="2:18" x14ac:dyDescent="0.3">
      <c r="B18" s="36">
        <v>44618</v>
      </c>
      <c r="C18" s="37">
        <v>1</v>
      </c>
      <c r="D18" s="38">
        <v>6</v>
      </c>
      <c r="E18" s="39">
        <v>1473</v>
      </c>
      <c r="F18" s="40">
        <v>20134664518</v>
      </c>
      <c r="G18" s="41" t="str">
        <f>IFERROR(IF(compras_mes2[[#This Row],[CUIT]]="","-",VLOOKUP(compras_mes2[[#This Row],[CUIT]],Lista_CUIT[#All],2,0)),"CUIT NO CARGADO")</f>
        <v>HOKAMA SERGIO ENRIQUE</v>
      </c>
      <c r="H18" s="42">
        <v>8666.89</v>
      </c>
      <c r="I18" s="81">
        <f>IF(compras_mes2[[#This Row],[NETO GRAVADO]]="","",compras_mes2[[#This Row],[NETO GRAVADO]]*0.21)</f>
        <v>1820.0468999999998</v>
      </c>
      <c r="J18" s="81"/>
      <c r="K18" s="81"/>
      <c r="L18" s="81"/>
      <c r="M18" s="81"/>
      <c r="N18" s="81"/>
      <c r="O18" s="81"/>
      <c r="P18" s="44">
        <f>SUM(compras_mes2[[#This Row],[NETO GRAVADO]:[Otros / No Grav.]])</f>
        <v>10486.936899999999</v>
      </c>
      <c r="Q18" s="45" t="str">
        <f>IFERROR(IF(compras_mes2[[#This Row],[CUIT]]="","-",VLOOKUP(compras_mes2[[#This Row],[CUIT]],Lista_CUIT[#All],3,0)),"CUIT NO CARGADO")</f>
        <v>Comida-Limpieza</v>
      </c>
      <c r="R18" s="45">
        <f>IFERROR(IF(compras_mes2[[#This Row],[CUIT]]="","-",VLOOKUP(compras_mes2[[#This Row],[CUIT]],Lista_CUIT[#All],4,0)),"CUIT NO CARGADO")</f>
        <v>0</v>
      </c>
    </row>
    <row r="19" spans="2:18" x14ac:dyDescent="0.3">
      <c r="B19" s="36">
        <v>44606</v>
      </c>
      <c r="C19" s="37">
        <v>1</v>
      </c>
      <c r="D19" s="38">
        <v>10</v>
      </c>
      <c r="E19" s="39">
        <v>45567</v>
      </c>
      <c r="F19" s="40">
        <v>30711069360</v>
      </c>
      <c r="G19" s="41" t="str">
        <f>IFERROR(IF(compras_mes2[[#This Row],[CUIT]]="","-",VLOOKUP(compras_mes2[[#This Row],[CUIT]],Lista_CUIT[#All],2,0)),"CUIT NO CARGADO")</f>
        <v>BIDCOM  S.R.L.</v>
      </c>
      <c r="H19" s="42">
        <v>162226.23999999999</v>
      </c>
      <c r="I19" s="81"/>
      <c r="J19" s="81"/>
      <c r="K19" s="81">
        <v>17033.759999999998</v>
      </c>
      <c r="L19" s="81"/>
      <c r="M19" s="81"/>
      <c r="N19" s="81">
        <v>9733.57</v>
      </c>
      <c r="O19" s="81"/>
      <c r="P19" s="44">
        <f>SUM(compras_mes2[[#This Row],[NETO GRAVADO]:[Otros / No Grav.]])</f>
        <v>188993.57</v>
      </c>
      <c r="Q19" s="45" t="str">
        <f>IFERROR(IF(compras_mes2[[#This Row],[CUIT]]="","-",VLOOKUP(compras_mes2[[#This Row],[CUIT]],Lista_CUIT[#All],3,0)),"CUIT NO CARGADO")</f>
        <v>Equipos de Informatica</v>
      </c>
      <c r="R19" s="45">
        <f>IFERROR(IF(compras_mes2[[#This Row],[CUIT]]="","-",VLOOKUP(compras_mes2[[#This Row],[CUIT]],Lista_CUIT[#All],4,0)),"CUIT NO CARGADO")</f>
        <v>0</v>
      </c>
    </row>
    <row r="20" spans="2:18" x14ac:dyDescent="0.3">
      <c r="B20" s="36">
        <v>44617</v>
      </c>
      <c r="C20" s="37">
        <v>1</v>
      </c>
      <c r="D20" s="38">
        <v>10</v>
      </c>
      <c r="E20" s="39">
        <v>46833</v>
      </c>
      <c r="F20" s="40">
        <v>30711069360</v>
      </c>
      <c r="G20" s="41" t="str">
        <f>IFERROR(IF(compras_mes2[[#This Row],[CUIT]]="","-",VLOOKUP(compras_mes2[[#This Row],[CUIT]],Lista_CUIT[#All],2,0)),"CUIT NO CARGADO")</f>
        <v>BIDCOM  S.R.L.</v>
      </c>
      <c r="H20" s="42">
        <v>162226.23999999999</v>
      </c>
      <c r="I20" s="81"/>
      <c r="J20" s="81"/>
      <c r="K20" s="81">
        <v>17033.759999999998</v>
      </c>
      <c r="L20" s="81"/>
      <c r="M20" s="81"/>
      <c r="N20" s="81">
        <v>9733.57</v>
      </c>
      <c r="O20" s="81"/>
      <c r="P20" s="44">
        <f>SUM(compras_mes2[[#This Row],[NETO GRAVADO]:[Otros / No Grav.]])</f>
        <v>188993.57</v>
      </c>
      <c r="Q20" s="45" t="str">
        <f>IFERROR(IF(compras_mes2[[#This Row],[CUIT]]="","-",VLOOKUP(compras_mes2[[#This Row],[CUIT]],Lista_CUIT[#All],3,0)),"CUIT NO CARGADO")</f>
        <v>Equipos de Informatica</v>
      </c>
      <c r="R20" s="45">
        <f>IFERROR(IF(compras_mes2[[#This Row],[CUIT]]="","-",VLOOKUP(compras_mes2[[#This Row],[CUIT]],Lista_CUIT[#All],4,0)),"CUIT NO CARGADO")</f>
        <v>0</v>
      </c>
    </row>
    <row r="21" spans="2:18" x14ac:dyDescent="0.3">
      <c r="B21" s="36">
        <v>44599</v>
      </c>
      <c r="C21" s="37">
        <v>1</v>
      </c>
      <c r="D21" s="38">
        <v>2</v>
      </c>
      <c r="E21" s="39">
        <v>1292</v>
      </c>
      <c r="F21" s="40">
        <v>20931803124</v>
      </c>
      <c r="G21" s="41" t="str">
        <f>IFERROR(IF(compras_mes2[[#This Row],[CUIT]]="","-",VLOOKUP(compras_mes2[[#This Row],[CUIT]],Lista_CUIT[#All],2,0)),"CUIT NO CARGADO")</f>
        <v>CARNUCCIO  COSME  DAMIAN</v>
      </c>
      <c r="H21" s="42">
        <v>1847.94</v>
      </c>
      <c r="I21" s="81">
        <f>IF(compras_mes2[[#This Row],[NETO GRAVADO]]="","",compras_mes2[[#This Row],[NETO GRAVADO]]*0.21)</f>
        <v>388.06740000000002</v>
      </c>
      <c r="J21" s="81"/>
      <c r="K21" s="81"/>
      <c r="L21" s="81"/>
      <c r="M21" s="81"/>
      <c r="N21" s="81"/>
      <c r="O21" s="81"/>
      <c r="P21" s="44">
        <f>SUM(compras_mes2[[#This Row],[NETO GRAVADO]:[Otros / No Grav.]])</f>
        <v>2236.0074</v>
      </c>
      <c r="Q21" s="45" t="str">
        <f>IFERROR(IF(compras_mes2[[#This Row],[CUIT]]="","-",VLOOKUP(compras_mes2[[#This Row],[CUIT]],Lista_CUIT[#All],3,0)),"CUIT NO CARGADO")</f>
        <v>Ferreteria</v>
      </c>
      <c r="R21" s="45" t="str">
        <f>IFERROR(IF(compras_mes2[[#This Row],[CUIT]]="","-",VLOOKUP(compras_mes2[[#This Row],[CUIT]],Lista_CUIT[#All],4,0)),"CUIT NO CARGADO")</f>
        <v>BUENOS AIRES</v>
      </c>
    </row>
    <row r="22" spans="2:18" x14ac:dyDescent="0.3">
      <c r="B22" s="36">
        <v>44593</v>
      </c>
      <c r="C22" s="37">
        <v>1</v>
      </c>
      <c r="D22" s="38">
        <v>1</v>
      </c>
      <c r="E22" s="39">
        <v>15782</v>
      </c>
      <c r="F22" s="40">
        <v>20173025557</v>
      </c>
      <c r="G22" s="41" t="str">
        <f>IFERROR(IF(compras_mes2[[#This Row],[CUIT]]="","-",VLOOKUP(compras_mes2[[#This Row],[CUIT]],Lista_CUIT[#All],2,0)),"CUIT NO CARGADO")</f>
        <v>MARAUDA HECTOR</v>
      </c>
      <c r="H22" s="42">
        <v>991.74</v>
      </c>
      <c r="I22" s="81">
        <f>IF(compras_mes2[[#This Row],[NETO GRAVADO]]="","",compras_mes2[[#This Row],[NETO GRAVADO]]*0.21)</f>
        <v>208.2654</v>
      </c>
      <c r="J22" s="81"/>
      <c r="K22" s="81"/>
      <c r="L22" s="81"/>
      <c r="M22" s="81"/>
      <c r="N22" s="81"/>
      <c r="O22" s="81"/>
      <c r="P22" s="44">
        <f>SUM(compras_mes2[[#This Row],[NETO GRAVADO]:[Otros / No Grav.]])</f>
        <v>1200.0054</v>
      </c>
      <c r="Q22" s="45" t="str">
        <f>IFERROR(IF(compras_mes2[[#This Row],[CUIT]]="","-",VLOOKUP(compras_mes2[[#This Row],[CUIT]],Lista_CUIT[#All],3,0)),"CUIT NO CARGADO")</f>
        <v>Gastos Varios</v>
      </c>
      <c r="R22" s="45">
        <f>IFERROR(IF(compras_mes2[[#This Row],[CUIT]]="","-",VLOOKUP(compras_mes2[[#This Row],[CUIT]],Lista_CUIT[#All],4,0)),"CUIT NO CARGADO")</f>
        <v>0</v>
      </c>
    </row>
    <row r="23" spans="2:18" x14ac:dyDescent="0.3">
      <c r="B23" s="36">
        <v>44593</v>
      </c>
      <c r="C23" s="37">
        <v>1</v>
      </c>
      <c r="D23" s="38">
        <v>2188</v>
      </c>
      <c r="E23" s="39">
        <v>58809</v>
      </c>
      <c r="F23" s="40">
        <v>30548083156</v>
      </c>
      <c r="G23" s="41" t="str">
        <f>IFERROR(IF(compras_mes2[[#This Row],[CUIT]]="","-",VLOOKUP(compras_mes2[[#This Row],[CUIT]],Lista_CUIT[#All],2,0)),"CUIT NO CARGADO")</f>
        <v>COTO  S.A.</v>
      </c>
      <c r="H23" s="42">
        <v>6220.47</v>
      </c>
      <c r="I23" s="81">
        <v>1193.3</v>
      </c>
      <c r="J23" s="81"/>
      <c r="K23" s="81"/>
      <c r="L23" s="81">
        <v>153.15</v>
      </c>
      <c r="M23" s="81"/>
      <c r="N23" s="81">
        <v>323.41000000000003</v>
      </c>
      <c r="O23" s="81"/>
      <c r="P23" s="44">
        <f>SUM(compras_mes2[[#This Row],[NETO GRAVADO]:[Otros / No Grav.]])</f>
        <v>7890.33</v>
      </c>
      <c r="Q23" s="45" t="str">
        <f>IFERROR(IF(compras_mes2[[#This Row],[CUIT]]="","-",VLOOKUP(compras_mes2[[#This Row],[CUIT]],Lista_CUIT[#All],3,0)),"CUIT NO CARGADO")</f>
        <v>Gastos Varios</v>
      </c>
      <c r="R23" s="45">
        <f>IFERROR(IF(compras_mes2[[#This Row],[CUIT]]="","-",VLOOKUP(compras_mes2[[#This Row],[CUIT]],Lista_CUIT[#All],4,0)),"CUIT NO CARGADO")</f>
        <v>0</v>
      </c>
    </row>
    <row r="24" spans="2:18" x14ac:dyDescent="0.3">
      <c r="B24" s="36">
        <v>44596</v>
      </c>
      <c r="C24" s="37">
        <v>1</v>
      </c>
      <c r="D24" s="38">
        <v>4</v>
      </c>
      <c r="E24" s="39">
        <v>6041</v>
      </c>
      <c r="F24" s="40">
        <v>33711386179</v>
      </c>
      <c r="G24" s="41" t="str">
        <f>IFERROR(IF(compras_mes2[[#This Row],[CUIT]]="","-",VLOOKUP(compras_mes2[[#This Row],[CUIT]],Lista_CUIT[#All],2,0)),"CUIT NO CARGADO")</f>
        <v>SHOPNOW  S.R.L.</v>
      </c>
      <c r="H24" s="42">
        <v>8867.8700000000008</v>
      </c>
      <c r="I24" s="81"/>
      <c r="J24" s="81"/>
      <c r="K24" s="81">
        <v>931.13</v>
      </c>
      <c r="L24" s="81"/>
      <c r="M24" s="81"/>
      <c r="N24" s="81">
        <v>532.07000000000005</v>
      </c>
      <c r="O24" s="81"/>
      <c r="P24" s="44">
        <f>SUM(compras_mes2[[#This Row],[NETO GRAVADO]:[Otros / No Grav.]])</f>
        <v>10331.07</v>
      </c>
      <c r="Q24" s="45" t="str">
        <f>IFERROR(IF(compras_mes2[[#This Row],[CUIT]]="","-",VLOOKUP(compras_mes2[[#This Row],[CUIT]],Lista_CUIT[#All],3,0)),"CUIT NO CARGADO")</f>
        <v>Gastos Varios</v>
      </c>
      <c r="R24" s="45" t="str">
        <f>IFERROR(IF(compras_mes2[[#This Row],[CUIT]]="","-",VLOOKUP(compras_mes2[[#This Row],[CUIT]],Lista_CUIT[#All],4,0)),"CUIT NO CARGADO")</f>
        <v>CABA</v>
      </c>
    </row>
    <row r="25" spans="2:18" x14ac:dyDescent="0.3">
      <c r="B25" s="36">
        <v>44597</v>
      </c>
      <c r="C25" s="37">
        <v>1</v>
      </c>
      <c r="D25" s="38">
        <v>1035</v>
      </c>
      <c r="E25" s="39">
        <v>224</v>
      </c>
      <c r="F25" s="40">
        <v>30590360763</v>
      </c>
      <c r="G25" s="41" t="str">
        <f>IFERROR(IF(compras_mes2[[#This Row],[CUIT]]="","-",VLOOKUP(compras_mes2[[#This Row],[CUIT]],Lista_CUIT[#All],2,0)),"CUIT NO CARGADO")</f>
        <v>CENCOSUD S.A</v>
      </c>
      <c r="H25" s="42">
        <v>1743.69</v>
      </c>
      <c r="I25" s="81">
        <f>IF(compras_mes2[[#This Row],[NETO GRAVADO]]="","",compras_mes2[[#This Row],[NETO GRAVADO]]*0.21)</f>
        <v>366.17489999999998</v>
      </c>
      <c r="J25" s="81"/>
      <c r="K25" s="81"/>
      <c r="L25" s="81"/>
      <c r="M25" s="81"/>
      <c r="N25" s="81">
        <v>104.04</v>
      </c>
      <c r="O25" s="81">
        <v>11.79</v>
      </c>
      <c r="P25" s="44">
        <f>SUM(compras_mes2[[#This Row],[NETO GRAVADO]:[Otros / No Grav.]])</f>
        <v>2225.6949</v>
      </c>
      <c r="Q25" s="45" t="str">
        <f>IFERROR(IF(compras_mes2[[#This Row],[CUIT]]="","-",VLOOKUP(compras_mes2[[#This Row],[CUIT]],Lista_CUIT[#All],3,0)),"CUIT NO CARGADO")</f>
        <v>Gastos Varios</v>
      </c>
      <c r="R25" s="45">
        <f>IFERROR(IF(compras_mes2[[#This Row],[CUIT]]="","-",VLOOKUP(compras_mes2[[#This Row],[CUIT]],Lista_CUIT[#All],4,0)),"CUIT NO CARGADO")</f>
        <v>0</v>
      </c>
    </row>
    <row r="26" spans="2:18" x14ac:dyDescent="0.3">
      <c r="B26" s="36">
        <v>44597</v>
      </c>
      <c r="C26" s="37">
        <v>1</v>
      </c>
      <c r="D26" s="38">
        <v>2199</v>
      </c>
      <c r="E26" s="39">
        <v>14354</v>
      </c>
      <c r="F26" s="40">
        <v>30548083156</v>
      </c>
      <c r="G26" s="41" t="str">
        <f>IFERROR(IF(compras_mes2[[#This Row],[CUIT]]="","-",VLOOKUP(compras_mes2[[#This Row],[CUIT]],Lista_CUIT[#All],2,0)),"CUIT NO CARGADO")</f>
        <v>COTO  S.A.</v>
      </c>
      <c r="H26" s="42">
        <v>6551.45</v>
      </c>
      <c r="I26" s="81">
        <f>IF(compras_mes2[[#This Row],[NETO GRAVADO]]="","",compras_mes2[[#This Row],[NETO GRAVADO]]*0.21)</f>
        <v>1375.8045</v>
      </c>
      <c r="J26" s="81"/>
      <c r="K26" s="81"/>
      <c r="L26" s="81">
        <v>196.54</v>
      </c>
      <c r="M26" s="81"/>
      <c r="N26" s="81"/>
      <c r="O26" s="81"/>
      <c r="P26" s="44">
        <f>SUM(compras_mes2[[#This Row],[NETO GRAVADO]:[Otros / No Grav.]])</f>
        <v>8123.7945</v>
      </c>
      <c r="Q26" s="45" t="str">
        <f>IFERROR(IF(compras_mes2[[#This Row],[CUIT]]="","-",VLOOKUP(compras_mes2[[#This Row],[CUIT]],Lista_CUIT[#All],3,0)),"CUIT NO CARGADO")</f>
        <v>Gastos Varios</v>
      </c>
      <c r="R26" s="45">
        <f>IFERROR(IF(compras_mes2[[#This Row],[CUIT]]="","-",VLOOKUP(compras_mes2[[#This Row],[CUIT]],Lista_CUIT[#All],4,0)),"CUIT NO CARGADO")</f>
        <v>0</v>
      </c>
    </row>
    <row r="27" spans="2:18" x14ac:dyDescent="0.3">
      <c r="B27" s="36">
        <v>44600</v>
      </c>
      <c r="C27" s="37">
        <v>1</v>
      </c>
      <c r="D27" s="38">
        <v>3</v>
      </c>
      <c r="E27" s="39">
        <v>1424</v>
      </c>
      <c r="F27" s="40">
        <v>20317527501</v>
      </c>
      <c r="G27" s="41" t="str">
        <f>IFERROR(IF(compras_mes2[[#This Row],[CUIT]]="","-",VLOOKUP(compras_mes2[[#This Row],[CUIT]],Lista_CUIT[#All],2,0)),"CUIT NO CARGADO")</f>
        <v>VITALI  AGUSTIN</v>
      </c>
      <c r="H27" s="42">
        <v>14710.74</v>
      </c>
      <c r="I27" s="81">
        <f>IF(compras_mes2[[#This Row],[NETO GRAVADO]]="","",compras_mes2[[#This Row],[NETO GRAVADO]]*0.21)</f>
        <v>3089.2554</v>
      </c>
      <c r="J27" s="81"/>
      <c r="K27" s="81"/>
      <c r="L27" s="81"/>
      <c r="M27" s="81"/>
      <c r="N27" s="81"/>
      <c r="O27" s="81"/>
      <c r="P27" s="44">
        <f>SUM(compras_mes2[[#This Row],[NETO GRAVADO]:[Otros / No Grav.]])</f>
        <v>17799.9954</v>
      </c>
      <c r="Q27" s="45" t="str">
        <f>IFERROR(IF(compras_mes2[[#This Row],[CUIT]]="","-",VLOOKUP(compras_mes2[[#This Row],[CUIT]],Lista_CUIT[#All],3,0)),"CUIT NO CARGADO")</f>
        <v>Gastos Varios</v>
      </c>
      <c r="R27" s="45" t="str">
        <f>IFERROR(IF(compras_mes2[[#This Row],[CUIT]]="","-",VLOOKUP(compras_mes2[[#This Row],[CUIT]],Lista_CUIT[#All],4,0)),"CUIT NO CARGADO")</f>
        <v>CABA</v>
      </c>
    </row>
    <row r="28" spans="2:18" x14ac:dyDescent="0.3">
      <c r="B28" s="36">
        <v>44601</v>
      </c>
      <c r="C28" s="37">
        <v>1</v>
      </c>
      <c r="D28" s="38">
        <v>2188</v>
      </c>
      <c r="E28" s="39">
        <v>59293</v>
      </c>
      <c r="F28" s="40">
        <v>30548083156</v>
      </c>
      <c r="G28" s="41" t="str">
        <f>IFERROR(IF(compras_mes2[[#This Row],[CUIT]]="","-",VLOOKUP(compras_mes2[[#This Row],[CUIT]],Lista_CUIT[#All],2,0)),"CUIT NO CARGADO")</f>
        <v>COTO  S.A.</v>
      </c>
      <c r="H28" s="42">
        <v>8528.64</v>
      </c>
      <c r="I28" s="81">
        <v>1710.81</v>
      </c>
      <c r="J28" s="81"/>
      <c r="K28" s="81"/>
      <c r="L28" s="81">
        <v>232.94</v>
      </c>
      <c r="M28" s="81"/>
      <c r="N28" s="81">
        <v>505.31</v>
      </c>
      <c r="O28" s="81"/>
      <c r="P28" s="44">
        <f>SUM(compras_mes2[[#This Row],[NETO GRAVADO]:[Otros / No Grav.]])</f>
        <v>10977.699999999999</v>
      </c>
      <c r="Q28" s="45" t="str">
        <f>IFERROR(IF(compras_mes2[[#This Row],[CUIT]]="","-",VLOOKUP(compras_mes2[[#This Row],[CUIT]],Lista_CUIT[#All],3,0)),"CUIT NO CARGADO")</f>
        <v>Gastos Varios</v>
      </c>
      <c r="R28" s="45">
        <f>IFERROR(IF(compras_mes2[[#This Row],[CUIT]]="","-",VLOOKUP(compras_mes2[[#This Row],[CUIT]],Lista_CUIT[#All],4,0)),"CUIT NO CARGADO")</f>
        <v>0</v>
      </c>
    </row>
    <row r="29" spans="2:18" x14ac:dyDescent="0.3">
      <c r="B29" s="36">
        <v>44604</v>
      </c>
      <c r="C29" s="37">
        <v>1</v>
      </c>
      <c r="D29" s="38">
        <v>2199</v>
      </c>
      <c r="E29" s="39">
        <v>14465</v>
      </c>
      <c r="F29" s="40">
        <v>30548083156</v>
      </c>
      <c r="G29" s="41" t="str">
        <f>IFERROR(IF(compras_mes2[[#This Row],[CUIT]]="","-",VLOOKUP(compras_mes2[[#This Row],[CUIT]],Lista_CUIT[#All],2,0)),"CUIT NO CARGADO")</f>
        <v>COTO  S.A.</v>
      </c>
      <c r="H29" s="42">
        <v>8682.7800000000007</v>
      </c>
      <c r="I29" s="81">
        <v>1612.65</v>
      </c>
      <c r="J29" s="81"/>
      <c r="K29" s="81"/>
      <c r="L29" s="81">
        <v>198.75</v>
      </c>
      <c r="M29" s="81"/>
      <c r="N29" s="81">
        <v>506.75</v>
      </c>
      <c r="O29" s="81"/>
      <c r="P29" s="44">
        <f>SUM(compras_mes2[[#This Row],[NETO GRAVADO]:[Otros / No Grav.]])</f>
        <v>11000.93</v>
      </c>
      <c r="Q29" s="45" t="str">
        <f>IFERROR(IF(compras_mes2[[#This Row],[CUIT]]="","-",VLOOKUP(compras_mes2[[#This Row],[CUIT]],Lista_CUIT[#All],3,0)),"CUIT NO CARGADO")</f>
        <v>Gastos Varios</v>
      </c>
      <c r="R29" s="45">
        <f>IFERROR(IF(compras_mes2[[#This Row],[CUIT]]="","-",VLOOKUP(compras_mes2[[#This Row],[CUIT]],Lista_CUIT[#All],4,0)),"CUIT NO CARGADO")</f>
        <v>0</v>
      </c>
    </row>
    <row r="30" spans="2:18" x14ac:dyDescent="0.3">
      <c r="B30" s="36">
        <v>44607</v>
      </c>
      <c r="C30" s="37">
        <v>1</v>
      </c>
      <c r="D30" s="38">
        <v>1313</v>
      </c>
      <c r="E30" s="39">
        <v>537</v>
      </c>
      <c r="F30" s="40">
        <v>30639057999</v>
      </c>
      <c r="G30" s="41" t="str">
        <f>IFERROR(IF(compras_mes2[[#This Row],[CUIT]]="","-",VLOOKUP(compras_mes2[[#This Row],[CUIT]],Lista_CUIT[#All],2,0)),"CUIT NO CARGADO")</f>
        <v>LA  OPTICA  S.A.</v>
      </c>
      <c r="H30" s="42">
        <v>25640.5</v>
      </c>
      <c r="I30" s="81">
        <f>IF(compras_mes2[[#This Row],[NETO GRAVADO]]="","",compras_mes2[[#This Row],[NETO GRAVADO]]*0.21)</f>
        <v>5384.5050000000001</v>
      </c>
      <c r="J30" s="81"/>
      <c r="K30" s="81"/>
      <c r="L30" s="81"/>
      <c r="M30" s="81"/>
      <c r="N30" s="81"/>
      <c r="O30" s="81"/>
      <c r="P30" s="44">
        <f>SUM(compras_mes2[[#This Row],[NETO GRAVADO]:[Otros / No Grav.]])</f>
        <v>31025.005000000001</v>
      </c>
      <c r="Q30" s="45" t="str">
        <f>IFERROR(IF(compras_mes2[[#This Row],[CUIT]]="","-",VLOOKUP(compras_mes2[[#This Row],[CUIT]],Lista_CUIT[#All],3,0)),"CUIT NO CARGADO")</f>
        <v>Gastos Varios</v>
      </c>
      <c r="R30" s="45" t="str">
        <f>IFERROR(IF(compras_mes2[[#This Row],[CUIT]]="","-",VLOOKUP(compras_mes2[[#This Row],[CUIT]],Lista_CUIT[#All],4,0)),"CUIT NO CARGADO")</f>
        <v>CABA</v>
      </c>
    </row>
    <row r="31" spans="2:18" x14ac:dyDescent="0.3">
      <c r="B31" s="36">
        <v>44614</v>
      </c>
      <c r="C31" s="37">
        <v>1</v>
      </c>
      <c r="D31" s="38">
        <v>1313</v>
      </c>
      <c r="E31" s="39">
        <v>544</v>
      </c>
      <c r="F31" s="40">
        <v>30639057999</v>
      </c>
      <c r="G31" s="41" t="str">
        <f>IFERROR(IF(compras_mes2[[#This Row],[CUIT]]="","-",VLOOKUP(compras_mes2[[#This Row],[CUIT]],Lista_CUIT[#All],2,0)),"CUIT NO CARGADO")</f>
        <v>LA  OPTICA  S.A.</v>
      </c>
      <c r="H31" s="42">
        <v>8885.9500000000007</v>
      </c>
      <c r="I31" s="81">
        <v>1866.05</v>
      </c>
      <c r="J31" s="81"/>
      <c r="K31" s="81"/>
      <c r="L31" s="81"/>
      <c r="M31" s="81"/>
      <c r="N31" s="81"/>
      <c r="O31" s="81"/>
      <c r="P31" s="44">
        <f>SUM(compras_mes2[[#This Row],[NETO GRAVADO]:[Otros / No Grav.]])</f>
        <v>10752</v>
      </c>
      <c r="Q31" s="45" t="str">
        <f>IFERROR(IF(compras_mes2[[#This Row],[CUIT]]="","-",VLOOKUP(compras_mes2[[#This Row],[CUIT]],Lista_CUIT[#All],3,0)),"CUIT NO CARGADO")</f>
        <v>Gastos Varios</v>
      </c>
      <c r="R31" s="45" t="str">
        <f>IFERROR(IF(compras_mes2[[#This Row],[CUIT]]="","-",VLOOKUP(compras_mes2[[#This Row],[CUIT]],Lista_CUIT[#All],4,0)),"CUIT NO CARGADO")</f>
        <v>CABA</v>
      </c>
    </row>
    <row r="32" spans="2:18" x14ac:dyDescent="0.3">
      <c r="B32" s="36">
        <v>44614</v>
      </c>
      <c r="C32" s="37">
        <v>1</v>
      </c>
      <c r="D32" s="38">
        <v>2199</v>
      </c>
      <c r="E32" s="39">
        <v>14618</v>
      </c>
      <c r="F32" s="40">
        <v>30548083156</v>
      </c>
      <c r="G32" s="41" t="str">
        <f>IFERROR(IF(compras_mes2[[#This Row],[CUIT]]="","-",VLOOKUP(compras_mes2[[#This Row],[CUIT]],Lista_CUIT[#All],2,0)),"CUIT NO CARGADO")</f>
        <v>COTO  S.A.</v>
      </c>
      <c r="H32" s="42">
        <v>8075.02</v>
      </c>
      <c r="I32" s="81">
        <v>1509.15</v>
      </c>
      <c r="J32" s="81"/>
      <c r="K32" s="81"/>
      <c r="L32" s="81">
        <v>188.94</v>
      </c>
      <c r="M32" s="81"/>
      <c r="N32" s="81">
        <v>480.97</v>
      </c>
      <c r="O32" s="81"/>
      <c r="P32" s="44">
        <f>SUM(compras_mes2[[#This Row],[NETO GRAVADO]:[Otros / No Grav.]])</f>
        <v>10254.08</v>
      </c>
      <c r="Q32" s="45" t="str">
        <f>IFERROR(IF(compras_mes2[[#This Row],[CUIT]]="","-",VLOOKUP(compras_mes2[[#This Row],[CUIT]],Lista_CUIT[#All],3,0)),"CUIT NO CARGADO")</f>
        <v>Gastos Varios</v>
      </c>
      <c r="R32" s="45">
        <f>IFERROR(IF(compras_mes2[[#This Row],[CUIT]]="","-",VLOOKUP(compras_mes2[[#This Row],[CUIT]],Lista_CUIT[#All],4,0)),"CUIT NO CARGADO")</f>
        <v>0</v>
      </c>
    </row>
    <row r="33" spans="2:18" x14ac:dyDescent="0.3">
      <c r="B33" s="85">
        <v>44602</v>
      </c>
      <c r="C33" s="37">
        <v>1</v>
      </c>
      <c r="D33" s="87">
        <v>6</v>
      </c>
      <c r="E33" s="88">
        <v>11704597</v>
      </c>
      <c r="F33" s="89">
        <v>30620177497</v>
      </c>
      <c r="G33" s="90" t="str">
        <f>IFERROR(IF(compras_mes2[[#This Row],[CUIT]]="","-",VLOOKUP(compras_mes2[[#This Row],[CUIT]],Lista_CUIT[#All],2,0)),"CUIT NO CARGADO")</f>
        <v>POSNET SRL</v>
      </c>
      <c r="H33" s="91">
        <v>1580</v>
      </c>
      <c r="I33" s="82">
        <f>IF(compras_mes2[[#This Row],[NETO GRAVADO]]="","",compras_mes2[[#This Row],[NETO GRAVADO]]*0.21)</f>
        <v>331.8</v>
      </c>
      <c r="J33" s="82"/>
      <c r="K33" s="82"/>
      <c r="L33" s="82">
        <v>47.4</v>
      </c>
      <c r="M33" s="82"/>
      <c r="N33" s="82"/>
      <c r="O33" s="82">
        <v>94.8</v>
      </c>
      <c r="P33" s="83">
        <f>SUM(compras_mes2[[#This Row],[NETO GRAVADO]:[Otros / No Grav.]])</f>
        <v>2054</v>
      </c>
      <c r="Q33" s="84" t="str">
        <f>IFERROR(IF(compras_mes2[[#This Row],[CUIT]]="","-",VLOOKUP(compras_mes2[[#This Row],[CUIT]],Lista_CUIT[#All],3,0)),"CUIT NO CARGADO")</f>
        <v>Gtos Comercializacion</v>
      </c>
      <c r="R33" s="84">
        <f>IFERROR(IF(compras_mes2[[#This Row],[CUIT]]="","-",VLOOKUP(compras_mes2[[#This Row],[CUIT]],Lista_CUIT[#All],4,0)),"CUIT NO CARGADO")</f>
        <v>0</v>
      </c>
    </row>
    <row r="34" spans="2:18" x14ac:dyDescent="0.3">
      <c r="B34" s="36">
        <v>44602</v>
      </c>
      <c r="C34" s="37">
        <v>1</v>
      </c>
      <c r="D34" s="38">
        <v>6</v>
      </c>
      <c r="E34" s="39">
        <v>11704665</v>
      </c>
      <c r="F34" s="40">
        <v>30620177497</v>
      </c>
      <c r="G34" s="41" t="str">
        <f>IFERROR(IF(compras_mes2[[#This Row],[CUIT]]="","-",VLOOKUP(compras_mes2[[#This Row],[CUIT]],Lista_CUIT[#All],2,0)),"CUIT NO CARGADO")</f>
        <v>POSNET SRL</v>
      </c>
      <c r="H34" s="42">
        <v>1580</v>
      </c>
      <c r="I34" s="81">
        <f>IF(compras_mes2[[#This Row],[NETO GRAVADO]]="","",compras_mes2[[#This Row],[NETO GRAVADO]]*0.21)</f>
        <v>331.8</v>
      </c>
      <c r="J34" s="81"/>
      <c r="K34" s="81"/>
      <c r="L34" s="81">
        <v>47.4</v>
      </c>
      <c r="M34" s="81"/>
      <c r="N34" s="81"/>
      <c r="O34" s="81">
        <v>94.8</v>
      </c>
      <c r="P34" s="44">
        <f>SUM(compras_mes2[[#This Row],[NETO GRAVADO]:[Otros / No Grav.]])</f>
        <v>2054</v>
      </c>
      <c r="Q34" s="45" t="str">
        <f>IFERROR(IF(compras_mes2[[#This Row],[CUIT]]="","-",VLOOKUP(compras_mes2[[#This Row],[CUIT]],Lista_CUIT[#All],3,0)),"CUIT NO CARGADO")</f>
        <v>Gtos Comercializacion</v>
      </c>
      <c r="R34" s="45">
        <f>IFERROR(IF(compras_mes2[[#This Row],[CUIT]]="","-",VLOOKUP(compras_mes2[[#This Row],[CUIT]],Lista_CUIT[#All],4,0)),"CUIT NO CARGADO")</f>
        <v>0</v>
      </c>
    </row>
    <row r="35" spans="2:18" x14ac:dyDescent="0.3">
      <c r="B35" s="36">
        <v>44602</v>
      </c>
      <c r="C35" s="37">
        <v>1</v>
      </c>
      <c r="D35" s="38">
        <v>6</v>
      </c>
      <c r="E35" s="39">
        <v>11741927</v>
      </c>
      <c r="F35" s="40">
        <v>30620177497</v>
      </c>
      <c r="G35" s="41" t="str">
        <f>IFERROR(IF(compras_mes2[[#This Row],[CUIT]]="","-",VLOOKUP(compras_mes2[[#This Row],[CUIT]],Lista_CUIT[#All],2,0)),"CUIT NO CARGADO")</f>
        <v>POSNET SRL</v>
      </c>
      <c r="H35" s="42">
        <v>1580</v>
      </c>
      <c r="I35" s="81">
        <f>IF(compras_mes2[[#This Row],[NETO GRAVADO]]="","",compras_mes2[[#This Row],[NETO GRAVADO]]*0.21)</f>
        <v>331.8</v>
      </c>
      <c r="J35" s="81"/>
      <c r="K35" s="81"/>
      <c r="L35" s="81">
        <v>47.4</v>
      </c>
      <c r="M35" s="81"/>
      <c r="N35" s="81"/>
      <c r="O35" s="81">
        <v>94.8</v>
      </c>
      <c r="P35" s="44">
        <f>SUM(compras_mes2[[#This Row],[NETO GRAVADO]:[Otros / No Grav.]])</f>
        <v>2054</v>
      </c>
      <c r="Q35" s="45" t="str">
        <f>IFERROR(IF(compras_mes2[[#This Row],[CUIT]]="","-",VLOOKUP(compras_mes2[[#This Row],[CUIT]],Lista_CUIT[#All],3,0)),"CUIT NO CARGADO")</f>
        <v>Gtos Comercializacion</v>
      </c>
      <c r="R35" s="45">
        <f>IFERROR(IF(compras_mes2[[#This Row],[CUIT]]="","-",VLOOKUP(compras_mes2[[#This Row],[CUIT]],Lista_CUIT[#All],4,0)),"CUIT NO CARGADO")</f>
        <v>0</v>
      </c>
    </row>
    <row r="36" spans="2:18" x14ac:dyDescent="0.3">
      <c r="B36" s="36">
        <v>44602</v>
      </c>
      <c r="C36" s="37">
        <v>1</v>
      </c>
      <c r="D36" s="38">
        <v>6</v>
      </c>
      <c r="E36" s="39">
        <v>11741977</v>
      </c>
      <c r="F36" s="40">
        <v>30620177497</v>
      </c>
      <c r="G36" s="41" t="str">
        <f>IFERROR(IF(compras_mes2[[#This Row],[CUIT]]="","-",VLOOKUP(compras_mes2[[#This Row],[CUIT]],Lista_CUIT[#All],2,0)),"CUIT NO CARGADO")</f>
        <v>POSNET SRL</v>
      </c>
      <c r="H36" s="42">
        <v>4740</v>
      </c>
      <c r="I36" s="81">
        <f>IF(compras_mes2[[#This Row],[NETO GRAVADO]]="","",compras_mes2[[#This Row],[NETO GRAVADO]]*0.21)</f>
        <v>995.4</v>
      </c>
      <c r="J36" s="81"/>
      <c r="K36" s="81"/>
      <c r="L36" s="81">
        <v>142.19999999999999</v>
      </c>
      <c r="M36" s="81"/>
      <c r="N36" s="81"/>
      <c r="O36" s="81">
        <v>284.39999999999998</v>
      </c>
      <c r="P36" s="44">
        <f>SUM(compras_mes2[[#This Row],[NETO GRAVADO]:[Otros / No Grav.]])</f>
        <v>6161.9999999999991</v>
      </c>
      <c r="Q36" s="45" t="str">
        <f>IFERROR(IF(compras_mes2[[#This Row],[CUIT]]="","-",VLOOKUP(compras_mes2[[#This Row],[CUIT]],Lista_CUIT[#All],3,0)),"CUIT NO CARGADO")</f>
        <v>Gtos Comercializacion</v>
      </c>
      <c r="R36" s="45">
        <f>IFERROR(IF(compras_mes2[[#This Row],[CUIT]]="","-",VLOOKUP(compras_mes2[[#This Row],[CUIT]],Lista_CUIT[#All],4,0)),"CUIT NO CARGADO")</f>
        <v>0</v>
      </c>
    </row>
    <row r="37" spans="2:18" x14ac:dyDescent="0.3">
      <c r="B37" s="36">
        <v>44614</v>
      </c>
      <c r="C37" s="37">
        <v>1</v>
      </c>
      <c r="D37" s="38">
        <v>3</v>
      </c>
      <c r="E37" s="39">
        <v>836</v>
      </c>
      <c r="F37" s="40">
        <v>30715434276</v>
      </c>
      <c r="G37" s="41" t="str">
        <f>IFERROR(IF(compras_mes2[[#This Row],[CUIT]]="","-",VLOOKUP(compras_mes2[[#This Row],[CUIT]],Lista_CUIT[#All],2,0)),"CUIT NO CARGADO")</f>
        <v>BRUAYAFA  S.A.</v>
      </c>
      <c r="H37" s="42">
        <v>142154</v>
      </c>
      <c r="I37" s="81">
        <f>IF(compras_mes2[[#This Row],[NETO GRAVADO]]="","",compras_mes2[[#This Row],[NETO GRAVADO]]*0.21)</f>
        <v>29852.34</v>
      </c>
      <c r="J37" s="81"/>
      <c r="K37" s="81"/>
      <c r="L37" s="81"/>
      <c r="M37" s="81"/>
      <c r="N37" s="81"/>
      <c r="O37" s="81"/>
      <c r="P37" s="44">
        <f>SUM(compras_mes2[[#This Row],[NETO GRAVADO]:[Otros / No Grav.]])</f>
        <v>172006.34</v>
      </c>
      <c r="Q37" s="45" t="str">
        <f>IFERROR(IF(compras_mes2[[#This Row],[CUIT]]="","-",VLOOKUP(compras_mes2[[#This Row],[CUIT]],Lista_CUIT[#All],3,0)),"CUIT NO CARGADO")</f>
        <v>Gtos Comercializacion</v>
      </c>
      <c r="R37" s="45">
        <f>IFERROR(IF(compras_mes2[[#This Row],[CUIT]]="","-",VLOOKUP(compras_mes2[[#This Row],[CUIT]],Lista_CUIT[#All],4,0)),"CUIT NO CARGADO")</f>
        <v>0</v>
      </c>
    </row>
    <row r="38" spans="2:18" x14ac:dyDescent="0.3">
      <c r="B38" s="36">
        <v>44615</v>
      </c>
      <c r="C38" s="37">
        <v>1</v>
      </c>
      <c r="D38" s="38">
        <v>1</v>
      </c>
      <c r="E38" s="39">
        <v>74466</v>
      </c>
      <c r="F38" s="40">
        <v>30716620634</v>
      </c>
      <c r="G38" s="41" t="str">
        <f>IFERROR(IF(compras_mes2[[#This Row],[CUIT]]="","-",VLOOKUP(compras_mes2[[#This Row],[CUIT]],Lista_CUIT[#All],2,0)),"CUIT NO CARGADO")</f>
        <v>FIRST  LABEL  S.R.L.</v>
      </c>
      <c r="H38" s="42">
        <v>41321.49</v>
      </c>
      <c r="I38" s="81">
        <f>IF(compras_mes2[[#This Row],[NETO GRAVADO]]="","",compras_mes2[[#This Row],[NETO GRAVADO]]*0.21)</f>
        <v>8677.5128999999997</v>
      </c>
      <c r="J38" s="81"/>
      <c r="K38" s="81"/>
      <c r="L38" s="81"/>
      <c r="M38" s="81"/>
      <c r="N38" s="81"/>
      <c r="O38" s="81"/>
      <c r="P38" s="44">
        <f>SUM(compras_mes2[[#This Row],[NETO GRAVADO]:[Otros / No Grav.]])</f>
        <v>49999.002899999999</v>
      </c>
      <c r="Q38" s="45" t="str">
        <f>IFERROR(IF(compras_mes2[[#This Row],[CUIT]]="","-",VLOOKUP(compras_mes2[[#This Row],[CUIT]],Lista_CUIT[#All],3,0)),"CUIT NO CARGADO")</f>
        <v>Gtos Comercializacion</v>
      </c>
      <c r="R38" s="45" t="str">
        <f>IFERROR(IF(compras_mes2[[#This Row],[CUIT]]="","-",VLOOKUP(compras_mes2[[#This Row],[CUIT]],Lista_CUIT[#All],4,0)),"CUIT NO CARGADO")</f>
        <v>CABA</v>
      </c>
    </row>
    <row r="39" spans="2:18" s="52" customFormat="1" ht="18.600000000000001" customHeight="1" x14ac:dyDescent="0.3">
      <c r="B39" s="36">
        <v>44620</v>
      </c>
      <c r="C39" s="37">
        <v>1</v>
      </c>
      <c r="D39" s="38">
        <v>27</v>
      </c>
      <c r="E39" s="39">
        <v>214067</v>
      </c>
      <c r="F39" s="40">
        <v>30703088534</v>
      </c>
      <c r="G39" s="41" t="str">
        <f>IFERROR(IF(compras_mes2[[#This Row],[CUIT]]="","-",VLOOKUP(compras_mes2[[#This Row],[CUIT]],Lista_CUIT[#All],2,0)),"CUIT NO CARGADO")</f>
        <v>MERCADO LIBRE SRL</v>
      </c>
      <c r="H39" s="42">
        <v>76533.69</v>
      </c>
      <c r="I39" s="81">
        <f>IF(compras_mes2[[#This Row],[NETO GRAVADO]]="","",compras_mes2[[#This Row],[NETO GRAVADO]]*0.21)</f>
        <v>16072.0749</v>
      </c>
      <c r="J39" s="81"/>
      <c r="K39" s="81"/>
      <c r="L39" s="81">
        <v>2296.02</v>
      </c>
      <c r="M39" s="81"/>
      <c r="N39" s="81">
        <v>4592.0200000000004</v>
      </c>
      <c r="O39" s="81"/>
      <c r="P39" s="44">
        <f>SUM(compras_mes2[[#This Row],[NETO GRAVADO]:[Otros / No Grav.]])</f>
        <v>99493.804900000017</v>
      </c>
      <c r="Q39" s="45" t="str">
        <f>IFERROR(IF(compras_mes2[[#This Row],[CUIT]]="","-",VLOOKUP(compras_mes2[[#This Row],[CUIT]],Lista_CUIT[#All],3,0)),"CUIT NO CARGADO")</f>
        <v>Gtos Comercializacion</v>
      </c>
      <c r="R39" s="45">
        <f>IFERROR(IF(compras_mes2[[#This Row],[CUIT]]="","-",VLOOKUP(compras_mes2[[#This Row],[CUIT]],Lista_CUIT[#All],4,0)),"CUIT NO CARGADO")</f>
        <v>0</v>
      </c>
    </row>
    <row r="40" spans="2:18" x14ac:dyDescent="0.3">
      <c r="B40" s="36">
        <v>44620</v>
      </c>
      <c r="C40" s="37">
        <v>1</v>
      </c>
      <c r="D40" s="38">
        <v>1</v>
      </c>
      <c r="E40" s="39">
        <v>2186</v>
      </c>
      <c r="F40" s="40">
        <v>20103906149</v>
      </c>
      <c r="G40" s="41" t="str">
        <f>IFERROR(IF(compras_mes2[[#This Row],[CUIT]]="","-",VLOOKUP(compras_mes2[[#This Row],[CUIT]],Lista_CUIT[#All],2,0)),"CUIT NO CARGADO")</f>
        <v>MC LEAN ROBERTO</v>
      </c>
      <c r="H40" s="42">
        <v>45000</v>
      </c>
      <c r="I40" s="81">
        <f>IF(compras_mes2[[#This Row],[NETO GRAVADO]]="","",compras_mes2[[#This Row],[NETO GRAVADO]]*0.21)</f>
        <v>9450</v>
      </c>
      <c r="J40" s="81"/>
      <c r="K40" s="81"/>
      <c r="L40" s="81"/>
      <c r="M40" s="81"/>
      <c r="N40" s="81"/>
      <c r="O40" s="81"/>
      <c r="P40" s="44">
        <f>SUM(compras_mes2[[#This Row],[NETO GRAVADO]:[Otros / No Grav.]])</f>
        <v>54450</v>
      </c>
      <c r="Q40" s="45" t="str">
        <f>IFERROR(IF(compras_mes2[[#This Row],[CUIT]]="","-",VLOOKUP(compras_mes2[[#This Row],[CUIT]],Lista_CUIT[#All],3,0)),"CUIT NO CARGADO")</f>
        <v>Honorarios Contables</v>
      </c>
      <c r="R40" s="45">
        <f>IFERROR(IF(compras_mes2[[#This Row],[CUIT]]="","-",VLOOKUP(compras_mes2[[#This Row],[CUIT]],Lista_CUIT[#All],4,0)),"CUIT NO CARGADO")</f>
        <v>0</v>
      </c>
    </row>
    <row r="41" spans="2:18" x14ac:dyDescent="0.3">
      <c r="B41" s="36">
        <v>44596</v>
      </c>
      <c r="C41" s="37">
        <v>1</v>
      </c>
      <c r="D41" s="38">
        <v>3</v>
      </c>
      <c r="E41" s="39">
        <v>252864</v>
      </c>
      <c r="F41" s="40">
        <v>33643358749</v>
      </c>
      <c r="G41" s="41" t="str">
        <f>IFERROR(IF(compras_mes2[[#This Row],[CUIT]]="","-",VLOOKUP(compras_mes2[[#This Row],[CUIT]],Lista_CUIT[#All],2,0)),"CUIT NO CARGADO")</f>
        <v>POLYTECH  S.A.</v>
      </c>
      <c r="H41" s="42">
        <v>67872.399999999994</v>
      </c>
      <c r="I41" s="81"/>
      <c r="J41" s="81"/>
      <c r="K41" s="81">
        <v>7126.6</v>
      </c>
      <c r="L41" s="81"/>
      <c r="M41" s="81"/>
      <c r="N41" s="81"/>
      <c r="O41" s="81"/>
      <c r="P41" s="44">
        <f>SUM(compras_mes2[[#This Row],[NETO GRAVADO]:[Otros / No Grav.]])</f>
        <v>74999</v>
      </c>
      <c r="Q41" s="45" t="str">
        <f>IFERROR(IF(compras_mes2[[#This Row],[CUIT]]="","-",VLOOKUP(compras_mes2[[#This Row],[CUIT]],Lista_CUIT[#All],3,0)),"CUIT NO CARGADO")</f>
        <v>Librería</v>
      </c>
      <c r="R41" s="45">
        <f>IFERROR(IF(compras_mes2[[#This Row],[CUIT]]="","-",VLOOKUP(compras_mes2[[#This Row],[CUIT]],Lista_CUIT[#All],4,0)),"CUIT NO CARGADO")</f>
        <v>0</v>
      </c>
    </row>
    <row r="42" spans="2:18" ht="14.4" customHeight="1" x14ac:dyDescent="0.3">
      <c r="B42" s="36">
        <v>44606</v>
      </c>
      <c r="C42" s="37">
        <v>1</v>
      </c>
      <c r="D42" s="38">
        <v>3</v>
      </c>
      <c r="E42" s="39">
        <v>973</v>
      </c>
      <c r="F42" s="40">
        <v>30711137137</v>
      </c>
      <c r="G42" s="41" t="str">
        <f>IFERROR(IF(compras_mes2[[#This Row],[CUIT]]="","-",VLOOKUP(compras_mes2[[#This Row],[CUIT]],Lista_CUIT[#All],2,0)),"CUIT NO CARGADO")</f>
        <v>ROMO  MATERIALES  DE  LA  CONST</v>
      </c>
      <c r="H42" s="42">
        <v>82644.63</v>
      </c>
      <c r="I42" s="81">
        <f>IF(compras_mes2[[#This Row],[NETO GRAVADO]]="","",compras_mes2[[#This Row],[NETO GRAVADO]]*0.21)</f>
        <v>17355.372299999999</v>
      </c>
      <c r="J42" s="81"/>
      <c r="K42" s="81"/>
      <c r="L42" s="81"/>
      <c r="M42" s="81"/>
      <c r="N42" s="81"/>
      <c r="O42" s="81"/>
      <c r="P42" s="44">
        <f>SUM(compras_mes2[[#This Row],[NETO GRAVADO]:[Otros / No Grav.]])</f>
        <v>100000.00230000001</v>
      </c>
      <c r="Q42" s="45" t="str">
        <f>IFERROR(IF(compras_mes2[[#This Row],[CUIT]]="","-",VLOOKUP(compras_mes2[[#This Row],[CUIT]],Lista_CUIT[#All],3,0)),"CUIT NO CARGADO")</f>
        <v>Mantenimiento</v>
      </c>
      <c r="R42" s="45" t="str">
        <f>IFERROR(IF(compras_mes2[[#This Row],[CUIT]]="","-",VLOOKUP(compras_mes2[[#This Row],[CUIT]],Lista_CUIT[#All],4,0)),"CUIT NO CARGADO")</f>
        <v>CABA</v>
      </c>
    </row>
    <row r="43" spans="2:18" x14ac:dyDescent="0.3">
      <c r="B43" s="36">
        <v>44593</v>
      </c>
      <c r="C43" s="37">
        <v>1</v>
      </c>
      <c r="D43" s="38">
        <v>2</v>
      </c>
      <c r="E43" s="39">
        <v>771</v>
      </c>
      <c r="F43" s="40">
        <v>20172319743</v>
      </c>
      <c r="G43" s="41" t="str">
        <f>IFERROR(IF(compras_mes2[[#This Row],[CUIT]]="","-",VLOOKUP(compras_mes2[[#This Row],[CUIT]],Lista_CUIT[#All],2,0)),"CUIT NO CARGADO")</f>
        <v>IACONIS SERGIO OMAR</v>
      </c>
      <c r="H43" s="42">
        <v>444720</v>
      </c>
      <c r="I43" s="81">
        <f>IF(compras_mes2[[#This Row],[NETO GRAVADO]]="","",compras_mes2[[#This Row],[NETO GRAVADO]]*0.21)</f>
        <v>93391.2</v>
      </c>
      <c r="J43" s="81"/>
      <c r="K43" s="81"/>
      <c r="L43" s="81"/>
      <c r="M43" s="81"/>
      <c r="N43" s="81"/>
      <c r="O43" s="81"/>
      <c r="P43" s="44">
        <f>SUM(compras_mes2[[#This Row],[NETO GRAVADO]:[Otros / No Grav.]])</f>
        <v>538111.19999999995</v>
      </c>
      <c r="Q43" s="45" t="str">
        <f>IFERROR(IF(compras_mes2[[#This Row],[CUIT]]="","-",VLOOKUP(compras_mes2[[#This Row],[CUIT]],Lista_CUIT[#All],3,0)),"CUIT NO CARGADO")</f>
        <v>Mercaderia</v>
      </c>
      <c r="R43" s="45" t="str">
        <f>IFERROR(IF(compras_mes2[[#This Row],[CUIT]]="","-",VLOOKUP(compras_mes2[[#This Row],[CUIT]],Lista_CUIT[#All],4,0)),"CUIT NO CARGADO")</f>
        <v>BS AS</v>
      </c>
    </row>
    <row r="44" spans="2:18" x14ac:dyDescent="0.3">
      <c r="B44" s="36">
        <v>44593</v>
      </c>
      <c r="C44" s="37">
        <v>1</v>
      </c>
      <c r="D44" s="38">
        <v>30</v>
      </c>
      <c r="E44" s="39">
        <v>339</v>
      </c>
      <c r="F44" s="40">
        <v>30502272930</v>
      </c>
      <c r="G44" s="41" t="str">
        <f>IFERROR(IF(compras_mes2[[#This Row],[CUIT]]="","-",VLOOKUP(compras_mes2[[#This Row],[CUIT]],Lista_CUIT[#All],2,0)),"CUIT NO CARGADO")</f>
        <v>TEJILASTIC  S.A.</v>
      </c>
      <c r="H44" s="42">
        <v>92460</v>
      </c>
      <c r="I44" s="81">
        <f>IF(compras_mes2[[#This Row],[NETO GRAVADO]]="","",compras_mes2[[#This Row],[NETO GRAVADO]]*0.21)</f>
        <v>19416.599999999999</v>
      </c>
      <c r="J44" s="81"/>
      <c r="K44" s="81"/>
      <c r="L44" s="81"/>
      <c r="M44" s="81"/>
      <c r="N44" s="81"/>
      <c r="O44" s="81"/>
      <c r="P44" s="44">
        <f>SUM(compras_mes2[[#This Row],[NETO GRAVADO]:[Otros / No Grav.]])</f>
        <v>111876.6</v>
      </c>
      <c r="Q44" s="45" t="str">
        <f>IFERROR(IF(compras_mes2[[#This Row],[CUIT]]="","-",VLOOKUP(compras_mes2[[#This Row],[CUIT]],Lista_CUIT[#All],3,0)),"CUIT NO CARGADO")</f>
        <v>Mercaderia</v>
      </c>
      <c r="R44" s="45">
        <f>IFERROR(IF(compras_mes2[[#This Row],[CUIT]]="","-",VLOOKUP(compras_mes2[[#This Row],[CUIT]],Lista_CUIT[#All],4,0)),"CUIT NO CARGADO")</f>
        <v>0</v>
      </c>
    </row>
    <row r="45" spans="2:18" x14ac:dyDescent="0.3">
      <c r="B45" s="36">
        <v>44593</v>
      </c>
      <c r="C45" s="37">
        <v>1</v>
      </c>
      <c r="D45" s="38">
        <v>30</v>
      </c>
      <c r="E45" s="39">
        <v>339</v>
      </c>
      <c r="F45" s="40">
        <v>27293459172</v>
      </c>
      <c r="G45" s="41" t="str">
        <f>IFERROR(IF(compras_mes2[[#This Row],[CUIT]]="","-",VLOOKUP(compras_mes2[[#This Row],[CUIT]],Lista_CUIT[#All],2,0)),"CUIT NO CARGADO")</f>
        <v>DUFFY  ESTEFANIA</v>
      </c>
      <c r="H45" s="42">
        <v>92460</v>
      </c>
      <c r="I45" s="81">
        <f>IF(compras_mes2[[#This Row],[NETO GRAVADO]]="","",compras_mes2[[#This Row],[NETO GRAVADO]]*0.21)</f>
        <v>19416.599999999999</v>
      </c>
      <c r="J45" s="81"/>
      <c r="K45" s="81"/>
      <c r="L45" s="81"/>
      <c r="M45" s="81"/>
      <c r="N45" s="81"/>
      <c r="O45" s="81"/>
      <c r="P45" s="44">
        <f>SUM(compras_mes2[[#This Row],[NETO GRAVADO]:[Otros / No Grav.]])</f>
        <v>111876.6</v>
      </c>
      <c r="Q45" s="45" t="str">
        <f>IFERROR(IF(compras_mes2[[#This Row],[CUIT]]="","-",VLOOKUP(compras_mes2[[#This Row],[CUIT]],Lista_CUIT[#All],3,0)),"CUIT NO CARGADO")</f>
        <v>Mercaderia</v>
      </c>
      <c r="R45" s="45" t="str">
        <f>IFERROR(IF(compras_mes2[[#This Row],[CUIT]]="","-",VLOOKUP(compras_mes2[[#This Row],[CUIT]],Lista_CUIT[#All],4,0)),"CUIT NO CARGADO")</f>
        <v>BS AS</v>
      </c>
    </row>
    <row r="46" spans="2:18" x14ac:dyDescent="0.3">
      <c r="B46" s="36">
        <v>44595</v>
      </c>
      <c r="C46" s="37">
        <v>1</v>
      </c>
      <c r="D46" s="38">
        <v>1</v>
      </c>
      <c r="E46" s="39">
        <v>44</v>
      </c>
      <c r="F46" s="40">
        <v>20077604627</v>
      </c>
      <c r="G46" s="41" t="str">
        <f>IFERROR(IF(compras_mes2[[#This Row],[CUIT]]="","-",VLOOKUP(compras_mes2[[#This Row],[CUIT]],Lista_CUIT[#All],2,0)),"CUIT NO CARGADO")</f>
        <v>OCAÑO ENRIQUE</v>
      </c>
      <c r="H46" s="42">
        <v>87669.2</v>
      </c>
      <c r="I46" s="81">
        <f>IF(compras_mes2[[#This Row],[NETO GRAVADO]]="","",compras_mes2[[#This Row],[NETO GRAVADO]]*0.21)</f>
        <v>18410.531999999999</v>
      </c>
      <c r="J46" s="81"/>
      <c r="K46" s="81"/>
      <c r="L46" s="81"/>
      <c r="M46" s="81"/>
      <c r="N46" s="81"/>
      <c r="O46" s="81"/>
      <c r="P46" s="44">
        <f>SUM(compras_mes2[[#This Row],[NETO GRAVADO]:[Otros / No Grav.]])</f>
        <v>106079.73199999999</v>
      </c>
      <c r="Q46" s="45" t="str">
        <f>IFERROR(IF(compras_mes2[[#This Row],[CUIT]]="","-",VLOOKUP(compras_mes2[[#This Row],[CUIT]],Lista_CUIT[#All],3,0)),"CUIT NO CARGADO")</f>
        <v>Mercaderia</v>
      </c>
      <c r="R46" s="45">
        <f>IFERROR(IF(compras_mes2[[#This Row],[CUIT]]="","-",VLOOKUP(compras_mes2[[#This Row],[CUIT]],Lista_CUIT[#All],4,0)),"CUIT NO CARGADO")</f>
        <v>0</v>
      </c>
    </row>
    <row r="47" spans="2:18" x14ac:dyDescent="0.3">
      <c r="B47" s="36">
        <v>44595</v>
      </c>
      <c r="C47" s="37">
        <v>1</v>
      </c>
      <c r="D47" s="38">
        <v>2</v>
      </c>
      <c r="E47" s="39">
        <v>2976</v>
      </c>
      <c r="F47" s="40">
        <v>30629863571</v>
      </c>
      <c r="G47" s="41" t="str">
        <f>IFERROR(IF(compras_mes2[[#This Row],[CUIT]]="","-",VLOOKUP(compras_mes2[[#This Row],[CUIT]],Lista_CUIT[#All],2,0)),"CUIT NO CARGADO")</f>
        <v>TECNIMAR S R L</v>
      </c>
      <c r="H47" s="42">
        <v>49089.22</v>
      </c>
      <c r="I47" s="81">
        <f>IF(compras_mes2[[#This Row],[NETO GRAVADO]]="","",compras_mes2[[#This Row],[NETO GRAVADO]]*0.21)</f>
        <v>10308.736199999999</v>
      </c>
      <c r="J47" s="81"/>
      <c r="K47" s="81"/>
      <c r="L47" s="81"/>
      <c r="M47" s="81"/>
      <c r="N47" s="81"/>
      <c r="O47" s="81"/>
      <c r="P47" s="44">
        <f>SUM(compras_mes2[[#This Row],[NETO GRAVADO]:[Otros / No Grav.]])</f>
        <v>59397.956200000001</v>
      </c>
      <c r="Q47" s="45" t="str">
        <f>IFERROR(IF(compras_mes2[[#This Row],[CUIT]]="","-",VLOOKUP(compras_mes2[[#This Row],[CUIT]],Lista_CUIT[#All],3,0)),"CUIT NO CARGADO")</f>
        <v>Mercaderia</v>
      </c>
      <c r="R47" s="45">
        <f>IFERROR(IF(compras_mes2[[#This Row],[CUIT]]="","-",VLOOKUP(compras_mes2[[#This Row],[CUIT]],Lista_CUIT[#All],4,0)),"CUIT NO CARGADO")</f>
        <v>0</v>
      </c>
    </row>
    <row r="48" spans="2:18" x14ac:dyDescent="0.3">
      <c r="B48" s="36">
        <v>44595</v>
      </c>
      <c r="C48" s="37">
        <v>1</v>
      </c>
      <c r="D48" s="38">
        <v>7</v>
      </c>
      <c r="E48" s="39">
        <v>5767</v>
      </c>
      <c r="F48" s="40">
        <v>30708017759</v>
      </c>
      <c r="G48" s="41" t="str">
        <f>IFERROR(IF(compras_mes2[[#This Row],[CUIT]]="","-",VLOOKUP(compras_mes2[[#This Row],[CUIT]],Lista_CUIT[#All],2,0)),"CUIT NO CARGADO")</f>
        <v>NEW  HIGH PACK  SA</v>
      </c>
      <c r="H48" s="42">
        <v>169778</v>
      </c>
      <c r="I48" s="81">
        <f>IF(compras_mes2[[#This Row],[NETO GRAVADO]]="","",compras_mes2[[#This Row],[NETO GRAVADO]]*0.21)</f>
        <v>35653.379999999997</v>
      </c>
      <c r="J48" s="81"/>
      <c r="K48" s="81"/>
      <c r="L48" s="81"/>
      <c r="M48" s="81"/>
      <c r="N48" s="81">
        <v>10186.68</v>
      </c>
      <c r="O48" s="81"/>
      <c r="P48" s="44">
        <f>SUM(compras_mes2[[#This Row],[NETO GRAVADO]:[Otros / No Grav.]])</f>
        <v>215618.06</v>
      </c>
      <c r="Q48" s="45" t="str">
        <f>IFERROR(IF(compras_mes2[[#This Row],[CUIT]]="","-",VLOOKUP(compras_mes2[[#This Row],[CUIT]],Lista_CUIT[#All],3,0)),"CUIT NO CARGADO")</f>
        <v>Mercaderia</v>
      </c>
      <c r="R48" s="45">
        <f>IFERROR(IF(compras_mes2[[#This Row],[CUIT]]="","-",VLOOKUP(compras_mes2[[#This Row],[CUIT]],Lista_CUIT[#All],4,0)),"CUIT NO CARGADO")</f>
        <v>0</v>
      </c>
    </row>
    <row r="49" spans="2:18" x14ac:dyDescent="0.3">
      <c r="B49" s="36">
        <v>44596</v>
      </c>
      <c r="C49" s="37">
        <v>1</v>
      </c>
      <c r="D49" s="38">
        <v>7</v>
      </c>
      <c r="E49" s="39">
        <v>5774</v>
      </c>
      <c r="F49" s="40">
        <v>30708017759</v>
      </c>
      <c r="G49" s="41" t="str">
        <f>IFERROR(IF(compras_mes2[[#This Row],[CUIT]]="","-",VLOOKUP(compras_mes2[[#This Row],[CUIT]],Lista_CUIT[#All],2,0)),"CUIT NO CARGADO")</f>
        <v>NEW  HIGH PACK  SA</v>
      </c>
      <c r="H49" s="42">
        <v>165370</v>
      </c>
      <c r="I49" s="81">
        <f>IF(compras_mes2[[#This Row],[NETO GRAVADO]]="","",compras_mes2[[#This Row],[NETO GRAVADO]]*0.21)</f>
        <v>34727.699999999997</v>
      </c>
      <c r="J49" s="81"/>
      <c r="K49" s="81"/>
      <c r="L49" s="81"/>
      <c r="M49" s="81"/>
      <c r="N49" s="81">
        <v>9922.2000000000007</v>
      </c>
      <c r="O49" s="81"/>
      <c r="P49" s="44">
        <f>SUM(compras_mes2[[#This Row],[NETO GRAVADO]:[Otros / No Grav.]])</f>
        <v>210019.90000000002</v>
      </c>
      <c r="Q49" s="45" t="str">
        <f>IFERROR(IF(compras_mes2[[#This Row],[CUIT]]="","-",VLOOKUP(compras_mes2[[#This Row],[CUIT]],Lista_CUIT[#All],3,0)),"CUIT NO CARGADO")</f>
        <v>Mercaderia</v>
      </c>
      <c r="R49" s="45">
        <f>IFERROR(IF(compras_mes2[[#This Row],[CUIT]]="","-",VLOOKUP(compras_mes2[[#This Row],[CUIT]],Lista_CUIT[#All],4,0)),"CUIT NO CARGADO")</f>
        <v>0</v>
      </c>
    </row>
    <row r="50" spans="2:18" x14ac:dyDescent="0.3">
      <c r="B50" s="36">
        <v>44600</v>
      </c>
      <c r="C50" s="37">
        <v>1</v>
      </c>
      <c r="D50" s="38">
        <v>2</v>
      </c>
      <c r="E50" s="39">
        <v>2978</v>
      </c>
      <c r="F50" s="40">
        <v>30629863571</v>
      </c>
      <c r="G50" s="41" t="str">
        <f>IFERROR(IF(compras_mes2[[#This Row],[CUIT]]="","-",VLOOKUP(compras_mes2[[#This Row],[CUIT]],Lista_CUIT[#All],2,0)),"CUIT NO CARGADO")</f>
        <v>TECNIMAR S R L</v>
      </c>
      <c r="H50" s="42">
        <v>92021.37</v>
      </c>
      <c r="I50" s="81">
        <f>IF(compras_mes2[[#This Row],[NETO GRAVADO]]="","",compras_mes2[[#This Row],[NETO GRAVADO]]*0.21)</f>
        <v>19324.487699999998</v>
      </c>
      <c r="J50" s="81"/>
      <c r="K50" s="81"/>
      <c r="L50" s="81"/>
      <c r="M50" s="81"/>
      <c r="N50" s="81"/>
      <c r="O50" s="81"/>
      <c r="P50" s="44">
        <f>SUM(compras_mes2[[#This Row],[NETO GRAVADO]:[Otros / No Grav.]])</f>
        <v>111345.85769999999</v>
      </c>
      <c r="Q50" s="45" t="str">
        <f>IFERROR(IF(compras_mes2[[#This Row],[CUIT]]="","-",VLOOKUP(compras_mes2[[#This Row],[CUIT]],Lista_CUIT[#All],3,0)),"CUIT NO CARGADO")</f>
        <v>Mercaderia</v>
      </c>
      <c r="R50" s="45">
        <f>IFERROR(IF(compras_mes2[[#This Row],[CUIT]]="","-",VLOOKUP(compras_mes2[[#This Row],[CUIT]],Lista_CUIT[#All],4,0)),"CUIT NO CARGADO")</f>
        <v>0</v>
      </c>
    </row>
    <row r="51" spans="2:18" x14ac:dyDescent="0.3">
      <c r="B51" s="36">
        <v>44602</v>
      </c>
      <c r="C51" s="37">
        <v>1</v>
      </c>
      <c r="D51" s="38">
        <v>6</v>
      </c>
      <c r="E51" s="39">
        <v>1910</v>
      </c>
      <c r="F51" s="40">
        <v>30574603788</v>
      </c>
      <c r="G51" s="41" t="str">
        <f>IFERROR(IF(compras_mes2[[#This Row],[CUIT]]="","-",VLOOKUP(compras_mes2[[#This Row],[CUIT]],Lista_CUIT[#All],2,0)),"CUIT NO CARGADO")</f>
        <v>Codac SRL</v>
      </c>
      <c r="H51" s="42">
        <v>234228</v>
      </c>
      <c r="I51" s="81">
        <f>IF(compras_mes2[[#This Row],[NETO GRAVADO]]="","",compras_mes2[[#This Row],[NETO GRAVADO]]*0.21)</f>
        <v>49187.88</v>
      </c>
      <c r="J51" s="81"/>
      <c r="K51" s="81"/>
      <c r="L51" s="81"/>
      <c r="M51" s="81"/>
      <c r="N51" s="81"/>
      <c r="O51" s="81"/>
      <c r="P51" s="44">
        <f>SUM(compras_mes2[[#This Row],[NETO GRAVADO]:[Otros / No Grav.]])</f>
        <v>283415.88</v>
      </c>
      <c r="Q51" s="45" t="str">
        <f>IFERROR(IF(compras_mes2[[#This Row],[CUIT]]="","-",VLOOKUP(compras_mes2[[#This Row],[CUIT]],Lista_CUIT[#All],3,0)),"CUIT NO CARGADO")</f>
        <v>Mercaderia</v>
      </c>
      <c r="R51" s="45">
        <f>IFERROR(IF(compras_mes2[[#This Row],[CUIT]]="","-",VLOOKUP(compras_mes2[[#This Row],[CUIT]],Lista_CUIT[#All],4,0)),"CUIT NO CARGADO")</f>
        <v>0</v>
      </c>
    </row>
    <row r="52" spans="2:18" x14ac:dyDescent="0.3">
      <c r="B52" s="36">
        <v>44603</v>
      </c>
      <c r="C52" s="37">
        <v>1</v>
      </c>
      <c r="D52" s="38">
        <v>6</v>
      </c>
      <c r="E52" s="39">
        <v>20798</v>
      </c>
      <c r="F52" s="40">
        <v>33640878679</v>
      </c>
      <c r="G52" s="41" t="str">
        <f>IFERROR(IF(compras_mes2[[#This Row],[CUIT]]="","-",VLOOKUP(compras_mes2[[#This Row],[CUIT]],Lista_CUIT[#All],2,0)),"CUIT NO CARGADO")</f>
        <v>DHACAM  S.R.L.</v>
      </c>
      <c r="H52" s="42">
        <v>67440</v>
      </c>
      <c r="I52" s="81">
        <f>IF(compras_mes2[[#This Row],[NETO GRAVADO]]="","",compras_mes2[[#This Row],[NETO GRAVADO]]*0.21)</f>
        <v>14162.4</v>
      </c>
      <c r="J52" s="81"/>
      <c r="K52" s="81"/>
      <c r="L52" s="81"/>
      <c r="M52" s="81"/>
      <c r="N52" s="81"/>
      <c r="O52" s="81"/>
      <c r="P52" s="44">
        <f>SUM(compras_mes2[[#This Row],[NETO GRAVADO]:[Otros / No Grav.]])</f>
        <v>81602.399999999994</v>
      </c>
      <c r="Q52" s="45" t="str">
        <f>IFERROR(IF(compras_mes2[[#This Row],[CUIT]]="","-",VLOOKUP(compras_mes2[[#This Row],[CUIT]],Lista_CUIT[#All],3,0)),"CUIT NO CARGADO")</f>
        <v>Mercaderia</v>
      </c>
      <c r="R52" s="45">
        <f>IFERROR(IF(compras_mes2[[#This Row],[CUIT]]="","-",VLOOKUP(compras_mes2[[#This Row],[CUIT]],Lista_CUIT[#All],4,0)),"CUIT NO CARGADO")</f>
        <v>0</v>
      </c>
    </row>
    <row r="53" spans="2:18" x14ac:dyDescent="0.3">
      <c r="B53" s="36">
        <v>44608</v>
      </c>
      <c r="C53" s="37">
        <v>1</v>
      </c>
      <c r="D53" s="38">
        <v>2</v>
      </c>
      <c r="E53" s="39">
        <v>2985</v>
      </c>
      <c r="F53" s="40">
        <v>30629863571</v>
      </c>
      <c r="G53" s="41" t="str">
        <f>IFERROR(IF(compras_mes2[[#This Row],[CUIT]]="","-",VLOOKUP(compras_mes2[[#This Row],[CUIT]],Lista_CUIT[#All],2,0)),"CUIT NO CARGADO")</f>
        <v>TECNIMAR S R L</v>
      </c>
      <c r="H53" s="42">
        <v>107904.52</v>
      </c>
      <c r="I53" s="81">
        <f>IF(compras_mes2[[#This Row],[NETO GRAVADO]]="","",compras_mes2[[#This Row],[NETO GRAVADO]]*0.21)</f>
        <v>22659.949199999999</v>
      </c>
      <c r="J53" s="81"/>
      <c r="K53" s="81"/>
      <c r="L53" s="81"/>
      <c r="M53" s="81"/>
      <c r="N53" s="81"/>
      <c r="O53" s="81"/>
      <c r="P53" s="44">
        <f>SUM(compras_mes2[[#This Row],[NETO GRAVADO]:[Otros / No Grav.]])</f>
        <v>130564.46920000001</v>
      </c>
      <c r="Q53" s="45" t="str">
        <f>IFERROR(IF(compras_mes2[[#This Row],[CUIT]]="","-",VLOOKUP(compras_mes2[[#This Row],[CUIT]],Lista_CUIT[#All],3,0)),"CUIT NO CARGADO")</f>
        <v>Mercaderia</v>
      </c>
      <c r="R53" s="45">
        <f>IFERROR(IF(compras_mes2[[#This Row],[CUIT]]="","-",VLOOKUP(compras_mes2[[#This Row],[CUIT]],Lista_CUIT[#All],4,0)),"CUIT NO CARGADO")</f>
        <v>0</v>
      </c>
    </row>
    <row r="54" spans="2:18" x14ac:dyDescent="0.3">
      <c r="B54" s="36">
        <v>44610</v>
      </c>
      <c r="C54" s="37">
        <v>1</v>
      </c>
      <c r="D54" s="38">
        <v>1</v>
      </c>
      <c r="E54" s="39">
        <v>49</v>
      </c>
      <c r="F54" s="40">
        <v>20077604627</v>
      </c>
      <c r="G54" s="41" t="str">
        <f>IFERROR(IF(compras_mes2[[#This Row],[CUIT]]="","-",VLOOKUP(compras_mes2[[#This Row],[CUIT]],Lista_CUIT[#All],2,0)),"CUIT NO CARGADO")</f>
        <v>OCAÑO ENRIQUE</v>
      </c>
      <c r="H54" s="42">
        <v>85816.8</v>
      </c>
      <c r="I54" s="81">
        <f>IF(compras_mes2[[#This Row],[NETO GRAVADO]]="","",compras_mes2[[#This Row],[NETO GRAVADO]]*0.21)</f>
        <v>18021.527999999998</v>
      </c>
      <c r="J54" s="81"/>
      <c r="K54" s="81"/>
      <c r="L54" s="81"/>
      <c r="M54" s="81"/>
      <c r="N54" s="81"/>
      <c r="O54" s="81"/>
      <c r="P54" s="44">
        <f>SUM(compras_mes2[[#This Row],[NETO GRAVADO]:[Otros / No Grav.]])</f>
        <v>103838.32800000001</v>
      </c>
      <c r="Q54" s="45" t="str">
        <f>IFERROR(IF(compras_mes2[[#This Row],[CUIT]]="","-",VLOOKUP(compras_mes2[[#This Row],[CUIT]],Lista_CUIT[#All],3,0)),"CUIT NO CARGADO")</f>
        <v>Mercaderia</v>
      </c>
      <c r="R54" s="45">
        <f>IFERROR(IF(compras_mes2[[#This Row],[CUIT]]="","-",VLOOKUP(compras_mes2[[#This Row],[CUIT]],Lista_CUIT[#All],4,0)),"CUIT NO CARGADO")</f>
        <v>0</v>
      </c>
    </row>
    <row r="55" spans="2:18" x14ac:dyDescent="0.3">
      <c r="B55" s="36">
        <v>44613</v>
      </c>
      <c r="C55" s="37">
        <v>1</v>
      </c>
      <c r="D55" s="38">
        <v>2</v>
      </c>
      <c r="E55" s="39">
        <v>2993</v>
      </c>
      <c r="F55" s="40">
        <v>30629863571</v>
      </c>
      <c r="G55" s="41" t="str">
        <f>IFERROR(IF(compras_mes2[[#This Row],[CUIT]]="","-",VLOOKUP(compras_mes2[[#This Row],[CUIT]],Lista_CUIT[#All],2,0)),"CUIT NO CARGADO")</f>
        <v>TECNIMAR S R L</v>
      </c>
      <c r="H55" s="42">
        <v>145811.85999999999</v>
      </c>
      <c r="I55" s="81">
        <f>IF(compras_mes2[[#This Row],[NETO GRAVADO]]="","",compras_mes2[[#This Row],[NETO GRAVADO]]*0.21)</f>
        <v>30620.490599999997</v>
      </c>
      <c r="J55" s="81"/>
      <c r="K55" s="81"/>
      <c r="L55" s="81"/>
      <c r="M55" s="81"/>
      <c r="N55" s="81"/>
      <c r="O55" s="81"/>
      <c r="P55" s="44">
        <f>SUM(compras_mes2[[#This Row],[NETO GRAVADO]:[Otros / No Grav.]])</f>
        <v>176432.35059999998</v>
      </c>
      <c r="Q55" s="45" t="str">
        <f>IFERROR(IF(compras_mes2[[#This Row],[CUIT]]="","-",VLOOKUP(compras_mes2[[#This Row],[CUIT]],Lista_CUIT[#All],3,0)),"CUIT NO CARGADO")</f>
        <v>Mercaderia</v>
      </c>
      <c r="R55" s="45">
        <f>IFERROR(IF(compras_mes2[[#This Row],[CUIT]]="","-",VLOOKUP(compras_mes2[[#This Row],[CUIT]],Lista_CUIT[#All],4,0)),"CUIT NO CARGADO")</f>
        <v>0</v>
      </c>
    </row>
    <row r="56" spans="2:18" x14ac:dyDescent="0.3">
      <c r="B56" s="36">
        <v>44614</v>
      </c>
      <c r="C56" s="37">
        <v>1</v>
      </c>
      <c r="D56" s="38">
        <v>2</v>
      </c>
      <c r="E56" s="39">
        <v>2995</v>
      </c>
      <c r="F56" s="40">
        <v>30629863571</v>
      </c>
      <c r="G56" s="41" t="str">
        <f>IFERROR(IF(compras_mes2[[#This Row],[CUIT]]="","-",VLOOKUP(compras_mes2[[#This Row],[CUIT]],Lista_CUIT[#All],2,0)),"CUIT NO CARGADO")</f>
        <v>TECNIMAR S R L</v>
      </c>
      <c r="H56" s="42">
        <v>202985.04</v>
      </c>
      <c r="I56" s="81">
        <f>IF(compras_mes2[[#This Row],[NETO GRAVADO]]="","",compras_mes2[[#This Row],[NETO GRAVADO]]*0.21)</f>
        <v>42626.858399999997</v>
      </c>
      <c r="J56" s="81"/>
      <c r="K56" s="81"/>
      <c r="L56" s="81"/>
      <c r="M56" s="81"/>
      <c r="N56" s="81"/>
      <c r="O56" s="81"/>
      <c r="P56" s="44">
        <f>SUM(compras_mes2[[#This Row],[NETO GRAVADO]:[Otros / No Grav.]])</f>
        <v>245611.89840000001</v>
      </c>
      <c r="Q56" s="45" t="str">
        <f>IFERROR(IF(compras_mes2[[#This Row],[CUIT]]="","-",VLOOKUP(compras_mes2[[#This Row],[CUIT]],Lista_CUIT[#All],3,0)),"CUIT NO CARGADO")</f>
        <v>Mercaderia</v>
      </c>
      <c r="R56" s="45">
        <f>IFERROR(IF(compras_mes2[[#This Row],[CUIT]]="","-",VLOOKUP(compras_mes2[[#This Row],[CUIT]],Lista_CUIT[#All],4,0)),"CUIT NO CARGADO")</f>
        <v>0</v>
      </c>
    </row>
    <row r="57" spans="2:18" x14ac:dyDescent="0.3">
      <c r="B57" s="36">
        <v>44614</v>
      </c>
      <c r="C57" s="37">
        <v>1</v>
      </c>
      <c r="D57" s="38">
        <v>6</v>
      </c>
      <c r="E57" s="39">
        <v>1929</v>
      </c>
      <c r="F57" s="40">
        <v>30574603788</v>
      </c>
      <c r="G57" s="41" t="str">
        <f>IFERROR(IF(compras_mes2[[#This Row],[CUIT]]="","-",VLOOKUP(compras_mes2[[#This Row],[CUIT]],Lista_CUIT[#All],2,0)),"CUIT NO CARGADO")</f>
        <v>Codac SRL</v>
      </c>
      <c r="H57" s="42">
        <v>309691</v>
      </c>
      <c r="I57" s="81">
        <f>IF(compras_mes2[[#This Row],[NETO GRAVADO]]="","",compras_mes2[[#This Row],[NETO GRAVADO]]*0.21)</f>
        <v>65035.11</v>
      </c>
      <c r="J57" s="81"/>
      <c r="K57" s="81"/>
      <c r="L57" s="81"/>
      <c r="M57" s="81"/>
      <c r="N57" s="81"/>
      <c r="O57" s="81"/>
      <c r="P57" s="44">
        <f>SUM(compras_mes2[[#This Row],[NETO GRAVADO]:[Otros / No Grav.]])</f>
        <v>374726.11</v>
      </c>
      <c r="Q57" s="45" t="str">
        <f>IFERROR(IF(compras_mes2[[#This Row],[CUIT]]="","-",VLOOKUP(compras_mes2[[#This Row],[CUIT]],Lista_CUIT[#All],3,0)),"CUIT NO CARGADO")</f>
        <v>Mercaderia</v>
      </c>
      <c r="R57" s="45">
        <f>IFERROR(IF(compras_mes2[[#This Row],[CUIT]]="","-",VLOOKUP(compras_mes2[[#This Row],[CUIT]],Lista_CUIT[#All],4,0)),"CUIT NO CARGADO")</f>
        <v>0</v>
      </c>
    </row>
    <row r="58" spans="2:18" x14ac:dyDescent="0.3">
      <c r="B58" s="36">
        <v>44615</v>
      </c>
      <c r="C58" s="37">
        <v>1</v>
      </c>
      <c r="D58" s="38">
        <v>1</v>
      </c>
      <c r="E58" s="39">
        <v>50</v>
      </c>
      <c r="F58" s="40">
        <v>20077604627</v>
      </c>
      <c r="G58" s="41" t="str">
        <f>IFERROR(IF(compras_mes2[[#This Row],[CUIT]]="","-",VLOOKUP(compras_mes2[[#This Row],[CUIT]],Lista_CUIT[#All],2,0)),"CUIT NO CARGADO")</f>
        <v>OCAÑO ENRIQUE</v>
      </c>
      <c r="H58" s="42">
        <v>83967.3</v>
      </c>
      <c r="I58" s="81">
        <f>IF(compras_mes2[[#This Row],[NETO GRAVADO]]="","",compras_mes2[[#This Row],[NETO GRAVADO]]*0.21)</f>
        <v>17633.133000000002</v>
      </c>
      <c r="J58" s="81"/>
      <c r="K58" s="81"/>
      <c r="L58" s="81"/>
      <c r="M58" s="81"/>
      <c r="N58" s="81"/>
      <c r="O58" s="81"/>
      <c r="P58" s="44">
        <f>SUM(compras_mes2[[#This Row],[NETO GRAVADO]:[Otros / No Grav.]])</f>
        <v>101600.433</v>
      </c>
      <c r="Q58" s="45" t="str">
        <f>IFERROR(IF(compras_mes2[[#This Row],[CUIT]]="","-",VLOOKUP(compras_mes2[[#This Row],[CUIT]],Lista_CUIT[#All],3,0)),"CUIT NO CARGADO")</f>
        <v>Mercaderia</v>
      </c>
      <c r="R58" s="45">
        <f>IFERROR(IF(compras_mes2[[#This Row],[CUIT]]="","-",VLOOKUP(compras_mes2[[#This Row],[CUIT]],Lista_CUIT[#All],4,0)),"CUIT NO CARGADO")</f>
        <v>0</v>
      </c>
    </row>
    <row r="59" spans="2:18" x14ac:dyDescent="0.3">
      <c r="B59" s="36">
        <v>44617</v>
      </c>
      <c r="C59" s="37">
        <v>1</v>
      </c>
      <c r="D59" s="38">
        <v>2</v>
      </c>
      <c r="E59" s="39">
        <v>2999</v>
      </c>
      <c r="F59" s="40">
        <v>30629863571</v>
      </c>
      <c r="G59" s="41" t="str">
        <f>IFERROR(IF(compras_mes2[[#This Row],[CUIT]]="","-",VLOOKUP(compras_mes2[[#This Row],[CUIT]],Lista_CUIT[#All],2,0)),"CUIT NO CARGADO")</f>
        <v>TECNIMAR S R L</v>
      </c>
      <c r="H59" s="42">
        <v>265678.03999999998</v>
      </c>
      <c r="I59" s="81">
        <f>IF(compras_mes2[[#This Row],[NETO GRAVADO]]="","",compras_mes2[[#This Row],[NETO GRAVADO]]*0.21)</f>
        <v>55792.388399999996</v>
      </c>
      <c r="J59" s="81"/>
      <c r="K59" s="81"/>
      <c r="L59" s="81"/>
      <c r="M59" s="81"/>
      <c r="N59" s="81"/>
      <c r="O59" s="81"/>
      <c r="P59" s="44">
        <f>SUM(compras_mes2[[#This Row],[NETO GRAVADO]:[Otros / No Grav.]])</f>
        <v>321470.42839999998</v>
      </c>
      <c r="Q59" s="45" t="str">
        <f>IFERROR(IF(compras_mes2[[#This Row],[CUIT]]="","-",VLOOKUP(compras_mes2[[#This Row],[CUIT]],Lista_CUIT[#All],3,0)),"CUIT NO CARGADO")</f>
        <v>Mercaderia</v>
      </c>
      <c r="R59" s="45">
        <f>IFERROR(IF(compras_mes2[[#This Row],[CUIT]]="","-",VLOOKUP(compras_mes2[[#This Row],[CUIT]],Lista_CUIT[#All],4,0)),"CUIT NO CARGADO")</f>
        <v>0</v>
      </c>
    </row>
    <row r="60" spans="2:18" x14ac:dyDescent="0.3">
      <c r="B60" s="36">
        <v>44617</v>
      </c>
      <c r="C60" s="37">
        <v>1</v>
      </c>
      <c r="D60" s="38">
        <v>4</v>
      </c>
      <c r="E60" s="39">
        <v>33466</v>
      </c>
      <c r="F60" s="40">
        <v>30585948817</v>
      </c>
      <c r="G60" s="41" t="str">
        <f>IFERROR(IF(compras_mes2[[#This Row],[CUIT]]="","-",VLOOKUP(compras_mes2[[#This Row],[CUIT]],Lista_CUIT[#All],2,0)),"CUIT NO CARGADO")</f>
        <v xml:space="preserve">GLASCAR </v>
      </c>
      <c r="H60" s="42">
        <v>59625</v>
      </c>
      <c r="I60" s="81">
        <f>IF(compras_mes2[[#This Row],[NETO GRAVADO]]="","",compras_mes2[[#This Row],[NETO GRAVADO]]*0.21)</f>
        <v>12521.25</v>
      </c>
      <c r="J60" s="81"/>
      <c r="K60" s="81"/>
      <c r="L60" s="81"/>
      <c r="M60" s="81"/>
      <c r="N60" s="81">
        <v>3577.5</v>
      </c>
      <c r="O60" s="81"/>
      <c r="P60" s="44">
        <f>SUM(compras_mes2[[#This Row],[NETO GRAVADO]:[Otros / No Grav.]])</f>
        <v>75723.75</v>
      </c>
      <c r="Q60" s="45" t="str">
        <f>IFERROR(IF(compras_mes2[[#This Row],[CUIT]]="","-",VLOOKUP(compras_mes2[[#This Row],[CUIT]],Lista_CUIT[#All],3,0)),"CUIT NO CARGADO")</f>
        <v>Mercaderia</v>
      </c>
      <c r="R60" s="45">
        <f>IFERROR(IF(compras_mes2[[#This Row],[CUIT]]="","-",VLOOKUP(compras_mes2[[#This Row],[CUIT]],Lista_CUIT[#All],4,0)),"CUIT NO CARGADO")</f>
        <v>0</v>
      </c>
    </row>
    <row r="61" spans="2:18" x14ac:dyDescent="0.3">
      <c r="B61" s="36">
        <v>44617</v>
      </c>
      <c r="C61" s="37">
        <v>1</v>
      </c>
      <c r="D61" s="38">
        <v>15</v>
      </c>
      <c r="E61" s="39">
        <v>2055</v>
      </c>
      <c r="F61" s="40">
        <v>30691617773</v>
      </c>
      <c r="G61" s="41" t="str">
        <f>IFERROR(IF(compras_mes2[[#This Row],[CUIT]]="","-",VLOOKUP(compras_mes2[[#This Row],[CUIT]],Lista_CUIT[#All],2,0)),"CUIT NO CARGADO")</f>
        <v>NOVACHEM S R L</v>
      </c>
      <c r="H61" s="42">
        <v>12937.5</v>
      </c>
      <c r="I61" s="81">
        <f>IF(compras_mes2[[#This Row],[NETO GRAVADO]]="","",compras_mes2[[#This Row],[NETO GRAVADO]]*0.21)</f>
        <v>2716.875</v>
      </c>
      <c r="J61" s="81"/>
      <c r="K61" s="81"/>
      <c r="L61" s="81"/>
      <c r="M61" s="81"/>
      <c r="N61" s="81"/>
      <c r="O61" s="81"/>
      <c r="P61" s="44">
        <f>SUM(compras_mes2[[#This Row],[NETO GRAVADO]:[Otros / No Grav.]])</f>
        <v>15654.375</v>
      </c>
      <c r="Q61" s="45" t="str">
        <f>IFERROR(IF(compras_mes2[[#This Row],[CUIT]]="","-",VLOOKUP(compras_mes2[[#This Row],[CUIT]],Lista_CUIT[#All],3,0)),"CUIT NO CARGADO")</f>
        <v>Mercaderia</v>
      </c>
      <c r="R61" s="45">
        <f>IFERROR(IF(compras_mes2[[#This Row],[CUIT]]="","-",VLOOKUP(compras_mes2[[#This Row],[CUIT]],Lista_CUIT[#All],4,0)),"CUIT NO CARGADO")</f>
        <v>0</v>
      </c>
    </row>
    <row r="62" spans="2:18" x14ac:dyDescent="0.3">
      <c r="B62" s="36">
        <v>44618</v>
      </c>
      <c r="C62" s="37">
        <v>1</v>
      </c>
      <c r="D62" s="38">
        <v>2</v>
      </c>
      <c r="E62" s="39">
        <v>4015</v>
      </c>
      <c r="F62" s="40">
        <v>23180288899</v>
      </c>
      <c r="G62" s="41" t="str">
        <f>IFERROR(IF(compras_mes2[[#This Row],[CUIT]]="","-",VLOOKUP(compras_mes2[[#This Row],[CUIT]],Lista_CUIT[#All],2,0)),"CUIT NO CARGADO")</f>
        <v>ROMERO EMILIO</v>
      </c>
      <c r="H62" s="42">
        <v>126000</v>
      </c>
      <c r="I62" s="81">
        <f>IF(compras_mes2[[#This Row],[NETO GRAVADO]]="","",compras_mes2[[#This Row],[NETO GRAVADO]]*0.21)</f>
        <v>26460</v>
      </c>
      <c r="J62" s="81"/>
      <c r="K62" s="81"/>
      <c r="L62" s="81"/>
      <c r="M62" s="81"/>
      <c r="N62" s="81"/>
      <c r="O62" s="81"/>
      <c r="P62" s="44">
        <f>SUM(compras_mes2[[#This Row],[NETO GRAVADO]:[Otros / No Grav.]])</f>
        <v>152460</v>
      </c>
      <c r="Q62" s="45" t="str">
        <f>IFERROR(IF(compras_mes2[[#This Row],[CUIT]]="","-",VLOOKUP(compras_mes2[[#This Row],[CUIT]],Lista_CUIT[#All],3,0)),"CUIT NO CARGADO")</f>
        <v>Mercaderia</v>
      </c>
      <c r="R62" s="45" t="str">
        <f>IFERROR(IF(compras_mes2[[#This Row],[CUIT]]="","-",VLOOKUP(compras_mes2[[#This Row],[CUIT]],Lista_CUIT[#All],4,0)),"CUIT NO CARGADO")</f>
        <v>BUENOS AIRES</v>
      </c>
    </row>
    <row r="63" spans="2:18" x14ac:dyDescent="0.3">
      <c r="B63" s="36">
        <v>44594</v>
      </c>
      <c r="C63" s="37">
        <v>1</v>
      </c>
      <c r="D63" s="38">
        <v>5014</v>
      </c>
      <c r="E63" s="39">
        <v>189806</v>
      </c>
      <c r="F63" s="40">
        <v>30574876474</v>
      </c>
      <c r="G63" s="41" t="str">
        <f>IFERROR(IF(compras_mes2[[#This Row],[CUIT]]="","-",VLOOKUP(compras_mes2[[#This Row],[CUIT]],Lista_CUIT[#All],2,0)),"CUIT NO CARGADO")</f>
        <v>AUTOPISTAS URBANAS S A</v>
      </c>
      <c r="H63" s="42">
        <v>6547.7</v>
      </c>
      <c r="I63" s="81">
        <f>IF(compras_mes2[[#This Row],[NETO GRAVADO]]="","",compras_mes2[[#This Row],[NETO GRAVADO]]*0.21)</f>
        <v>1375.0169999999998</v>
      </c>
      <c r="J63" s="81"/>
      <c r="K63" s="81"/>
      <c r="L63" s="81">
        <v>196.42</v>
      </c>
      <c r="M63" s="81"/>
      <c r="N63" s="81"/>
      <c r="O63" s="81">
        <v>649.66999999999996</v>
      </c>
      <c r="P63" s="44">
        <f>SUM(compras_mes2[[#This Row],[NETO GRAVADO]:[Otros / No Grav.]])</f>
        <v>8768.8069999999989</v>
      </c>
      <c r="Q63" s="45" t="str">
        <f>IFERROR(IF(compras_mes2[[#This Row],[CUIT]]="","-",VLOOKUP(compras_mes2[[#This Row],[CUIT]],Lista_CUIT[#All],3,0)),"CUIT NO CARGADO")</f>
        <v>Peaje</v>
      </c>
      <c r="R63" s="45">
        <f>IFERROR(IF(compras_mes2[[#This Row],[CUIT]]="","-",VLOOKUP(compras_mes2[[#This Row],[CUIT]],Lista_CUIT[#All],4,0)),"CUIT NO CARGADO")</f>
        <v>0</v>
      </c>
    </row>
    <row r="64" spans="2:18" x14ac:dyDescent="0.3">
      <c r="B64" s="36">
        <v>44604</v>
      </c>
      <c r="C64" s="37">
        <v>1</v>
      </c>
      <c r="D64" s="38">
        <v>50</v>
      </c>
      <c r="E64" s="39">
        <v>2465701</v>
      </c>
      <c r="F64" s="40">
        <v>30574876474</v>
      </c>
      <c r="G64" s="41" t="str">
        <f>IFERROR(IF(compras_mes2[[#This Row],[CUIT]]="","-",VLOOKUP(compras_mes2[[#This Row],[CUIT]],Lista_CUIT[#All],2,0)),"CUIT NO CARGADO")</f>
        <v>AUTOPISTAS URBANAS S A</v>
      </c>
      <c r="H64" s="42">
        <v>1303.3</v>
      </c>
      <c r="I64" s="81">
        <f>IF(compras_mes2[[#This Row],[NETO GRAVADO]]="","",compras_mes2[[#This Row],[NETO GRAVADO]]*0.21)</f>
        <v>273.69299999999998</v>
      </c>
      <c r="J64" s="81"/>
      <c r="K64" s="81"/>
      <c r="L64" s="81">
        <v>39.1</v>
      </c>
      <c r="M64" s="81"/>
      <c r="N64" s="81"/>
      <c r="O64" s="81"/>
      <c r="P64" s="44">
        <f>SUM(compras_mes2[[#This Row],[NETO GRAVADO]:[Otros / No Grav.]])</f>
        <v>1616.0929999999998</v>
      </c>
      <c r="Q64" s="45" t="str">
        <f>IFERROR(IF(compras_mes2[[#This Row],[CUIT]]="","-",VLOOKUP(compras_mes2[[#This Row],[CUIT]],Lista_CUIT[#All],3,0)),"CUIT NO CARGADO")</f>
        <v>Peaje</v>
      </c>
      <c r="R64" s="45">
        <f>IFERROR(IF(compras_mes2[[#This Row],[CUIT]]="","-",VLOOKUP(compras_mes2[[#This Row],[CUIT]],Lista_CUIT[#All],4,0)),"CUIT NO CARGADO")</f>
        <v>0</v>
      </c>
    </row>
    <row r="65" spans="2:21" x14ac:dyDescent="0.3">
      <c r="B65" s="36">
        <v>44609</v>
      </c>
      <c r="C65" s="37">
        <v>1</v>
      </c>
      <c r="D65" s="38">
        <v>5014</v>
      </c>
      <c r="E65" s="39">
        <v>195096</v>
      </c>
      <c r="F65" s="40">
        <v>30574876474</v>
      </c>
      <c r="G65" s="41" t="str">
        <f>IFERROR(IF(compras_mes2[[#This Row],[CUIT]]="","-",VLOOKUP(compras_mes2[[#This Row],[CUIT]],Lista_CUIT[#All],2,0)),"CUIT NO CARGADO")</f>
        <v>AUTOPISTAS URBANAS S A</v>
      </c>
      <c r="H65" s="42">
        <v>7785.48</v>
      </c>
      <c r="I65" s="81">
        <f>IF(compras_mes2[[#This Row],[NETO GRAVADO]]="","",compras_mes2[[#This Row],[NETO GRAVADO]]*0.21)</f>
        <v>1634.9507999999998</v>
      </c>
      <c r="J65" s="81"/>
      <c r="K65" s="81"/>
      <c r="L65" s="81">
        <v>233.55</v>
      </c>
      <c r="M65" s="81"/>
      <c r="N65" s="81"/>
      <c r="O65" s="81">
        <v>777.95</v>
      </c>
      <c r="P65" s="44">
        <f>SUM(compras_mes2[[#This Row],[NETO GRAVADO]:[Otros / No Grav.]])</f>
        <v>10431.9308</v>
      </c>
      <c r="Q65" s="45" t="str">
        <f>IFERROR(IF(compras_mes2[[#This Row],[CUIT]]="","-",VLOOKUP(compras_mes2[[#This Row],[CUIT]],Lista_CUIT[#All],3,0)),"CUIT NO CARGADO")</f>
        <v>Peaje</v>
      </c>
      <c r="R65" s="45">
        <f>IFERROR(IF(compras_mes2[[#This Row],[CUIT]]="","-",VLOOKUP(compras_mes2[[#This Row],[CUIT]],Lista_CUIT[#All],4,0)),"CUIT NO CARGADO")</f>
        <v>0</v>
      </c>
    </row>
    <row r="66" spans="2:21" x14ac:dyDescent="0.3">
      <c r="B66" s="36">
        <v>44595</v>
      </c>
      <c r="C66" s="37">
        <v>1</v>
      </c>
      <c r="D66" s="38">
        <v>943</v>
      </c>
      <c r="E66" s="39">
        <v>905455</v>
      </c>
      <c r="F66" s="40">
        <v>30639453975</v>
      </c>
      <c r="G66" s="41" t="str">
        <f>IFERROR(IF(compras_mes2[[#This Row],[CUIT]]="","-",VLOOKUP(compras_mes2[[#This Row],[CUIT]],Lista_CUIT[#All],2,0)),"CUIT NO CARGADO")</f>
        <v>TELEFONICA DE ARG S.A.</v>
      </c>
      <c r="H66" s="42">
        <v>8114.92</v>
      </c>
      <c r="I66" s="81"/>
      <c r="J66" s="81">
        <v>2191.0300000000002</v>
      </c>
      <c r="K66" s="81"/>
      <c r="L66" s="166">
        <v>243.45</v>
      </c>
      <c r="M66" s="81"/>
      <c r="N66" s="81"/>
      <c r="O66" s="81">
        <v>486.9</v>
      </c>
      <c r="P66" s="44">
        <f>SUM(compras_mes2[[#This Row],[NETO GRAVADO]:[Otros / No Grav.]])</f>
        <v>11036.300000000001</v>
      </c>
      <c r="Q66" s="45" t="str">
        <f>IFERROR(IF(compras_mes2[[#This Row],[CUIT]]="","-",VLOOKUP(compras_mes2[[#This Row],[CUIT]],Lista_CUIT[#All],3,0)),"CUIT NO CARGADO")</f>
        <v>Servicios Gas, Luz, etc.</v>
      </c>
      <c r="R66" s="45">
        <f>IFERROR(IF(compras_mes2[[#This Row],[CUIT]]="","-",VLOOKUP(compras_mes2[[#This Row],[CUIT]],Lista_CUIT[#All],4,0)),"CUIT NO CARGADO")</f>
        <v>0</v>
      </c>
    </row>
    <row r="67" spans="2:21" x14ac:dyDescent="0.3">
      <c r="B67" s="85">
        <v>44596</v>
      </c>
      <c r="C67" s="37">
        <v>1</v>
      </c>
      <c r="D67" s="87">
        <v>63</v>
      </c>
      <c r="E67" s="88">
        <v>1811974</v>
      </c>
      <c r="F67" s="89">
        <v>30640897267</v>
      </c>
      <c r="G67" s="90" t="str">
        <f>IFERROR(IF(compras_mes2[[#This Row],[CUIT]]="","-",VLOOKUP(compras_mes2[[#This Row],[CUIT]],Lista_CUIT[#All],2,0)),"CUIT NO CARGADO")</f>
        <v>TELECENTRO S.A.</v>
      </c>
      <c r="H67" s="91">
        <v>4425.45</v>
      </c>
      <c r="I67" s="82">
        <f>IF(compras_mes2[[#This Row],[NETO GRAVADO]]="","",compras_mes2[[#This Row],[NETO GRAVADO]]*0.21)</f>
        <v>929.34449999999993</v>
      </c>
      <c r="J67" s="82"/>
      <c r="K67" s="82"/>
      <c r="L67" s="82">
        <v>132.76</v>
      </c>
      <c r="M67" s="82"/>
      <c r="N67" s="82"/>
      <c r="O67" s="82">
        <v>265.52999999999997</v>
      </c>
      <c r="P67" s="83">
        <f>SUM(compras_mes2[[#This Row],[NETO GRAVADO]:[Otros / No Grav.]])</f>
        <v>5753.0844999999999</v>
      </c>
      <c r="Q67" s="84" t="str">
        <f>IFERROR(IF(compras_mes2[[#This Row],[CUIT]]="","-",VLOOKUP(compras_mes2[[#This Row],[CUIT]],Lista_CUIT[#All],3,0)),"CUIT NO CARGADO")</f>
        <v>Servicios Gas, Luz, etc.</v>
      </c>
      <c r="R67" s="84">
        <f>IFERROR(IF(compras_mes2[[#This Row],[CUIT]]="","-",VLOOKUP(compras_mes2[[#This Row],[CUIT]],Lista_CUIT[#All],4,0)),"CUIT NO CARGADO")</f>
        <v>0</v>
      </c>
    </row>
    <row r="68" spans="2:21" x14ac:dyDescent="0.3">
      <c r="B68" s="36">
        <v>44596</v>
      </c>
      <c r="C68" s="37">
        <v>1</v>
      </c>
      <c r="D68" s="38">
        <v>63</v>
      </c>
      <c r="E68" s="39">
        <v>1812122</v>
      </c>
      <c r="F68" s="40">
        <v>30640897267</v>
      </c>
      <c r="G68" s="41" t="str">
        <f>IFERROR(IF(compras_mes2[[#This Row],[CUIT]]="","-",VLOOKUP(compras_mes2[[#This Row],[CUIT]],Lista_CUIT[#All],2,0)),"CUIT NO CARGADO")</f>
        <v>TELECENTRO S.A.</v>
      </c>
      <c r="H68" s="42">
        <v>4204.79</v>
      </c>
      <c r="I68" s="81">
        <f>IF(compras_mes2[[#This Row],[NETO GRAVADO]]="","",compras_mes2[[#This Row],[NETO GRAVADO]]*0.21)</f>
        <v>883.0059</v>
      </c>
      <c r="J68" s="81"/>
      <c r="K68" s="81"/>
      <c r="L68" s="81">
        <v>126.14</v>
      </c>
      <c r="M68" s="81"/>
      <c r="N68" s="81">
        <v>252.29</v>
      </c>
      <c r="O68" s="81"/>
      <c r="P68" s="44">
        <f>SUM(compras_mes2[[#This Row],[NETO GRAVADO]:[Otros / No Grav.]])</f>
        <v>5466.2259000000004</v>
      </c>
      <c r="Q68" s="45" t="str">
        <f>IFERROR(IF(compras_mes2[[#This Row],[CUIT]]="","-",VLOOKUP(compras_mes2[[#This Row],[CUIT]],Lista_CUIT[#All],3,0)),"CUIT NO CARGADO")</f>
        <v>Servicios Gas, Luz, etc.</v>
      </c>
      <c r="R68" s="45">
        <f>IFERROR(IF(compras_mes2[[#This Row],[CUIT]]="","-",VLOOKUP(compras_mes2[[#This Row],[CUIT]],Lista_CUIT[#All],4,0)),"CUIT NO CARGADO")</f>
        <v>0</v>
      </c>
    </row>
    <row r="69" spans="2:21" x14ac:dyDescent="0.3">
      <c r="B69" s="36">
        <v>44596</v>
      </c>
      <c r="C69" s="37">
        <v>1</v>
      </c>
      <c r="D69" s="38">
        <v>63</v>
      </c>
      <c r="E69" s="39">
        <v>1812560</v>
      </c>
      <c r="F69" s="40">
        <v>30640897267</v>
      </c>
      <c r="G69" s="41" t="str">
        <f>IFERROR(IF(compras_mes2[[#This Row],[CUIT]]="","-",VLOOKUP(compras_mes2[[#This Row],[CUIT]],Lista_CUIT[#All],2,0)),"CUIT NO CARGADO")</f>
        <v>TELECENTRO S.A.</v>
      </c>
      <c r="H69" s="42">
        <v>4425.45</v>
      </c>
      <c r="I69" s="81">
        <f>IF(compras_mes2[[#This Row],[NETO GRAVADO]]="","",compras_mes2[[#This Row],[NETO GRAVADO]]*0.21)</f>
        <v>929.34449999999993</v>
      </c>
      <c r="J69" s="81"/>
      <c r="K69" s="81"/>
      <c r="L69" s="81">
        <v>132.76</v>
      </c>
      <c r="M69" s="81"/>
      <c r="N69" s="81">
        <v>265.52999999999997</v>
      </c>
      <c r="O69" s="81"/>
      <c r="P69" s="44">
        <f>SUM(compras_mes2[[#This Row],[NETO GRAVADO]:[Otros / No Grav.]])</f>
        <v>5753.0844999999999</v>
      </c>
      <c r="Q69" s="45" t="str">
        <f>IFERROR(IF(compras_mes2[[#This Row],[CUIT]]="","-",VLOOKUP(compras_mes2[[#This Row],[CUIT]],Lista_CUIT[#All],3,0)),"CUIT NO CARGADO")</f>
        <v>Servicios Gas, Luz, etc.</v>
      </c>
      <c r="R69" s="45">
        <f>IFERROR(IF(compras_mes2[[#This Row],[CUIT]]="","-",VLOOKUP(compras_mes2[[#This Row],[CUIT]],Lista_CUIT[#All],4,0)),"CUIT NO CARGADO")</f>
        <v>0</v>
      </c>
    </row>
    <row r="70" spans="2:21" x14ac:dyDescent="0.3">
      <c r="B70" s="36">
        <v>44601</v>
      </c>
      <c r="C70" s="37">
        <v>1</v>
      </c>
      <c r="D70" s="38">
        <v>948</v>
      </c>
      <c r="E70" s="39">
        <v>568400</v>
      </c>
      <c r="F70" s="40">
        <v>30639453975</v>
      </c>
      <c r="G70" s="41" t="str">
        <f>IFERROR(IF(compras_mes2[[#This Row],[CUIT]]="","-",VLOOKUP(compras_mes2[[#This Row],[CUIT]],Lista_CUIT[#All],2,0)),"CUIT NO CARGADO")</f>
        <v>TELEFONICA DE ARG S.A.</v>
      </c>
      <c r="H70" s="42">
        <v>2315.5100000000002</v>
      </c>
      <c r="I70" s="81">
        <v>625.19000000000005</v>
      </c>
      <c r="J70" s="81"/>
      <c r="K70" s="81"/>
      <c r="L70" s="81">
        <v>69.47</v>
      </c>
      <c r="M70" s="81"/>
      <c r="N70" s="81">
        <v>138.93</v>
      </c>
      <c r="O70" s="81"/>
      <c r="P70" s="44">
        <f>SUM(compras_mes2[[#This Row],[NETO GRAVADO]:[Otros / No Grav.]])</f>
        <v>3149.1</v>
      </c>
      <c r="Q70" s="45" t="str">
        <f>IFERROR(IF(compras_mes2[[#This Row],[CUIT]]="","-",VLOOKUP(compras_mes2[[#This Row],[CUIT]],Lista_CUIT[#All],3,0)),"CUIT NO CARGADO")</f>
        <v>Servicios Gas, Luz, etc.</v>
      </c>
      <c r="R70" s="45">
        <f>IFERROR(IF(compras_mes2[[#This Row],[CUIT]]="","-",VLOOKUP(compras_mes2[[#This Row],[CUIT]],Lista_CUIT[#All],4,0)),"CUIT NO CARGADO")</f>
        <v>0</v>
      </c>
    </row>
    <row r="71" spans="2:21" x14ac:dyDescent="0.3">
      <c r="B71" s="85">
        <v>44602</v>
      </c>
      <c r="C71" s="37">
        <v>1</v>
      </c>
      <c r="D71" s="87">
        <v>6364</v>
      </c>
      <c r="E71" s="88">
        <v>5760586</v>
      </c>
      <c r="F71" s="89">
        <v>30639453738</v>
      </c>
      <c r="G71" s="90" t="str">
        <f>IFERROR(IF(compras_mes2[[#This Row],[CUIT]]="","-",VLOOKUP(compras_mes2[[#This Row],[CUIT]],Lista_CUIT[#All],2,0)),"CUIT NO CARGADO")</f>
        <v>TELECOM ARG SA</v>
      </c>
      <c r="H71" s="91">
        <v>31391.1</v>
      </c>
      <c r="I71" s="82">
        <v>6677.64</v>
      </c>
      <c r="J71" s="82"/>
      <c r="K71" s="82"/>
      <c r="L71" s="82"/>
      <c r="M71" s="82"/>
      <c r="N71" s="82"/>
      <c r="O71" s="82">
        <v>2751.92</v>
      </c>
      <c r="P71" s="83">
        <f>SUM(compras_mes2[[#This Row],[NETO GRAVADO]:[Otros / No Grav.]])</f>
        <v>40820.659999999996</v>
      </c>
      <c r="Q71" s="84" t="str">
        <f>IFERROR(IF(compras_mes2[[#This Row],[CUIT]]="","-",VLOOKUP(compras_mes2[[#This Row],[CUIT]],Lista_CUIT[#All],3,0)),"CUIT NO CARGADO")</f>
        <v>Servicios Gas, Luz, etc.</v>
      </c>
      <c r="R71" s="84">
        <f>IFERROR(IF(compras_mes2[[#This Row],[CUIT]]="","-",VLOOKUP(compras_mes2[[#This Row],[CUIT]],Lista_CUIT[#All],4,0)),"CUIT NO CARGADO")</f>
        <v>0</v>
      </c>
    </row>
    <row r="72" spans="2:21" x14ac:dyDescent="0.3">
      <c r="B72" s="36">
        <v>44599</v>
      </c>
      <c r="C72" s="37">
        <v>1</v>
      </c>
      <c r="D72" s="38">
        <v>2</v>
      </c>
      <c r="E72" s="39">
        <v>28981</v>
      </c>
      <c r="F72" s="40">
        <v>33714232199</v>
      </c>
      <c r="G72" s="41" t="str">
        <f>IFERROR(IF(compras_mes2[[#This Row],[CUIT]]="","-",VLOOKUP(compras_mes2[[#This Row],[CUIT]],Lista_CUIT[#All],2,0)),"CUIT NO CARGADO")</f>
        <v>NUAGE SYSTEMS S.A</v>
      </c>
      <c r="H72" s="42">
        <v>16317</v>
      </c>
      <c r="I72" s="81">
        <f>IF(compras_mes2[[#This Row],[NETO GRAVADO]]="","",compras_mes2[[#This Row],[NETO GRAVADO]]*0.21)</f>
        <v>3426.5699999999997</v>
      </c>
      <c r="J72" s="81"/>
      <c r="K72" s="81"/>
      <c r="L72" s="81"/>
      <c r="M72" s="81"/>
      <c r="N72" s="81"/>
      <c r="O72" s="81"/>
      <c r="P72" s="44">
        <f>SUM(compras_mes2[[#This Row],[NETO GRAVADO]:[Otros / No Grav.]])</f>
        <v>19743.57</v>
      </c>
      <c r="Q72" s="45" t="str">
        <f>IFERROR(IF(compras_mes2[[#This Row],[CUIT]]="","-",VLOOKUP(compras_mes2[[#This Row],[CUIT]],Lista_CUIT[#All],3,0)),"CUIT NO CARGADO")</f>
        <v>Servicios Informatica</v>
      </c>
      <c r="R72" s="45">
        <f>IFERROR(IF(compras_mes2[[#This Row],[CUIT]]="","-",VLOOKUP(compras_mes2[[#This Row],[CUIT]],Lista_CUIT[#All],4,0)),"CUIT NO CARGADO")</f>
        <v>0</v>
      </c>
    </row>
    <row r="73" spans="2:21" x14ac:dyDescent="0.3">
      <c r="B73" s="92" t="s">
        <v>83</v>
      </c>
      <c r="C73" s="92"/>
      <c r="D73" s="92"/>
      <c r="E73" s="92"/>
      <c r="F73" s="92"/>
      <c r="G73" s="93"/>
      <c r="H73" s="94">
        <f>SUBTOTAL(109,compras_mes2[NETO GRAVADO])</f>
        <v>3977617.5199999996</v>
      </c>
      <c r="I73" s="94">
        <f>SUBTOTAL(109,compras_mes2[IVA 21 %])</f>
        <v>748978.96979999985</v>
      </c>
      <c r="J73" s="94">
        <f>SUBTOTAL(109,compras_mes2[IVA 27%])</f>
        <v>2191.0300000000002</v>
      </c>
      <c r="K73" s="94">
        <f>SUBTOTAL(109,compras_mes2[IVA 10,5%])</f>
        <v>42125.249999999993</v>
      </c>
      <c r="L73" s="94">
        <f>SUBTOTAL(109,compras_mes2[PERC. IVA])</f>
        <v>4724.3900000000012</v>
      </c>
      <c r="M73" s="94">
        <f>SUBTOTAL(109,compras_mes2[PERC IIBB 
BS AS])</f>
        <v>0</v>
      </c>
      <c r="N73" s="94">
        <f>SUBTOTAL(109,compras_mes2[PERC. IIBB CABA])</f>
        <v>50854.84</v>
      </c>
      <c r="O73" s="94">
        <f>SUBTOTAL(109,compras_mes2[Otros / No Grav.])</f>
        <v>18048.25</v>
      </c>
      <c r="P73" s="94">
        <f>SUBTOTAL(109,compras_mes2[TOTAL])</f>
        <v>4844540.2498000003</v>
      </c>
      <c r="Q73" s="92"/>
      <c r="R73" s="92"/>
    </row>
    <row r="74" spans="2:21" x14ac:dyDescent="0.3">
      <c r="B74" s="36"/>
      <c r="C74" s="37"/>
      <c r="D74" s="38"/>
      <c r="E74" s="39"/>
      <c r="F74" s="40"/>
      <c r="G74" s="41"/>
      <c r="H74" s="42"/>
      <c r="I74" s="43"/>
      <c r="J74" s="43"/>
      <c r="K74" s="43"/>
      <c r="L74" s="43"/>
      <c r="M74" s="43"/>
      <c r="N74" s="43"/>
      <c r="O74" s="43"/>
      <c r="P74" s="44"/>
      <c r="Q74" s="45"/>
      <c r="R74" s="45"/>
    </row>
    <row r="75" spans="2:21" x14ac:dyDescent="0.3">
      <c r="B75" s="36"/>
      <c r="C75" s="37"/>
      <c r="D75" s="38"/>
      <c r="E75" s="39"/>
      <c r="F75" s="40"/>
      <c r="G75" s="41"/>
      <c r="H75" s="42"/>
      <c r="I75" s="43"/>
      <c r="J75" s="43"/>
      <c r="K75" s="43"/>
      <c r="L75" s="43"/>
      <c r="M75" s="43"/>
      <c r="N75" s="43"/>
      <c r="O75" s="43"/>
      <c r="P75" s="44"/>
      <c r="Q75" s="45"/>
      <c r="R75" s="45"/>
    </row>
    <row r="76" spans="2:21" x14ac:dyDescent="0.3">
      <c r="B76" s="36"/>
      <c r="C76" s="37"/>
      <c r="D76" s="38"/>
      <c r="E76" s="39"/>
      <c r="F76" s="40"/>
      <c r="G76" s="41"/>
      <c r="H76" s="42"/>
      <c r="I76" s="43"/>
      <c r="J76" s="43"/>
      <c r="K76" s="43"/>
      <c r="L76" s="43"/>
      <c r="M76" s="43"/>
      <c r="N76" s="43"/>
      <c r="O76" s="43"/>
      <c r="P76" s="44"/>
      <c r="Q76" s="45"/>
      <c r="R76" s="45"/>
    </row>
    <row r="77" spans="2:21" x14ac:dyDescent="0.3">
      <c r="B77" s="36"/>
      <c r="C77" s="37"/>
      <c r="D77" s="38"/>
      <c r="E77" s="39"/>
      <c r="F77" s="40"/>
      <c r="G77" s="41"/>
      <c r="H77" s="42"/>
      <c r="I77" s="43"/>
      <c r="J77" s="43"/>
      <c r="K77" s="43"/>
      <c r="L77" s="43"/>
    </row>
    <row r="78" spans="2:21" ht="21" x14ac:dyDescent="0.3">
      <c r="D78" s="441" t="s">
        <v>15</v>
      </c>
      <c r="E78" s="441"/>
      <c r="F78" s="441"/>
      <c r="G78" s="441"/>
      <c r="H78" s="441"/>
      <c r="I78" s="441"/>
      <c r="J78" s="441"/>
      <c r="K78" s="441"/>
      <c r="L78" s="441"/>
      <c r="M78" s="364"/>
      <c r="N78" s="364"/>
      <c r="O78" s="365"/>
      <c r="P78" s="365"/>
      <c r="Q78" s="365"/>
      <c r="R78" s="365"/>
      <c r="S78" s="365"/>
      <c r="T78" s="365"/>
      <c r="U78" s="364"/>
    </row>
    <row r="79" spans="2:21" ht="15.6" x14ac:dyDescent="0.3">
      <c r="D79" s="69" t="s">
        <v>0</v>
      </c>
      <c r="E79" s="70" t="s">
        <v>26</v>
      </c>
      <c r="F79" s="70" t="s">
        <v>16</v>
      </c>
      <c r="G79" s="70" t="s">
        <v>5</v>
      </c>
      <c r="H79" s="70" t="s">
        <v>17</v>
      </c>
      <c r="I79" s="70" t="s">
        <v>7</v>
      </c>
      <c r="J79" s="71" t="s">
        <v>18</v>
      </c>
      <c r="K79" s="71" t="s">
        <v>19</v>
      </c>
      <c r="L79" s="72" t="s">
        <v>39</v>
      </c>
      <c r="M79" s="363" t="s">
        <v>2677</v>
      </c>
      <c r="N79" s="363" t="s">
        <v>2676</v>
      </c>
    </row>
    <row r="80" spans="2:21" x14ac:dyDescent="0.3">
      <c r="D80" s="46">
        <v>44620</v>
      </c>
      <c r="E80" s="366" t="s">
        <v>2675</v>
      </c>
      <c r="F80" s="367" t="s">
        <v>2655</v>
      </c>
      <c r="G80" s="77">
        <v>89881.11</v>
      </c>
      <c r="H80" s="77">
        <v>13291.26</v>
      </c>
      <c r="I80" s="77"/>
      <c r="J80" s="77"/>
      <c r="K80" s="77">
        <v>724.36</v>
      </c>
      <c r="L80" s="77"/>
      <c r="M80" s="192"/>
      <c r="N80" s="192">
        <v>107932.99</v>
      </c>
    </row>
    <row r="81" spans="4:14" x14ac:dyDescent="0.3">
      <c r="D81" s="46">
        <v>44594</v>
      </c>
      <c r="E81" s="368">
        <v>2331319</v>
      </c>
      <c r="F81" s="367" t="s">
        <v>2644</v>
      </c>
      <c r="G81" s="77">
        <v>0</v>
      </c>
      <c r="H81" s="77">
        <f>extracto_banco_mes2[[#This Row],[NETO]]*0.21</f>
        <v>0</v>
      </c>
      <c r="I81" s="77"/>
      <c r="J81" s="77"/>
      <c r="K81" s="77"/>
      <c r="L81" s="77"/>
      <c r="M81" s="192">
        <v>3600.37</v>
      </c>
      <c r="N81" s="192"/>
    </row>
    <row r="82" spans="4:14" x14ac:dyDescent="0.3">
      <c r="D82" s="46">
        <v>44594</v>
      </c>
      <c r="E82" s="368">
        <v>2331320</v>
      </c>
      <c r="F82" s="367" t="s">
        <v>2644</v>
      </c>
      <c r="G82" s="77">
        <v>0</v>
      </c>
      <c r="H82" s="77">
        <f>extracto_banco_mes2[[#This Row],[NETO]]*0.21</f>
        <v>0</v>
      </c>
      <c r="I82" s="77"/>
      <c r="J82" s="77"/>
      <c r="K82" s="77"/>
      <c r="L82" s="77"/>
      <c r="M82" s="192">
        <v>8265.14</v>
      </c>
      <c r="N82" s="192"/>
    </row>
    <row r="83" spans="4:14" x14ac:dyDescent="0.3">
      <c r="D83" s="46">
        <v>44594</v>
      </c>
      <c r="E83" s="368">
        <v>259141</v>
      </c>
      <c r="F83" s="367" t="s">
        <v>2644</v>
      </c>
      <c r="G83" s="77">
        <v>6889.87</v>
      </c>
      <c r="H83" s="77">
        <f>extracto_banco_mes2[[#This Row],[NETO]]*0.21</f>
        <v>1446.8726999999999</v>
      </c>
      <c r="I83" s="77"/>
      <c r="J83" s="77"/>
      <c r="K83" s="77">
        <v>206.69</v>
      </c>
      <c r="L83" s="77"/>
      <c r="M83" s="192"/>
      <c r="N83" s="192"/>
    </row>
    <row r="84" spans="4:14" x14ac:dyDescent="0.3">
      <c r="D84" s="46">
        <v>44614</v>
      </c>
      <c r="E84" s="368" t="s">
        <v>2678</v>
      </c>
      <c r="F84" s="367" t="s">
        <v>2638</v>
      </c>
      <c r="G84" s="77">
        <v>7058.83</v>
      </c>
      <c r="H84" s="77">
        <f>extracto_banco_mes2[[#This Row],[NETO]]*0.21</f>
        <v>1482.3543</v>
      </c>
      <c r="I84" s="77"/>
      <c r="J84" s="77">
        <v>4638.68</v>
      </c>
      <c r="K84" s="77">
        <v>119.33</v>
      </c>
      <c r="L84" s="77"/>
      <c r="M84" s="192"/>
      <c r="N84" s="192"/>
    </row>
    <row r="85" spans="4:14" x14ac:dyDescent="0.3">
      <c r="D85" s="46">
        <v>44616</v>
      </c>
      <c r="E85" s="368" t="s">
        <v>2679</v>
      </c>
      <c r="F85" s="367" t="s">
        <v>2644</v>
      </c>
      <c r="G85" s="77">
        <v>6507.7</v>
      </c>
      <c r="H85" s="77"/>
      <c r="I85" s="77">
        <v>811.03</v>
      </c>
      <c r="J85" s="77">
        <v>2898.59</v>
      </c>
      <c r="K85" s="77">
        <v>1763.39</v>
      </c>
      <c r="L85" s="77"/>
      <c r="M85" s="192">
        <v>526.48</v>
      </c>
      <c r="N85" s="192"/>
    </row>
    <row r="86" spans="4:14" x14ac:dyDescent="0.3">
      <c r="D86" s="46">
        <v>44620</v>
      </c>
      <c r="E86" s="368" t="s">
        <v>2680</v>
      </c>
      <c r="F86" s="367" t="s">
        <v>2671</v>
      </c>
      <c r="G86" s="77">
        <v>320</v>
      </c>
      <c r="H86" s="77">
        <f>extracto_banco_mes2[[#This Row],[NETO]]*0.21</f>
        <v>67.2</v>
      </c>
      <c r="I86" s="77"/>
      <c r="J86" s="77"/>
      <c r="K86" s="77"/>
      <c r="L86" s="77"/>
      <c r="M86" s="192">
        <v>10.14</v>
      </c>
      <c r="N86" s="192"/>
    </row>
    <row r="87" spans="4:14" x14ac:dyDescent="0.3">
      <c r="D87" s="46">
        <v>44620</v>
      </c>
      <c r="E87" s="368" t="s">
        <v>2681</v>
      </c>
      <c r="F87" s="367" t="s">
        <v>2644</v>
      </c>
      <c r="G87" s="77">
        <v>10495</v>
      </c>
      <c r="H87" s="77">
        <f>extracto_banco_mes2[[#This Row],[NETO]]*0.21</f>
        <v>2203.9499999999998</v>
      </c>
      <c r="I87" s="77"/>
      <c r="J87" s="77"/>
      <c r="K87" s="77">
        <v>314.85000000000002</v>
      </c>
      <c r="L87" s="77"/>
      <c r="M87" s="192"/>
      <c r="N87" s="192"/>
    </row>
    <row r="88" spans="4:14" x14ac:dyDescent="0.3">
      <c r="D88" s="46">
        <v>44620</v>
      </c>
      <c r="E88" s="368">
        <v>2022</v>
      </c>
      <c r="F88" s="367" t="s">
        <v>2644</v>
      </c>
      <c r="G88" s="77">
        <v>5840</v>
      </c>
      <c r="H88" s="77">
        <f>extracto_banco_mes2[[#This Row],[NETO]]*0.21</f>
        <v>1226.3999999999999</v>
      </c>
      <c r="I88" s="77"/>
      <c r="J88" s="77">
        <v>259.8</v>
      </c>
      <c r="K88" s="77">
        <v>81.900000000000006</v>
      </c>
      <c r="L88" s="77">
        <v>32204.720000000001</v>
      </c>
      <c r="M88" s="192">
        <v>65385.34</v>
      </c>
      <c r="N88" s="192"/>
    </row>
    <row r="89" spans="4:14" x14ac:dyDescent="0.3">
      <c r="D89" s="46">
        <v>44620</v>
      </c>
      <c r="E89" s="76">
        <v>2022</v>
      </c>
      <c r="F89" s="76" t="s">
        <v>2671</v>
      </c>
      <c r="G89" s="77">
        <v>3000</v>
      </c>
      <c r="H89" s="77">
        <f>extracto_banco_mes2[[#This Row],[NETO]]*0.21</f>
        <v>630</v>
      </c>
      <c r="I89" s="77"/>
      <c r="J89" s="77">
        <v>180</v>
      </c>
      <c r="K89" s="77">
        <v>90</v>
      </c>
      <c r="L89" s="77">
        <v>1490.47</v>
      </c>
      <c r="M89" s="192">
        <v>3026.1</v>
      </c>
      <c r="N89" s="192"/>
    </row>
    <row r="90" spans="4:14" x14ac:dyDescent="0.3">
      <c r="D90" s="46">
        <v>44620</v>
      </c>
      <c r="E90" s="76">
        <v>2022</v>
      </c>
      <c r="F90" s="76" t="s">
        <v>2644</v>
      </c>
      <c r="G90" s="77">
        <v>355.37</v>
      </c>
      <c r="H90" s="77">
        <f>extracto_banco_mes2[[#This Row],[NETO]]*0.21</f>
        <v>74.627700000000004</v>
      </c>
      <c r="I90" s="77"/>
      <c r="J90" s="77">
        <v>6905.95</v>
      </c>
      <c r="K90" s="77"/>
      <c r="L90" s="77"/>
      <c r="M90" s="192">
        <v>15943.79</v>
      </c>
      <c r="N90" s="192"/>
    </row>
    <row r="91" spans="4:14" x14ac:dyDescent="0.3">
      <c r="D91" s="46">
        <v>44620</v>
      </c>
      <c r="E91" s="76">
        <v>2022</v>
      </c>
      <c r="F91" s="76" t="s">
        <v>2644</v>
      </c>
      <c r="G91" s="77">
        <v>707.85</v>
      </c>
      <c r="H91" s="77">
        <f>extracto_banco_mes2[[#This Row],[NETO]]*0.21</f>
        <v>148.64850000000001</v>
      </c>
      <c r="I91" s="77"/>
      <c r="J91" s="77">
        <v>3949.77</v>
      </c>
      <c r="K91" s="77"/>
      <c r="L91" s="77"/>
      <c r="M91" s="192"/>
      <c r="N91" s="192"/>
    </row>
    <row r="92" spans="4:14" x14ac:dyDescent="0.3">
      <c r="D92" s="78" t="s">
        <v>83</v>
      </c>
      <c r="E92" s="76"/>
      <c r="F92" s="76"/>
      <c r="G92" s="79">
        <f>SUBTOTAL(109,extracto_banco_mes2[NETO])</f>
        <v>131055.73</v>
      </c>
      <c r="H92" s="79">
        <f>SUBTOTAL(109,extracto_banco_mes2[IVA 21%])</f>
        <v>20571.313200000004</v>
      </c>
      <c r="I92" s="79">
        <f>SUBTOTAL(109,extracto_banco_mes2[IVA 10,5%])</f>
        <v>811.03</v>
      </c>
      <c r="J92" s="79">
        <f>SUBTOTAL(109,extracto_banco_mes2[RET IIBB CABA])</f>
        <v>18832.79</v>
      </c>
      <c r="K92" s="79">
        <f>SUBTOTAL(109,extracto_banco_mes2[PERC IVA])</f>
        <v>3300.52</v>
      </c>
      <c r="L92" s="79">
        <f>SUBTOTAL(109,extracto_banco_mes2[PERC IIBB BS AS])</f>
        <v>33695.19</v>
      </c>
      <c r="M92" s="362"/>
      <c r="N92" s="362"/>
    </row>
    <row r="94" spans="4:14" x14ac:dyDescent="0.3">
      <c r="M94" s="369" t="s">
        <v>2682</v>
      </c>
      <c r="N94" s="370">
        <f>extracto_banco_mes2[[#Totals],[IVA 21%]]+extracto_banco_mes2[[#Totals],[IVA 10,5%]]</f>
        <v>21382.343200000003</v>
      </c>
    </row>
    <row r="96" spans="4:14" ht="21" x14ac:dyDescent="0.3">
      <c r="D96" s="441" t="s">
        <v>25</v>
      </c>
      <c r="E96" s="441"/>
      <c r="F96" s="441"/>
      <c r="G96" s="441"/>
      <c r="H96" s="441"/>
      <c r="I96" s="441"/>
      <c r="J96" s="441"/>
      <c r="K96" s="441"/>
    </row>
    <row r="97" spans="2:18" x14ac:dyDescent="0.3">
      <c r="D97" s="47" t="s">
        <v>0</v>
      </c>
      <c r="E97" s="47" t="s">
        <v>2</v>
      </c>
      <c r="F97" s="47" t="s">
        <v>56</v>
      </c>
      <c r="G97" s="47" t="s">
        <v>3</v>
      </c>
      <c r="H97" s="47" t="s">
        <v>4</v>
      </c>
      <c r="I97" s="48" t="s">
        <v>10</v>
      </c>
      <c r="J97" s="47" t="s">
        <v>13</v>
      </c>
      <c r="K97" s="47" t="s">
        <v>38</v>
      </c>
    </row>
    <row r="98" spans="2:18" x14ac:dyDescent="0.3">
      <c r="D98" s="46">
        <v>44599</v>
      </c>
      <c r="E98" s="38">
        <v>2</v>
      </c>
      <c r="F98" s="39">
        <v>2769</v>
      </c>
      <c r="G98" s="40">
        <v>20136536320</v>
      </c>
      <c r="H98" s="49" t="str">
        <f>IFERROR(IF(factura_c_mes2[[#This Row],[CUIT]]="","-",VLOOKUP(factura_c_mes2[[#This Row],[CUIT]],Lista_CUIT[#All],2,0)),"CUIT NO CARGADO")</f>
        <v>FONTENLA ERNESTO MARIO</v>
      </c>
      <c r="I98" s="77">
        <v>2000</v>
      </c>
      <c r="J98" s="50" t="str">
        <f>IFERROR(IF(factura_c_mes2[[#This Row],[CUIT]]="","-",VLOOKUP(factura_c_mes2[[#This Row],[CUIT]],Lista_CUIT[#All],3,0)),"CUIT NO CARGADO")</f>
        <v>Gastos Varios</v>
      </c>
      <c r="K98" s="50">
        <f>IFERROR(IF(factura_c_mes2[[#This Row],[CUIT]]="","-",VLOOKUP(factura_c_mes2[[#This Row],[CUIT]],Lista_CUIT[#All],4,0)),"CUIT NO CARGADO")</f>
        <v>0</v>
      </c>
    </row>
    <row r="99" spans="2:18" x14ac:dyDescent="0.3">
      <c r="D99" s="46">
        <v>44599</v>
      </c>
      <c r="E99" s="38">
        <v>2</v>
      </c>
      <c r="F99" s="39">
        <v>2774</v>
      </c>
      <c r="G99" s="40">
        <v>20136536320</v>
      </c>
      <c r="H99" s="49" t="str">
        <f>IFERROR(IF(factura_c_mes2[[#This Row],[CUIT]]="","-",VLOOKUP(factura_c_mes2[[#This Row],[CUIT]],Lista_CUIT[#All],2,0)),"CUIT NO CARGADO")</f>
        <v>FONTENLA ERNESTO MARIO</v>
      </c>
      <c r="I99" s="77">
        <v>300</v>
      </c>
      <c r="J99" s="50" t="str">
        <f>IFERROR(IF(factura_c_mes2[[#This Row],[CUIT]]="","-",VLOOKUP(factura_c_mes2[[#This Row],[CUIT]],Lista_CUIT[#All],3,0)),"CUIT NO CARGADO")</f>
        <v>Gastos Varios</v>
      </c>
      <c r="K99" s="50">
        <f>IFERROR(IF(factura_c_mes2[[#This Row],[CUIT]]="","-",VLOOKUP(factura_c_mes2[[#This Row],[CUIT]],Lista_CUIT[#All],4,0)),"CUIT NO CARGADO")</f>
        <v>0</v>
      </c>
    </row>
    <row r="100" spans="2:18" x14ac:dyDescent="0.3">
      <c r="D100" s="46">
        <v>44616</v>
      </c>
      <c r="E100" s="38">
        <v>4</v>
      </c>
      <c r="F100" s="39">
        <v>172</v>
      </c>
      <c r="G100" s="40">
        <v>30686965801</v>
      </c>
      <c r="H100" s="49" t="str">
        <f>IFERROR(IF(factura_c_mes2[[#This Row],[CUIT]]="","-",VLOOKUP(factura_c_mes2[[#This Row],[CUIT]],Lista_CUIT[#All],2,0)),"CUIT NO CARGADO")</f>
        <v>FEDERACION  ARG  DE  COSMETOLO</v>
      </c>
      <c r="I100" s="77">
        <v>10000</v>
      </c>
      <c r="J100" s="50" t="str">
        <f>IFERROR(IF(factura_c_mes2[[#This Row],[CUIT]]="","-",VLOOKUP(factura_c_mes2[[#This Row],[CUIT]],Lista_CUIT[#All],3,0)),"CUIT NO CARGADO")</f>
        <v>Gastos Cursos</v>
      </c>
      <c r="K100" s="50">
        <f>IFERROR(IF(factura_c_mes2[[#This Row],[CUIT]]="","-",VLOOKUP(factura_c_mes2[[#This Row],[CUIT]],Lista_CUIT[#All],4,0)),"CUIT NO CARGADO")</f>
        <v>0</v>
      </c>
    </row>
    <row r="101" spans="2:18" x14ac:dyDescent="0.3">
      <c r="D101" s="46">
        <v>44616</v>
      </c>
      <c r="E101" s="38">
        <v>1</v>
      </c>
      <c r="F101" s="39">
        <v>208</v>
      </c>
      <c r="G101" s="40">
        <v>27343113914</v>
      </c>
      <c r="H101" s="49" t="str">
        <f>IFERROR(IF(factura_c_mes2[[#This Row],[CUIT]]="","-",VLOOKUP(factura_c_mes2[[#This Row],[CUIT]],Lista_CUIT[#All],2,0)),"CUIT NO CARGADO")</f>
        <v>VALORIANI ROMINA GISELA</v>
      </c>
      <c r="I101" s="77">
        <v>19800</v>
      </c>
      <c r="J101" s="50" t="str">
        <f>IFERROR(IF(factura_c_mes2[[#This Row],[CUIT]]="","-",VLOOKUP(factura_c_mes2[[#This Row],[CUIT]],Lista_CUIT[#All],3,0)),"CUIT NO CARGADO")</f>
        <v>Servicios Informatica</v>
      </c>
      <c r="K101" s="50">
        <f>IFERROR(IF(factura_c_mes2[[#This Row],[CUIT]]="","-",VLOOKUP(factura_c_mes2[[#This Row],[CUIT]],Lista_CUIT[#All],4,0)),"CUIT NO CARGADO")</f>
        <v>0</v>
      </c>
    </row>
    <row r="102" spans="2:18" x14ac:dyDescent="0.3">
      <c r="D102" s="51" t="s">
        <v>83</v>
      </c>
      <c r="E102" s="51"/>
      <c r="F102" s="51"/>
      <c r="G102" s="51"/>
      <c r="H102" s="53"/>
      <c r="I102" s="54">
        <f>SUBTOTAL(109,factura_c_mes2[TOTAL])</f>
        <v>32100</v>
      </c>
      <c r="J102" s="51"/>
      <c r="K102" s="51"/>
    </row>
    <row r="103" spans="2:18" x14ac:dyDescent="0.3">
      <c r="B103" s="52"/>
      <c r="C103" s="52"/>
      <c r="L103" s="52"/>
      <c r="M103" s="52"/>
      <c r="N103" s="52"/>
      <c r="O103" s="52"/>
      <c r="P103" s="52"/>
      <c r="Q103" s="52"/>
      <c r="R103" s="52"/>
    </row>
    <row r="108" spans="2:18" ht="25.8" x14ac:dyDescent="0.3">
      <c r="B108" s="456" t="s">
        <v>29</v>
      </c>
      <c r="C108" s="456"/>
      <c r="D108" s="456"/>
      <c r="E108" s="456"/>
      <c r="F108" s="456"/>
      <c r="G108" s="456"/>
      <c r="H108" s="456"/>
      <c r="I108" s="456"/>
      <c r="J108" s="456"/>
      <c r="K108" s="452">
        <f>N1</f>
        <v>44593</v>
      </c>
      <c r="L108" s="452"/>
      <c r="M108" s="452"/>
    </row>
    <row r="110" spans="2:18" ht="21" x14ac:dyDescent="0.3">
      <c r="B110" s="449" t="s">
        <v>30</v>
      </c>
      <c r="C110" s="449"/>
    </row>
    <row r="111" spans="2:18" ht="15.6" x14ac:dyDescent="0.3">
      <c r="B111" s="56" t="s">
        <v>0</v>
      </c>
      <c r="C111" s="57" t="s">
        <v>1</v>
      </c>
      <c r="D111" s="57" t="s">
        <v>21</v>
      </c>
      <c r="E111" s="57" t="s">
        <v>22</v>
      </c>
      <c r="F111" s="57" t="s">
        <v>3</v>
      </c>
      <c r="G111" s="57" t="s">
        <v>4</v>
      </c>
      <c r="H111" s="57" t="s">
        <v>23</v>
      </c>
      <c r="I111" s="57" t="s">
        <v>17</v>
      </c>
      <c r="J111" s="57" t="s">
        <v>7</v>
      </c>
      <c r="K111" s="57" t="s">
        <v>24</v>
      </c>
      <c r="L111" s="57" t="s">
        <v>10</v>
      </c>
      <c r="M111" s="58" t="s">
        <v>38</v>
      </c>
    </row>
    <row r="112" spans="2:18" x14ac:dyDescent="0.3">
      <c r="B112" s="36"/>
      <c r="C112" s="37"/>
      <c r="D112" s="38"/>
      <c r="E112" s="39"/>
      <c r="F112" s="40"/>
      <c r="G112" s="95" t="str">
        <f>IFERROR(IF(venta_a_mes2[[#This Row],[CUIT]]="","-",VLOOKUP(venta_a_mes2[[#This Row],[CUIT]],Lista_CUIT[#All],2,0)),"CUIT NO CARGADO")</f>
        <v>-</v>
      </c>
      <c r="H112" s="96"/>
      <c r="I112" s="97">
        <f>venta_a_mes2[[#This Row],[IMPORTE NETO]]*0.21</f>
        <v>0</v>
      </c>
      <c r="J112" s="61"/>
      <c r="K112" s="61"/>
      <c r="L112" s="61">
        <f>SUM(venta_a_mes2[[#This Row],[IMPORTE NETO]:[EXENTO]])</f>
        <v>0</v>
      </c>
      <c r="M112" s="55"/>
    </row>
    <row r="113" spans="2:13" x14ac:dyDescent="0.3">
      <c r="B113" s="36"/>
      <c r="C113" s="37"/>
      <c r="D113" s="38"/>
      <c r="E113" s="39"/>
      <c r="F113" s="40"/>
      <c r="G113" s="95" t="str">
        <f>IFERROR(IF(venta_a_mes2[[#This Row],[CUIT]]="","-",VLOOKUP(venta_a_mes2[[#This Row],[CUIT]],Lista_CUIT[#All],2,0)),"CUIT NO CARGADO")</f>
        <v>-</v>
      </c>
      <c r="H113" s="96"/>
      <c r="I113" s="97">
        <f>venta_a_mes2[[#This Row],[IMPORTE NETO]]*0.21</f>
        <v>0</v>
      </c>
      <c r="J113" s="61"/>
      <c r="K113" s="61"/>
      <c r="L113" s="61">
        <f>SUM(venta_a_mes2[[#This Row],[IMPORTE NETO]:[EXENTO]])</f>
        <v>0</v>
      </c>
      <c r="M113" s="55"/>
    </row>
    <row r="114" spans="2:13" x14ac:dyDescent="0.3">
      <c r="B114" s="36"/>
      <c r="C114" s="37"/>
      <c r="D114" s="38"/>
      <c r="E114" s="39"/>
      <c r="F114" s="40"/>
      <c r="G114" s="95" t="str">
        <f>IFERROR(IF(venta_a_mes2[[#This Row],[CUIT]]="","-",VLOOKUP(venta_a_mes2[[#This Row],[CUIT]],Lista_CUIT[#All],2,0)),"CUIT NO CARGADO")</f>
        <v>-</v>
      </c>
      <c r="H114" s="96"/>
      <c r="I114" s="97">
        <f>venta_a_mes2[[#This Row],[IMPORTE NETO]]*0.21</f>
        <v>0</v>
      </c>
      <c r="J114" s="61"/>
      <c r="K114" s="61"/>
      <c r="L114" s="61">
        <f>SUM(venta_a_mes2[[#This Row],[IMPORTE NETO]:[EXENTO]])</f>
        <v>0</v>
      </c>
      <c r="M114" s="55"/>
    </row>
    <row r="115" spans="2:13" x14ac:dyDescent="0.3">
      <c r="B115" s="36"/>
      <c r="C115" s="37"/>
      <c r="D115" s="38"/>
      <c r="E115" s="39"/>
      <c r="F115" s="40"/>
      <c r="G115" s="95" t="str">
        <f>IFERROR(IF(venta_a_mes2[[#This Row],[CUIT]]="","-",VLOOKUP(venta_a_mes2[[#This Row],[CUIT]],Lista_CUIT[#All],2,0)),"CUIT NO CARGADO")</f>
        <v>-</v>
      </c>
      <c r="H115" s="96"/>
      <c r="I115" s="97">
        <f>venta_a_mes2[[#This Row],[IMPORTE NETO]]*0.21</f>
        <v>0</v>
      </c>
      <c r="J115" s="61"/>
      <c r="K115" s="61"/>
      <c r="L115" s="61">
        <f>SUM(venta_a_mes2[[#This Row],[IMPORTE NETO]:[EXENTO]])</f>
        <v>0</v>
      </c>
      <c r="M115" s="55"/>
    </row>
    <row r="116" spans="2:13" x14ac:dyDescent="0.3">
      <c r="B116" s="36"/>
      <c r="C116" s="37"/>
      <c r="D116" s="38"/>
      <c r="E116" s="39"/>
      <c r="F116" s="40"/>
      <c r="G116" s="95" t="str">
        <f>IFERROR(IF(venta_a_mes2[[#This Row],[CUIT]]="","-",VLOOKUP(venta_a_mes2[[#This Row],[CUIT]],Lista_CUIT[#All],2,0)),"CUIT NO CARGADO")</f>
        <v>-</v>
      </c>
      <c r="H116" s="96"/>
      <c r="I116" s="97">
        <f>venta_a_mes2[[#This Row],[IMPORTE NETO]]*0.21</f>
        <v>0</v>
      </c>
      <c r="J116" s="61"/>
      <c r="K116" s="61"/>
      <c r="L116" s="61">
        <f>SUM(venta_a_mes2[[#This Row],[IMPORTE NETO]:[EXENTO]])</f>
        <v>0</v>
      </c>
      <c r="M116" s="55"/>
    </row>
    <row r="117" spans="2:13" x14ac:dyDescent="0.3">
      <c r="B117" s="36"/>
      <c r="C117" s="37"/>
      <c r="D117" s="38"/>
      <c r="E117" s="39"/>
      <c r="F117" s="40"/>
      <c r="G117" s="95" t="str">
        <f>IFERROR(IF(venta_a_mes2[[#This Row],[CUIT]]="","-",VLOOKUP(venta_a_mes2[[#This Row],[CUIT]],Lista_CUIT[#All],2,0)),"CUIT NO CARGADO")</f>
        <v>-</v>
      </c>
      <c r="H117" s="96"/>
      <c r="I117" s="97">
        <f>venta_a_mes2[[#This Row],[IMPORTE NETO]]*0.21</f>
        <v>0</v>
      </c>
      <c r="J117" s="61"/>
      <c r="K117" s="61"/>
      <c r="L117" s="61">
        <f>SUM(venta_a_mes2[[#This Row],[IMPORTE NETO]:[EXENTO]])</f>
        <v>0</v>
      </c>
      <c r="M117" s="55"/>
    </row>
    <row r="118" spans="2:13" x14ac:dyDescent="0.3">
      <c r="B118" s="36"/>
      <c r="C118" s="37"/>
      <c r="D118" s="38"/>
      <c r="E118" s="39"/>
      <c r="F118" s="40"/>
      <c r="G118" s="95" t="str">
        <f>IFERROR(IF(venta_a_mes2[[#This Row],[CUIT]]="","-",VLOOKUP(venta_a_mes2[[#This Row],[CUIT]],Lista_CUIT[#All],2,0)),"CUIT NO CARGADO")</f>
        <v>-</v>
      </c>
      <c r="H118" s="96"/>
      <c r="I118" s="97">
        <f>venta_a_mes2[[#This Row],[IMPORTE NETO]]*0.21</f>
        <v>0</v>
      </c>
      <c r="J118" s="61"/>
      <c r="K118" s="61"/>
      <c r="L118" s="61">
        <f>SUM(venta_a_mes2[[#This Row],[IMPORTE NETO]:[EXENTO]])</f>
        <v>0</v>
      </c>
      <c r="M118" s="59"/>
    </row>
    <row r="119" spans="2:13" x14ac:dyDescent="0.3">
      <c r="B119" s="98"/>
      <c r="C119" s="99"/>
      <c r="D119" s="100"/>
      <c r="E119" s="101"/>
      <c r="F119" s="102"/>
      <c r="G119" s="95" t="str">
        <f>IFERROR(IF(venta_a_mes2[[#This Row],[CUIT]]="","-",VLOOKUP(venta_a_mes2[[#This Row],[CUIT]],Lista_CUIT[#All],2,0)),"CUIT NO CARGADO")</f>
        <v>-</v>
      </c>
      <c r="H119" s="103"/>
      <c r="I119" s="104">
        <f>venta_a_mes2[[#This Row],[IMPORTE NETO]]*0.21</f>
        <v>0</v>
      </c>
      <c r="J119" s="68"/>
      <c r="K119" s="68"/>
      <c r="L119" s="68">
        <f>SUM(venta_a_mes2[[#This Row],[IMPORTE NETO]:[EXENTO]])</f>
        <v>0</v>
      </c>
      <c r="M119" s="59"/>
    </row>
    <row r="120" spans="2:13" x14ac:dyDescent="0.3">
      <c r="B120" s="105"/>
      <c r="C120" s="106"/>
      <c r="D120" s="107"/>
      <c r="E120" s="108"/>
      <c r="F120" s="109"/>
      <c r="G120" s="95" t="str">
        <f>IFERROR(IF(venta_a_mes2[[#This Row],[CUIT]]="","-",VLOOKUP(venta_a_mes2[[#This Row],[CUIT]],Lista_CUIT[#All],2,0)),"CUIT NO CARGADO")</f>
        <v>-</v>
      </c>
      <c r="H120" s="96"/>
      <c r="I120" s="97">
        <f>venta_a_mes2[[#This Row],[IMPORTE NETO]]*0.21</f>
        <v>0</v>
      </c>
      <c r="J120" s="61"/>
      <c r="K120" s="61"/>
      <c r="L120" s="61">
        <f>SUM(venta_a_mes2[[#This Row],[IMPORTE NETO]:[EXENTO]])</f>
        <v>0</v>
      </c>
      <c r="M120" s="55"/>
    </row>
    <row r="121" spans="2:13" x14ac:dyDescent="0.3">
      <c r="B121" s="62" t="s">
        <v>83</v>
      </c>
      <c r="C121" s="63"/>
      <c r="D121" s="63"/>
      <c r="E121" s="63"/>
      <c r="F121" s="63"/>
      <c r="G121" s="63"/>
      <c r="H121" s="65">
        <f>SUBTOTAL(109,venta_a_mes2[IMPORTE NETO])</f>
        <v>0</v>
      </c>
      <c r="I121" s="66">
        <f>SUBTOTAL(109,venta_a_mes2[IVA 21%])</f>
        <v>0</v>
      </c>
      <c r="J121" s="67">
        <f>SUBTOTAL(109,venta_a_mes2[IVA 10,5%])</f>
        <v>0</v>
      </c>
      <c r="K121" s="67">
        <f>SUBTOTAL(109,venta_a_mes2[EXENTO])</f>
        <v>0</v>
      </c>
      <c r="L121" s="67">
        <f>SUBTOTAL(109,venta_a_mes2[TOTAL])</f>
        <v>0</v>
      </c>
      <c r="M121" s="64">
        <f>SUBTOTAL(103,venta_a_mes2[Provincia])</f>
        <v>0</v>
      </c>
    </row>
    <row r="124" spans="2:13" ht="21" x14ac:dyDescent="0.3">
      <c r="B124" s="449" t="s">
        <v>31</v>
      </c>
      <c r="C124" s="449"/>
    </row>
    <row r="125" spans="2:13" ht="15.6" x14ac:dyDescent="0.3">
      <c r="B125" s="56" t="s">
        <v>0</v>
      </c>
      <c r="C125" s="57" t="s">
        <v>1</v>
      </c>
      <c r="D125" s="57" t="s">
        <v>21</v>
      </c>
      <c r="E125" s="57" t="s">
        <v>22</v>
      </c>
      <c r="F125" s="57" t="s">
        <v>3</v>
      </c>
      <c r="G125" s="57" t="s">
        <v>4</v>
      </c>
      <c r="H125" s="57" t="s">
        <v>23</v>
      </c>
      <c r="I125" s="57" t="s">
        <v>17</v>
      </c>
      <c r="J125" s="57" t="s">
        <v>7</v>
      </c>
      <c r="K125" s="57" t="s">
        <v>24</v>
      </c>
      <c r="L125" s="57" t="s">
        <v>10</v>
      </c>
      <c r="M125" s="58" t="s">
        <v>38</v>
      </c>
    </row>
    <row r="126" spans="2:13" x14ac:dyDescent="0.3">
      <c r="B126" s="36"/>
      <c r="C126" s="37"/>
      <c r="D126" s="38"/>
      <c r="E126" s="39"/>
      <c r="F126" s="40"/>
      <c r="G126" s="1" t="str">
        <f>IFERROR(IF(ventas_b_mes2[[#This Row],[CUIT]]="","-",VLOOKUP(ventas_b_mes2[[#This Row],[CUIT]],Lista_CUIT[#All],2,0)),"CUIT NO CARGADO")</f>
        <v>-</v>
      </c>
      <c r="H126" s="60"/>
      <c r="I126" s="60"/>
      <c r="J126" s="60"/>
      <c r="K126" s="60"/>
      <c r="L126" s="60">
        <f>SUM(ventas_b_mes2[[#This Row],[IMPORTE NETO]:[EXENTO]])</f>
        <v>0</v>
      </c>
      <c r="M126" s="55"/>
    </row>
    <row r="127" spans="2:13" x14ac:dyDescent="0.3">
      <c r="B127" s="36"/>
      <c r="C127" s="37"/>
      <c r="D127" s="38"/>
      <c r="E127" s="39"/>
      <c r="F127" s="40"/>
      <c r="G127" s="1" t="str">
        <f>IFERROR(IF(ventas_b_mes2[[#This Row],[CUIT]]="","-",VLOOKUP(ventas_b_mes2[[#This Row],[CUIT]],Lista_CUIT[#All],2,0)),"CUIT NO CARGADO")</f>
        <v>-</v>
      </c>
      <c r="H127" s="60"/>
      <c r="I127" s="60"/>
      <c r="J127" s="60"/>
      <c r="K127" s="60"/>
      <c r="L127" s="60">
        <f>SUM(ventas_b_mes2[[#This Row],[IMPORTE NETO]:[EXENTO]])</f>
        <v>0</v>
      </c>
      <c r="M127" s="55"/>
    </row>
    <row r="128" spans="2:13" x14ac:dyDescent="0.3">
      <c r="B128" s="36"/>
      <c r="C128" s="37"/>
      <c r="D128" s="38"/>
      <c r="E128" s="39"/>
      <c r="F128" s="40"/>
      <c r="G128" s="1" t="str">
        <f>IFERROR(IF(ventas_b_mes2[[#This Row],[CUIT]]="","-",VLOOKUP(ventas_b_mes2[[#This Row],[CUIT]],Lista_CUIT[#All],2,0)),"CUIT NO CARGADO")</f>
        <v>-</v>
      </c>
      <c r="H128" s="60"/>
      <c r="I128" s="60"/>
      <c r="J128" s="60"/>
      <c r="K128" s="60"/>
      <c r="L128" s="60">
        <f>SUM(ventas_b_mes2[[#This Row],[IMPORTE NETO]:[EXENTO]])</f>
        <v>0</v>
      </c>
      <c r="M128" s="55"/>
    </row>
    <row r="129" spans="2:13" x14ac:dyDescent="0.3">
      <c r="B129" s="36"/>
      <c r="C129" s="37"/>
      <c r="D129" s="38"/>
      <c r="E129" s="39"/>
      <c r="F129" s="40"/>
      <c r="G129" s="1" t="str">
        <f>IFERROR(IF(ventas_b_mes2[[#This Row],[CUIT]]="","-",VLOOKUP(ventas_b_mes2[[#This Row],[CUIT]],Lista_CUIT[#All],2,0)),"CUIT NO CARGADO")</f>
        <v>-</v>
      </c>
      <c r="H129" s="60"/>
      <c r="I129" s="60"/>
      <c r="J129" s="60"/>
      <c r="K129" s="60"/>
      <c r="L129" s="60">
        <f>SUM(ventas_b_mes2[[#This Row],[IMPORTE NETO]:[EXENTO]])</f>
        <v>0</v>
      </c>
      <c r="M129" s="55"/>
    </row>
    <row r="130" spans="2:13" x14ac:dyDescent="0.3">
      <c r="B130" s="36"/>
      <c r="C130" s="37"/>
      <c r="D130" s="38"/>
      <c r="E130" s="39"/>
      <c r="F130" s="40"/>
      <c r="G130" s="1" t="str">
        <f>IFERROR(IF(ventas_b_mes2[[#This Row],[CUIT]]="","-",VLOOKUP(ventas_b_mes2[[#This Row],[CUIT]],Lista_CUIT[#All],2,0)),"CUIT NO CARGADO")</f>
        <v>-</v>
      </c>
      <c r="H130" s="60"/>
      <c r="I130" s="60"/>
      <c r="J130" s="60"/>
      <c r="K130" s="60"/>
      <c r="L130" s="60">
        <f>SUM(ventas_b_mes2[[#This Row],[IMPORTE NETO]:[EXENTO]])</f>
        <v>0</v>
      </c>
      <c r="M130" s="55"/>
    </row>
    <row r="131" spans="2:13" x14ac:dyDescent="0.3">
      <c r="B131" s="36"/>
      <c r="C131" s="37"/>
      <c r="D131" s="38"/>
      <c r="E131" s="39"/>
      <c r="F131" s="40"/>
      <c r="G131" s="1" t="str">
        <f>IFERROR(IF(ventas_b_mes2[[#This Row],[CUIT]]="","-",VLOOKUP(ventas_b_mes2[[#This Row],[CUIT]],Lista_CUIT[#All],2,0)),"CUIT NO CARGADO")</f>
        <v>-</v>
      </c>
      <c r="H131" s="60"/>
      <c r="I131" s="60"/>
      <c r="J131" s="60"/>
      <c r="K131" s="60"/>
      <c r="L131" s="60">
        <f>SUM(ventas_b_mes2[[#This Row],[IMPORTE NETO]:[EXENTO]])</f>
        <v>0</v>
      </c>
      <c r="M131" s="55"/>
    </row>
    <row r="132" spans="2:13" x14ac:dyDescent="0.3">
      <c r="B132" s="62" t="s">
        <v>83</v>
      </c>
      <c r="C132" s="63"/>
      <c r="D132" s="63"/>
      <c r="E132" s="63"/>
      <c r="F132" s="63"/>
      <c r="G132" s="63"/>
      <c r="H132" s="73">
        <f>SUBTOTAL(109,ventas_b_mes2[IMPORTE NETO])</f>
        <v>0</v>
      </c>
      <c r="I132" s="73">
        <f>SUBTOTAL(109,ventas_b_mes2[IVA 21%])</f>
        <v>0</v>
      </c>
      <c r="J132" s="74">
        <f>SUBTOTAL(109,ventas_b_mes2[IVA 10,5%])</f>
        <v>0</v>
      </c>
      <c r="K132" s="74">
        <f>SUBTOTAL(109,ventas_b_mes2[EXENTO])</f>
        <v>0</v>
      </c>
      <c r="L132" s="74">
        <f>SUBTOTAL(109,ventas_b_mes2[TOTAL])</f>
        <v>0</v>
      </c>
      <c r="M132" s="64">
        <f>SUBTOTAL(103,ventas_b_mes2[Provincia])</f>
        <v>0</v>
      </c>
    </row>
    <row r="139" spans="2:13" ht="15" thickBot="1" x14ac:dyDescent="0.35"/>
    <row r="140" spans="2:13" ht="15" thickTop="1" x14ac:dyDescent="0.3">
      <c r="C140" s="447" t="s">
        <v>48</v>
      </c>
      <c r="D140" s="447"/>
      <c r="E140" s="447"/>
      <c r="F140" s="447"/>
      <c r="G140" s="447"/>
      <c r="H140" s="29"/>
      <c r="I140" s="29"/>
      <c r="J140" s="29"/>
    </row>
    <row r="141" spans="2:13" ht="15.6" x14ac:dyDescent="0.3">
      <c r="C141" s="110" t="s">
        <v>49</v>
      </c>
      <c r="D141" s="111" t="s">
        <v>50</v>
      </c>
      <c r="E141" s="111" t="s">
        <v>85</v>
      </c>
      <c r="F141" s="111" t="s">
        <v>3</v>
      </c>
      <c r="G141" s="111" t="s">
        <v>4</v>
      </c>
      <c r="H141" s="112" t="s">
        <v>51</v>
      </c>
      <c r="I141" s="112" t="s">
        <v>52</v>
      </c>
      <c r="J141" s="112" t="s">
        <v>53</v>
      </c>
      <c r="K141" s="112" t="s">
        <v>54</v>
      </c>
      <c r="L141" s="112" t="s">
        <v>55</v>
      </c>
    </row>
    <row r="142" spans="2:13" x14ac:dyDescent="0.3">
      <c r="C142" s="113"/>
      <c r="D142" s="114"/>
      <c r="E142" s="114"/>
      <c r="F142" s="115"/>
      <c r="G142" s="49" t="str">
        <f>IFERROR(IF(Retenciones_mes2[[#This Row],[CUIT]]="","-",VLOOKUP(Retenciones_mes2[[#This Row],[CUIT]],Lista_CUIT[#All],2,0)),"CUIT NO CARGADO")</f>
        <v>-</v>
      </c>
      <c r="H142" s="116"/>
      <c r="I142" s="116"/>
      <c r="J142" s="116"/>
      <c r="K142" s="116"/>
      <c r="L142" s="116"/>
    </row>
    <row r="143" spans="2:13" x14ac:dyDescent="0.3">
      <c r="C143" s="113"/>
      <c r="D143" s="114"/>
      <c r="E143" s="114"/>
      <c r="F143" s="115"/>
      <c r="G143" s="49" t="str">
        <f>IFERROR(IF(Retenciones_mes2[[#This Row],[CUIT]]="","-",VLOOKUP(Retenciones_mes2[[#This Row],[CUIT]],Lista_CUIT[#All],2,0)),"CUIT NO CARGADO")</f>
        <v>-</v>
      </c>
      <c r="H143" s="116"/>
      <c r="I143" s="116"/>
      <c r="J143" s="116"/>
      <c r="K143" s="116"/>
      <c r="L143" s="116"/>
    </row>
    <row r="144" spans="2:13" x14ac:dyDescent="0.3">
      <c r="C144" s="113"/>
      <c r="D144" s="114"/>
      <c r="E144" s="114"/>
      <c r="F144" s="115"/>
      <c r="G144" s="49" t="str">
        <f>IFERROR(IF(Retenciones_mes2[[#This Row],[CUIT]]="","-",VLOOKUP(Retenciones_mes2[[#This Row],[CUIT]],Lista_CUIT[#All],2,0)),"CUIT NO CARGADO")</f>
        <v>-</v>
      </c>
      <c r="H144" s="116"/>
      <c r="I144" s="116"/>
      <c r="J144" s="116"/>
      <c r="K144" s="116"/>
      <c r="L144" s="116"/>
    </row>
    <row r="145" spans="3:12" x14ac:dyDescent="0.3">
      <c r="C145" s="113"/>
      <c r="D145" s="114"/>
      <c r="E145" s="114"/>
      <c r="F145" s="115"/>
      <c r="G145" s="49" t="str">
        <f>IFERROR(IF(Retenciones_mes2[[#This Row],[CUIT]]="","-",VLOOKUP(Retenciones_mes2[[#This Row],[CUIT]],Lista_CUIT[#All],2,0)),"CUIT NO CARGADO")</f>
        <v>-</v>
      </c>
      <c r="H145" s="116"/>
      <c r="I145" s="116"/>
      <c r="J145" s="116"/>
      <c r="K145" s="116"/>
      <c r="L145" s="116"/>
    </row>
    <row r="146" spans="3:12" x14ac:dyDescent="0.3">
      <c r="D146" s="114"/>
      <c r="E146" s="114"/>
      <c r="G146" s="49" t="str">
        <f>IFERROR(IF(Retenciones_mes2[[#This Row],[CUIT]]="","-",VLOOKUP(Retenciones_mes2[[#This Row],[CUIT]],Lista_CUIT[#All],2,0)),"CUIT NO CARGADO")</f>
        <v>-</v>
      </c>
    </row>
    <row r="147" spans="3:12" x14ac:dyDescent="0.3">
      <c r="C147" s="30"/>
    </row>
  </sheetData>
  <mergeCells count="20">
    <mergeCell ref="C140:G140"/>
    <mergeCell ref="B4:E4"/>
    <mergeCell ref="G4:H4"/>
    <mergeCell ref="J4:K4"/>
    <mergeCell ref="M4:N4"/>
    <mergeCell ref="D96:K96"/>
    <mergeCell ref="B108:J108"/>
    <mergeCell ref="K108:M108"/>
    <mergeCell ref="B110:C110"/>
    <mergeCell ref="B124:C124"/>
    <mergeCell ref="P4:R4"/>
    <mergeCell ref="D78:L78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126:L131">
      <formula1>IF($C126=8,H126&lt;0,H126&gt;=0)</formula1>
    </dataValidation>
    <dataValidation type="custom" allowBlank="1" showInputMessage="1" showErrorMessage="1" sqref="L117:L118">
      <formula1>IF($C73=3,L73&lt;0,L73&gt;=0)</formula1>
    </dataValidation>
    <dataValidation type="custom" allowBlank="1" showInputMessage="1" showErrorMessage="1" sqref="L114:L116">
      <formula1>IF($C36=3,L36&lt;0,L36&gt;=0)</formula1>
    </dataValidation>
    <dataValidation type="whole" allowBlank="1" showInputMessage="1" showErrorMessage="1" sqref="C126:C131">
      <formula1>6</formula1>
      <formula2>8</formula2>
    </dataValidation>
    <dataValidation type="custom" allowBlank="1" showInputMessage="1" showErrorMessage="1" sqref="H112:K112 H114:K114 H116:K116 H118:K118">
      <formula1>IF($C112=3,H112&lt;0,H112&gt;=0)</formula1>
    </dataValidation>
    <dataValidation type="whole" allowBlank="1" showInputMessage="1" showErrorMessage="1" sqref="C112:C120 C74:C77 C9:C72">
      <formula1>1</formula1>
      <formula2>3</formula2>
    </dataValidation>
    <dataValidation type="date" allowBlank="1" showInputMessage="1" showErrorMessage="1" sqref="D80:D91 B112:B120 D98:D101 B74:B77 B126:B131 B9:B72">
      <formula1>40179</formula1>
      <formula2>TODAY()</formula2>
    </dataValidation>
    <dataValidation type="whole" allowBlank="1" showInputMessage="1" showErrorMessage="1" sqref="F126:F131 G98:G101 F112:F120 F9:F72">
      <formula1>20000000000</formula1>
      <formula2>33999999999</formula2>
    </dataValidation>
    <dataValidation type="whole" allowBlank="1" showInputMessage="1" showErrorMessage="1" sqref="F98:F101 E112:E120 E126:E131 E9:E72">
      <formula1>1</formula1>
      <formula2>99999999</formula2>
    </dataValidation>
    <dataValidation type="whole" allowBlank="1" showInputMessage="1" showErrorMessage="1" sqref="E98:E101 D112:D120 D126:D131 D9:D72">
      <formula1>1</formula1>
      <formula2>9999</formula2>
    </dataValidation>
    <dataValidation type="custom" allowBlank="1" showInputMessage="1" showErrorMessage="1" sqref="L112">
      <formula1>IF($C11=3,L11&lt;0,L11&gt;=0)</formula1>
    </dataValidation>
    <dataValidation type="custom" allowBlank="1" showInputMessage="1" showErrorMessage="1" sqref="L113">
      <formula1>IF(#REF!=3,#REF!&lt;0,#REF!&gt;=0)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72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168"/>
  <sheetViews>
    <sheetView showGridLines="0" topLeftCell="A70" zoomScale="70" zoomScaleNormal="70" workbookViewId="0">
      <selection activeCell="G110" sqref="G110"/>
    </sheetView>
  </sheetViews>
  <sheetFormatPr baseColWidth="1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16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</cols>
  <sheetData>
    <row r="1" spans="1:26" ht="34.950000000000003" customHeight="1" x14ac:dyDescent="0.3">
      <c r="A1" s="33"/>
      <c r="B1" s="450" t="s">
        <v>28</v>
      </c>
      <c r="C1" s="450"/>
      <c r="D1" s="450"/>
      <c r="E1" s="450"/>
      <c r="F1" s="450"/>
      <c r="G1" s="451" t="s">
        <v>1123</v>
      </c>
      <c r="H1" s="451"/>
      <c r="I1" s="451"/>
      <c r="J1" s="451"/>
      <c r="K1" s="451"/>
      <c r="L1" s="451"/>
      <c r="M1" s="451"/>
      <c r="N1" s="448">
        <f>EDATE('Ene-22'!N1,2)</f>
        <v>44621</v>
      </c>
      <c r="O1" s="448"/>
      <c r="P1" s="448"/>
      <c r="Q1" s="448"/>
      <c r="R1" s="448"/>
    </row>
    <row r="2" spans="1:26" ht="15" customHeight="1" x14ac:dyDescent="0.3"/>
    <row r="3" spans="1:26" ht="26.4" customHeight="1" x14ac:dyDescent="0.3">
      <c r="B3" s="453" t="s">
        <v>47</v>
      </c>
      <c r="C3" s="453"/>
      <c r="D3" s="453"/>
      <c r="E3" s="453"/>
      <c r="F3" s="34"/>
      <c r="G3" s="453" t="s">
        <v>37</v>
      </c>
      <c r="H3" s="453"/>
      <c r="I3" s="34"/>
      <c r="J3" s="445" t="s">
        <v>14</v>
      </c>
      <c r="K3" s="445"/>
      <c r="L3" s="34"/>
      <c r="M3" s="445" t="s">
        <v>12</v>
      </c>
      <c r="N3" s="445"/>
      <c r="O3" s="34"/>
      <c r="P3" s="444" t="s">
        <v>82</v>
      </c>
      <c r="Q3" s="444"/>
      <c r="R3" s="444"/>
    </row>
    <row r="4" spans="1:26" ht="25.2" customHeight="1" x14ac:dyDescent="0.4">
      <c r="B4" s="454">
        <f>SUM(compras_mes13[[#Totals],[NETO GRAVADO]])+extracto_banco_mes155[[#Totals],[NETO]]</f>
        <v>3718075.57</v>
      </c>
      <c r="C4" s="454"/>
      <c r="D4" s="454"/>
      <c r="E4" s="454"/>
      <c r="F4" s="35"/>
      <c r="G4" s="455">
        <f>compras_mes13[[#Totals],[IVA 21 %]]+compras_mes13[[#Totals],[IVA 27%]]+compras_mes13[[#Totals],[IVA 10,5%]]+extracto_banco_mes155[[#Totals],[IVA 21%]]+extracto_banco_mes155[[#Totals],[IVA 10,5%]]</f>
        <v>776457.12799999968</v>
      </c>
      <c r="H4" s="455"/>
      <c r="I4" s="35"/>
      <c r="J4" s="446">
        <f>venta_a_mes153[[#Totals],[IMPORTE NETO]]+ventas_b_mes154[[#Totals],[IMPORTE NETO]]</f>
        <v>0</v>
      </c>
      <c r="K4" s="446"/>
      <c r="L4" s="35"/>
      <c r="M4" s="446">
        <f>venta_a_mes153[[#Totals],[IVA 21%]]+venta_a_mes153[[#Totals],[IVA 10,5%]]+ventas_b_mes154[[#Totals],[IVA 21%]]+ventas_b_mes154[[#Totals],[IVA 10,5%]]</f>
        <v>0</v>
      </c>
      <c r="N4" s="446"/>
      <c r="O4" s="35"/>
      <c r="P4" s="442">
        <f>G4-M4</f>
        <v>776457.12799999968</v>
      </c>
      <c r="Q4" s="443"/>
      <c r="R4" s="44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36"/>
      <c r="C7" s="37"/>
      <c r="D7" s="38"/>
      <c r="E7" s="39"/>
      <c r="F7" s="40"/>
      <c r="G7" s="41"/>
      <c r="H7" s="42"/>
      <c r="I7" s="43"/>
      <c r="J7" s="43"/>
      <c r="K7" s="43"/>
      <c r="L7" s="43"/>
      <c r="M7" s="43"/>
      <c r="N7" s="43"/>
      <c r="O7" s="43"/>
      <c r="P7" s="44"/>
      <c r="Q7" s="45"/>
      <c r="R7" s="45"/>
      <c r="T7"/>
      <c r="U7"/>
      <c r="V7"/>
      <c r="W7"/>
      <c r="X7"/>
      <c r="Y7"/>
      <c r="Z7"/>
    </row>
    <row r="8" spans="1:26" ht="38.4" customHeight="1" x14ac:dyDescent="0.3">
      <c r="B8" s="80" t="s">
        <v>0</v>
      </c>
      <c r="C8" s="80" t="s">
        <v>1</v>
      </c>
      <c r="D8" s="80" t="s">
        <v>2</v>
      </c>
      <c r="E8" s="80" t="s">
        <v>27</v>
      </c>
      <c r="F8" s="80" t="s">
        <v>3</v>
      </c>
      <c r="G8" s="80" t="s">
        <v>4</v>
      </c>
      <c r="H8" s="80" t="s">
        <v>34</v>
      </c>
      <c r="I8" s="80" t="s">
        <v>35</v>
      </c>
      <c r="J8" s="80" t="s">
        <v>6</v>
      </c>
      <c r="K8" s="80" t="s">
        <v>7</v>
      </c>
      <c r="L8" s="80" t="s">
        <v>8</v>
      </c>
      <c r="M8" s="80" t="s">
        <v>33</v>
      </c>
      <c r="N8" s="80" t="s">
        <v>9</v>
      </c>
      <c r="O8" s="80" t="s">
        <v>36</v>
      </c>
      <c r="P8" s="80" t="s">
        <v>10</v>
      </c>
      <c r="Q8" s="80" t="s">
        <v>11</v>
      </c>
      <c r="R8" s="80" t="s">
        <v>38</v>
      </c>
    </row>
    <row r="9" spans="1:26" x14ac:dyDescent="0.3">
      <c r="B9" s="36">
        <v>44649</v>
      </c>
      <c r="C9" s="37">
        <v>1</v>
      </c>
      <c r="D9" s="38">
        <v>3008</v>
      </c>
      <c r="E9" s="39">
        <v>259688</v>
      </c>
      <c r="F9" s="40">
        <v>30703088534</v>
      </c>
      <c r="G9" s="41" t="str">
        <f>IFERROR(IF(compras_mes13[[#This Row],[CUIT]]="","-",VLOOKUP(compras_mes13[[#This Row],[CUIT]],Lista_CUIT[#All],2,0)),"CUIT NO CARGADO")</f>
        <v>MERCADO LIBRE SRL</v>
      </c>
      <c r="H9" s="42">
        <v>91269.71</v>
      </c>
      <c r="I9" s="81">
        <f>IF(compras_mes13[[#This Row],[NETO GRAVADO]]="","",compras_mes13[[#This Row],[NETO GRAVADO]]*0.21)</f>
        <v>19166.6391</v>
      </c>
      <c r="J9" s="81"/>
      <c r="K9" s="81"/>
      <c r="L9" s="81"/>
      <c r="M9" s="81"/>
      <c r="N9" s="81"/>
      <c r="O9" s="81">
        <v>0</v>
      </c>
      <c r="P9" s="44">
        <f>SUM(compras_mes13[[#This Row],[NETO GRAVADO]:[Otros / No Grav.]])</f>
        <v>110436.34910000001</v>
      </c>
      <c r="Q9" s="45" t="str">
        <f>IFERROR(IF(compras_mes13[[#This Row],[CUIT]]="","-",VLOOKUP(compras_mes13[[#This Row],[CUIT]],Lista_CUIT[#All],3,0)),"CUIT NO CARGADO")</f>
        <v>Gtos Comercializacion</v>
      </c>
      <c r="R9" s="45">
        <f>IFERROR(IF(compras_mes13[[#This Row],[CUIT]]="","-",VLOOKUP(compras_mes13[[#This Row],[CUIT]],Lista_CUIT[#All],4,0)),"CUIT NO CARGADO")</f>
        <v>0</v>
      </c>
    </row>
    <row r="10" spans="1:26" x14ac:dyDescent="0.3">
      <c r="B10" s="36">
        <v>44649</v>
      </c>
      <c r="C10" s="37">
        <v>3</v>
      </c>
      <c r="D10" s="38">
        <v>27</v>
      </c>
      <c r="E10" s="39">
        <v>20890</v>
      </c>
      <c r="F10" s="40">
        <v>30703088534</v>
      </c>
      <c r="G10" s="41" t="str">
        <f>IFERROR(IF(compras_mes13[[#This Row],[CUIT]]="","-",VLOOKUP(compras_mes13[[#This Row],[CUIT]],Lista_CUIT[#All],2,0)),"CUIT NO CARGADO")</f>
        <v>MERCADO LIBRE SRL</v>
      </c>
      <c r="H10" s="42">
        <v>-119.67</v>
      </c>
      <c r="I10" s="81">
        <f>IF(compras_mes13[[#This Row],[NETO GRAVADO]]="","",compras_mes13[[#This Row],[NETO GRAVADO]]*0.21)</f>
        <v>-25.130700000000001</v>
      </c>
      <c r="J10" s="81"/>
      <c r="K10" s="81"/>
      <c r="L10" s="81"/>
      <c r="M10" s="81"/>
      <c r="N10" s="81"/>
      <c r="O10" s="81">
        <v>0</v>
      </c>
      <c r="P10" s="44">
        <f>SUM(compras_mes13[[#This Row],[NETO GRAVADO]:[Otros / No Grav.]])</f>
        <v>-144.80070000000001</v>
      </c>
      <c r="Q10" s="45" t="str">
        <f>IFERROR(IF(compras_mes13[[#This Row],[CUIT]]="","-",VLOOKUP(compras_mes13[[#This Row],[CUIT]],Lista_CUIT[#All],3,0)),"CUIT NO CARGADO")</f>
        <v>Gtos Comercializacion</v>
      </c>
      <c r="R10" s="45">
        <f>IFERROR(IF(compras_mes13[[#This Row],[CUIT]]="","-",VLOOKUP(compras_mes13[[#This Row],[CUIT]],Lista_CUIT[#All],4,0)),"CUIT NO CARGADO")</f>
        <v>0</v>
      </c>
    </row>
    <row r="11" spans="1:26" x14ac:dyDescent="0.3">
      <c r="B11" s="36">
        <v>44642</v>
      </c>
      <c r="C11" s="37">
        <v>1</v>
      </c>
      <c r="D11" s="38">
        <v>10</v>
      </c>
      <c r="E11" s="39">
        <v>21598</v>
      </c>
      <c r="F11" s="40">
        <v>20172002448</v>
      </c>
      <c r="G11" s="41" t="str">
        <f>IFERROR(IF(compras_mes13[[#This Row],[CUIT]]="","-",VLOOKUP(compras_mes13[[#This Row],[CUIT]],Lista_CUIT[#All],2,0)),"CUIT NO CARGADO")</f>
        <v>ALVAREZ  MIGUEL  ANGEL</v>
      </c>
      <c r="H11" s="42">
        <v>5286.03</v>
      </c>
      <c r="I11" s="81">
        <f>IF(compras_mes13[[#This Row],[NETO GRAVADO]]="","",compras_mes13[[#This Row],[NETO GRAVADO]]*0.21)</f>
        <v>1110.0663</v>
      </c>
      <c r="J11" s="81"/>
      <c r="K11" s="81"/>
      <c r="L11" s="81"/>
      <c r="M11" s="81"/>
      <c r="N11" s="81"/>
      <c r="O11" s="81">
        <v>0</v>
      </c>
      <c r="P11" s="44">
        <f>SUM(compras_mes13[[#This Row],[NETO GRAVADO]:[Otros / No Grav.]])</f>
        <v>6396.0962999999992</v>
      </c>
      <c r="Q11" s="45" t="str">
        <f>IFERROR(IF(compras_mes13[[#This Row],[CUIT]]="","-",VLOOKUP(compras_mes13[[#This Row],[CUIT]],Lista_CUIT[#All],3,0)),"CUIT NO CARGADO")</f>
        <v>Librería</v>
      </c>
      <c r="R11" s="45" t="str">
        <f>IFERROR(IF(compras_mes13[[#This Row],[CUIT]]="","-",VLOOKUP(compras_mes13[[#This Row],[CUIT]],Lista_CUIT[#All],4,0)),"CUIT NO CARGADO")</f>
        <v>CABA</v>
      </c>
    </row>
    <row r="12" spans="1:26" x14ac:dyDescent="0.3">
      <c r="B12" s="36">
        <v>44642</v>
      </c>
      <c r="C12" s="37">
        <v>1</v>
      </c>
      <c r="D12" s="38">
        <v>10</v>
      </c>
      <c r="E12" s="39">
        <v>21599</v>
      </c>
      <c r="F12" s="40">
        <v>20172002448</v>
      </c>
      <c r="G12" s="41" t="str">
        <f>IFERROR(IF(compras_mes13[[#This Row],[CUIT]]="","-",VLOOKUP(compras_mes13[[#This Row],[CUIT]],Lista_CUIT[#All],2,0)),"CUIT NO CARGADO")</f>
        <v>ALVAREZ  MIGUEL  ANGEL</v>
      </c>
      <c r="H12" s="42">
        <v>5286.03</v>
      </c>
      <c r="I12" s="81">
        <f>IF(compras_mes13[[#This Row],[NETO GRAVADO]]="","",compras_mes13[[#This Row],[NETO GRAVADO]]*0.21)</f>
        <v>1110.0663</v>
      </c>
      <c r="J12" s="81"/>
      <c r="K12" s="81"/>
      <c r="L12" s="81"/>
      <c r="M12" s="81"/>
      <c r="N12" s="81"/>
      <c r="O12" s="81">
        <v>0</v>
      </c>
      <c r="P12" s="44">
        <f>SUM(compras_mes13[[#This Row],[NETO GRAVADO]:[Otros / No Grav.]])</f>
        <v>6396.0962999999992</v>
      </c>
      <c r="Q12" s="45" t="str">
        <f>IFERROR(IF(compras_mes13[[#This Row],[CUIT]]="","-",VLOOKUP(compras_mes13[[#This Row],[CUIT]],Lista_CUIT[#All],3,0)),"CUIT NO CARGADO")</f>
        <v>Librería</v>
      </c>
      <c r="R12" s="45" t="str">
        <f>IFERROR(IF(compras_mes13[[#This Row],[CUIT]]="","-",VLOOKUP(compras_mes13[[#This Row],[CUIT]],Lista_CUIT[#All],4,0)),"CUIT NO CARGADO")</f>
        <v>CABA</v>
      </c>
    </row>
    <row r="13" spans="1:26" x14ac:dyDescent="0.3">
      <c r="B13" s="36">
        <v>44642</v>
      </c>
      <c r="C13" s="37">
        <v>1</v>
      </c>
      <c r="D13" s="38">
        <v>10</v>
      </c>
      <c r="E13" s="39">
        <v>21603</v>
      </c>
      <c r="F13" s="40">
        <v>20172002448</v>
      </c>
      <c r="G13" s="41" t="str">
        <f>IFERROR(IF(compras_mes13[[#This Row],[CUIT]]="","-",VLOOKUP(compras_mes13[[#This Row],[CUIT]],Lista_CUIT[#All],2,0)),"CUIT NO CARGADO")</f>
        <v>ALVAREZ  MIGUEL  ANGEL</v>
      </c>
      <c r="H13" s="42">
        <v>5286.03</v>
      </c>
      <c r="I13" s="81">
        <f>IF(compras_mes13[[#This Row],[NETO GRAVADO]]="","",compras_mes13[[#This Row],[NETO GRAVADO]]*0.21)</f>
        <v>1110.0663</v>
      </c>
      <c r="J13" s="81"/>
      <c r="K13" s="81"/>
      <c r="L13" s="81"/>
      <c r="M13" s="81"/>
      <c r="N13" s="81"/>
      <c r="O13" s="81">
        <v>0</v>
      </c>
      <c r="P13" s="44">
        <f>SUM(compras_mes13[[#This Row],[NETO GRAVADO]:[Otros / No Grav.]])</f>
        <v>6396.0962999999992</v>
      </c>
      <c r="Q13" s="45" t="str">
        <f>IFERROR(IF(compras_mes13[[#This Row],[CUIT]]="","-",VLOOKUP(compras_mes13[[#This Row],[CUIT]],Lista_CUIT[#All],3,0)),"CUIT NO CARGADO")</f>
        <v>Librería</v>
      </c>
      <c r="R13" s="45" t="str">
        <f>IFERROR(IF(compras_mes13[[#This Row],[CUIT]]="","-",VLOOKUP(compras_mes13[[#This Row],[CUIT]],Lista_CUIT[#All],4,0)),"CUIT NO CARGADO")</f>
        <v>CABA</v>
      </c>
    </row>
    <row r="14" spans="1:26" x14ac:dyDescent="0.3">
      <c r="B14" s="36">
        <v>44651</v>
      </c>
      <c r="C14" s="37">
        <v>1</v>
      </c>
      <c r="D14" s="38">
        <v>20</v>
      </c>
      <c r="E14" s="39">
        <v>739</v>
      </c>
      <c r="F14" s="40">
        <v>30674346227</v>
      </c>
      <c r="G14" s="41" t="str">
        <f>IFERROR(IF(compras_mes13[[#This Row],[CUIT]]="","-",VLOOKUP(compras_mes13[[#This Row],[CUIT]],Lista_CUIT[#All],2,0)),"CUIT NO CARGADO")</f>
        <v>IMPRESORA DEL NEA S.A.</v>
      </c>
      <c r="H14" s="42">
        <v>2231.4</v>
      </c>
      <c r="I14" s="81">
        <f>IF(compras_mes13[[#This Row],[NETO GRAVADO]]="","",compras_mes13[[#This Row],[NETO GRAVADO]]*0.21)</f>
        <v>468.59399999999999</v>
      </c>
      <c r="J14" s="81"/>
      <c r="K14" s="81"/>
      <c r="L14" s="81"/>
      <c r="M14" s="81"/>
      <c r="N14" s="81"/>
      <c r="O14" s="81">
        <v>0</v>
      </c>
      <c r="P14" s="44">
        <f>SUM(compras_mes13[[#This Row],[NETO GRAVADO]:[Otros / No Grav.]])</f>
        <v>2699.9940000000001</v>
      </c>
      <c r="Q14" s="45" t="str">
        <f>IFERROR(IF(compras_mes13[[#This Row],[CUIT]]="","-",VLOOKUP(compras_mes13[[#This Row],[CUIT]],Lista_CUIT[#All],3,0)),"CUIT NO CARGADO")</f>
        <v>Librería</v>
      </c>
      <c r="R14" s="45">
        <f>IFERROR(IF(compras_mes13[[#This Row],[CUIT]]="","-",VLOOKUP(compras_mes13[[#This Row],[CUIT]],Lista_CUIT[#All],4,0)),"CUIT NO CARGADO")</f>
        <v>0</v>
      </c>
    </row>
    <row r="15" spans="1:26" x14ac:dyDescent="0.3">
      <c r="B15" s="36">
        <v>44650</v>
      </c>
      <c r="C15" s="37">
        <v>1</v>
      </c>
      <c r="D15" s="38">
        <v>5</v>
      </c>
      <c r="E15" s="39">
        <v>25210</v>
      </c>
      <c r="F15" s="40">
        <v>30708261110</v>
      </c>
      <c r="G15" s="41" t="str">
        <f>IFERROR(IF(compras_mes13[[#This Row],[CUIT]]="","-",VLOOKUP(compras_mes13[[#This Row],[CUIT]],Lista_CUIT[#All],2,0)),"CUIT NO CARGADO")</f>
        <v>MULTIPLES S.R.L</v>
      </c>
      <c r="H15" s="42">
        <v>44677.5</v>
      </c>
      <c r="I15" s="81">
        <f>IF(compras_mes13[[#This Row],[NETO GRAVADO]]="","",compras_mes13[[#This Row],[NETO GRAVADO]]*0.21)</f>
        <v>9382.2749999999996</v>
      </c>
      <c r="J15" s="81"/>
      <c r="K15" s="81"/>
      <c r="L15" s="81"/>
      <c r="M15" s="81"/>
      <c r="N15" s="81"/>
      <c r="O15" s="81">
        <v>0</v>
      </c>
      <c r="P15" s="44">
        <f>SUM(compras_mes13[[#This Row],[NETO GRAVADO]:[Otros / No Grav.]])</f>
        <v>54059.775000000001</v>
      </c>
      <c r="Q15" s="45" t="str">
        <f>IFERROR(IF(compras_mes13[[#This Row],[CUIT]]="","-",VLOOKUP(compras_mes13[[#This Row],[CUIT]],Lista_CUIT[#All],3,0)),"CUIT NO CARGADO")</f>
        <v>Librería</v>
      </c>
      <c r="R15" s="45">
        <f>IFERROR(IF(compras_mes13[[#This Row],[CUIT]]="","-",VLOOKUP(compras_mes13[[#This Row],[CUIT]],Lista_CUIT[#All],4,0)),"CUIT NO CARGADO")</f>
        <v>0</v>
      </c>
    </row>
    <row r="16" spans="1:26" x14ac:dyDescent="0.3">
      <c r="B16" s="36">
        <v>44650</v>
      </c>
      <c r="C16" s="37">
        <v>1</v>
      </c>
      <c r="D16" s="38">
        <v>10</v>
      </c>
      <c r="E16" s="39">
        <v>1183</v>
      </c>
      <c r="F16" s="40">
        <v>23127284369</v>
      </c>
      <c r="G16" s="41" t="str">
        <f>IFERROR(IF(compras_mes13[[#This Row],[CUIT]]="","-",VLOOKUP(compras_mes13[[#This Row],[CUIT]],Lista_CUIT[#All],2,0)),"CUIT NO CARGADO")</f>
        <v>DEALER  FX  -  MONTORRO  D.</v>
      </c>
      <c r="H16" s="42">
        <v>8941.7199999999993</v>
      </c>
      <c r="I16" s="81">
        <f>IF(compras_mes13[[#This Row],[NETO GRAVADO]]="","",compras_mes13[[#This Row],[NETO GRAVADO]]*0.21)</f>
        <v>1877.7611999999997</v>
      </c>
      <c r="J16" s="81"/>
      <c r="K16" s="81"/>
      <c r="L16" s="81"/>
      <c r="M16" s="81"/>
      <c r="N16" s="81"/>
      <c r="O16" s="81">
        <v>0</v>
      </c>
      <c r="P16" s="44">
        <f>SUM(compras_mes13[[#This Row],[NETO GRAVADO]:[Otros / No Grav.]])</f>
        <v>10819.481199999998</v>
      </c>
      <c r="Q16" s="45" t="str">
        <f>IFERROR(IF(compras_mes13[[#This Row],[CUIT]]="","-",VLOOKUP(compras_mes13[[#This Row],[CUIT]],Lista_CUIT[#All],3,0)),"CUIT NO CARGADO")</f>
        <v>Librería</v>
      </c>
      <c r="R16" s="45">
        <f>IFERROR(IF(compras_mes13[[#This Row],[CUIT]]="","-",VLOOKUP(compras_mes13[[#This Row],[CUIT]],Lista_CUIT[#All],4,0)),"CUIT NO CARGADO")</f>
        <v>0</v>
      </c>
    </row>
    <row r="17" spans="2:18" x14ac:dyDescent="0.3">
      <c r="B17" s="36">
        <v>44624</v>
      </c>
      <c r="C17" s="37">
        <v>1</v>
      </c>
      <c r="D17" s="38">
        <v>9</v>
      </c>
      <c r="E17" s="39">
        <v>2067</v>
      </c>
      <c r="F17" s="40">
        <v>30715173030</v>
      </c>
      <c r="G17" s="41" t="str">
        <f>IFERROR(IF(compras_mes13[[#This Row],[CUIT]]="","-",VLOOKUP(compras_mes13[[#This Row],[CUIT]],Lista_CUIT[#All],2,0)),"CUIT NO CARGADO")</f>
        <v>AUTOGEN S.A.</v>
      </c>
      <c r="H17" s="42">
        <v>19338.84</v>
      </c>
      <c r="I17" s="81">
        <f>IF(compras_mes13[[#This Row],[NETO GRAVADO]]="","",compras_mes13[[#This Row],[NETO GRAVADO]]*0.21)</f>
        <v>4061.1563999999998</v>
      </c>
      <c r="J17" s="81"/>
      <c r="K17" s="81"/>
      <c r="L17" s="81"/>
      <c r="M17" s="81"/>
      <c r="N17" s="81"/>
      <c r="O17" s="81">
        <v>0</v>
      </c>
      <c r="P17" s="44">
        <f>SUM(compras_mes13[[#This Row],[NETO GRAVADO]:[Otros / No Grav.]])</f>
        <v>23399.9964</v>
      </c>
      <c r="Q17" s="45" t="str">
        <f>IFERROR(IF(compras_mes13[[#This Row],[CUIT]]="","-",VLOOKUP(compras_mes13[[#This Row],[CUIT]],Lista_CUIT[#All],3,0)),"CUIT NO CARGADO")</f>
        <v>Mantenimiento Auto</v>
      </c>
      <c r="R17" s="45">
        <f>IFERROR(IF(compras_mes13[[#This Row],[CUIT]]="","-",VLOOKUP(compras_mes13[[#This Row],[CUIT]],Lista_CUIT[#All],4,0)),"CUIT NO CARGADO")</f>
        <v>0</v>
      </c>
    </row>
    <row r="18" spans="2:18" x14ac:dyDescent="0.3">
      <c r="B18" s="36">
        <v>44630</v>
      </c>
      <c r="C18" s="37">
        <v>1</v>
      </c>
      <c r="D18" s="38">
        <v>4</v>
      </c>
      <c r="E18" s="39">
        <v>104</v>
      </c>
      <c r="F18" s="40">
        <v>30715833979</v>
      </c>
      <c r="G18" s="41" t="str">
        <f>IFERROR(IF(compras_mes13[[#This Row],[CUIT]]="","-",VLOOKUP(compras_mes13[[#This Row],[CUIT]],Lista_CUIT[#All],2,0)),"CUIT NO CARGADO")</f>
        <v>INTERICCHIA  HNOS. SRL</v>
      </c>
      <c r="H18" s="42">
        <v>84297.52</v>
      </c>
      <c r="I18" s="81">
        <f>IF(compras_mes13[[#This Row],[NETO GRAVADO]]="","",compras_mes13[[#This Row],[NETO GRAVADO]]*0.21)</f>
        <v>17702.479200000002</v>
      </c>
      <c r="J18" s="81"/>
      <c r="K18" s="81"/>
      <c r="L18" s="81"/>
      <c r="M18" s="81"/>
      <c r="N18" s="81"/>
      <c r="O18" s="81">
        <v>0</v>
      </c>
      <c r="P18" s="44">
        <f>SUM(compras_mes13[[#This Row],[NETO GRAVADO]:[Otros / No Grav.]])</f>
        <v>101999.99920000001</v>
      </c>
      <c r="Q18" s="45" t="str">
        <f>IFERROR(IF(compras_mes13[[#This Row],[CUIT]]="","-",VLOOKUP(compras_mes13[[#This Row],[CUIT]],Lista_CUIT[#All],3,0)),"CUIT NO CARGADO")</f>
        <v>Mantenimiento</v>
      </c>
      <c r="R18" s="45" t="str">
        <f>IFERROR(IF(compras_mes13[[#This Row],[CUIT]]="","-",VLOOKUP(compras_mes13[[#This Row],[CUIT]],Lista_CUIT[#All],4,0)),"CUIT NO CARGADO")</f>
        <v>BS AS</v>
      </c>
    </row>
    <row r="19" spans="2:18" x14ac:dyDescent="0.3">
      <c r="B19" s="36">
        <v>44626</v>
      </c>
      <c r="C19" s="37">
        <v>1</v>
      </c>
      <c r="D19" s="38">
        <v>1</v>
      </c>
      <c r="E19" s="39">
        <v>2119</v>
      </c>
      <c r="F19" s="40">
        <v>30717030679</v>
      </c>
      <c r="G19" s="41" t="str">
        <f>IFERROR(IF(compras_mes13[[#This Row],[CUIT]]="","-",VLOOKUP(compras_mes13[[#This Row],[CUIT]],Lista_CUIT[#All],2,0)),"CUIT NO CARGADO")</f>
        <v>MOTOMERCADO  S.A.</v>
      </c>
      <c r="H19" s="42">
        <v>3214.88</v>
      </c>
      <c r="I19" s="81">
        <f>IF(compras_mes13[[#This Row],[NETO GRAVADO]]="","",compras_mes13[[#This Row],[NETO GRAVADO]]*0.21)</f>
        <v>675.12480000000005</v>
      </c>
      <c r="J19" s="81"/>
      <c r="K19" s="81"/>
      <c r="L19" s="81"/>
      <c r="M19" s="81"/>
      <c r="N19" s="81"/>
      <c r="O19" s="81">
        <v>0</v>
      </c>
      <c r="P19" s="44">
        <f>SUM(compras_mes13[[#This Row],[NETO GRAVADO]:[Otros / No Grav.]])</f>
        <v>3890.0048000000002</v>
      </c>
      <c r="Q19" s="45" t="str">
        <f>IFERROR(IF(compras_mes13[[#This Row],[CUIT]]="","-",VLOOKUP(compras_mes13[[#This Row],[CUIT]],Lista_CUIT[#All],3,0)),"CUIT NO CARGADO")</f>
        <v>Mantenimiento Auto</v>
      </c>
      <c r="R19" s="45" t="str">
        <f>IFERROR(IF(compras_mes13[[#This Row],[CUIT]]="","-",VLOOKUP(compras_mes13[[#This Row],[CUIT]],Lista_CUIT[#All],4,0)),"CUIT NO CARGADO")</f>
        <v>SANTA FE</v>
      </c>
    </row>
    <row r="20" spans="2:18" x14ac:dyDescent="0.3">
      <c r="B20" s="36">
        <v>44603</v>
      </c>
      <c r="C20" s="37">
        <v>1</v>
      </c>
      <c r="D20" s="38">
        <v>9</v>
      </c>
      <c r="E20" s="39">
        <v>143</v>
      </c>
      <c r="F20" s="40">
        <v>30709330760</v>
      </c>
      <c r="G20" s="41" t="str">
        <f>IFERROR(IF(compras_mes13[[#This Row],[CUIT]]="","-",VLOOKUP(compras_mes13[[#This Row],[CUIT]],Lista_CUIT[#All],2,0)),"CUIT NO CARGADO")</f>
        <v>DENETOR  S.A.</v>
      </c>
      <c r="H20" s="42">
        <v>1366.95</v>
      </c>
      <c r="I20" s="81">
        <f>IF(compras_mes13[[#This Row],[NETO GRAVADO]]="","",compras_mes13[[#This Row],[NETO GRAVADO]]*0.21)</f>
        <v>287.05950000000001</v>
      </c>
      <c r="J20" s="81"/>
      <c r="K20" s="81"/>
      <c r="L20" s="81"/>
      <c r="M20" s="81"/>
      <c r="N20" s="81"/>
      <c r="O20" s="81">
        <v>0</v>
      </c>
      <c r="P20" s="44">
        <f>SUM(compras_mes13[[#This Row],[NETO GRAVADO]:[Otros / No Grav.]])</f>
        <v>1654.0095000000001</v>
      </c>
      <c r="Q20" s="45" t="str">
        <f>IFERROR(IF(compras_mes13[[#This Row],[CUIT]]="","-",VLOOKUP(compras_mes13[[#This Row],[CUIT]],Lista_CUIT[#All],3,0)),"CUIT NO CARGADO")</f>
        <v>Mercaderia</v>
      </c>
      <c r="R20" s="45" t="str">
        <f>IFERROR(IF(compras_mes13[[#This Row],[CUIT]]="","-",VLOOKUP(compras_mes13[[#This Row],[CUIT]],Lista_CUIT[#All],4,0)),"CUIT NO CARGADO")</f>
        <v>CABA</v>
      </c>
    </row>
    <row r="21" spans="2:18" x14ac:dyDescent="0.3">
      <c r="B21" s="36">
        <v>44642</v>
      </c>
      <c r="C21" s="37">
        <v>1</v>
      </c>
      <c r="D21" s="38">
        <v>10</v>
      </c>
      <c r="E21" s="39">
        <v>3309</v>
      </c>
      <c r="F21" s="40">
        <v>20217646414</v>
      </c>
      <c r="G21" s="41" t="str">
        <f>IFERROR(IF(compras_mes13[[#This Row],[CUIT]]="","-",VLOOKUP(compras_mes13[[#This Row],[CUIT]],Lista_CUIT[#All],2,0)),"CUIT NO CARGADO")</f>
        <v>FARBER  HERMAN</v>
      </c>
      <c r="H21" s="42">
        <v>127520.66</v>
      </c>
      <c r="I21" s="81">
        <f>IF(compras_mes13[[#This Row],[NETO GRAVADO]]="","",compras_mes13[[#This Row],[NETO GRAVADO]]*0.21)</f>
        <v>26779.338599999999</v>
      </c>
      <c r="J21" s="81"/>
      <c r="K21" s="81"/>
      <c r="L21" s="81"/>
      <c r="M21" s="81"/>
      <c r="N21" s="81"/>
      <c r="O21" s="81">
        <v>0</v>
      </c>
      <c r="P21" s="44">
        <f>SUM(compras_mes13[[#This Row],[NETO GRAVADO]:[Otros / No Grav.]])</f>
        <v>154299.99859999999</v>
      </c>
      <c r="Q21" s="45" t="str">
        <f>IFERROR(IF(compras_mes13[[#This Row],[CUIT]]="","-",VLOOKUP(compras_mes13[[#This Row],[CUIT]],Lista_CUIT[#All],3,0)),"CUIT NO CARGADO")</f>
        <v>Mercaderia</v>
      </c>
      <c r="R21" s="45" t="str">
        <f>IFERROR(IF(compras_mes13[[#This Row],[CUIT]]="","-",VLOOKUP(compras_mes13[[#This Row],[CUIT]],Lista_CUIT[#All],4,0)),"CUIT NO CARGADO")</f>
        <v>BS AS</v>
      </c>
    </row>
    <row r="22" spans="2:18" x14ac:dyDescent="0.3">
      <c r="B22" s="36">
        <v>44629</v>
      </c>
      <c r="C22" s="37">
        <v>1</v>
      </c>
      <c r="D22" s="38">
        <v>2</v>
      </c>
      <c r="E22" s="39">
        <v>1720</v>
      </c>
      <c r="F22" s="40">
        <v>30715811622</v>
      </c>
      <c r="G22" s="41" t="str">
        <f>IFERROR(IF(compras_mes13[[#This Row],[CUIT]]="","-",VLOOKUP(compras_mes13[[#This Row],[CUIT]],Lista_CUIT[#All],2,0)),"CUIT NO CARGADO")</f>
        <v>VTEC  S.R.L.</v>
      </c>
      <c r="H22" s="42">
        <v>75619.83</v>
      </c>
      <c r="I22" s="81">
        <f>IF(compras_mes13[[#This Row],[NETO GRAVADO]]="","",compras_mes13[[#This Row],[NETO GRAVADO]]*0.21)</f>
        <v>15880.1643</v>
      </c>
      <c r="J22" s="81"/>
      <c r="K22" s="81"/>
      <c r="L22" s="81"/>
      <c r="M22" s="81"/>
      <c r="N22" s="81"/>
      <c r="O22" s="81">
        <v>0</v>
      </c>
      <c r="P22" s="44">
        <f>SUM(compras_mes13[[#This Row],[NETO GRAVADO]:[Otros / No Grav.]])</f>
        <v>91499.994300000006</v>
      </c>
      <c r="Q22" s="45" t="str">
        <f>IFERROR(IF(compras_mes13[[#This Row],[CUIT]]="","-",VLOOKUP(compras_mes13[[#This Row],[CUIT]],Lista_CUIT[#All],3,0)),"CUIT NO CARGADO")</f>
        <v>Mercaderia</v>
      </c>
      <c r="R22" s="45">
        <f>IFERROR(IF(compras_mes13[[#This Row],[CUIT]]="","-",VLOOKUP(compras_mes13[[#This Row],[CUIT]],Lista_CUIT[#All],4,0)),"CUIT NO CARGADO")</f>
        <v>0</v>
      </c>
    </row>
    <row r="23" spans="2:18" x14ac:dyDescent="0.3">
      <c r="B23" s="36">
        <v>44631</v>
      </c>
      <c r="C23" s="37">
        <v>1</v>
      </c>
      <c r="D23" s="38">
        <v>3</v>
      </c>
      <c r="E23" s="39">
        <v>2990</v>
      </c>
      <c r="F23" s="40">
        <v>30714618977</v>
      </c>
      <c r="G23" s="41" t="str">
        <f>IFERROR(IF(compras_mes13[[#This Row],[CUIT]]="","-",VLOOKUP(compras_mes13[[#This Row],[CUIT]],Lista_CUIT[#All],2,0)),"CUIT NO CARGADO")</f>
        <v>DISTRIBUIDORA N.G. S.A.</v>
      </c>
      <c r="H23" s="42">
        <v>24000</v>
      </c>
      <c r="I23" s="81">
        <f>IF(compras_mes13[[#This Row],[NETO GRAVADO]]="","",compras_mes13[[#This Row],[NETO GRAVADO]]*0.21)</f>
        <v>5040</v>
      </c>
      <c r="J23" s="81"/>
      <c r="K23" s="81"/>
      <c r="L23" s="81"/>
      <c r="M23" s="81"/>
      <c r="N23" s="81"/>
      <c r="O23" s="81">
        <v>0</v>
      </c>
      <c r="P23" s="44">
        <f>SUM(compras_mes13[[#This Row],[NETO GRAVADO]:[Otros / No Grav.]])</f>
        <v>29040</v>
      </c>
      <c r="Q23" s="45" t="str">
        <f>IFERROR(IF(compras_mes13[[#This Row],[CUIT]]="","-",VLOOKUP(compras_mes13[[#This Row],[CUIT]],Lista_CUIT[#All],3,0)),"CUIT NO CARGADO")</f>
        <v>Mercaderia</v>
      </c>
      <c r="R23" s="45">
        <f>IFERROR(IF(compras_mes13[[#This Row],[CUIT]]="","-",VLOOKUP(compras_mes13[[#This Row],[CUIT]],Lista_CUIT[#All],4,0)),"CUIT NO CARGADO")</f>
        <v>0</v>
      </c>
    </row>
    <row r="24" spans="2:18" x14ac:dyDescent="0.3">
      <c r="B24" s="36">
        <v>44635</v>
      </c>
      <c r="C24" s="37">
        <v>1</v>
      </c>
      <c r="D24" s="38">
        <v>6</v>
      </c>
      <c r="E24" s="39">
        <v>236</v>
      </c>
      <c r="F24" s="40">
        <v>20219190469</v>
      </c>
      <c r="G24" s="41" t="str">
        <f>IFERROR(IF(compras_mes13[[#This Row],[CUIT]]="","-",VLOOKUP(compras_mes13[[#This Row],[CUIT]],Lista_CUIT[#All],2,0)),"CUIT NO CARGADO")</f>
        <v>PARADISO ESTEBAN DAMIAN</v>
      </c>
      <c r="H24" s="42">
        <v>84119.039999999994</v>
      </c>
      <c r="I24" s="81">
        <f>IF(compras_mes13[[#This Row],[NETO GRAVADO]]="","",compras_mes13[[#This Row],[NETO GRAVADO]]*0.21)</f>
        <v>17664.998399999997</v>
      </c>
      <c r="J24" s="81"/>
      <c r="K24" s="81"/>
      <c r="L24" s="81"/>
      <c r="M24" s="81"/>
      <c r="N24" s="81"/>
      <c r="O24" s="81">
        <v>0</v>
      </c>
      <c r="P24" s="44">
        <f>SUM(compras_mes13[[#This Row],[NETO GRAVADO]:[Otros / No Grav.]])</f>
        <v>101784.03839999999</v>
      </c>
      <c r="Q24" s="45" t="str">
        <f>IFERROR(IF(compras_mes13[[#This Row],[CUIT]]="","-",VLOOKUP(compras_mes13[[#This Row],[CUIT]],Lista_CUIT[#All],3,0)),"CUIT NO CARGADO")</f>
        <v>Mercaderia</v>
      </c>
      <c r="R24" s="45">
        <f>IFERROR(IF(compras_mes13[[#This Row],[CUIT]]="","-",VLOOKUP(compras_mes13[[#This Row],[CUIT]],Lista_CUIT[#All],4,0)),"CUIT NO CARGADO")</f>
        <v>0</v>
      </c>
    </row>
    <row r="25" spans="2:18" x14ac:dyDescent="0.3">
      <c r="B25" s="36">
        <v>44635</v>
      </c>
      <c r="C25" s="37">
        <v>1</v>
      </c>
      <c r="D25" s="38">
        <v>6</v>
      </c>
      <c r="E25" s="39">
        <v>4804</v>
      </c>
      <c r="F25" s="40">
        <v>30641221771</v>
      </c>
      <c r="G25" s="41" t="str">
        <f>IFERROR(IF(compras_mes13[[#This Row],[CUIT]]="","-",VLOOKUP(compras_mes13[[#This Row],[CUIT]],Lista_CUIT[#All],2,0)),"CUIT NO CARGADO")</f>
        <v>FARMATRADE  S.R.L.</v>
      </c>
      <c r="H25" s="42">
        <v>7741.58</v>
      </c>
      <c r="I25" s="81">
        <f>IF(compras_mes13[[#This Row],[NETO GRAVADO]]="","",compras_mes13[[#This Row],[NETO GRAVADO]]*0.21)</f>
        <v>1625.7318</v>
      </c>
      <c r="J25" s="81"/>
      <c r="K25" s="81"/>
      <c r="L25" s="81"/>
      <c r="M25" s="81"/>
      <c r="N25" s="81"/>
      <c r="O25" s="81">
        <v>0</v>
      </c>
      <c r="P25" s="44">
        <f>SUM(compras_mes13[[#This Row],[NETO GRAVADO]:[Otros / No Grav.]])</f>
        <v>9367.3117999999995</v>
      </c>
      <c r="Q25" s="45" t="str">
        <f>IFERROR(IF(compras_mes13[[#This Row],[CUIT]]="","-",VLOOKUP(compras_mes13[[#This Row],[CUIT]],Lista_CUIT[#All],3,0)),"CUIT NO CARGADO")</f>
        <v>Mercaderia</v>
      </c>
      <c r="R25" s="45" t="str">
        <f>IFERROR(IF(compras_mes13[[#This Row],[CUIT]]="","-",VLOOKUP(compras_mes13[[#This Row],[CUIT]],Lista_CUIT[#All],4,0)),"CUIT NO CARGADO")</f>
        <v>BUENOS AIRES</v>
      </c>
    </row>
    <row r="26" spans="2:18" x14ac:dyDescent="0.3">
      <c r="B26" s="36">
        <v>44636</v>
      </c>
      <c r="C26" s="37">
        <v>1</v>
      </c>
      <c r="D26" s="38">
        <v>2</v>
      </c>
      <c r="E26" s="39">
        <v>3016</v>
      </c>
      <c r="F26" s="40">
        <v>30629863571</v>
      </c>
      <c r="G26" s="41" t="str">
        <f>IFERROR(IF(compras_mes13[[#This Row],[CUIT]]="","-",VLOOKUP(compras_mes13[[#This Row],[CUIT]],Lista_CUIT[#All],2,0)),"CUIT NO CARGADO")</f>
        <v>TECNIMAR S R L</v>
      </c>
      <c r="H26" s="42">
        <v>324520.15999999997</v>
      </c>
      <c r="I26" s="81">
        <f>IF(compras_mes13[[#This Row],[NETO GRAVADO]]="","",compras_mes13[[#This Row],[NETO GRAVADO]]*0.21)</f>
        <v>68149.233599999992</v>
      </c>
      <c r="J26" s="81"/>
      <c r="K26" s="81"/>
      <c r="L26" s="81"/>
      <c r="M26" s="81"/>
      <c r="N26" s="81"/>
      <c r="O26" s="81">
        <v>0</v>
      </c>
      <c r="P26" s="44">
        <f>SUM(compras_mes13[[#This Row],[NETO GRAVADO]:[Otros / No Grav.]])</f>
        <v>392669.39359999995</v>
      </c>
      <c r="Q26" s="45" t="str">
        <f>IFERROR(IF(compras_mes13[[#This Row],[CUIT]]="","-",VLOOKUP(compras_mes13[[#This Row],[CUIT]],Lista_CUIT[#All],3,0)),"CUIT NO CARGADO")</f>
        <v>Mercaderia</v>
      </c>
      <c r="R26" s="45">
        <f>IFERROR(IF(compras_mes13[[#This Row],[CUIT]]="","-",VLOOKUP(compras_mes13[[#This Row],[CUIT]],Lista_CUIT[#All],4,0)),"CUIT NO CARGADO")</f>
        <v>0</v>
      </c>
    </row>
    <row r="27" spans="2:18" x14ac:dyDescent="0.3">
      <c r="B27" s="36">
        <v>44644</v>
      </c>
      <c r="C27" s="37">
        <v>1</v>
      </c>
      <c r="D27" s="38">
        <v>2</v>
      </c>
      <c r="E27" s="39">
        <v>3018</v>
      </c>
      <c r="F27" s="40">
        <v>30629863571</v>
      </c>
      <c r="G27" s="41" t="str">
        <f>IFERROR(IF(compras_mes13[[#This Row],[CUIT]]="","-",VLOOKUP(compras_mes13[[#This Row],[CUIT]],Lista_CUIT[#All],2,0)),"CUIT NO CARGADO")</f>
        <v>TECNIMAR S R L</v>
      </c>
      <c r="H27" s="42">
        <v>162699.06</v>
      </c>
      <c r="I27" s="81">
        <f>IF(compras_mes13[[#This Row],[NETO GRAVADO]]="","",compras_mes13[[#This Row],[NETO GRAVADO]]*0.21)</f>
        <v>34166.802599999995</v>
      </c>
      <c r="J27" s="81"/>
      <c r="K27" s="81"/>
      <c r="L27" s="81"/>
      <c r="M27" s="81"/>
      <c r="N27" s="81"/>
      <c r="O27" s="81">
        <v>0</v>
      </c>
      <c r="P27" s="44">
        <f>SUM(compras_mes13[[#This Row],[NETO GRAVADO]:[Otros / No Grav.]])</f>
        <v>196865.86259999999</v>
      </c>
      <c r="Q27" s="45" t="str">
        <f>IFERROR(IF(compras_mes13[[#This Row],[CUIT]]="","-",VLOOKUP(compras_mes13[[#This Row],[CUIT]],Lista_CUIT[#All],3,0)),"CUIT NO CARGADO")</f>
        <v>Mercaderia</v>
      </c>
      <c r="R27" s="45">
        <f>IFERROR(IF(compras_mes13[[#This Row],[CUIT]]="","-",VLOOKUP(compras_mes13[[#This Row],[CUIT]],Lista_CUIT[#All],4,0)),"CUIT NO CARGADO")</f>
        <v>0</v>
      </c>
    </row>
    <row r="28" spans="2:18" x14ac:dyDescent="0.3">
      <c r="B28" s="36">
        <v>44644</v>
      </c>
      <c r="C28" s="37">
        <v>1</v>
      </c>
      <c r="D28" s="38">
        <v>2</v>
      </c>
      <c r="E28" s="39">
        <v>3020</v>
      </c>
      <c r="F28" s="40">
        <v>30629863571</v>
      </c>
      <c r="G28" s="41" t="str">
        <f>IFERROR(IF(compras_mes13[[#This Row],[CUIT]]="","-",VLOOKUP(compras_mes13[[#This Row],[CUIT]],Lista_CUIT[#All],2,0)),"CUIT NO CARGADO")</f>
        <v>TECNIMAR S R L</v>
      </c>
      <c r="H28" s="42">
        <v>181278.76</v>
      </c>
      <c r="I28" s="81">
        <f>IF(compras_mes13[[#This Row],[NETO GRAVADO]]="","",compras_mes13[[#This Row],[NETO GRAVADO]]*0.21)</f>
        <v>38068.539600000004</v>
      </c>
      <c r="J28" s="81"/>
      <c r="K28" s="81"/>
      <c r="L28" s="81"/>
      <c r="M28" s="81"/>
      <c r="N28" s="81"/>
      <c r="O28" s="81">
        <v>0</v>
      </c>
      <c r="P28" s="44">
        <f>SUM(compras_mes13[[#This Row],[NETO GRAVADO]:[Otros / No Grav.]])</f>
        <v>219347.29960000003</v>
      </c>
      <c r="Q28" s="45" t="str">
        <f>IFERROR(IF(compras_mes13[[#This Row],[CUIT]]="","-",VLOOKUP(compras_mes13[[#This Row],[CUIT]],Lista_CUIT[#All],3,0)),"CUIT NO CARGADO")</f>
        <v>Mercaderia</v>
      </c>
      <c r="R28" s="45">
        <f>IFERROR(IF(compras_mes13[[#This Row],[CUIT]]="","-",VLOOKUP(compras_mes13[[#This Row],[CUIT]],Lista_CUIT[#All],4,0)),"CUIT NO CARGADO")</f>
        <v>0</v>
      </c>
    </row>
    <row r="29" spans="2:18" x14ac:dyDescent="0.3">
      <c r="B29" s="36">
        <v>44648</v>
      </c>
      <c r="C29" s="37">
        <v>1</v>
      </c>
      <c r="D29" s="38">
        <v>3</v>
      </c>
      <c r="E29" s="39">
        <v>3006</v>
      </c>
      <c r="F29" s="40">
        <v>30714618977</v>
      </c>
      <c r="G29" s="41" t="str">
        <f>IFERROR(IF(compras_mes13[[#This Row],[CUIT]]="","-",VLOOKUP(compras_mes13[[#This Row],[CUIT]],Lista_CUIT[#All],2,0)),"CUIT NO CARGADO")</f>
        <v>DISTRIBUIDORA N.G. S.A.</v>
      </c>
      <c r="H29" s="42">
        <v>400000</v>
      </c>
      <c r="I29" s="81">
        <f>IF(compras_mes13[[#This Row],[NETO GRAVADO]]="","",compras_mes13[[#This Row],[NETO GRAVADO]]*0.21)</f>
        <v>84000</v>
      </c>
      <c r="J29" s="81"/>
      <c r="K29" s="81"/>
      <c r="L29" s="81"/>
      <c r="M29" s="81"/>
      <c r="N29" s="81"/>
      <c r="O29" s="81">
        <v>0</v>
      </c>
      <c r="P29" s="44">
        <f>SUM(compras_mes13[[#This Row],[NETO GRAVADO]:[Otros / No Grav.]])</f>
        <v>484000</v>
      </c>
      <c r="Q29" s="45" t="str">
        <f>IFERROR(IF(compras_mes13[[#This Row],[CUIT]]="","-",VLOOKUP(compras_mes13[[#This Row],[CUIT]],Lista_CUIT[#All],3,0)),"CUIT NO CARGADO")</f>
        <v>Mercaderia</v>
      </c>
      <c r="R29" s="45">
        <f>IFERROR(IF(compras_mes13[[#This Row],[CUIT]]="","-",VLOOKUP(compras_mes13[[#This Row],[CUIT]],Lista_CUIT[#All],4,0)),"CUIT NO CARGADO")</f>
        <v>0</v>
      </c>
    </row>
    <row r="30" spans="2:18" x14ac:dyDescent="0.3">
      <c r="B30" s="36">
        <v>44649</v>
      </c>
      <c r="C30" s="37">
        <v>1</v>
      </c>
      <c r="D30" s="38">
        <v>3</v>
      </c>
      <c r="E30" s="39">
        <v>3008</v>
      </c>
      <c r="F30" s="40">
        <v>30714618977</v>
      </c>
      <c r="G30" s="41" t="str">
        <f>IFERROR(IF(compras_mes13[[#This Row],[CUIT]]="","-",VLOOKUP(compras_mes13[[#This Row],[CUIT]],Lista_CUIT[#All],2,0)),"CUIT NO CARGADO")</f>
        <v>DISTRIBUIDORA N.G. S.A.</v>
      </c>
      <c r="H30" s="42">
        <v>85000</v>
      </c>
      <c r="I30" s="81">
        <f>IF(compras_mes13[[#This Row],[NETO GRAVADO]]="","",compras_mes13[[#This Row],[NETO GRAVADO]]*0.21)</f>
        <v>17850</v>
      </c>
      <c r="J30" s="81"/>
      <c r="K30" s="81"/>
      <c r="L30" s="81"/>
      <c r="M30" s="81"/>
      <c r="N30" s="81"/>
      <c r="O30" s="81">
        <v>0</v>
      </c>
      <c r="P30" s="44">
        <f>SUM(compras_mes13[[#This Row],[NETO GRAVADO]:[Otros / No Grav.]])</f>
        <v>102850</v>
      </c>
      <c r="Q30" s="45" t="str">
        <f>IFERROR(IF(compras_mes13[[#This Row],[CUIT]]="","-",VLOOKUP(compras_mes13[[#This Row],[CUIT]],Lista_CUIT[#All],3,0)),"CUIT NO CARGADO")</f>
        <v>Mercaderia</v>
      </c>
      <c r="R30" s="45">
        <f>IFERROR(IF(compras_mes13[[#This Row],[CUIT]]="","-",VLOOKUP(compras_mes13[[#This Row],[CUIT]],Lista_CUIT[#All],4,0)),"CUIT NO CARGADO")</f>
        <v>0</v>
      </c>
    </row>
    <row r="31" spans="2:18" x14ac:dyDescent="0.3">
      <c r="B31" s="36">
        <v>44651</v>
      </c>
      <c r="C31" s="37">
        <v>1</v>
      </c>
      <c r="D31" s="38">
        <v>2</v>
      </c>
      <c r="E31" s="39">
        <v>3029</v>
      </c>
      <c r="F31" s="40">
        <v>30629863571</v>
      </c>
      <c r="G31" s="41" t="str">
        <f>IFERROR(IF(compras_mes13[[#This Row],[CUIT]]="","-",VLOOKUP(compras_mes13[[#This Row],[CUIT]],Lista_CUIT[#All],2,0)),"CUIT NO CARGADO")</f>
        <v>TECNIMAR S R L</v>
      </c>
      <c r="H31" s="42">
        <v>90137.47</v>
      </c>
      <c r="I31" s="81">
        <f>IF(compras_mes13[[#This Row],[NETO GRAVADO]]="","",compras_mes13[[#This Row],[NETO GRAVADO]]*0.21)</f>
        <v>18928.868699999999</v>
      </c>
      <c r="J31" s="81"/>
      <c r="K31" s="81"/>
      <c r="L31" s="81"/>
      <c r="M31" s="81"/>
      <c r="N31" s="81"/>
      <c r="O31" s="81">
        <v>0</v>
      </c>
      <c r="P31" s="44">
        <f>SUM(compras_mes13[[#This Row],[NETO GRAVADO]:[Otros / No Grav.]])</f>
        <v>109066.33869999999</v>
      </c>
      <c r="Q31" s="45" t="str">
        <f>IFERROR(IF(compras_mes13[[#This Row],[CUIT]]="","-",VLOOKUP(compras_mes13[[#This Row],[CUIT]],Lista_CUIT[#All],3,0)),"CUIT NO CARGADO")</f>
        <v>Mercaderia</v>
      </c>
      <c r="R31" s="45">
        <f>IFERROR(IF(compras_mes13[[#This Row],[CUIT]]="","-",VLOOKUP(compras_mes13[[#This Row],[CUIT]],Lista_CUIT[#All],4,0)),"CUIT NO CARGADO")</f>
        <v>0</v>
      </c>
    </row>
    <row r="32" spans="2:18" x14ac:dyDescent="0.3">
      <c r="B32" s="36">
        <v>44602</v>
      </c>
      <c r="C32" s="37">
        <v>1</v>
      </c>
      <c r="D32" s="38">
        <v>3</v>
      </c>
      <c r="E32" s="39">
        <v>8325</v>
      </c>
      <c r="F32" s="40">
        <v>30715683446</v>
      </c>
      <c r="G32" s="41" t="str">
        <f>IFERROR(IF(compras_mes13[[#This Row],[CUIT]]="","-",VLOOKUP(compras_mes13[[#This Row],[CUIT]],Lista_CUIT[#All],2,0)),"CUIT NO CARGADO")</f>
        <v>CENTRAL  MAYORISTA  S.R.L.</v>
      </c>
      <c r="H32" s="42">
        <v>3192.67</v>
      </c>
      <c r="I32" s="81">
        <f>IF(compras_mes13[[#This Row],[NETO GRAVADO]]="","",compras_mes13[[#This Row],[NETO GRAVADO]]*0.21)</f>
        <v>670.46069999999997</v>
      </c>
      <c r="J32" s="81"/>
      <c r="K32" s="81"/>
      <c r="L32" s="81"/>
      <c r="M32" s="81"/>
      <c r="N32" s="81"/>
      <c r="O32" s="81">
        <v>0</v>
      </c>
      <c r="P32" s="44">
        <f>SUM(compras_mes13[[#This Row],[NETO GRAVADO]:[Otros / No Grav.]])</f>
        <v>3863.1307000000002</v>
      </c>
      <c r="Q32" s="45" t="str">
        <f>IFERROR(IF(compras_mes13[[#This Row],[CUIT]]="","-",VLOOKUP(compras_mes13[[#This Row],[CUIT]],Lista_CUIT[#All],3,0)),"CUIT NO CARGADO")</f>
        <v>Mercaderia</v>
      </c>
      <c r="R32" s="45">
        <f>IFERROR(IF(compras_mes13[[#This Row],[CUIT]]="","-",VLOOKUP(compras_mes13[[#This Row],[CUIT]],Lista_CUIT[#All],4,0)),"CUIT NO CARGADO")</f>
        <v>0</v>
      </c>
    </row>
    <row r="33" spans="2:18" x14ac:dyDescent="0.3">
      <c r="B33" s="36">
        <v>44627</v>
      </c>
      <c r="C33" s="37">
        <v>1</v>
      </c>
      <c r="D33" s="38">
        <v>201</v>
      </c>
      <c r="E33" s="39">
        <v>61457568</v>
      </c>
      <c r="F33" s="40">
        <v>30655116512</v>
      </c>
      <c r="G33" s="41" t="str">
        <f>IFERROR(IF(compras_mes13[[#This Row],[CUIT]]="","-",VLOOKUP(compras_mes13[[#This Row],[CUIT]],Lista_CUIT[#All],2,0)),"CUIT NO CARGADO")</f>
        <v>Empresa Distribuidora Sur S.A.</v>
      </c>
      <c r="H33" s="42">
        <v>1570.37</v>
      </c>
      <c r="I33" s="81">
        <f>IF(compras_mes13[[#This Row],[NETO GRAVADO]]="","",compras_mes13[[#This Row],[NETO GRAVADO]]*0.21)</f>
        <v>329.77769999999998</v>
      </c>
      <c r="J33" s="81"/>
      <c r="K33" s="81"/>
      <c r="L33" s="81"/>
      <c r="M33" s="81"/>
      <c r="N33" s="81"/>
      <c r="O33" s="81">
        <v>0</v>
      </c>
      <c r="P33" s="44">
        <f>SUM(compras_mes13[[#This Row],[NETO GRAVADO]:[Otros / No Grav.]])</f>
        <v>1900.1477</v>
      </c>
      <c r="Q33" s="45" t="str">
        <f>IFERROR(IF(compras_mes13[[#This Row],[CUIT]]="","-",VLOOKUP(compras_mes13[[#This Row],[CUIT]],Lista_CUIT[#All],3,0)),"CUIT NO CARGADO")</f>
        <v>Servicios Gas, Luz, etc.</v>
      </c>
      <c r="R33" s="45">
        <f>IFERROR(IF(compras_mes13[[#This Row],[CUIT]]="","-",VLOOKUP(compras_mes13[[#This Row],[CUIT]],Lista_CUIT[#All],4,0)),"CUIT NO CARGADO")</f>
        <v>0</v>
      </c>
    </row>
    <row r="34" spans="2:18" x14ac:dyDescent="0.3">
      <c r="B34" s="36">
        <v>44628</v>
      </c>
      <c r="C34" s="37">
        <v>1</v>
      </c>
      <c r="D34" s="38">
        <v>2</v>
      </c>
      <c r="E34" s="39">
        <v>29358</v>
      </c>
      <c r="F34" s="40">
        <v>33714232199</v>
      </c>
      <c r="G34" s="41" t="str">
        <f>IFERROR(IF(compras_mes13[[#This Row],[CUIT]]="","-",VLOOKUP(compras_mes13[[#This Row],[CUIT]],Lista_CUIT[#All],2,0)),"CUIT NO CARGADO")</f>
        <v>NUAGE SYSTEMS S.A</v>
      </c>
      <c r="H34" s="42">
        <v>16317</v>
      </c>
      <c r="I34" s="81">
        <f>IF(compras_mes13[[#This Row],[NETO GRAVADO]]="","",compras_mes13[[#This Row],[NETO GRAVADO]]*0.21)</f>
        <v>3426.5699999999997</v>
      </c>
      <c r="J34" s="81"/>
      <c r="K34" s="81"/>
      <c r="L34" s="81"/>
      <c r="M34" s="81"/>
      <c r="N34" s="81"/>
      <c r="O34" s="81">
        <v>0</v>
      </c>
      <c r="P34" s="44">
        <f>SUM(compras_mes13[[#This Row],[NETO GRAVADO]:[Otros / No Grav.]])</f>
        <v>19743.57</v>
      </c>
      <c r="Q34" s="45" t="str">
        <f>IFERROR(IF(compras_mes13[[#This Row],[CUIT]]="","-",VLOOKUP(compras_mes13[[#This Row],[CUIT]],Lista_CUIT[#All],3,0)),"CUIT NO CARGADO")</f>
        <v>Servicios Informatica</v>
      </c>
      <c r="R34" s="45">
        <f>IFERROR(IF(compras_mes13[[#This Row],[CUIT]]="","-",VLOOKUP(compras_mes13[[#This Row],[CUIT]],Lista_CUIT[#All],4,0)),"CUIT NO CARGADO")</f>
        <v>0</v>
      </c>
    </row>
    <row r="35" spans="2:18" x14ac:dyDescent="0.3">
      <c r="B35" s="36">
        <v>44637</v>
      </c>
      <c r="C35" s="37">
        <v>1</v>
      </c>
      <c r="D35" s="38">
        <v>1665</v>
      </c>
      <c r="E35" s="39">
        <v>15095</v>
      </c>
      <c r="F35" s="40">
        <v>30589621499</v>
      </c>
      <c r="G35" s="41" t="str">
        <f>IFERROR(IF(compras_mes13[[#This Row],[CUIT]]="","-",VLOOKUP(compras_mes13[[#This Row],[CUIT]],Lista_CUIT[#All],2,0)),"CUIT NO CARGADO")</f>
        <v>MAKRO SA</v>
      </c>
      <c r="H35" s="42">
        <v>38223.919999999998</v>
      </c>
      <c r="I35" s="81">
        <f>IF(compras_mes13[[#This Row],[NETO GRAVADO]]="","",compras_mes13[[#This Row],[NETO GRAVADO]]*0.21)</f>
        <v>8027.0231999999996</v>
      </c>
      <c r="J35" s="81"/>
      <c r="K35" s="81"/>
      <c r="L35" s="81"/>
      <c r="M35" s="81"/>
      <c r="N35" s="81"/>
      <c r="O35" s="42">
        <v>3.37</v>
      </c>
      <c r="P35" s="44">
        <f>SUM(compras_mes13[[#This Row],[NETO GRAVADO]:[Otros / No Grav.]])</f>
        <v>46254.313199999997</v>
      </c>
      <c r="Q35" s="45" t="str">
        <f>IFERROR(IF(compras_mes13[[#This Row],[CUIT]]="","-",VLOOKUP(compras_mes13[[#This Row],[CUIT]],Lista_CUIT[#All],3,0)),"CUIT NO CARGADO")</f>
        <v>Comida-Limpieza</v>
      </c>
      <c r="R35" s="45">
        <f>IFERROR(IF(compras_mes13[[#This Row],[CUIT]]="","-",VLOOKUP(compras_mes13[[#This Row],[CUIT]],Lista_CUIT[#All],4,0)),"CUIT NO CARGADO")</f>
        <v>0</v>
      </c>
    </row>
    <row r="36" spans="2:18" x14ac:dyDescent="0.3">
      <c r="B36" s="36">
        <v>44643</v>
      </c>
      <c r="C36" s="37">
        <v>1</v>
      </c>
      <c r="D36" s="38">
        <v>6</v>
      </c>
      <c r="E36" s="39">
        <v>2253</v>
      </c>
      <c r="F36" s="40">
        <v>20117862578</v>
      </c>
      <c r="G36" s="41" t="str">
        <f>IFERROR(IF(compras_mes13[[#This Row],[CUIT]]="","-",VLOOKUP(compras_mes13[[#This Row],[CUIT]],Lista_CUIT[#All],2,0)),"CUIT NO CARGADO")</f>
        <v>PORCO VICTOR ALBERTO</v>
      </c>
      <c r="H36" s="42">
        <v>1652.9</v>
      </c>
      <c r="I36" s="81">
        <v>424</v>
      </c>
      <c r="J36" s="81"/>
      <c r="K36" s="81"/>
      <c r="L36" s="81">
        <v>269.24</v>
      </c>
      <c r="M36" s="81"/>
      <c r="N36" s="81"/>
      <c r="O36" s="42">
        <v>65.05</v>
      </c>
      <c r="P36" s="44">
        <f>SUM(compras_mes13[[#This Row],[NETO GRAVADO]:[Otros / No Grav.]])</f>
        <v>2411.1900000000005</v>
      </c>
      <c r="Q36" s="45" t="str">
        <f>IFERROR(IF(compras_mes13[[#This Row],[CUIT]]="","-",VLOOKUP(compras_mes13[[#This Row],[CUIT]],Lista_CUIT[#All],3,0)),"CUIT NO CARGADO")</f>
        <v>Ferreteria</v>
      </c>
      <c r="R36" s="45">
        <f>IFERROR(IF(compras_mes13[[#This Row],[CUIT]]="","-",VLOOKUP(compras_mes13[[#This Row],[CUIT]],Lista_CUIT[#All],4,0)),"CUIT NO CARGADO")</f>
        <v>0</v>
      </c>
    </row>
    <row r="37" spans="2:18" x14ac:dyDescent="0.3">
      <c r="B37" s="36">
        <v>44650</v>
      </c>
      <c r="C37" s="37">
        <v>1</v>
      </c>
      <c r="D37" s="38">
        <v>2406</v>
      </c>
      <c r="E37" s="39">
        <v>80336</v>
      </c>
      <c r="F37" s="40">
        <v>30692296377</v>
      </c>
      <c r="G37" s="41" t="str">
        <f>IFERROR(IF(compras_mes13[[#This Row],[CUIT]]="","-",VLOOKUP(compras_mes13[[#This Row],[CUIT]],Lista_CUIT[#All],2,0)),"CUIT NO CARGADO")</f>
        <v>CORREO ARGENTINO S.A.</v>
      </c>
      <c r="H37" s="42">
        <v>8.26</v>
      </c>
      <c r="I37" s="81">
        <v>6760.63</v>
      </c>
      <c r="J37" s="81"/>
      <c r="K37" s="81"/>
      <c r="L37" s="81">
        <v>953.21</v>
      </c>
      <c r="M37" s="81">
        <v>1735.12</v>
      </c>
      <c r="N37" s="81"/>
      <c r="O37" s="42">
        <v>99.14</v>
      </c>
      <c r="P37" s="44">
        <f>SUM(compras_mes13[[#This Row],[NETO GRAVADO]:[Otros / No Grav.]])</f>
        <v>9556.36</v>
      </c>
      <c r="Q37" s="45" t="str">
        <f>IFERROR(IF(compras_mes13[[#This Row],[CUIT]]="","-",VLOOKUP(compras_mes13[[#This Row],[CUIT]],Lista_CUIT[#All],3,0)),"CUIT NO CARGADO")</f>
        <v>Flete-Logistica</v>
      </c>
      <c r="R37" s="45">
        <f>IFERROR(IF(compras_mes13[[#This Row],[CUIT]]="","-",VLOOKUP(compras_mes13[[#This Row],[CUIT]],Lista_CUIT[#All],4,0)),"CUIT NO CARGADO")</f>
        <v>0</v>
      </c>
    </row>
    <row r="38" spans="2:18" x14ac:dyDescent="0.3">
      <c r="B38" s="36">
        <v>44645</v>
      </c>
      <c r="C38" s="37">
        <v>1</v>
      </c>
      <c r="D38" s="38">
        <v>8257</v>
      </c>
      <c r="E38" s="39">
        <v>3565</v>
      </c>
      <c r="F38" s="40">
        <v>30590360763</v>
      </c>
      <c r="G38" s="41" t="str">
        <f>IFERROR(IF(compras_mes13[[#This Row],[CUIT]]="","-",VLOOKUP(compras_mes13[[#This Row],[CUIT]],Lista_CUIT[#All],2,0)),"CUIT NO CARGADO")</f>
        <v>CENCOSUD S.A</v>
      </c>
      <c r="H38" s="42">
        <v>491.74</v>
      </c>
      <c r="I38" s="81">
        <v>7907.63</v>
      </c>
      <c r="J38" s="81"/>
      <c r="K38" s="81"/>
      <c r="L38" s="81">
        <v>1129.6500000000001</v>
      </c>
      <c r="M38" s="81"/>
      <c r="N38" s="81">
        <v>2543.6</v>
      </c>
      <c r="O38" s="81">
        <v>148.24</v>
      </c>
      <c r="P38" s="44">
        <f>SUM(compras_mes13[[#This Row],[NETO GRAVADO]:[Otros / No Grav.]])</f>
        <v>12220.86</v>
      </c>
      <c r="Q38" s="45" t="str">
        <f>IFERROR(IF(compras_mes13[[#This Row],[CUIT]]="","-",VLOOKUP(compras_mes13[[#This Row],[CUIT]],Lista_CUIT[#All],3,0)),"CUIT NO CARGADO")</f>
        <v>Gastos Varios</v>
      </c>
      <c r="R38" s="45">
        <f>IFERROR(IF(compras_mes13[[#This Row],[CUIT]]="","-",VLOOKUP(compras_mes13[[#This Row],[CUIT]],Lista_CUIT[#All],4,0)),"CUIT NO CARGADO")</f>
        <v>0</v>
      </c>
    </row>
    <row r="39" spans="2:18" x14ac:dyDescent="0.3">
      <c r="B39" s="36">
        <v>44627</v>
      </c>
      <c r="C39" s="37">
        <v>1</v>
      </c>
      <c r="D39" s="38">
        <v>1</v>
      </c>
      <c r="E39" s="39">
        <v>52</v>
      </c>
      <c r="F39" s="40">
        <v>20077604627</v>
      </c>
      <c r="G39" s="41" t="str">
        <f>IFERROR(IF(compras_mes13[[#This Row],[CUIT]]="","-",VLOOKUP(compras_mes13[[#This Row],[CUIT]],Lista_CUIT[#All],2,0)),"CUIT NO CARGADO")</f>
        <v>OCAÑO ENRIQUE</v>
      </c>
      <c r="H39" s="42">
        <v>104887.2</v>
      </c>
      <c r="I39" s="81">
        <f>IF(compras_mes13[[#This Row],[NETO GRAVADO]]="","",compras_mes13[[#This Row],[NETO GRAVADO]]*0.21)</f>
        <v>22026.311999999998</v>
      </c>
      <c r="J39" s="81"/>
      <c r="K39" s="81"/>
      <c r="L39" s="81"/>
      <c r="M39" s="81"/>
      <c r="N39" s="81"/>
      <c r="O39" s="81">
        <v>550.33000000000004</v>
      </c>
      <c r="P39" s="44">
        <f>SUM(compras_mes13[[#This Row],[NETO GRAVADO]:[Otros / No Grav.]])</f>
        <v>127463.84199999999</v>
      </c>
      <c r="Q39" s="45" t="str">
        <f>IFERROR(IF(compras_mes13[[#This Row],[CUIT]]="","-",VLOOKUP(compras_mes13[[#This Row],[CUIT]],Lista_CUIT[#All],3,0)),"CUIT NO CARGADO")</f>
        <v>Mercaderia</v>
      </c>
      <c r="R39" s="45">
        <f>IFERROR(IF(compras_mes13[[#This Row],[CUIT]]="","-",VLOOKUP(compras_mes13[[#This Row],[CUIT]],Lista_CUIT[#All],4,0)),"CUIT NO CARGADO")</f>
        <v>0</v>
      </c>
    </row>
    <row r="40" spans="2:18" x14ac:dyDescent="0.3">
      <c r="B40" s="36">
        <v>44631</v>
      </c>
      <c r="C40" s="37">
        <v>1</v>
      </c>
      <c r="D40" s="38">
        <v>1313</v>
      </c>
      <c r="E40" s="39">
        <v>573</v>
      </c>
      <c r="F40" s="40">
        <v>30639057999</v>
      </c>
      <c r="G40" s="41" t="str">
        <f>IFERROR(IF(compras_mes13[[#This Row],[CUIT]]="","-",VLOOKUP(compras_mes13[[#This Row],[CUIT]],Lista_CUIT[#All],2,0)),"CUIT NO CARGADO")</f>
        <v>LA  OPTICA  S.A.</v>
      </c>
      <c r="H40" s="42">
        <v>13328.93</v>
      </c>
      <c r="I40" s="81">
        <f>IF(compras_mes13[[#This Row],[NETO GRAVADO]]="","",compras_mes13[[#This Row],[NETO GRAVADO]]*0.21)</f>
        <v>2799.0753</v>
      </c>
      <c r="J40" s="81"/>
      <c r="K40" s="81"/>
      <c r="L40" s="81"/>
      <c r="M40" s="81"/>
      <c r="N40" s="81"/>
      <c r="O40" s="42">
        <v>917.1</v>
      </c>
      <c r="P40" s="44">
        <f>SUM(compras_mes13[[#This Row],[NETO GRAVADO]:[Otros / No Grav.]])</f>
        <v>17045.105299999999</v>
      </c>
      <c r="Q40" s="45" t="str">
        <f>IFERROR(IF(compras_mes13[[#This Row],[CUIT]]="","-",VLOOKUP(compras_mes13[[#This Row],[CUIT]],Lista_CUIT[#All],3,0)),"CUIT NO CARGADO")</f>
        <v>Gastos Varios</v>
      </c>
      <c r="R40" s="45" t="str">
        <f>IFERROR(IF(compras_mes13[[#This Row],[CUIT]]="","-",VLOOKUP(compras_mes13[[#This Row],[CUIT]],Lista_CUIT[#All],4,0)),"CUIT NO CARGADO")</f>
        <v>CABA</v>
      </c>
    </row>
    <row r="41" spans="2:18" x14ac:dyDescent="0.3">
      <c r="B41" s="36">
        <v>44644</v>
      </c>
      <c r="C41" s="37">
        <v>1</v>
      </c>
      <c r="D41" s="38">
        <v>8</v>
      </c>
      <c r="E41" s="39">
        <v>1530</v>
      </c>
      <c r="F41" s="40">
        <v>30712450327</v>
      </c>
      <c r="G41" s="41" t="str">
        <f>IFERROR(IF(compras_mes13[[#This Row],[CUIT]]="","-",VLOOKUP(compras_mes13[[#This Row],[CUIT]],Lista_CUIT[#All],2,0)),"CUIT NO CARGADO")</f>
        <v>MANDOLA  HERMANOS  S.A.</v>
      </c>
      <c r="H41" s="42">
        <v>9058.01</v>
      </c>
      <c r="I41" s="81">
        <f>IF(compras_mes13[[#This Row],[NETO GRAVADO]]="","",compras_mes13[[#This Row],[NETO GRAVADO]]*0.21)</f>
        <v>1902.1821</v>
      </c>
      <c r="J41" s="81"/>
      <c r="K41" s="81"/>
      <c r="L41" s="81"/>
      <c r="M41" s="81"/>
      <c r="N41" s="81"/>
      <c r="O41" s="42">
        <v>1042.49</v>
      </c>
      <c r="P41" s="44">
        <f>SUM(compras_mes13[[#This Row],[NETO GRAVADO]:[Otros / No Grav.]])</f>
        <v>12002.6821</v>
      </c>
      <c r="Q41" s="45" t="str">
        <f>IFERROR(IF(compras_mes13[[#This Row],[CUIT]]="","-",VLOOKUP(compras_mes13[[#This Row],[CUIT]],Lista_CUIT[#All],3,0)),"CUIT NO CARGADO")</f>
        <v>Combustible</v>
      </c>
      <c r="R41" s="45">
        <f>IFERROR(IF(compras_mes13[[#This Row],[CUIT]]="","-",VLOOKUP(compras_mes13[[#This Row],[CUIT]],Lista_CUIT[#All],4,0)),"CUIT NO CARGADO")</f>
        <v>0</v>
      </c>
    </row>
    <row r="42" spans="2:18" x14ac:dyDescent="0.3">
      <c r="B42" s="36">
        <v>44630</v>
      </c>
      <c r="C42" s="37">
        <v>1</v>
      </c>
      <c r="D42" s="38">
        <v>6364</v>
      </c>
      <c r="E42" s="39">
        <v>5906592</v>
      </c>
      <c r="F42" s="40">
        <v>30639453738</v>
      </c>
      <c r="G42" s="41" t="str">
        <f>IFERROR(IF(compras_mes13[[#This Row],[CUIT]]="","-",VLOOKUP(compras_mes13[[#This Row],[CUIT]],Lista_CUIT[#All],2,0)),"CUIT NO CARGADO")</f>
        <v>TELECOM ARG SA</v>
      </c>
      <c r="H42" s="42">
        <v>31773.15</v>
      </c>
      <c r="I42" s="81">
        <f>IF(compras_mes13[[#This Row],[NETO GRAVADO]]="","",compras_mes13[[#This Row],[NETO GRAVADO]]*0.21)</f>
        <v>6672.3615</v>
      </c>
      <c r="J42" s="81"/>
      <c r="K42" s="81"/>
      <c r="L42" s="81"/>
      <c r="M42" s="81"/>
      <c r="N42" s="81"/>
      <c r="O42" s="81">
        <v>1790</v>
      </c>
      <c r="P42" s="44">
        <f>SUM(compras_mes13[[#This Row],[NETO GRAVADO]:[Otros / No Grav.]])</f>
        <v>40235.511500000001</v>
      </c>
      <c r="Q42" s="45" t="str">
        <f>IFERROR(IF(compras_mes13[[#This Row],[CUIT]]="","-",VLOOKUP(compras_mes13[[#This Row],[CUIT]],Lista_CUIT[#All],3,0)),"CUIT NO CARGADO")</f>
        <v>Servicios Gas, Luz, etc.</v>
      </c>
      <c r="R42" s="45">
        <f>IFERROR(IF(compras_mes13[[#This Row],[CUIT]]="","-",VLOOKUP(compras_mes13[[#This Row],[CUIT]],Lista_CUIT[#All],4,0)),"CUIT NO CARGADO")</f>
        <v>0</v>
      </c>
    </row>
    <row r="43" spans="2:18" x14ac:dyDescent="0.3">
      <c r="B43" s="36">
        <v>44605</v>
      </c>
      <c r="C43" s="37">
        <v>1</v>
      </c>
      <c r="D43" s="38">
        <v>10</v>
      </c>
      <c r="E43" s="39">
        <v>37737</v>
      </c>
      <c r="F43" s="40">
        <v>20130138005</v>
      </c>
      <c r="G43" s="41" t="str">
        <f>IFERROR(IF(compras_mes13[[#This Row],[CUIT]]="","-",VLOOKUP(compras_mes13[[#This Row],[CUIT]],Lista_CUIT[#All],2,0)),"CUIT NO CARGADO")</f>
        <v>YPF  KM  296</v>
      </c>
      <c r="H43" s="42">
        <v>3849.16</v>
      </c>
      <c r="I43" s="81">
        <f>IF(compras_mes13[[#This Row],[NETO GRAVADO]]="","",compras_mes13[[#This Row],[NETO GRAVADO]]*0.21)</f>
        <v>808.32359999999994</v>
      </c>
      <c r="J43" s="81"/>
      <c r="K43" s="81"/>
      <c r="L43" s="81"/>
      <c r="M43" s="81"/>
      <c r="N43" s="81"/>
      <c r="O43" s="42">
        <v>1860.8</v>
      </c>
      <c r="P43" s="44">
        <f>SUM(compras_mes13[[#This Row],[NETO GRAVADO]:[Otros / No Grav.]])</f>
        <v>6518.2835999999998</v>
      </c>
      <c r="Q43" s="45" t="str">
        <f>IFERROR(IF(compras_mes13[[#This Row],[CUIT]]="","-",VLOOKUP(compras_mes13[[#This Row],[CUIT]],Lista_CUIT[#All],3,0)),"CUIT NO CARGADO")</f>
        <v>Combustible</v>
      </c>
      <c r="R43" s="45">
        <f>IFERROR(IF(compras_mes13[[#This Row],[CUIT]]="","-",VLOOKUP(compras_mes13[[#This Row],[CUIT]],Lista_CUIT[#All],4,0)),"CUIT NO CARGADO")</f>
        <v>0</v>
      </c>
    </row>
    <row r="44" spans="2:18" x14ac:dyDescent="0.3">
      <c r="B44" s="36">
        <v>44623</v>
      </c>
      <c r="C44" s="37">
        <v>1</v>
      </c>
      <c r="D44" s="38">
        <v>1</v>
      </c>
      <c r="E44" s="39">
        <v>51</v>
      </c>
      <c r="F44" s="40">
        <v>20077604627</v>
      </c>
      <c r="G44" s="41" t="str">
        <f>IFERROR(IF(compras_mes13[[#This Row],[CUIT]]="","-",VLOOKUP(compras_mes13[[#This Row],[CUIT]],Lista_CUIT[#All],2,0)),"CUIT NO CARGADO")</f>
        <v>OCAÑO ENRIQUE</v>
      </c>
      <c r="H44" s="42">
        <v>85816.8</v>
      </c>
      <c r="I44" s="81">
        <f>IF(compras_mes13[[#This Row],[NETO GRAVADO]]="","",compras_mes13[[#This Row],[NETO GRAVADO]]*0.21)</f>
        <v>18021.527999999998</v>
      </c>
      <c r="J44" s="81"/>
      <c r="K44" s="81"/>
      <c r="L44" s="81"/>
      <c r="M44" s="81"/>
      <c r="N44" s="81"/>
      <c r="O44" s="81">
        <v>1885.16</v>
      </c>
      <c r="P44" s="44">
        <f>SUM(compras_mes13[[#This Row],[NETO GRAVADO]:[Otros / No Grav.]])</f>
        <v>105723.48800000001</v>
      </c>
      <c r="Q44" s="45" t="str">
        <f>IFERROR(IF(compras_mes13[[#This Row],[CUIT]]="","-",VLOOKUP(compras_mes13[[#This Row],[CUIT]],Lista_CUIT[#All],3,0)),"CUIT NO CARGADO")</f>
        <v>Mercaderia</v>
      </c>
      <c r="R44" s="45">
        <f>IFERROR(IF(compras_mes13[[#This Row],[CUIT]]="","-",VLOOKUP(compras_mes13[[#This Row],[CUIT]],Lista_CUIT[#All],4,0)),"CUIT NO CARGADO")</f>
        <v>0</v>
      </c>
    </row>
    <row r="45" spans="2:18" x14ac:dyDescent="0.3">
      <c r="B45" s="36">
        <v>44636</v>
      </c>
      <c r="C45" s="37">
        <v>1</v>
      </c>
      <c r="D45" s="38">
        <v>5</v>
      </c>
      <c r="E45" s="39">
        <v>37</v>
      </c>
      <c r="F45" s="40">
        <v>30707949550</v>
      </c>
      <c r="G45" s="41" t="str">
        <f>IFERROR(IF(compras_mes13[[#This Row],[CUIT]]="","-",VLOOKUP(compras_mes13[[#This Row],[CUIT]],Lista_CUIT[#All],2,0)),"CUIT NO CARGADO")</f>
        <v>LNG  GAS  S.A.</v>
      </c>
      <c r="H45" s="42">
        <v>7302.44</v>
      </c>
      <c r="I45" s="81">
        <f>IF(compras_mes13[[#This Row],[NETO GRAVADO]]="","",compras_mes13[[#This Row],[NETO GRAVADO]]*0.21)</f>
        <v>1533.5123999999998</v>
      </c>
      <c r="J45" s="81"/>
      <c r="K45" s="81"/>
      <c r="L45" s="81"/>
      <c r="M45" s="81"/>
      <c r="N45" s="81"/>
      <c r="O45" s="42">
        <v>3600.37</v>
      </c>
      <c r="P45" s="44">
        <f>SUM(compras_mes13[[#This Row],[NETO GRAVADO]:[Otros / No Grav.]])</f>
        <v>12436.322400000001</v>
      </c>
      <c r="Q45" s="45" t="str">
        <f>IFERROR(IF(compras_mes13[[#This Row],[CUIT]]="","-",VLOOKUP(compras_mes13[[#This Row],[CUIT]],Lista_CUIT[#All],3,0)),"CUIT NO CARGADO")</f>
        <v>Combustible</v>
      </c>
      <c r="R45" s="45" t="str">
        <f>IFERROR(IF(compras_mes13[[#This Row],[CUIT]]="","-",VLOOKUP(compras_mes13[[#This Row],[CUIT]],Lista_CUIT[#All],4,0)),"CUIT NO CARGADO")</f>
        <v>BS AS</v>
      </c>
    </row>
    <row r="46" spans="2:18" x14ac:dyDescent="0.3">
      <c r="B46" s="36">
        <v>44648</v>
      </c>
      <c r="C46" s="37">
        <v>1</v>
      </c>
      <c r="D46" s="38">
        <v>2</v>
      </c>
      <c r="E46" s="39">
        <v>3023</v>
      </c>
      <c r="F46" s="40">
        <v>30629863571</v>
      </c>
      <c r="G46" s="41" t="str">
        <f>IFERROR(IF(compras_mes13[[#This Row],[CUIT]]="","-",VLOOKUP(compras_mes13[[#This Row],[CUIT]],Lista_CUIT[#All],2,0)),"CUIT NO CARGADO")</f>
        <v>TECNIMAR S R L</v>
      </c>
      <c r="H46" s="42">
        <v>98333.66</v>
      </c>
      <c r="I46" s="81">
        <f>IF(compras_mes13[[#This Row],[NETO GRAVADO]]="","",compras_mes13[[#This Row],[NETO GRAVADO]]*0.21)</f>
        <v>20650.068599999999</v>
      </c>
      <c r="J46" s="81"/>
      <c r="K46" s="81"/>
      <c r="L46" s="81"/>
      <c r="M46" s="81"/>
      <c r="N46" s="81"/>
      <c r="O46" s="81">
        <v>5476.19</v>
      </c>
      <c r="P46" s="44">
        <f>SUM(compras_mes13[[#This Row],[NETO GRAVADO]:[Otros / No Grav.]])</f>
        <v>124459.9186</v>
      </c>
      <c r="Q46" s="45" t="str">
        <f>IFERROR(IF(compras_mes13[[#This Row],[CUIT]]="","-",VLOOKUP(compras_mes13[[#This Row],[CUIT]],Lista_CUIT[#All],3,0)),"CUIT NO CARGADO")</f>
        <v>Mercaderia</v>
      </c>
      <c r="R46" s="45">
        <f>IFERROR(IF(compras_mes13[[#This Row],[CUIT]]="","-",VLOOKUP(compras_mes13[[#This Row],[CUIT]],Lista_CUIT[#All],4,0)),"CUIT NO CARGADO")</f>
        <v>0</v>
      </c>
    </row>
    <row r="47" spans="2:18" x14ac:dyDescent="0.3">
      <c r="B47" s="36">
        <v>44634</v>
      </c>
      <c r="C47" s="37">
        <v>1</v>
      </c>
      <c r="D47" s="38">
        <v>3</v>
      </c>
      <c r="E47" s="39">
        <v>5888</v>
      </c>
      <c r="F47" s="40">
        <v>30708006420</v>
      </c>
      <c r="G47" s="41" t="str">
        <f>IFERROR(IF(compras_mes13[[#This Row],[CUIT]]="","-",VLOOKUP(compras_mes13[[#This Row],[CUIT]],Lista_CUIT[#All],2,0)),"CUIT NO CARGADO")</f>
        <v>MEDILEA  S.A.</v>
      </c>
      <c r="H47" s="42">
        <v>153618</v>
      </c>
      <c r="I47" s="81">
        <f>IF(compras_mes13[[#This Row],[NETO GRAVADO]]="","",compras_mes13[[#This Row],[NETO GRAVADO]]*0.21)</f>
        <v>32259.78</v>
      </c>
      <c r="J47" s="81"/>
      <c r="K47" s="81"/>
      <c r="L47" s="81"/>
      <c r="M47" s="81"/>
      <c r="N47" s="81"/>
      <c r="O47" s="81">
        <v>5490.53</v>
      </c>
      <c r="P47" s="44">
        <f>SUM(compras_mes13[[#This Row],[NETO GRAVADO]:[Otros / No Grav.]])</f>
        <v>191368.31</v>
      </c>
      <c r="Q47" s="45" t="str">
        <f>IFERROR(IF(compras_mes13[[#This Row],[CUIT]]="","-",VLOOKUP(compras_mes13[[#This Row],[CUIT]],Lista_CUIT[#All],3,0)),"CUIT NO CARGADO")</f>
        <v>Mercaderia</v>
      </c>
      <c r="R47" s="45">
        <f>IFERROR(IF(compras_mes13[[#This Row],[CUIT]]="","-",VLOOKUP(compras_mes13[[#This Row],[CUIT]],Lista_CUIT[#All],4,0)),"CUIT NO CARGADO")</f>
        <v>0</v>
      </c>
    </row>
    <row r="48" spans="2:18" x14ac:dyDescent="0.3">
      <c r="B48" s="36">
        <v>44631</v>
      </c>
      <c r="C48" s="37">
        <v>1</v>
      </c>
      <c r="D48" s="38">
        <v>2</v>
      </c>
      <c r="E48" s="39">
        <v>3008</v>
      </c>
      <c r="F48" s="40">
        <v>30629863571</v>
      </c>
      <c r="G48" s="41" t="str">
        <f>IFERROR(IF(compras_mes13[[#This Row],[CUIT]]="","-",VLOOKUP(compras_mes13[[#This Row],[CUIT]],Lista_CUIT[#All],2,0)),"CUIT NO CARGADO")</f>
        <v>TECNIMAR S R L</v>
      </c>
      <c r="H48" s="42">
        <v>72405.2</v>
      </c>
      <c r="I48" s="81">
        <f>IF(compras_mes13[[#This Row],[NETO GRAVADO]]="","",compras_mes13[[#This Row],[NETO GRAVADO]]*0.21)</f>
        <v>15205.091999999999</v>
      </c>
      <c r="J48" s="81"/>
      <c r="K48" s="81"/>
      <c r="L48" s="81"/>
      <c r="M48" s="81"/>
      <c r="N48" s="81"/>
      <c r="O48" s="81">
        <v>6258.69</v>
      </c>
      <c r="P48" s="44">
        <f>SUM(compras_mes13[[#This Row],[NETO GRAVADO]:[Otros / No Grav.]])</f>
        <v>93868.982000000004</v>
      </c>
      <c r="Q48" s="45" t="str">
        <f>IFERROR(IF(compras_mes13[[#This Row],[CUIT]]="","-",VLOOKUP(compras_mes13[[#This Row],[CUIT]],Lista_CUIT[#All],3,0)),"CUIT NO CARGADO")</f>
        <v>Mercaderia</v>
      </c>
      <c r="R48" s="45">
        <f>IFERROR(IF(compras_mes13[[#This Row],[CUIT]]="","-",VLOOKUP(compras_mes13[[#This Row],[CUIT]],Lista_CUIT[#All],4,0)),"CUIT NO CARGADO")</f>
        <v>0</v>
      </c>
    </row>
    <row r="49" spans="2:18" x14ac:dyDescent="0.3">
      <c r="B49" s="36">
        <v>44646</v>
      </c>
      <c r="C49" s="37">
        <v>1</v>
      </c>
      <c r="D49" s="38">
        <v>7</v>
      </c>
      <c r="E49" s="39">
        <v>58443</v>
      </c>
      <c r="F49" s="40">
        <v>30696131003</v>
      </c>
      <c r="G49" s="41" t="str">
        <f>IFERROR(IF(compras_mes13[[#This Row],[CUIT]]="","-",VLOOKUP(compras_mes13[[#This Row],[CUIT]],Lista_CUIT[#All],2,0)),"CUIT NO CARGADO")</f>
        <v>PETROLFE  S.A.</v>
      </c>
      <c r="H49" s="42">
        <v>20589.169999999998</v>
      </c>
      <c r="I49" s="81">
        <f>IF(compras_mes13[[#This Row],[NETO GRAVADO]]="","",compras_mes13[[#This Row],[NETO GRAVADO]]*0.21)</f>
        <v>4323.7256999999991</v>
      </c>
      <c r="J49" s="81"/>
      <c r="K49" s="81"/>
      <c r="L49" s="81"/>
      <c r="M49" s="81"/>
      <c r="N49" s="81"/>
      <c r="O49" s="42">
        <v>8265.14</v>
      </c>
      <c r="P49" s="44">
        <f>SUM(compras_mes13[[#This Row],[NETO GRAVADO]:[Otros / No Grav.]])</f>
        <v>33178.035699999993</v>
      </c>
      <c r="Q49" s="45" t="str">
        <f>IFERROR(IF(compras_mes13[[#This Row],[CUIT]]="","-",VLOOKUP(compras_mes13[[#This Row],[CUIT]],Lista_CUIT[#All],3,0)),"CUIT NO CARGADO")</f>
        <v>Combustible</v>
      </c>
      <c r="R49" s="45">
        <f>IFERROR(IF(compras_mes13[[#This Row],[CUIT]]="","-",VLOOKUP(compras_mes13[[#This Row],[CUIT]],Lista_CUIT[#All],4,0)),"CUIT NO CARGADO")</f>
        <v>0</v>
      </c>
    </row>
    <row r="50" spans="2:18" x14ac:dyDescent="0.3">
      <c r="B50" s="36">
        <v>44623</v>
      </c>
      <c r="C50" s="37">
        <v>1</v>
      </c>
      <c r="D50" s="38">
        <v>1</v>
      </c>
      <c r="E50" s="39">
        <v>15833</v>
      </c>
      <c r="F50" s="40">
        <v>20173025557</v>
      </c>
      <c r="G50" s="41" t="str">
        <f>IFERROR(IF(compras_mes13[[#This Row],[CUIT]]="","-",VLOOKUP(compras_mes13[[#This Row],[CUIT]],Lista_CUIT[#All],2,0)),"CUIT NO CARGADO")</f>
        <v>MARAUDA HECTOR</v>
      </c>
      <c r="H50" s="42">
        <v>991.74</v>
      </c>
      <c r="I50" s="81">
        <f>IF(compras_mes13[[#This Row],[NETO GRAVADO]]="","",compras_mes13[[#This Row],[NETO GRAVADO]]*0.21)</f>
        <v>208.2654</v>
      </c>
      <c r="J50" s="81"/>
      <c r="K50" s="81"/>
      <c r="L50" s="81"/>
      <c r="M50" s="81"/>
      <c r="N50" s="81"/>
      <c r="O50" s="42">
        <v>132000</v>
      </c>
      <c r="P50" s="44">
        <f>SUM(compras_mes13[[#This Row],[NETO GRAVADO]:[Otros / No Grav.]])</f>
        <v>133200.00539999999</v>
      </c>
      <c r="Q50" s="45" t="str">
        <f>IFERROR(IF(compras_mes13[[#This Row],[CUIT]]="","-",VLOOKUP(compras_mes13[[#This Row],[CUIT]],Lista_CUIT[#All],3,0)),"CUIT NO CARGADO")</f>
        <v>Gastos Varios</v>
      </c>
      <c r="R50" s="45">
        <f>IFERROR(IF(compras_mes13[[#This Row],[CUIT]]="","-",VLOOKUP(compras_mes13[[#This Row],[CUIT]],Lista_CUIT[#All],4,0)),"CUIT NO CARGADO")</f>
        <v>0</v>
      </c>
    </row>
    <row r="51" spans="2:18" x14ac:dyDescent="0.3">
      <c r="B51" s="36">
        <v>44637</v>
      </c>
      <c r="C51" s="37">
        <v>1</v>
      </c>
      <c r="D51" s="38">
        <v>1</v>
      </c>
      <c r="E51" s="39">
        <v>86784</v>
      </c>
      <c r="F51" s="40">
        <v>30716620634</v>
      </c>
      <c r="G51" s="41" t="str">
        <f>IFERROR(IF(compras_mes13[[#This Row],[CUIT]]="","-",VLOOKUP(compras_mes13[[#This Row],[CUIT]],Lista_CUIT[#All],2,0)),"CUIT NO CARGADO")</f>
        <v>FIRST  LABEL  S.R.L.</v>
      </c>
      <c r="H51" s="42">
        <v>37189.26</v>
      </c>
      <c r="I51" s="81">
        <f>IF(compras_mes13[[#This Row],[NETO GRAVADO]]="","",compras_mes13[[#This Row],[NETO GRAVADO]]*0.21)</f>
        <v>7809.7446</v>
      </c>
      <c r="J51" s="81"/>
      <c r="K51" s="81"/>
      <c r="L51" s="81"/>
      <c r="M51" s="81"/>
      <c r="N51" s="81"/>
      <c r="O51" s="81">
        <v>132000</v>
      </c>
      <c r="P51" s="44">
        <f>SUM(compras_mes13[[#This Row],[NETO GRAVADO]:[Otros / No Grav.]])</f>
        <v>176999.00459999999</v>
      </c>
      <c r="Q51" s="45" t="str">
        <f>IFERROR(IF(compras_mes13[[#This Row],[CUIT]]="","-",VLOOKUP(compras_mes13[[#This Row],[CUIT]],Lista_CUIT[#All],3,0)),"CUIT NO CARGADO")</f>
        <v>Gtos Comercializacion</v>
      </c>
      <c r="R51" s="45" t="str">
        <f>IFERROR(IF(compras_mes13[[#This Row],[CUIT]]="","-",VLOOKUP(compras_mes13[[#This Row],[CUIT]],Lista_CUIT[#All],4,0)),"CUIT NO CARGADO")</f>
        <v>CABA</v>
      </c>
    </row>
    <row r="52" spans="2:18" x14ac:dyDescent="0.3">
      <c r="B52" s="36">
        <v>44637</v>
      </c>
      <c r="C52" s="37">
        <v>1</v>
      </c>
      <c r="D52" s="38">
        <v>6</v>
      </c>
      <c r="E52" s="39">
        <v>1971</v>
      </c>
      <c r="F52" s="40">
        <v>30574603788</v>
      </c>
      <c r="G52" s="41" t="str">
        <f>IFERROR(IF(compras_mes13[[#This Row],[CUIT]]="","-",VLOOKUP(compras_mes13[[#This Row],[CUIT]],Lista_CUIT[#All],2,0)),"CUIT NO CARGADO")</f>
        <v>Codac SRL</v>
      </c>
      <c r="H52" s="42">
        <v>65954</v>
      </c>
      <c r="I52" s="81">
        <f>IF(compras_mes13[[#This Row],[NETO GRAVADO]]="","",compras_mes13[[#This Row],[NETO GRAVADO]]*0.21)</f>
        <v>13850.34</v>
      </c>
      <c r="J52" s="81"/>
      <c r="K52" s="81"/>
      <c r="L52" s="81"/>
      <c r="M52" s="81"/>
      <c r="N52" s="81"/>
      <c r="O52" s="81">
        <v>140835</v>
      </c>
      <c r="P52" s="44">
        <f>SUM(compras_mes13[[#This Row],[NETO GRAVADO]:[Otros / No Grav.]])</f>
        <v>220639.34</v>
      </c>
      <c r="Q52" s="45" t="str">
        <f>IFERROR(IF(compras_mes13[[#This Row],[CUIT]]="","-",VLOOKUP(compras_mes13[[#This Row],[CUIT]],Lista_CUIT[#All],3,0)),"CUIT NO CARGADO")</f>
        <v>Mercaderia</v>
      </c>
      <c r="R52" s="45">
        <f>IFERROR(IF(compras_mes13[[#This Row],[CUIT]]="","-",VLOOKUP(compras_mes13[[#This Row],[CUIT]],Lista_CUIT[#All],4,0)),"CUIT NO CARGADO")</f>
        <v>0</v>
      </c>
    </row>
    <row r="53" spans="2:18" x14ac:dyDescent="0.3">
      <c r="B53" s="36">
        <v>44631</v>
      </c>
      <c r="C53" s="37">
        <v>1</v>
      </c>
      <c r="D53" s="38">
        <v>3</v>
      </c>
      <c r="E53" s="39">
        <v>6709</v>
      </c>
      <c r="F53" s="40">
        <v>30679163317</v>
      </c>
      <c r="G53" s="41" t="str">
        <f>IFERROR(IF(compras_mes13[[#This Row],[CUIT]]="","-",VLOOKUP(compras_mes13[[#This Row],[CUIT]],Lista_CUIT[#All],2,0)),"CUIT NO CARGADO")</f>
        <v>RANKO SRL</v>
      </c>
      <c r="H53" s="42">
        <v>7952.98</v>
      </c>
      <c r="I53" s="81">
        <f>IF(compras_mes13[[#This Row],[NETO GRAVADO]]="","",compras_mes13[[#This Row],[NETO GRAVADO]]*0.21)</f>
        <v>1670.1257999999998</v>
      </c>
      <c r="J53" s="81"/>
      <c r="K53" s="81"/>
      <c r="L53" s="81"/>
      <c r="M53" s="81"/>
      <c r="N53" s="81"/>
      <c r="O53" s="42">
        <v>215276.29</v>
      </c>
      <c r="P53" s="44">
        <f>SUM(compras_mes13[[#This Row],[NETO GRAVADO]:[Otros / No Grav.]])</f>
        <v>224899.3958</v>
      </c>
      <c r="Q53" s="45" t="str">
        <f>IFERROR(IF(compras_mes13[[#This Row],[CUIT]]="","-",VLOOKUP(compras_mes13[[#This Row],[CUIT]],Lista_CUIT[#All],3,0)),"CUIT NO CARGADO")</f>
        <v>Gastos Varios</v>
      </c>
      <c r="R53" s="45">
        <f>IFERROR(IF(compras_mes13[[#This Row],[CUIT]]="","-",VLOOKUP(compras_mes13[[#This Row],[CUIT]],Lista_CUIT[#All],4,0)),"CUIT NO CARGADO")</f>
        <v>0</v>
      </c>
    </row>
    <row r="54" spans="2:18" x14ac:dyDescent="0.3">
      <c r="B54" s="36">
        <v>44622</v>
      </c>
      <c r="C54" s="37">
        <v>1</v>
      </c>
      <c r="D54" s="38">
        <v>1</v>
      </c>
      <c r="E54" s="39">
        <v>224</v>
      </c>
      <c r="F54" s="40">
        <v>20131206144</v>
      </c>
      <c r="G54" s="41" t="str">
        <f>IFERROR(IF(compras_mes13[[#This Row],[CUIT]]="","-",VLOOKUP(compras_mes13[[#This Row],[CUIT]],Lista_CUIT[#All],2,0)),"CUIT NO CARGADO")</f>
        <v>CHAMORRO MANUEL</v>
      </c>
      <c r="H54" s="42">
        <v>18000</v>
      </c>
      <c r="I54" s="81">
        <f>IF(compras_mes13[[#This Row],[NETO GRAVADO]]="","",compras_mes13[[#This Row],[NETO GRAVADO]]*0.21)</f>
        <v>3780</v>
      </c>
      <c r="J54" s="81"/>
      <c r="K54" s="81"/>
      <c r="L54" s="81"/>
      <c r="M54" s="81"/>
      <c r="N54" s="81"/>
      <c r="O54" s="42"/>
      <c r="P54" s="44">
        <f>SUM(compras_mes13[[#This Row],[NETO GRAVADO]:[Otros / No Grav.]])</f>
        <v>21780</v>
      </c>
      <c r="Q54" s="45" t="str">
        <f>IFERROR(IF(compras_mes13[[#This Row],[CUIT]]="","-",VLOOKUP(compras_mes13[[#This Row],[CUIT]],Lista_CUIT[#All],3,0)),"CUIT NO CARGADO")</f>
        <v>Alquiler</v>
      </c>
      <c r="R54" s="45">
        <f>IFERROR(IF(compras_mes13[[#This Row],[CUIT]]="","-",VLOOKUP(compras_mes13[[#This Row],[CUIT]],Lista_CUIT[#All],4,0)),"CUIT NO CARGADO")</f>
        <v>0</v>
      </c>
    </row>
    <row r="55" spans="2:18" x14ac:dyDescent="0.3">
      <c r="B55" s="36">
        <v>44627</v>
      </c>
      <c r="C55" s="37">
        <v>1</v>
      </c>
      <c r="D55" s="38">
        <v>1</v>
      </c>
      <c r="E55" s="39">
        <v>31</v>
      </c>
      <c r="F55" s="40">
        <v>30716010313</v>
      </c>
      <c r="G55" s="41" t="str">
        <f>IFERROR(IF(compras_mes13[[#This Row],[CUIT]]="","-",VLOOKUP(compras_mes13[[#This Row],[CUIT]],Lista_CUIT[#All],2,0)),"CUIT NO CARGADO")</f>
        <v>H UNO 1469 S.A.</v>
      </c>
      <c r="H55" s="42">
        <v>32000</v>
      </c>
      <c r="I55" s="81">
        <f>IF(compras_mes13[[#This Row],[NETO GRAVADO]]="","",compras_mes13[[#This Row],[NETO GRAVADO]]*0.21)</f>
        <v>6720</v>
      </c>
      <c r="J55" s="81"/>
      <c r="K55" s="81"/>
      <c r="L55" s="81"/>
      <c r="M55" s="81"/>
      <c r="N55" s="81"/>
      <c r="O55" s="42"/>
      <c r="P55" s="44">
        <f>SUM(compras_mes13[[#This Row],[NETO GRAVADO]:[Otros / No Grav.]])</f>
        <v>38720</v>
      </c>
      <c r="Q55" s="45" t="str">
        <f>IFERROR(IF(compras_mes13[[#This Row],[CUIT]]="","-",VLOOKUP(compras_mes13[[#This Row],[CUIT]],Lista_CUIT[#All],3,0)),"CUIT NO CARGADO")</f>
        <v>Alquiler</v>
      </c>
      <c r="R55" s="45">
        <f>IFERROR(IF(compras_mes13[[#This Row],[CUIT]]="","-",VLOOKUP(compras_mes13[[#This Row],[CUIT]],Lista_CUIT[#All],4,0)),"CUIT NO CARGADO")</f>
        <v>0</v>
      </c>
    </row>
    <row r="56" spans="2:18" x14ac:dyDescent="0.3">
      <c r="B56" s="36">
        <v>44645</v>
      </c>
      <c r="C56" s="37">
        <v>1</v>
      </c>
      <c r="D56" s="38">
        <v>6</v>
      </c>
      <c r="E56" s="39">
        <v>39881</v>
      </c>
      <c r="F56" s="40">
        <v>30568459500</v>
      </c>
      <c r="G56" s="41" t="str">
        <f>IFERROR(IF(compras_mes13[[#This Row],[CUIT]]="","-",VLOOKUP(compras_mes13[[#This Row],[CUIT]],Lista_CUIT[#All],2,0)),"CUIT NO CARGADO")</f>
        <v>KUKE  S.R.L.</v>
      </c>
      <c r="H56" s="42">
        <v>2024.55</v>
      </c>
      <c r="I56" s="81">
        <f>IF(compras_mes13[[#This Row],[NETO GRAVADO]]="","",compras_mes13[[#This Row],[NETO GRAVADO]]*0.21)</f>
        <v>425.15549999999996</v>
      </c>
      <c r="J56" s="81"/>
      <c r="K56" s="81"/>
      <c r="L56" s="81"/>
      <c r="M56" s="81"/>
      <c r="N56" s="81"/>
      <c r="O56" s="42"/>
      <c r="P56" s="44">
        <f>SUM(compras_mes13[[#This Row],[NETO GRAVADO]:[Otros / No Grav.]])</f>
        <v>2449.7055</v>
      </c>
      <c r="Q56" s="45" t="str">
        <f>IFERROR(IF(compras_mes13[[#This Row],[CUIT]]="","-",VLOOKUP(compras_mes13[[#This Row],[CUIT]],Lista_CUIT[#All],3,0)),"CUIT NO CARGADO")</f>
        <v>Combustible</v>
      </c>
      <c r="R56" s="45">
        <f>IFERROR(IF(compras_mes13[[#This Row],[CUIT]]="","-",VLOOKUP(compras_mes13[[#This Row],[CUIT]],Lista_CUIT[#All],4,0)),"CUIT NO CARGADO")</f>
        <v>0</v>
      </c>
    </row>
    <row r="57" spans="2:18" x14ac:dyDescent="0.3">
      <c r="B57" s="36">
        <v>44621</v>
      </c>
      <c r="C57" s="37">
        <v>1</v>
      </c>
      <c r="D57" s="38">
        <v>266</v>
      </c>
      <c r="E57" s="39">
        <v>4981</v>
      </c>
      <c r="F57" s="40">
        <v>30572365391</v>
      </c>
      <c r="G57" s="41" t="str">
        <f>IFERROR(IF(compras_mes13[[#This Row],[CUIT]]="","-",VLOOKUP(compras_mes13[[#This Row],[CUIT]],Lista_CUIT[#All],2,0)),"CUIT NO CARGADO")</f>
        <v>PETROVALLE  S.A.</v>
      </c>
      <c r="H57" s="42">
        <v>6974.72</v>
      </c>
      <c r="I57" s="81">
        <f>IF(compras_mes13[[#This Row],[NETO GRAVADO]]="","",compras_mes13[[#This Row],[NETO GRAVADO]]*0.21)</f>
        <v>1464.6912</v>
      </c>
      <c r="J57" s="81"/>
      <c r="K57" s="81"/>
      <c r="L57" s="81"/>
      <c r="M57" s="81"/>
      <c r="N57" s="81"/>
      <c r="O57" s="42"/>
      <c r="P57" s="44">
        <f>SUM(compras_mes13[[#This Row],[NETO GRAVADO]:[Otros / No Grav.]])</f>
        <v>8439.4112000000005</v>
      </c>
      <c r="Q57" s="45" t="str">
        <f>IFERROR(IF(compras_mes13[[#This Row],[CUIT]]="","-",VLOOKUP(compras_mes13[[#This Row],[CUIT]],Lista_CUIT[#All],3,0)),"CUIT NO CARGADO")</f>
        <v>Combustible</v>
      </c>
      <c r="R57" s="45">
        <f>IFERROR(IF(compras_mes13[[#This Row],[CUIT]]="","-",VLOOKUP(compras_mes13[[#This Row],[CUIT]],Lista_CUIT[#All],4,0)),"CUIT NO CARGADO")</f>
        <v>0</v>
      </c>
    </row>
    <row r="58" spans="2:18" x14ac:dyDescent="0.3">
      <c r="B58" s="36">
        <v>44624</v>
      </c>
      <c r="C58" s="37">
        <v>1</v>
      </c>
      <c r="D58" s="38">
        <v>7</v>
      </c>
      <c r="E58" s="39">
        <v>22974</v>
      </c>
      <c r="F58" s="40">
        <v>30709781428</v>
      </c>
      <c r="G58" s="41" t="str">
        <f>IFERROR(IF(compras_mes13[[#This Row],[CUIT]]="","-",VLOOKUP(compras_mes13[[#This Row],[CUIT]],Lista_CUIT[#All],2,0)),"CUIT NO CARGADO")</f>
        <v>DUAL  TIGRE  S.A.</v>
      </c>
      <c r="H58" s="42">
        <v>389.8</v>
      </c>
      <c r="I58" s="81">
        <f>IF(compras_mes13[[#This Row],[NETO GRAVADO]]="","",compras_mes13[[#This Row],[NETO GRAVADO]]*0.21)</f>
        <v>81.858000000000004</v>
      </c>
      <c r="J58" s="81"/>
      <c r="K58" s="81"/>
      <c r="L58" s="81">
        <v>206.69</v>
      </c>
      <c r="M58" s="81"/>
      <c r="N58" s="81"/>
      <c r="O58" s="42"/>
      <c r="P58" s="44">
        <f>SUM(compras_mes13[[#This Row],[NETO GRAVADO]:[Otros / No Grav.]])</f>
        <v>678.34799999999996</v>
      </c>
      <c r="Q58" s="45" t="str">
        <f>IFERROR(IF(compras_mes13[[#This Row],[CUIT]]="","-",VLOOKUP(compras_mes13[[#This Row],[CUIT]],Lista_CUIT[#All],3,0)),"CUIT NO CARGADO")</f>
        <v>Combustible</v>
      </c>
      <c r="R58" s="45">
        <f>IFERROR(IF(compras_mes13[[#This Row],[CUIT]]="","-",VLOOKUP(compras_mes13[[#This Row],[CUIT]],Lista_CUIT[#All],4,0)),"CUIT NO CARGADO")</f>
        <v>0</v>
      </c>
    </row>
    <row r="59" spans="2:18" x14ac:dyDescent="0.3">
      <c r="B59" s="36">
        <v>44650</v>
      </c>
      <c r="C59" s="37">
        <v>1</v>
      </c>
      <c r="D59" s="38">
        <v>5140</v>
      </c>
      <c r="E59" s="39">
        <v>497</v>
      </c>
      <c r="F59" s="40">
        <v>30695542476</v>
      </c>
      <c r="G59" s="41" t="str">
        <f>IFERROR(IF(compras_mes13[[#This Row],[CUIT]]="","-",VLOOKUP(compras_mes13[[#This Row],[CUIT]],Lista_CUIT[#All],2,0)),"CUIT NO CARGADO")</f>
        <v>PAN  AMERICAN  ENERGY  SL  S.AR</v>
      </c>
      <c r="H59" s="42">
        <v>1828.91</v>
      </c>
      <c r="I59" s="81">
        <f>IF(compras_mes13[[#This Row],[NETO GRAVADO]]="","",compras_mes13[[#This Row],[NETO GRAVADO]]*0.21)</f>
        <v>384.0711</v>
      </c>
      <c r="J59" s="81"/>
      <c r="K59" s="81"/>
      <c r="L59" s="81"/>
      <c r="M59" s="81"/>
      <c r="N59" s="81"/>
      <c r="O59" s="42"/>
      <c r="P59" s="44">
        <f>SUM(compras_mes13[[#This Row],[NETO GRAVADO]:[Otros / No Grav.]])</f>
        <v>2212.9811</v>
      </c>
      <c r="Q59" s="45" t="str">
        <f>IFERROR(IF(compras_mes13[[#This Row],[CUIT]]="","-",VLOOKUP(compras_mes13[[#This Row],[CUIT]],Lista_CUIT[#All],3,0)),"CUIT NO CARGADO")</f>
        <v>Combustible</v>
      </c>
      <c r="R59" s="45">
        <f>IFERROR(IF(compras_mes13[[#This Row],[CUIT]]="","-",VLOOKUP(compras_mes13[[#This Row],[CUIT]],Lista_CUIT[#All],4,0)),"CUIT NO CARGADO")</f>
        <v>0</v>
      </c>
    </row>
    <row r="60" spans="2:18" x14ac:dyDescent="0.3">
      <c r="B60" s="36">
        <v>44651</v>
      </c>
      <c r="C60" s="37">
        <v>1</v>
      </c>
      <c r="D60" s="38">
        <v>19</v>
      </c>
      <c r="E60" s="39">
        <v>2906</v>
      </c>
      <c r="F60" s="40">
        <v>30515800219</v>
      </c>
      <c r="G60" s="41" t="str">
        <f>IFERROR(IF(compras_mes13[[#This Row],[CUIT]]="","-",VLOOKUP(compras_mes13[[#This Row],[CUIT]],Lista_CUIT[#All],2,0)),"CUIT NO CARGADO")</f>
        <v>INCAT SRL</v>
      </c>
      <c r="H60" s="42">
        <v>19797.919999999998</v>
      </c>
      <c r="I60" s="81">
        <f>IF(compras_mes13[[#This Row],[NETO GRAVADO]]="","",compras_mes13[[#This Row],[NETO GRAVADO]]*0.21)</f>
        <v>4157.5631999999996</v>
      </c>
      <c r="J60" s="81"/>
      <c r="K60" s="81"/>
      <c r="L60" s="81"/>
      <c r="M60" s="81"/>
      <c r="N60" s="81"/>
      <c r="O60" s="42"/>
      <c r="P60" s="44">
        <f>SUM(compras_mes13[[#This Row],[NETO GRAVADO]:[Otros / No Grav.]])</f>
        <v>23955.483199999999</v>
      </c>
      <c r="Q60" s="45" t="str">
        <f>IFERROR(IF(compras_mes13[[#This Row],[CUIT]]="","-",VLOOKUP(compras_mes13[[#This Row],[CUIT]],Lista_CUIT[#All],3,0)),"CUIT NO CARGADO")</f>
        <v>Combustible</v>
      </c>
      <c r="R60" s="45">
        <f>IFERROR(IF(compras_mes13[[#This Row],[CUIT]]="","-",VLOOKUP(compras_mes13[[#This Row],[CUIT]],Lista_CUIT[#All],4,0)),"CUIT NO CARGADO")</f>
        <v>0</v>
      </c>
    </row>
    <row r="61" spans="2:18" x14ac:dyDescent="0.3">
      <c r="B61" s="36">
        <v>44651</v>
      </c>
      <c r="C61" s="37">
        <v>1</v>
      </c>
      <c r="D61" s="38">
        <v>7136</v>
      </c>
      <c r="E61" s="39">
        <v>1938</v>
      </c>
      <c r="F61" s="40">
        <v>30678774495</v>
      </c>
      <c r="G61" s="41" t="str">
        <f>IFERROR(IF(compras_mes13[[#This Row],[CUIT]]="","-",VLOOKUP(compras_mes13[[#This Row],[CUIT]],Lista_CUIT[#All],2,0)),"CUIT NO CARGADO")</f>
        <v>OPER. DE EST. DE SERV. SA</v>
      </c>
      <c r="H61" s="42">
        <v>12996.8</v>
      </c>
      <c r="I61" s="81">
        <f>IF(compras_mes13[[#This Row],[NETO GRAVADO]]="","",compras_mes13[[#This Row],[NETO GRAVADO]]*0.21)</f>
        <v>2729.3279999999995</v>
      </c>
      <c r="J61" s="81"/>
      <c r="K61" s="81"/>
      <c r="L61" s="81"/>
      <c r="M61" s="81"/>
      <c r="N61" s="81"/>
      <c r="O61" s="42"/>
      <c r="P61" s="44">
        <f>SUM(compras_mes13[[#This Row],[NETO GRAVADO]:[Otros / No Grav.]])</f>
        <v>15726.127999999999</v>
      </c>
      <c r="Q61" s="45" t="str">
        <f>IFERROR(IF(compras_mes13[[#This Row],[CUIT]]="","-",VLOOKUP(compras_mes13[[#This Row],[CUIT]],Lista_CUIT[#All],3,0)),"CUIT NO CARGADO")</f>
        <v>Combustible</v>
      </c>
      <c r="R61" s="45">
        <f>IFERROR(IF(compras_mes13[[#This Row],[CUIT]]="","-",VLOOKUP(compras_mes13[[#This Row],[CUIT]],Lista_CUIT[#All],4,0)),"CUIT NO CARGADO")</f>
        <v>0</v>
      </c>
    </row>
    <row r="62" spans="2:18" x14ac:dyDescent="0.3">
      <c r="B62" s="36">
        <v>44651</v>
      </c>
      <c r="C62" s="37">
        <v>1</v>
      </c>
      <c r="D62" s="38">
        <v>2</v>
      </c>
      <c r="E62" s="39">
        <v>1282</v>
      </c>
      <c r="F62" s="40">
        <v>30717110052</v>
      </c>
      <c r="G62" s="41" t="str">
        <f>IFERROR(IF(compras_mes13[[#This Row],[CUIT]]="","-",VLOOKUP(compras_mes13[[#This Row],[CUIT]],Lista_CUIT[#All],2,0)),"CUIT NO CARGADO")</f>
        <v>TAP SERVICES S.A</v>
      </c>
      <c r="H62" s="42">
        <v>96.73</v>
      </c>
      <c r="I62" s="81">
        <f>IF(compras_mes13[[#This Row],[NETO GRAVADO]]="","",compras_mes13[[#This Row],[NETO GRAVADO]]*0.21)</f>
        <v>20.313300000000002</v>
      </c>
      <c r="J62" s="81"/>
      <c r="K62" s="81"/>
      <c r="L62" s="81"/>
      <c r="M62" s="81"/>
      <c r="N62" s="81"/>
      <c r="O62" s="42"/>
      <c r="P62" s="44">
        <f>SUM(compras_mes13[[#This Row],[NETO GRAVADO]:[Otros / No Grav.]])</f>
        <v>117.0433</v>
      </c>
      <c r="Q62" s="45" t="str">
        <f>IFERROR(IF(compras_mes13[[#This Row],[CUIT]]="","-",VLOOKUP(compras_mes13[[#This Row],[CUIT]],Lista_CUIT[#All],3,0)),"CUIT NO CARGADO")</f>
        <v>Comida</v>
      </c>
      <c r="R62" s="45">
        <f>IFERROR(IF(compras_mes13[[#This Row],[CUIT]]="","-",VLOOKUP(compras_mes13[[#This Row],[CUIT]],Lista_CUIT[#All],4,0)),"CUIT NO CARGADO")</f>
        <v>0</v>
      </c>
    </row>
    <row r="63" spans="2:18" x14ac:dyDescent="0.3">
      <c r="B63" s="36">
        <v>44646</v>
      </c>
      <c r="C63" s="37">
        <v>1</v>
      </c>
      <c r="D63" s="38">
        <v>6</v>
      </c>
      <c r="E63" s="39">
        <v>1661</v>
      </c>
      <c r="F63" s="40">
        <v>20134664518</v>
      </c>
      <c r="G63" s="41" t="str">
        <f>IFERROR(IF(compras_mes13[[#This Row],[CUIT]]="","-",VLOOKUP(compras_mes13[[#This Row],[CUIT]],Lista_CUIT[#All],2,0)),"CUIT NO CARGADO")</f>
        <v>HOKAMA SERGIO ENRIQUE</v>
      </c>
      <c r="H63" s="42">
        <v>15320.29</v>
      </c>
      <c r="I63" s="81">
        <f>IF(compras_mes13[[#This Row],[NETO GRAVADO]]="","",compras_mes13[[#This Row],[NETO GRAVADO]]*0.21)</f>
        <v>3217.2609000000002</v>
      </c>
      <c r="J63" s="81"/>
      <c r="K63" s="81"/>
      <c r="L63" s="81"/>
      <c r="M63" s="81">
        <v>1160.33</v>
      </c>
      <c r="N63" s="81"/>
      <c r="O63" s="42"/>
      <c r="P63" s="44">
        <f>SUM(compras_mes13[[#This Row],[NETO GRAVADO]:[Otros / No Grav.]])</f>
        <v>19697.880900000004</v>
      </c>
      <c r="Q63" s="45" t="str">
        <f>IFERROR(IF(compras_mes13[[#This Row],[CUIT]]="","-",VLOOKUP(compras_mes13[[#This Row],[CUIT]],Lista_CUIT[#All],3,0)),"CUIT NO CARGADO")</f>
        <v>Comida-Limpieza</v>
      </c>
      <c r="R63" s="45">
        <f>IFERROR(IF(compras_mes13[[#This Row],[CUIT]]="","-",VLOOKUP(compras_mes13[[#This Row],[CUIT]],Lista_CUIT[#All],4,0)),"CUIT NO CARGADO")</f>
        <v>0</v>
      </c>
    </row>
    <row r="64" spans="2:18" x14ac:dyDescent="0.3">
      <c r="B64" s="36">
        <v>44648</v>
      </c>
      <c r="C64" s="37">
        <v>1</v>
      </c>
      <c r="D64" s="38">
        <v>7</v>
      </c>
      <c r="E64" s="39">
        <v>22443440</v>
      </c>
      <c r="F64" s="40">
        <v>30574816870</v>
      </c>
      <c r="G64" s="41" t="str">
        <f>IFERROR(IF(compras_mes13[[#This Row],[CUIT]]="","-",VLOOKUP(compras_mes13[[#This Row],[CUIT]],Lista_CUIT[#All],2,0)),"CUIT NO CARGADO")</f>
        <v>AMERICAN  EXPRES  S.A.</v>
      </c>
      <c r="H64" s="42">
        <v>8904.16</v>
      </c>
      <c r="I64" s="81">
        <f>IF(compras_mes13[[#This Row],[NETO GRAVADO]]="","",compras_mes13[[#This Row],[NETO GRAVADO]]*0.21)</f>
        <v>1869.8735999999999</v>
      </c>
      <c r="J64" s="81"/>
      <c r="K64" s="81"/>
      <c r="L64" s="81"/>
      <c r="M64" s="81"/>
      <c r="N64" s="81"/>
      <c r="O64" s="42"/>
      <c r="P64" s="44">
        <f>SUM(compras_mes13[[#This Row],[NETO GRAVADO]:[Otros / No Grav.]])</f>
        <v>10774.033599999999</v>
      </c>
      <c r="Q64" s="45" t="str">
        <f>IFERROR(IF(compras_mes13[[#This Row],[CUIT]]="","-",VLOOKUP(compras_mes13[[#This Row],[CUIT]],Lista_CUIT[#All],3,0)),"CUIT NO CARGADO")</f>
        <v>Comisiones Bancarias</v>
      </c>
      <c r="R64" s="45">
        <f>IFERROR(IF(compras_mes13[[#This Row],[CUIT]]="","-",VLOOKUP(compras_mes13[[#This Row],[CUIT]],Lista_CUIT[#All],4,0)),"CUIT NO CARGADO")</f>
        <v>0</v>
      </c>
    </row>
    <row r="65" spans="2:18" x14ac:dyDescent="0.3">
      <c r="B65" s="36">
        <v>44650</v>
      </c>
      <c r="C65" s="37">
        <v>1</v>
      </c>
      <c r="D65" s="38">
        <v>1</v>
      </c>
      <c r="E65" s="39">
        <v>97339008</v>
      </c>
      <c r="F65" s="40">
        <v>30500003193</v>
      </c>
      <c r="G65" s="41" t="str">
        <f>IFERROR(IF(compras_mes13[[#This Row],[CUIT]]="","-",VLOOKUP(compras_mes13[[#This Row],[CUIT]],Lista_CUIT[#All],2,0)),"CUIT NO CARGADO")</f>
        <v>BBVA  FRANCES</v>
      </c>
      <c r="H65" s="42">
        <v>1597.31</v>
      </c>
      <c r="I65" s="81">
        <f>IF(compras_mes13[[#This Row],[NETO GRAVADO]]="","",compras_mes13[[#This Row],[NETO GRAVADO]]*0.21)</f>
        <v>335.43509999999998</v>
      </c>
      <c r="J65" s="81"/>
      <c r="K65" s="81"/>
      <c r="L65" s="81"/>
      <c r="M65" s="81"/>
      <c r="N65" s="81"/>
      <c r="O65" s="42"/>
      <c r="P65" s="44">
        <f>SUM(compras_mes13[[#This Row],[NETO GRAVADO]:[Otros / No Grav.]])</f>
        <v>1932.7450999999999</v>
      </c>
      <c r="Q65" s="45" t="str">
        <f>IFERROR(IF(compras_mes13[[#This Row],[CUIT]]="","-",VLOOKUP(compras_mes13[[#This Row],[CUIT]],Lista_CUIT[#All],3,0)),"CUIT NO CARGADO")</f>
        <v>Comisiones Bancarias</v>
      </c>
      <c r="R65" s="45">
        <f>IFERROR(IF(compras_mes13[[#This Row],[CUIT]]="","-",VLOOKUP(compras_mes13[[#This Row],[CUIT]],Lista_CUIT[#All],4,0)),"CUIT NO CARGADO")</f>
        <v>0</v>
      </c>
    </row>
    <row r="66" spans="2:18" x14ac:dyDescent="0.3">
      <c r="B66" s="36">
        <v>44646</v>
      </c>
      <c r="C66" s="37">
        <v>1</v>
      </c>
      <c r="D66" s="38">
        <v>2</v>
      </c>
      <c r="E66" s="39">
        <v>2022</v>
      </c>
      <c r="F66" s="40">
        <v>30707826890</v>
      </c>
      <c r="G66" s="41" t="str">
        <f>IFERROR(IF(compras_mes13[[#This Row],[CUIT]]="","-",VLOOKUP(compras_mes13[[#This Row],[CUIT]],Lista_CUIT[#All],2,0)),"CUIT NO CARGADO")</f>
        <v>JUVIALE  S.R.L.</v>
      </c>
      <c r="H66" s="42">
        <v>0</v>
      </c>
      <c r="I66" s="81">
        <f>IF(compras_mes13[[#This Row],[NETO GRAVADO]]="","",compras_mes13[[#This Row],[NETO GRAVADO]]*0.21)</f>
        <v>0</v>
      </c>
      <c r="J66" s="81"/>
      <c r="K66" s="81"/>
      <c r="L66" s="81"/>
      <c r="M66" s="81"/>
      <c r="N66" s="81"/>
      <c r="O66" s="42"/>
      <c r="P66" s="44">
        <f>SUM(compras_mes13[[#This Row],[NETO GRAVADO]:[Otros / No Grav.]])</f>
        <v>0</v>
      </c>
      <c r="Q66" s="45" t="str">
        <f>IFERROR(IF(compras_mes13[[#This Row],[CUIT]]="","-",VLOOKUP(compras_mes13[[#This Row],[CUIT]],Lista_CUIT[#All],3,0)),"CUIT NO CARGADO")</f>
        <v>EXPENSAS</v>
      </c>
      <c r="R66" s="45">
        <f>IFERROR(IF(compras_mes13[[#This Row],[CUIT]]="","-",VLOOKUP(compras_mes13[[#This Row],[CUIT]],Lista_CUIT[#All],4,0)),"CUIT NO CARGADO")</f>
        <v>0</v>
      </c>
    </row>
    <row r="67" spans="2:18" x14ac:dyDescent="0.3">
      <c r="B67" s="36">
        <v>44636</v>
      </c>
      <c r="C67" s="37">
        <v>1</v>
      </c>
      <c r="D67" s="38">
        <v>5</v>
      </c>
      <c r="E67" s="39">
        <v>14079</v>
      </c>
      <c r="F67" s="40">
        <v>30715342983</v>
      </c>
      <c r="G67" s="41" t="str">
        <f>IFERROR(IF(compras_mes13[[#This Row],[CUIT]]="","-",VLOOKUP(compras_mes13[[#This Row],[CUIT]],Lista_CUIT[#All],2,0)),"CUIT NO CARGADO")</f>
        <v>INSUMOS  INDUSTRIALES BULFER</v>
      </c>
      <c r="H67" s="42">
        <v>14461.98</v>
      </c>
      <c r="I67" s="81">
        <f>IF(compras_mes13[[#This Row],[NETO GRAVADO]]="","",compras_mes13[[#This Row],[NETO GRAVADO]]*0.21)</f>
        <v>3037.0157999999997</v>
      </c>
      <c r="J67" s="81"/>
      <c r="K67" s="81"/>
      <c r="L67" s="81"/>
      <c r="M67" s="81"/>
      <c r="N67" s="81"/>
      <c r="O67" s="42"/>
      <c r="P67" s="44">
        <f>SUM(compras_mes13[[#This Row],[NETO GRAVADO]:[Otros / No Grav.]])</f>
        <v>17498.995800000001</v>
      </c>
      <c r="Q67" s="45" t="str">
        <f>IFERROR(IF(compras_mes13[[#This Row],[CUIT]]="","-",VLOOKUP(compras_mes13[[#This Row],[CUIT]],Lista_CUIT[#All],3,0)),"CUIT NO CARGADO")</f>
        <v>Ferreteria</v>
      </c>
      <c r="R67" s="45" t="str">
        <f>IFERROR(IF(compras_mes13[[#This Row],[CUIT]]="","-",VLOOKUP(compras_mes13[[#This Row],[CUIT]],Lista_CUIT[#All],4,0)),"CUIT NO CARGADO")</f>
        <v>BS AS</v>
      </c>
    </row>
    <row r="68" spans="2:18" x14ac:dyDescent="0.3">
      <c r="B68" s="36">
        <v>44648</v>
      </c>
      <c r="C68" s="37">
        <v>1</v>
      </c>
      <c r="D68" s="38">
        <v>6</v>
      </c>
      <c r="E68" s="39">
        <v>2281</v>
      </c>
      <c r="F68" s="40">
        <v>20117862578</v>
      </c>
      <c r="G68" s="41" t="str">
        <f>IFERROR(IF(compras_mes13[[#This Row],[CUIT]]="","-",VLOOKUP(compras_mes13[[#This Row],[CUIT]],Lista_CUIT[#All],2,0)),"CUIT NO CARGADO")</f>
        <v>PORCO VICTOR ALBERTO</v>
      </c>
      <c r="H68" s="42">
        <v>3305.92</v>
      </c>
      <c r="I68" s="81">
        <v>3426.57</v>
      </c>
      <c r="J68" s="81"/>
      <c r="K68" s="81"/>
      <c r="L68" s="81"/>
      <c r="M68" s="81"/>
      <c r="N68" s="81"/>
      <c r="O68" s="42"/>
      <c r="P68" s="44">
        <f>SUM(compras_mes13[[#This Row],[NETO GRAVADO]:[Otros / No Grav.]])</f>
        <v>6732.49</v>
      </c>
      <c r="Q68" s="45" t="str">
        <f>IFERROR(IF(compras_mes13[[#This Row],[CUIT]]="","-",VLOOKUP(compras_mes13[[#This Row],[CUIT]],Lista_CUIT[#All],3,0)),"CUIT NO CARGADO")</f>
        <v>Ferreteria</v>
      </c>
      <c r="R68" s="45">
        <f>IFERROR(IF(compras_mes13[[#This Row],[CUIT]]="","-",VLOOKUP(compras_mes13[[#This Row],[CUIT]],Lista_CUIT[#All],4,0)),"CUIT NO CARGADO")</f>
        <v>0</v>
      </c>
    </row>
    <row r="69" spans="2:18" x14ac:dyDescent="0.3">
      <c r="B69" s="36">
        <v>44636</v>
      </c>
      <c r="C69" s="37">
        <v>1</v>
      </c>
      <c r="D69" s="38">
        <v>3</v>
      </c>
      <c r="E69" s="39">
        <v>2649</v>
      </c>
      <c r="F69" s="40">
        <v>30682116028</v>
      </c>
      <c r="G69" s="41" t="str">
        <f>IFERROR(IF(compras_mes13[[#This Row],[CUIT]]="","-",VLOOKUP(compras_mes13[[#This Row],[CUIT]],Lista_CUIT[#All],2,0)),"CUIT NO CARGADO")</f>
        <v>BLUE  STAR  CARGO  SRL</v>
      </c>
      <c r="H69" s="42">
        <v>69177.5</v>
      </c>
      <c r="I69" s="81">
        <v>583.91</v>
      </c>
      <c r="J69" s="81"/>
      <c r="K69" s="81"/>
      <c r="L69" s="81"/>
      <c r="M69" s="81"/>
      <c r="N69" s="81"/>
      <c r="O69" s="42"/>
      <c r="P69" s="44">
        <f>SUM(compras_mes13[[#This Row],[NETO GRAVADO]:[Otros / No Grav.]])</f>
        <v>69761.41</v>
      </c>
      <c r="Q69" s="45" t="str">
        <f>IFERROR(IF(compras_mes13[[#This Row],[CUIT]]="","-",VLOOKUP(compras_mes13[[#This Row],[CUIT]],Lista_CUIT[#All],3,0)),"CUIT NO CARGADO")</f>
        <v>Flete-Logistica</v>
      </c>
      <c r="R69" s="45">
        <f>IFERROR(IF(compras_mes13[[#This Row],[CUIT]]="","-",VLOOKUP(compras_mes13[[#This Row],[CUIT]],Lista_CUIT[#All],4,0)),"CUIT NO CARGADO")</f>
        <v>0</v>
      </c>
    </row>
    <row r="70" spans="2:18" x14ac:dyDescent="0.3">
      <c r="B70" s="36">
        <v>44637</v>
      </c>
      <c r="C70" s="37">
        <v>1</v>
      </c>
      <c r="D70" s="38">
        <v>6130</v>
      </c>
      <c r="E70" s="39">
        <v>1328</v>
      </c>
      <c r="F70" s="40">
        <v>33707675069</v>
      </c>
      <c r="G70" s="41" t="str">
        <f>IFERROR(IF(compras_mes13[[#This Row],[CUIT]]="","-",VLOOKUP(compras_mes13[[#This Row],[CUIT]],Lista_CUIT[#All],2,0)),"CUIT NO CARGADO")</f>
        <v xml:space="preserve">BUS  PACK  S.A.     </v>
      </c>
      <c r="H70" s="42">
        <v>942.56</v>
      </c>
      <c r="I70" s="81">
        <f>IF(compras_mes13[[#This Row],[NETO GRAVADO]]="","",compras_mes13[[#This Row],[NETO GRAVADO]]*0.21)</f>
        <v>197.93759999999997</v>
      </c>
      <c r="J70" s="81"/>
      <c r="K70" s="81"/>
      <c r="L70" s="81"/>
      <c r="M70" s="81"/>
      <c r="N70" s="81"/>
      <c r="O70" s="42"/>
      <c r="P70" s="44">
        <f>SUM(compras_mes13[[#This Row],[NETO GRAVADO]:[Otros / No Grav.]])</f>
        <v>1140.4975999999999</v>
      </c>
      <c r="Q70" s="45" t="str">
        <f>IFERROR(IF(compras_mes13[[#This Row],[CUIT]]="","-",VLOOKUP(compras_mes13[[#This Row],[CUIT]],Lista_CUIT[#All],3,0)),"CUIT NO CARGADO")</f>
        <v>Flete-Logistica</v>
      </c>
      <c r="R70" s="45">
        <f>IFERROR(IF(compras_mes13[[#This Row],[CUIT]]="","-",VLOOKUP(compras_mes13[[#This Row],[CUIT]],Lista_CUIT[#All],4,0)),"CUIT NO CARGADO")</f>
        <v>0</v>
      </c>
    </row>
    <row r="71" spans="2:18" x14ac:dyDescent="0.3">
      <c r="B71" s="36">
        <v>44639</v>
      </c>
      <c r="C71" s="37">
        <v>1</v>
      </c>
      <c r="D71" s="38">
        <v>331</v>
      </c>
      <c r="E71" s="39">
        <v>372572</v>
      </c>
      <c r="F71" s="40">
        <v>30579939008</v>
      </c>
      <c r="G71" s="41" t="str">
        <f>IFERROR(IF(compras_mes13[[#This Row],[CUIT]]="","-",VLOOKUP(compras_mes13[[#This Row],[CUIT]],Lista_CUIT[#All],2,0)),"CUIT NO CARGADO")</f>
        <v>TRANSPORTES  LA  SEVILLANITA</v>
      </c>
      <c r="H71" s="42">
        <v>10368.61</v>
      </c>
      <c r="I71" s="81">
        <f>IF(compras_mes13[[#This Row],[NETO GRAVADO]]="","",compras_mes13[[#This Row],[NETO GRAVADO]]*0.21)</f>
        <v>2177.4081000000001</v>
      </c>
      <c r="J71" s="81"/>
      <c r="K71" s="81"/>
      <c r="L71" s="81"/>
      <c r="M71" s="81"/>
      <c r="N71" s="81"/>
      <c r="O71" s="42"/>
      <c r="P71" s="44">
        <f>SUM(compras_mes13[[#This Row],[NETO GRAVADO]:[Otros / No Grav.]])</f>
        <v>12546.018100000001</v>
      </c>
      <c r="Q71" s="45" t="str">
        <f>IFERROR(IF(compras_mes13[[#This Row],[CUIT]]="","-",VLOOKUP(compras_mes13[[#This Row],[CUIT]],Lista_CUIT[#All],3,0)),"CUIT NO CARGADO")</f>
        <v>Flete-Logistica</v>
      </c>
      <c r="R71" s="45">
        <f>IFERROR(IF(compras_mes13[[#This Row],[CUIT]]="","-",VLOOKUP(compras_mes13[[#This Row],[CUIT]],Lista_CUIT[#All],4,0)),"CUIT NO CARGADO")</f>
        <v>0</v>
      </c>
    </row>
    <row r="72" spans="2:18" x14ac:dyDescent="0.3">
      <c r="B72" s="36">
        <v>44642</v>
      </c>
      <c r="C72" s="37">
        <v>1</v>
      </c>
      <c r="D72" s="38">
        <v>6331</v>
      </c>
      <c r="E72" s="39">
        <v>1356</v>
      </c>
      <c r="F72" s="40">
        <v>30643922157</v>
      </c>
      <c r="G72" s="41" t="str">
        <f>IFERROR(IF(compras_mes13[[#This Row],[CUIT]]="","-",VLOOKUP(compras_mes13[[#This Row],[CUIT]],Lista_CUIT[#All],2,0)),"CUIT NO CARGADO")</f>
        <v>VIA BARILOCHE SA</v>
      </c>
      <c r="H72" s="42">
        <v>851.24</v>
      </c>
      <c r="I72" s="81">
        <f>IF(compras_mes13[[#This Row],[NETO GRAVADO]]="","",compras_mes13[[#This Row],[NETO GRAVADO]]*0.21)</f>
        <v>178.7604</v>
      </c>
      <c r="J72" s="81"/>
      <c r="K72" s="81"/>
      <c r="L72" s="81"/>
      <c r="M72" s="81"/>
      <c r="N72" s="81"/>
      <c r="O72" s="42"/>
      <c r="P72" s="44">
        <f>SUM(compras_mes13[[#This Row],[NETO GRAVADO]:[Otros / No Grav.]])</f>
        <v>1030.0003999999999</v>
      </c>
      <c r="Q72" s="45" t="str">
        <f>IFERROR(IF(compras_mes13[[#This Row],[CUIT]]="","-",VLOOKUP(compras_mes13[[#This Row],[CUIT]],Lista_CUIT[#All],3,0)),"CUIT NO CARGADO")</f>
        <v>Flete-Logistica</v>
      </c>
      <c r="R72" s="45">
        <f>IFERROR(IF(compras_mes13[[#This Row],[CUIT]]="","-",VLOOKUP(compras_mes13[[#This Row],[CUIT]],Lista_CUIT[#All],4,0)),"CUIT NO CARGADO")</f>
        <v>0</v>
      </c>
    </row>
    <row r="73" spans="2:18" x14ac:dyDescent="0.3">
      <c r="B73" s="36">
        <v>44634</v>
      </c>
      <c r="C73" s="37">
        <v>1</v>
      </c>
      <c r="D73" s="38">
        <v>2</v>
      </c>
      <c r="E73" s="39">
        <v>7279</v>
      </c>
      <c r="F73" s="40">
        <v>30714284963</v>
      </c>
      <c r="G73" s="41" t="str">
        <f>IFERROR(IF(compras_mes13[[#This Row],[CUIT]]="","-",VLOOKUP(compras_mes13[[#This Row],[CUIT]],Lista_CUIT[#All],2,0)),"CUIT NO CARGADO")</f>
        <v>ENGYMAN SRL</v>
      </c>
      <c r="H73" s="42">
        <v>22370</v>
      </c>
      <c r="I73" s="81">
        <f>IF(compras_mes13[[#This Row],[NETO GRAVADO]]="","",compras_mes13[[#This Row],[NETO GRAVADO]]*0.21)</f>
        <v>4697.7</v>
      </c>
      <c r="J73" s="81"/>
      <c r="K73" s="81"/>
      <c r="L73" s="81"/>
      <c r="M73" s="81"/>
      <c r="N73" s="81"/>
      <c r="O73" s="42"/>
      <c r="P73" s="44">
        <f>SUM(compras_mes13[[#This Row],[NETO GRAVADO]:[Otros / No Grav.]])</f>
        <v>27067.7</v>
      </c>
      <c r="Q73" s="45" t="str">
        <f>IFERROR(IF(compras_mes13[[#This Row],[CUIT]]="","-",VLOOKUP(compras_mes13[[#This Row],[CUIT]],Lista_CUIT[#All],3,0)),"CUIT NO CARGADO")</f>
        <v xml:space="preserve">Gastos Mantenimiento </v>
      </c>
      <c r="R73" s="45">
        <f>IFERROR(IF(compras_mes13[[#This Row],[CUIT]]="","-",VLOOKUP(compras_mes13[[#This Row],[CUIT]],Lista_CUIT[#All],4,0)),"CUIT NO CARGADO")</f>
        <v>0</v>
      </c>
    </row>
    <row r="74" spans="2:18" x14ac:dyDescent="0.3">
      <c r="B74" s="36">
        <v>44634</v>
      </c>
      <c r="C74" s="37">
        <v>1</v>
      </c>
      <c r="D74" s="38">
        <v>2</v>
      </c>
      <c r="E74" s="39">
        <v>7281</v>
      </c>
      <c r="F74" s="40">
        <v>30714284963</v>
      </c>
      <c r="G74" s="41" t="str">
        <f>IFERROR(IF(compras_mes13[[#This Row],[CUIT]]="","-",VLOOKUP(compras_mes13[[#This Row],[CUIT]],Lista_CUIT[#All],2,0)),"CUIT NO CARGADO")</f>
        <v>ENGYMAN SRL</v>
      </c>
      <c r="H74" s="42">
        <v>700</v>
      </c>
      <c r="I74" s="81">
        <f>IF(compras_mes13[[#This Row],[NETO GRAVADO]]="","",compras_mes13[[#This Row],[NETO GRAVADO]]*0.21)</f>
        <v>147</v>
      </c>
      <c r="J74" s="81"/>
      <c r="K74" s="81"/>
      <c r="L74" s="81"/>
      <c r="M74" s="81"/>
      <c r="N74" s="81"/>
      <c r="O74" s="42"/>
      <c r="P74" s="44">
        <f>SUM(compras_mes13[[#This Row],[NETO GRAVADO]:[Otros / No Grav.]])</f>
        <v>847</v>
      </c>
      <c r="Q74" s="45" t="str">
        <f>IFERROR(IF(compras_mes13[[#This Row],[CUIT]]="","-",VLOOKUP(compras_mes13[[#This Row],[CUIT]],Lista_CUIT[#All],3,0)),"CUIT NO CARGADO")</f>
        <v xml:space="preserve">Gastos Mantenimiento </v>
      </c>
      <c r="R74" s="45">
        <f>IFERROR(IF(compras_mes13[[#This Row],[CUIT]]="","-",VLOOKUP(compras_mes13[[#This Row],[CUIT]],Lista_CUIT[#All],4,0)),"CUIT NO CARGADO")</f>
        <v>0</v>
      </c>
    </row>
    <row r="75" spans="2:18" x14ac:dyDescent="0.3">
      <c r="B75" s="36">
        <v>44651</v>
      </c>
      <c r="C75" s="37">
        <v>1</v>
      </c>
      <c r="D75" s="38">
        <v>6</v>
      </c>
      <c r="E75" s="39">
        <v>18333</v>
      </c>
      <c r="F75" s="40">
        <v>30709407895</v>
      </c>
      <c r="G75" s="41" t="str">
        <f>IFERROR(IF(compras_mes13[[#This Row],[CUIT]]="","-",VLOOKUP(compras_mes13[[#This Row],[CUIT]],Lista_CUIT[#All],2,0)),"CUIT NO CARGADO")</f>
        <v>SISTEMAS GAFF S.A.</v>
      </c>
      <c r="H75" s="42">
        <v>4694.55</v>
      </c>
      <c r="I75" s="81">
        <f>IF(compras_mes13[[#This Row],[NETO GRAVADO]]="","",compras_mes13[[#This Row],[NETO GRAVADO]]*0.21)</f>
        <v>985.85550000000001</v>
      </c>
      <c r="J75" s="81"/>
      <c r="K75" s="81"/>
      <c r="L75" s="81"/>
      <c r="M75" s="81"/>
      <c r="N75" s="81"/>
      <c r="O75" s="42"/>
      <c r="P75" s="44">
        <f>SUM(compras_mes13[[#This Row],[NETO GRAVADO]:[Otros / No Grav.]])</f>
        <v>5680.4054999999998</v>
      </c>
      <c r="Q75" s="45" t="str">
        <f>IFERROR(IF(compras_mes13[[#This Row],[CUIT]]="","-",VLOOKUP(compras_mes13[[#This Row],[CUIT]],Lista_CUIT[#All],3,0)),"CUIT NO CARGADO")</f>
        <v>Gastos Varios</v>
      </c>
      <c r="R75" s="45">
        <f>IFERROR(IF(compras_mes13[[#This Row],[CUIT]]="","-",VLOOKUP(compras_mes13[[#This Row],[CUIT]],Lista_CUIT[#All],4,0)),"CUIT NO CARGADO")</f>
        <v>0</v>
      </c>
    </row>
    <row r="76" spans="2:18" x14ac:dyDescent="0.3">
      <c r="B76" s="36">
        <v>44628</v>
      </c>
      <c r="C76" s="37">
        <v>1</v>
      </c>
      <c r="D76" s="38">
        <v>16</v>
      </c>
      <c r="E76" s="39">
        <v>60548</v>
      </c>
      <c r="F76" s="40">
        <v>30711050767</v>
      </c>
      <c r="G76" s="41" t="str">
        <f>IFERROR(IF(compras_mes13[[#This Row],[CUIT]]="","-",VLOOKUP(compras_mes13[[#This Row],[CUIT]],Lista_CUIT[#All],2,0)),"CUIT NO CARGADO")</f>
        <v>DIAMOND  SYSTEM  S.A.</v>
      </c>
      <c r="H76" s="42">
        <v>5561.09</v>
      </c>
      <c r="I76" s="81">
        <f>IF(compras_mes13[[#This Row],[NETO GRAVADO]]="","",compras_mes13[[#This Row],[NETO GRAVADO]]*0.21)</f>
        <v>1167.8289</v>
      </c>
      <c r="J76" s="81"/>
      <c r="K76" s="81"/>
      <c r="L76" s="81"/>
      <c r="M76" s="81"/>
      <c r="N76" s="81"/>
      <c r="O76" s="42"/>
      <c r="P76" s="44">
        <f>SUM(compras_mes13[[#This Row],[NETO GRAVADO]:[Otros / No Grav.]])</f>
        <v>6728.9189000000006</v>
      </c>
      <c r="Q76" s="45" t="str">
        <f>IFERROR(IF(compras_mes13[[#This Row],[CUIT]]="","-",VLOOKUP(compras_mes13[[#This Row],[CUIT]],Lista_CUIT[#All],3,0)),"CUIT NO CARGADO")</f>
        <v>Gastos Varios</v>
      </c>
      <c r="R76" s="45" t="str">
        <f>IFERROR(IF(compras_mes13[[#This Row],[CUIT]]="","-",VLOOKUP(compras_mes13[[#This Row],[CUIT]],Lista_CUIT[#All],4,0)),"CUIT NO CARGADO")</f>
        <v>BS AS</v>
      </c>
    </row>
    <row r="77" spans="2:18" x14ac:dyDescent="0.3">
      <c r="B77" s="36">
        <v>44637</v>
      </c>
      <c r="C77" s="37">
        <v>1</v>
      </c>
      <c r="D77" s="38">
        <v>12</v>
      </c>
      <c r="E77" s="39">
        <v>23901</v>
      </c>
      <c r="F77" s="40">
        <v>30708247770</v>
      </c>
      <c r="G77" s="41" t="str">
        <f>IFERROR(IF(compras_mes13[[#This Row],[CUIT]]="","-",VLOOKUP(compras_mes13[[#This Row],[CUIT]],Lista_CUIT[#All],2,0)),"CUIT NO CARGADO")</f>
        <v>DUFF SRL</v>
      </c>
      <c r="H77" s="42">
        <v>14271.07</v>
      </c>
      <c r="I77" s="81">
        <f>IF(compras_mes13[[#This Row],[NETO GRAVADO]]="","",compras_mes13[[#This Row],[NETO GRAVADO]]*0.21)</f>
        <v>2996.9247</v>
      </c>
      <c r="J77" s="81"/>
      <c r="K77" s="81"/>
      <c r="L77" s="81"/>
      <c r="M77" s="81"/>
      <c r="N77" s="81"/>
      <c r="O77" s="42"/>
      <c r="P77" s="44">
        <f>SUM(compras_mes13[[#This Row],[NETO GRAVADO]:[Otros / No Grav.]])</f>
        <v>17267.994699999999</v>
      </c>
      <c r="Q77" s="45" t="str">
        <f>IFERROR(IF(compras_mes13[[#This Row],[CUIT]]="","-",VLOOKUP(compras_mes13[[#This Row],[CUIT]],Lista_CUIT[#All],3,0)),"CUIT NO CARGADO")</f>
        <v>Gastos Varios</v>
      </c>
      <c r="R77" s="45" t="str">
        <f>IFERROR(IF(compras_mes13[[#This Row],[CUIT]]="","-",VLOOKUP(compras_mes13[[#This Row],[CUIT]],Lista_CUIT[#All],4,0)),"CUIT NO CARGADO")</f>
        <v>CABA</v>
      </c>
    </row>
    <row r="78" spans="2:18" x14ac:dyDescent="0.3">
      <c r="B78" s="36">
        <v>44642</v>
      </c>
      <c r="C78" s="37">
        <v>1</v>
      </c>
      <c r="D78" s="38">
        <v>5</v>
      </c>
      <c r="E78" s="39">
        <v>8670</v>
      </c>
      <c r="F78" s="40">
        <v>20936626549</v>
      </c>
      <c r="G78" s="41" t="str">
        <f>IFERROR(IF(compras_mes13[[#This Row],[CUIT]]="","-",VLOOKUP(compras_mes13[[#This Row],[CUIT]],Lista_CUIT[#All],2,0)),"CUIT NO CARGADO")</f>
        <v>TROTTA  SALVADOR</v>
      </c>
      <c r="H78" s="42">
        <v>892.56</v>
      </c>
      <c r="I78" s="81">
        <f>IF(compras_mes13[[#This Row],[NETO GRAVADO]]="","",compras_mes13[[#This Row],[NETO GRAVADO]]*0.21)</f>
        <v>187.43759999999997</v>
      </c>
      <c r="J78" s="81"/>
      <c r="K78" s="81"/>
      <c r="L78" s="81"/>
      <c r="M78" s="81"/>
      <c r="N78" s="81"/>
      <c r="O78" s="42"/>
      <c r="P78" s="44">
        <f>SUM(compras_mes13[[#This Row],[NETO GRAVADO]:[Otros / No Grav.]])</f>
        <v>1079.9975999999999</v>
      </c>
      <c r="Q78" s="45" t="str">
        <f>IFERROR(IF(compras_mes13[[#This Row],[CUIT]]="","-",VLOOKUP(compras_mes13[[#This Row],[CUIT]],Lista_CUIT[#All],3,0)),"CUIT NO CARGADO")</f>
        <v>Gastos Varios</v>
      </c>
      <c r="R78" s="45" t="str">
        <f>IFERROR(IF(compras_mes13[[#This Row],[CUIT]]="","-",VLOOKUP(compras_mes13[[#This Row],[CUIT]],Lista_CUIT[#All],4,0)),"CUIT NO CARGADO")</f>
        <v>BS AS</v>
      </c>
    </row>
    <row r="79" spans="2:18" x14ac:dyDescent="0.3">
      <c r="B79" s="36">
        <v>44642</v>
      </c>
      <c r="C79" s="37">
        <v>1</v>
      </c>
      <c r="D79" s="38">
        <v>2000</v>
      </c>
      <c r="E79" s="39">
        <v>4033</v>
      </c>
      <c r="F79" s="40">
        <v>20263507690</v>
      </c>
      <c r="G79" s="41" t="str">
        <f>IFERROR(IF(compras_mes13[[#This Row],[CUIT]]="","-",VLOOKUP(compras_mes13[[#This Row],[CUIT]],Lista_CUIT[#All],2,0)),"CUIT NO CARGADO")</f>
        <v>ROTONDO  MARCELO  ANDRES</v>
      </c>
      <c r="H79" s="42">
        <v>16684.599999999999</v>
      </c>
      <c r="I79" s="81">
        <f>IF(compras_mes13[[#This Row],[NETO GRAVADO]]="","",compras_mes13[[#This Row],[NETO GRAVADO]]*0.21)</f>
        <v>3503.7659999999996</v>
      </c>
      <c r="J79" s="81"/>
      <c r="K79" s="81"/>
      <c r="L79" s="81"/>
      <c r="M79" s="81"/>
      <c r="N79" s="81"/>
      <c r="O79" s="42"/>
      <c r="P79" s="44">
        <f>SUM(compras_mes13[[#This Row],[NETO GRAVADO]:[Otros / No Grav.]])</f>
        <v>20188.365999999998</v>
      </c>
      <c r="Q79" s="45" t="str">
        <f>IFERROR(IF(compras_mes13[[#This Row],[CUIT]]="","-",VLOOKUP(compras_mes13[[#This Row],[CUIT]],Lista_CUIT[#All],3,0)),"CUIT NO CARGADO")</f>
        <v>Gastos Varios</v>
      </c>
      <c r="R79" s="45" t="str">
        <f>IFERROR(IF(compras_mes13[[#This Row],[CUIT]]="","-",VLOOKUP(compras_mes13[[#This Row],[CUIT]],Lista_CUIT[#All],4,0)),"CUIT NO CARGADO")</f>
        <v>BS as</v>
      </c>
    </row>
    <row r="80" spans="2:18" x14ac:dyDescent="0.3">
      <c r="B80" s="36">
        <v>44643</v>
      </c>
      <c r="C80" s="37">
        <v>1</v>
      </c>
      <c r="D80" s="38">
        <v>2</v>
      </c>
      <c r="E80" s="39">
        <v>5222</v>
      </c>
      <c r="F80" s="40">
        <v>20243645523</v>
      </c>
      <c r="G80" s="41" t="str">
        <f>IFERROR(IF(compras_mes13[[#This Row],[CUIT]]="","-",VLOOKUP(compras_mes13[[#This Row],[CUIT]],Lista_CUIT[#All],2,0)),"CUIT NO CARGADO")</f>
        <v>POCIECHA  LUIS</v>
      </c>
      <c r="H80" s="42">
        <v>5500</v>
      </c>
      <c r="I80" s="81">
        <f>IF(compras_mes13[[#This Row],[NETO GRAVADO]]="","",compras_mes13[[#This Row],[NETO GRAVADO]]*0.21)</f>
        <v>1155</v>
      </c>
      <c r="J80" s="81"/>
      <c r="K80" s="81"/>
      <c r="L80" s="81"/>
      <c r="M80" s="81"/>
      <c r="N80" s="81"/>
      <c r="O80" s="42"/>
      <c r="P80" s="44">
        <f>SUM(compras_mes13[[#This Row],[NETO GRAVADO]:[Otros / No Grav.]])</f>
        <v>6655</v>
      </c>
      <c r="Q80" s="45" t="str">
        <f>IFERROR(IF(compras_mes13[[#This Row],[CUIT]]="","-",VLOOKUP(compras_mes13[[#This Row],[CUIT]],Lista_CUIT[#All],3,0)),"CUIT NO CARGADO")</f>
        <v>Gastos Varios</v>
      </c>
      <c r="R80" s="45">
        <f>IFERROR(IF(compras_mes13[[#This Row],[CUIT]]="","-",VLOOKUP(compras_mes13[[#This Row],[CUIT]],Lista_CUIT[#All],4,0)),"CUIT NO CARGADO")</f>
        <v>0</v>
      </c>
    </row>
    <row r="81" spans="2:18" x14ac:dyDescent="0.3">
      <c r="B81" s="36">
        <v>44650</v>
      </c>
      <c r="C81" s="37">
        <v>1</v>
      </c>
      <c r="D81" s="38">
        <v>5</v>
      </c>
      <c r="E81" s="39">
        <v>2750</v>
      </c>
      <c r="F81" s="40">
        <v>20299470645</v>
      </c>
      <c r="G81" s="41" t="str">
        <f>IFERROR(IF(compras_mes13[[#This Row],[CUIT]]="","-",VLOOKUP(compras_mes13[[#This Row],[CUIT]],Lista_CUIT[#All],2,0)),"CUIT NO CARGADO")</f>
        <v>D'ABATE ANDRES PABLO</v>
      </c>
      <c r="H81" s="42">
        <v>17504.13</v>
      </c>
      <c r="I81" s="81">
        <f>IF(compras_mes13[[#This Row],[NETO GRAVADO]]="","",compras_mes13[[#This Row],[NETO GRAVADO]]*0.21)</f>
        <v>3675.8672999999999</v>
      </c>
      <c r="J81" s="81"/>
      <c r="K81" s="81"/>
      <c r="L81" s="81"/>
      <c r="M81" s="81"/>
      <c r="N81" s="81"/>
      <c r="O81" s="42"/>
      <c r="P81" s="44">
        <f>SUM(compras_mes13[[#This Row],[NETO GRAVADO]:[Otros / No Grav.]])</f>
        <v>21179.997300000003</v>
      </c>
      <c r="Q81" s="45" t="str">
        <f>IFERROR(IF(compras_mes13[[#This Row],[CUIT]]="","-",VLOOKUP(compras_mes13[[#This Row],[CUIT]],Lista_CUIT[#All],3,0)),"CUIT NO CARGADO")</f>
        <v>Gastos Varios</v>
      </c>
      <c r="R81" s="45">
        <f>IFERROR(IF(compras_mes13[[#This Row],[CUIT]]="","-",VLOOKUP(compras_mes13[[#This Row],[CUIT]],Lista_CUIT[#All],4,0)),"CUIT NO CARGADO")</f>
        <v>0</v>
      </c>
    </row>
    <row r="82" spans="2:18" s="52" customFormat="1" ht="18.600000000000001" customHeight="1" x14ac:dyDescent="0.3">
      <c r="B82" s="36">
        <v>44623</v>
      </c>
      <c r="C82" s="37">
        <v>1</v>
      </c>
      <c r="D82" s="38">
        <v>3</v>
      </c>
      <c r="E82" s="39">
        <v>6653</v>
      </c>
      <c r="F82" s="40">
        <v>30679163317</v>
      </c>
      <c r="G82" s="41" t="str">
        <f>IFERROR(IF(compras_mes13[[#This Row],[CUIT]]="","-",VLOOKUP(compras_mes13[[#This Row],[CUIT]],Lista_CUIT[#All],2,0)),"CUIT NO CARGADO")</f>
        <v>RANKO SRL</v>
      </c>
      <c r="H82" s="42">
        <v>28853.57</v>
      </c>
      <c r="I82" s="81">
        <f>IF(compras_mes13[[#This Row],[NETO GRAVADO]]="","",compras_mes13[[#This Row],[NETO GRAVADO]]*0.21)</f>
        <v>6059.2496999999994</v>
      </c>
      <c r="J82" s="81"/>
      <c r="K82" s="81"/>
      <c r="L82" s="81"/>
      <c r="M82" s="81"/>
      <c r="N82" s="81"/>
      <c r="O82" s="42"/>
      <c r="P82" s="44">
        <f>SUM(compras_mes13[[#This Row],[NETO GRAVADO]:[Otros / No Grav.]])</f>
        <v>34912.8197</v>
      </c>
      <c r="Q82" s="45" t="str">
        <f>IFERROR(IF(compras_mes13[[#This Row],[CUIT]]="","-",VLOOKUP(compras_mes13[[#This Row],[CUIT]],Lista_CUIT[#All],3,0)),"CUIT NO CARGADO")</f>
        <v>Gastos Varios</v>
      </c>
      <c r="R82" s="45">
        <f>IFERROR(IF(compras_mes13[[#This Row],[CUIT]]="","-",VLOOKUP(compras_mes13[[#This Row],[CUIT]],Lista_CUIT[#All],4,0)),"CUIT NO CARGADO")</f>
        <v>0</v>
      </c>
    </row>
    <row r="83" spans="2:18" x14ac:dyDescent="0.3">
      <c r="B83" s="36">
        <v>44623</v>
      </c>
      <c r="C83" s="37">
        <v>1</v>
      </c>
      <c r="D83" s="38">
        <v>3</v>
      </c>
      <c r="E83" s="39">
        <v>6654</v>
      </c>
      <c r="F83" s="40">
        <v>30679163317</v>
      </c>
      <c r="G83" s="41" t="str">
        <f>IFERROR(IF(compras_mes13[[#This Row],[CUIT]]="","-",VLOOKUP(compras_mes13[[#This Row],[CUIT]],Lista_CUIT[#All],2,0)),"CUIT NO CARGADO")</f>
        <v>RANKO SRL</v>
      </c>
      <c r="H83" s="42">
        <v>19999.73</v>
      </c>
      <c r="I83" s="81">
        <f>IF(compras_mes13[[#This Row],[NETO GRAVADO]]="","",compras_mes13[[#This Row],[NETO GRAVADO]]*0.21)</f>
        <v>4199.9432999999999</v>
      </c>
      <c r="J83" s="81"/>
      <c r="K83" s="81"/>
      <c r="L83" s="81"/>
      <c r="M83" s="360"/>
      <c r="N83" s="81"/>
      <c r="O83" s="42"/>
      <c r="P83" s="44">
        <f>SUM(compras_mes13[[#This Row],[NETO GRAVADO]:[Otros / No Grav.]])</f>
        <v>24199.673299999999</v>
      </c>
      <c r="Q83" s="45" t="str">
        <f>IFERROR(IF(compras_mes13[[#This Row],[CUIT]]="","-",VLOOKUP(compras_mes13[[#This Row],[CUIT]],Lista_CUIT[#All],3,0)),"CUIT NO CARGADO")</f>
        <v>Gastos Varios</v>
      </c>
      <c r="R83" s="45">
        <f>IFERROR(IF(compras_mes13[[#This Row],[CUIT]]="","-",VLOOKUP(compras_mes13[[#This Row],[CUIT]],Lista_CUIT[#All],4,0)),"CUIT NO CARGADO")</f>
        <v>0</v>
      </c>
    </row>
    <row r="84" spans="2:18" x14ac:dyDescent="0.3">
      <c r="B84" s="36">
        <v>44627</v>
      </c>
      <c r="C84" s="37">
        <v>1</v>
      </c>
      <c r="D84" s="38">
        <v>5</v>
      </c>
      <c r="E84" s="39">
        <v>18021</v>
      </c>
      <c r="F84" s="40">
        <v>30616146447</v>
      </c>
      <c r="G84" s="41" t="str">
        <f>IFERROR(IF(compras_mes13[[#This Row],[CUIT]]="","-",VLOOKUP(compras_mes13[[#This Row],[CUIT]],Lista_CUIT[#All],2,0)),"CUIT NO CARGADO")</f>
        <v>EGEO SOCIEDAD DE RESPONSABILIDAD LIMITADA</v>
      </c>
      <c r="H84" s="42">
        <v>32000</v>
      </c>
      <c r="I84" s="81">
        <f>IF(compras_mes13[[#This Row],[NETO GRAVADO]]="","",compras_mes13[[#This Row],[NETO GRAVADO]]*0.21)</f>
        <v>6720</v>
      </c>
      <c r="J84" s="81"/>
      <c r="K84" s="81"/>
      <c r="L84" s="81"/>
      <c r="M84" s="361"/>
      <c r="N84" s="81"/>
      <c r="O84" s="42"/>
      <c r="P84" s="44">
        <f>SUM(compras_mes13[[#This Row],[NETO GRAVADO]:[Otros / No Grav.]])</f>
        <v>38720</v>
      </c>
      <c r="Q84" s="45" t="str">
        <f>IFERROR(IF(compras_mes13[[#This Row],[CUIT]]="","-",VLOOKUP(compras_mes13[[#This Row],[CUIT]],Lista_CUIT[#All],3,0)),"CUIT NO CARGADO")</f>
        <v>Gastos Varios</v>
      </c>
      <c r="R84" s="45">
        <f>IFERROR(IF(compras_mes13[[#This Row],[CUIT]]="","-",VLOOKUP(compras_mes13[[#This Row],[CUIT]],Lista_CUIT[#All],4,0)),"CUIT NO CARGADO")</f>
        <v>0</v>
      </c>
    </row>
    <row r="85" spans="2:18" ht="15" customHeight="1" x14ac:dyDescent="0.3">
      <c r="B85" s="36">
        <v>44630</v>
      </c>
      <c r="C85" s="37">
        <v>1</v>
      </c>
      <c r="D85" s="38">
        <v>4</v>
      </c>
      <c r="E85" s="39">
        <v>15595</v>
      </c>
      <c r="F85" s="40">
        <v>30552433595</v>
      </c>
      <c r="G85" s="41" t="str">
        <f>IFERROR(IF(compras_mes13[[#This Row],[CUIT]]="","-",VLOOKUP(compras_mes13[[#This Row],[CUIT]],Lista_CUIT[#All],2,0)),"CUIT NO CARGADO")</f>
        <v>PIROPLAST  S.R.L.</v>
      </c>
      <c r="H85" s="42">
        <v>243409.95</v>
      </c>
      <c r="I85" s="81">
        <f>IF(compras_mes13[[#This Row],[NETO GRAVADO]]="","",compras_mes13[[#This Row],[NETO GRAVADO]]*0.21)</f>
        <v>51116.089500000002</v>
      </c>
      <c r="J85" s="81"/>
      <c r="K85" s="81"/>
      <c r="L85" s="81"/>
      <c r="M85" s="81"/>
      <c r="N85" s="81">
        <v>464.49</v>
      </c>
      <c r="O85" s="42"/>
      <c r="P85" s="44">
        <f>SUM(compras_mes13[[#This Row],[NETO GRAVADO]:[Otros / No Grav.]])</f>
        <v>294990.5295</v>
      </c>
      <c r="Q85" s="45" t="str">
        <f>IFERROR(IF(compras_mes13[[#This Row],[CUIT]]="","-",VLOOKUP(compras_mes13[[#This Row],[CUIT]],Lista_CUIT[#All],3,0)),"CUIT NO CARGADO")</f>
        <v>Gtos Comercializacion</v>
      </c>
      <c r="R85" s="45">
        <f>IFERROR(IF(compras_mes13[[#This Row],[CUIT]]="","-",VLOOKUP(compras_mes13[[#This Row],[CUIT]],Lista_CUIT[#All],4,0)),"CUIT NO CARGADO")</f>
        <v>0</v>
      </c>
    </row>
    <row r="86" spans="2:18" ht="17.25" customHeight="1" x14ac:dyDescent="0.3">
      <c r="B86" s="36">
        <v>44631</v>
      </c>
      <c r="C86" s="37">
        <v>1</v>
      </c>
      <c r="D86" s="38">
        <v>3</v>
      </c>
      <c r="E86" s="39">
        <v>6707</v>
      </c>
      <c r="F86" s="40">
        <v>30679163317</v>
      </c>
      <c r="G86" s="41" t="str">
        <f>IFERROR(IF(compras_mes13[[#This Row],[CUIT]]="","-",VLOOKUP(compras_mes13[[#This Row],[CUIT]],Lista_CUIT[#All],2,0)),"CUIT NO CARGADO")</f>
        <v>RANKO SRL</v>
      </c>
      <c r="H86" s="42">
        <v>28853.599999999999</v>
      </c>
      <c r="I86" s="81">
        <f>IF(compras_mes13[[#This Row],[NETO GRAVADO]]="","",compras_mes13[[#This Row],[NETO GRAVADO]]*0.21)</f>
        <v>6059.2559999999994</v>
      </c>
      <c r="J86" s="81"/>
      <c r="K86" s="81"/>
      <c r="L86" s="81"/>
      <c r="M86" s="81"/>
      <c r="N86" s="81"/>
      <c r="O86" s="42"/>
      <c r="P86" s="44">
        <f>SUM(compras_mes13[[#This Row],[NETO GRAVADO]:[Otros / No Grav.]])</f>
        <v>34912.856</v>
      </c>
      <c r="Q86" s="45" t="str">
        <f>IFERROR(IF(compras_mes13[[#This Row],[CUIT]]="","-",VLOOKUP(compras_mes13[[#This Row],[CUIT]],Lista_CUIT[#All],3,0)),"CUIT NO CARGADO")</f>
        <v>Gastos Varios</v>
      </c>
      <c r="R86" s="45">
        <f>IFERROR(IF(compras_mes13[[#This Row],[CUIT]]="","-",VLOOKUP(compras_mes13[[#This Row],[CUIT]],Lista_CUIT[#All],4,0)),"CUIT NO CARGADO")</f>
        <v>0</v>
      </c>
    </row>
    <row r="87" spans="2:18" ht="17.25" customHeight="1" x14ac:dyDescent="0.3">
      <c r="B87" s="36">
        <v>44631</v>
      </c>
      <c r="C87" s="37">
        <v>1</v>
      </c>
      <c r="D87" s="38">
        <v>3</v>
      </c>
      <c r="E87" s="39">
        <v>6708</v>
      </c>
      <c r="F87" s="40">
        <v>30679163317</v>
      </c>
      <c r="G87" s="41" t="str">
        <f>IFERROR(IF(compras_mes13[[#This Row],[CUIT]]="","-",VLOOKUP(compras_mes13[[#This Row],[CUIT]],Lista_CUIT[#All],2,0)),"CUIT NO CARGADO")</f>
        <v>RANKO SRL</v>
      </c>
      <c r="H87" s="42">
        <v>19240.68</v>
      </c>
      <c r="I87" s="81">
        <f>IF(compras_mes13[[#This Row],[NETO GRAVADO]]="","",compras_mes13[[#This Row],[NETO GRAVADO]]*0.21)</f>
        <v>4040.5427999999997</v>
      </c>
      <c r="J87" s="81"/>
      <c r="K87" s="81"/>
      <c r="L87" s="81"/>
      <c r="M87" s="360"/>
      <c r="N87" s="81"/>
      <c r="O87" s="42"/>
      <c r="P87" s="44">
        <f>SUM(compras_mes13[[#This Row],[NETO GRAVADO]:[Otros / No Grav.]])</f>
        <v>23281.2228</v>
      </c>
      <c r="Q87" s="45" t="str">
        <f>IFERROR(IF(compras_mes13[[#This Row],[CUIT]]="","-",VLOOKUP(compras_mes13[[#This Row],[CUIT]],Lista_CUIT[#All],3,0)),"CUIT NO CARGADO")</f>
        <v>Gastos Varios</v>
      </c>
      <c r="R87" s="45">
        <f>IFERROR(IF(compras_mes13[[#This Row],[CUIT]]="","-",VLOOKUP(compras_mes13[[#This Row],[CUIT]],Lista_CUIT[#All],4,0)),"CUIT NO CARGADO")</f>
        <v>0</v>
      </c>
    </row>
    <row r="88" spans="2:18" ht="17.25" customHeight="1" x14ac:dyDescent="0.3">
      <c r="B88" s="36">
        <v>44635</v>
      </c>
      <c r="C88" s="37">
        <v>1</v>
      </c>
      <c r="D88" s="38">
        <v>3</v>
      </c>
      <c r="E88" s="39">
        <v>6715</v>
      </c>
      <c r="F88" s="40">
        <v>30679163317</v>
      </c>
      <c r="G88" s="41" t="str">
        <f>IFERROR(IF(compras_mes13[[#This Row],[CUIT]]="","-",VLOOKUP(compras_mes13[[#This Row],[CUIT]],Lista_CUIT[#All],2,0)),"CUIT NO CARGADO")</f>
        <v>RANKO SRL</v>
      </c>
      <c r="H88" s="42">
        <v>9090.91</v>
      </c>
      <c r="I88" s="81">
        <f>IF(compras_mes13[[#This Row],[NETO GRAVADO]]="","",compras_mes13[[#This Row],[NETO GRAVADO]]*0.21)</f>
        <v>1909.0910999999999</v>
      </c>
      <c r="J88" s="81"/>
      <c r="K88" s="81"/>
      <c r="L88" s="81"/>
      <c r="M88" s="81"/>
      <c r="N88" s="81"/>
      <c r="O88" s="42"/>
      <c r="P88" s="44">
        <f>SUM(compras_mes13[[#This Row],[NETO GRAVADO]:[Otros / No Grav.]])</f>
        <v>11000.001099999999</v>
      </c>
      <c r="Q88" s="45" t="str">
        <f>IFERROR(IF(compras_mes13[[#This Row],[CUIT]]="","-",VLOOKUP(compras_mes13[[#This Row],[CUIT]],Lista_CUIT[#All],3,0)),"CUIT NO CARGADO")</f>
        <v>Gastos Varios</v>
      </c>
      <c r="R88" s="45">
        <f>IFERROR(IF(compras_mes13[[#This Row],[CUIT]]="","-",VLOOKUP(compras_mes13[[#This Row],[CUIT]],Lista_CUIT[#All],4,0)),"CUIT NO CARGADO")</f>
        <v>0</v>
      </c>
    </row>
    <row r="89" spans="2:18" ht="17.25" customHeight="1" x14ac:dyDescent="0.3">
      <c r="B89" s="36">
        <v>44635</v>
      </c>
      <c r="C89" s="37">
        <v>1</v>
      </c>
      <c r="D89" s="38">
        <v>5</v>
      </c>
      <c r="E89" s="39">
        <v>18085</v>
      </c>
      <c r="F89" s="40">
        <v>30616146447</v>
      </c>
      <c r="G89" s="41" t="str">
        <f>IFERROR(IF(compras_mes13[[#This Row],[CUIT]]="","-",VLOOKUP(compras_mes13[[#This Row],[CUIT]],Lista_CUIT[#All],2,0)),"CUIT NO CARGADO")</f>
        <v>EGEO SOCIEDAD DE RESPONSABILIDAD LIMITADA</v>
      </c>
      <c r="H89" s="42">
        <v>42360</v>
      </c>
      <c r="I89" s="81">
        <f>IF(compras_mes13[[#This Row],[NETO GRAVADO]]="","",compras_mes13[[#This Row],[NETO GRAVADO]]*0.21)</f>
        <v>8895.6</v>
      </c>
      <c r="J89" s="81"/>
      <c r="K89" s="81"/>
      <c r="L89" s="81"/>
      <c r="M89" s="81"/>
      <c r="N89" s="81"/>
      <c r="O89" s="81"/>
      <c r="P89" s="44">
        <f>SUM(compras_mes13[[#This Row],[NETO GRAVADO]:[Otros / No Grav.]])</f>
        <v>51255.6</v>
      </c>
      <c r="Q89" s="45" t="str">
        <f>IFERROR(IF(compras_mes13[[#This Row],[CUIT]]="","-",VLOOKUP(compras_mes13[[#This Row],[CUIT]],Lista_CUIT[#All],3,0)),"CUIT NO CARGADO")</f>
        <v>Gastos Varios</v>
      </c>
      <c r="R89" s="45">
        <f>IFERROR(IF(compras_mes13[[#This Row],[CUIT]]="","-",VLOOKUP(compras_mes13[[#This Row],[CUIT]],Lista_CUIT[#All],4,0)),"CUIT NO CARGADO")</f>
        <v>0</v>
      </c>
    </row>
    <row r="90" spans="2:18" ht="17.25" customHeight="1" x14ac:dyDescent="0.3">
      <c r="B90" s="36">
        <v>44635</v>
      </c>
      <c r="C90" s="37">
        <v>3</v>
      </c>
      <c r="D90" s="38">
        <v>3</v>
      </c>
      <c r="E90" s="39">
        <v>381</v>
      </c>
      <c r="F90" s="40">
        <v>30679163317</v>
      </c>
      <c r="G90" s="41" t="str">
        <f>IFERROR(IF(compras_mes13[[#This Row],[CUIT]]="","-",VLOOKUP(compras_mes13[[#This Row],[CUIT]],Lista_CUIT[#All],2,0)),"CUIT NO CARGADO")</f>
        <v>RANKO SRL</v>
      </c>
      <c r="H90" s="42">
        <v>-19999.73</v>
      </c>
      <c r="I90" s="81">
        <f>IF(compras_mes13[[#This Row],[NETO GRAVADO]]="","",compras_mes13[[#This Row],[NETO GRAVADO]]*0.21)</f>
        <v>-4199.9432999999999</v>
      </c>
      <c r="J90" s="81"/>
      <c r="K90" s="81"/>
      <c r="L90" s="81"/>
      <c r="M90" s="81"/>
      <c r="N90" s="81"/>
      <c r="O90" s="81"/>
      <c r="P90" s="44">
        <f>SUM(compras_mes13[[#This Row],[NETO GRAVADO]:[Otros / No Grav.]])</f>
        <v>-24199.673299999999</v>
      </c>
      <c r="Q90" s="45" t="str">
        <f>IFERROR(IF(compras_mes13[[#This Row],[CUIT]]="","-",VLOOKUP(compras_mes13[[#This Row],[CUIT]],Lista_CUIT[#All],3,0)),"CUIT NO CARGADO")</f>
        <v>Gastos Varios</v>
      </c>
      <c r="R90" s="45">
        <f>IFERROR(IF(compras_mes13[[#This Row],[CUIT]]="","-",VLOOKUP(compras_mes13[[#This Row],[CUIT]],Lista_CUIT[#All],4,0)),"CUIT NO CARGADO")</f>
        <v>0</v>
      </c>
    </row>
    <row r="91" spans="2:18" ht="15" customHeight="1" x14ac:dyDescent="0.3">
      <c r="B91" s="36">
        <v>44643</v>
      </c>
      <c r="C91" s="37">
        <v>1</v>
      </c>
      <c r="D91" s="38">
        <v>5</v>
      </c>
      <c r="E91" s="39">
        <v>18143</v>
      </c>
      <c r="F91" s="40">
        <v>30616146447</v>
      </c>
      <c r="G91" s="41" t="str">
        <f>IFERROR(IF(compras_mes13[[#This Row],[CUIT]]="","-",VLOOKUP(compras_mes13[[#This Row],[CUIT]],Lista_CUIT[#All],2,0)),"CUIT NO CARGADO")</f>
        <v>EGEO SOCIEDAD DE RESPONSABILIDAD LIMITADA</v>
      </c>
      <c r="H91" s="42">
        <v>112800</v>
      </c>
      <c r="I91" s="81">
        <f>IF(compras_mes13[[#This Row],[NETO GRAVADO]]="","",compras_mes13[[#This Row],[NETO GRAVADO]]*0.21)</f>
        <v>23688</v>
      </c>
      <c r="J91" s="81"/>
      <c r="K91" s="81"/>
      <c r="L91" s="81"/>
      <c r="M91" s="81"/>
      <c r="N91" s="81">
        <v>856.26</v>
      </c>
      <c r="O91" s="81"/>
      <c r="P91" s="44">
        <f>SUM(compras_mes13[[#This Row],[NETO GRAVADO]:[Otros / No Grav.]])</f>
        <v>137344.26</v>
      </c>
      <c r="Q91" s="45" t="str">
        <f>IFERROR(IF(compras_mes13[[#This Row],[CUIT]]="","-",VLOOKUP(compras_mes13[[#This Row],[CUIT]],Lista_CUIT[#All],3,0)),"CUIT NO CARGADO")</f>
        <v>Gastos Varios</v>
      </c>
      <c r="R91" s="45">
        <f>IFERROR(IF(compras_mes13[[#This Row],[CUIT]]="","-",VLOOKUP(compras_mes13[[#This Row],[CUIT]],Lista_CUIT[#All],4,0)),"CUIT NO CARGADO")</f>
        <v>0</v>
      </c>
    </row>
    <row r="92" spans="2:18" ht="15" customHeight="1" x14ac:dyDescent="0.3">
      <c r="B92" s="36">
        <v>44651</v>
      </c>
      <c r="C92" s="37">
        <v>1</v>
      </c>
      <c r="D92" s="38">
        <v>2188</v>
      </c>
      <c r="E92" s="39">
        <v>62352</v>
      </c>
      <c r="F92" s="40">
        <v>30548083156</v>
      </c>
      <c r="G92" s="41" t="str">
        <f>IFERROR(IF(compras_mes13[[#This Row],[CUIT]]="","-",VLOOKUP(compras_mes13[[#This Row],[CUIT]],Lista_CUIT[#All],2,0)),"CUIT NO CARGADO")</f>
        <v>COTO  S.A.</v>
      </c>
      <c r="H92" s="42">
        <v>39428.660000000003</v>
      </c>
      <c r="I92" s="81">
        <f>IF(compras_mes13[[#This Row],[NETO GRAVADO]]="","",compras_mes13[[#This Row],[NETO GRAVADO]]*0.21)</f>
        <v>8280.0186000000012</v>
      </c>
      <c r="J92" s="81"/>
      <c r="K92" s="81"/>
      <c r="L92" s="81"/>
      <c r="M92" s="81"/>
      <c r="N92" s="81"/>
      <c r="O92" s="81"/>
      <c r="P92" s="44">
        <f>SUM(compras_mes13[[#This Row],[NETO GRAVADO]:[Otros / No Grav.]])</f>
        <v>47708.678600000007</v>
      </c>
      <c r="Q92" s="45" t="str">
        <f>IFERROR(IF(compras_mes13[[#This Row],[CUIT]]="","-",VLOOKUP(compras_mes13[[#This Row],[CUIT]],Lista_CUIT[#All],3,0)),"CUIT NO CARGADO")</f>
        <v>Gastos Varios</v>
      </c>
      <c r="R92" s="45">
        <f>IFERROR(IF(compras_mes13[[#This Row],[CUIT]]="","-",VLOOKUP(compras_mes13[[#This Row],[CUIT]],Lista_CUIT[#All],4,0)),"CUIT NO CARGADO")</f>
        <v>0</v>
      </c>
    </row>
    <row r="93" spans="2:18" ht="15" customHeight="1" x14ac:dyDescent="0.3">
      <c r="B93" s="36">
        <v>44620</v>
      </c>
      <c r="C93" s="37">
        <v>1</v>
      </c>
      <c r="D93" s="38">
        <v>7</v>
      </c>
      <c r="E93" s="39">
        <v>4624</v>
      </c>
      <c r="F93" s="40">
        <v>20043671430</v>
      </c>
      <c r="G93" s="41" t="str">
        <f>IFERROR(IF(compras_mes13[[#This Row],[CUIT]]="","-",VLOOKUP(compras_mes13[[#This Row],[CUIT]],Lista_CUIT[#All],2,0)),"CUIT NO CARGADO")</f>
        <v>ECHT  DANIEL</v>
      </c>
      <c r="H93" s="42">
        <v>8677.69</v>
      </c>
      <c r="I93" s="81">
        <f>IF(compras_mes13[[#This Row],[NETO GRAVADO]]="","",compras_mes13[[#This Row],[NETO GRAVADO]]*0.21)</f>
        <v>1822.3149000000001</v>
      </c>
      <c r="J93" s="81"/>
      <c r="K93" s="81"/>
      <c r="L93" s="81"/>
      <c r="M93" s="81"/>
      <c r="N93" s="81"/>
      <c r="O93" s="81"/>
      <c r="P93" s="44">
        <f>SUM(compras_mes13[[#This Row],[NETO GRAVADO]:[Otros / No Grav.]])</f>
        <v>10500.0049</v>
      </c>
      <c r="Q93" s="45" t="str">
        <f>IFERROR(IF(compras_mes13[[#This Row],[CUIT]]="","-",VLOOKUP(compras_mes13[[#This Row],[CUIT]],Lista_CUIT[#All],3,0)),"CUIT NO CARGADO")</f>
        <v>Gtos Comercializacion</v>
      </c>
      <c r="R93" s="45" t="str">
        <f>IFERROR(IF(compras_mes13[[#This Row],[CUIT]]="","-",VLOOKUP(compras_mes13[[#This Row],[CUIT]],Lista_CUIT[#All],4,0)),"CUIT NO CARGADO")</f>
        <v>CORRIENTES</v>
      </c>
    </row>
    <row r="94" spans="2:18" ht="15" customHeight="1" x14ac:dyDescent="0.3">
      <c r="B94" s="36">
        <v>44643</v>
      </c>
      <c r="C94" s="37">
        <v>1</v>
      </c>
      <c r="D94" s="38">
        <v>6</v>
      </c>
      <c r="E94" s="39">
        <v>1979</v>
      </c>
      <c r="F94" s="40">
        <v>30574603788</v>
      </c>
      <c r="G94" s="41" t="str">
        <f>IFERROR(IF(compras_mes13[[#This Row],[CUIT]]="","-",VLOOKUP(compras_mes13[[#This Row],[CUIT]],Lista_CUIT[#All],2,0)),"CUIT NO CARGADO")</f>
        <v>Codac SRL</v>
      </c>
      <c r="H94" s="42">
        <v>73968</v>
      </c>
      <c r="I94" s="81">
        <f>IF(compras_mes13[[#This Row],[NETO GRAVADO]]="","",compras_mes13[[#This Row],[NETO GRAVADO]]*0.21)</f>
        <v>15533.279999999999</v>
      </c>
      <c r="J94" s="81"/>
      <c r="K94" s="81"/>
      <c r="L94" s="81">
        <v>186.06</v>
      </c>
      <c r="M94" s="81">
        <v>6429.48</v>
      </c>
      <c r="N94" s="81"/>
      <c r="O94" s="81"/>
      <c r="P94" s="44">
        <f>SUM(compras_mes13[[#This Row],[NETO GRAVADO]:[Otros / No Grav.]])</f>
        <v>96116.819999999992</v>
      </c>
      <c r="Q94" s="45" t="str">
        <f>IFERROR(IF(compras_mes13[[#This Row],[CUIT]]="","-",VLOOKUP(compras_mes13[[#This Row],[CUIT]],Lista_CUIT[#All],3,0)),"CUIT NO CARGADO")</f>
        <v>Mercaderia</v>
      </c>
      <c r="R94" s="45">
        <f>IFERROR(IF(compras_mes13[[#This Row],[CUIT]]="","-",VLOOKUP(compras_mes13[[#This Row],[CUIT]],Lista_CUIT[#All],4,0)),"CUIT NO CARGADO")</f>
        <v>0</v>
      </c>
    </row>
    <row r="95" spans="2:18" x14ac:dyDescent="0.3">
      <c r="B95" s="92" t="s">
        <v>83</v>
      </c>
      <c r="C95" s="92"/>
      <c r="D95" s="92"/>
      <c r="E95" s="92"/>
      <c r="F95" s="92"/>
      <c r="G95" s="93"/>
      <c r="H95" s="94">
        <f>SUBTOTAL(109,compras_mes13[NETO GRAVADO])</f>
        <v>3554120.1199999996</v>
      </c>
      <c r="I95" s="94">
        <f>SUBTOTAL(109,compras_mes13[IVA 21 %])</f>
        <v>749794.33799999964</v>
      </c>
      <c r="J95" s="94">
        <f>SUBTOTAL(109,compras_mes13[IVA 27%])</f>
        <v>0</v>
      </c>
      <c r="K95" s="94">
        <f>SUBTOTAL(109,compras_mes13[IVA 10,5%])</f>
        <v>0</v>
      </c>
      <c r="L95" s="94">
        <f>SUBTOTAL(109,compras_mes13[PERC. IVA])</f>
        <v>2744.8500000000004</v>
      </c>
      <c r="M95" s="94">
        <f>SUBTOTAL(109,compras_mes13[PERC IIBB 
BS AS])</f>
        <v>9324.93</v>
      </c>
      <c r="N95" s="94">
        <f>SUBTOTAL(109,compras_mes13[PERC. IIBB CABA])</f>
        <v>3864.3500000000004</v>
      </c>
      <c r="O95" s="94">
        <f>SUBTOTAL(109,compras_mes13[Otros / No Grav.])</f>
        <v>657563.89</v>
      </c>
      <c r="P95" s="94">
        <f>SUBTOTAL(109,compras_mes13[TOTAL])</f>
        <v>4977412.4780000011</v>
      </c>
      <c r="Q95" s="92"/>
      <c r="R95" s="92"/>
    </row>
    <row r="96" spans="2:18" x14ac:dyDescent="0.3">
      <c r="B96" s="36"/>
      <c r="C96" s="37"/>
      <c r="D96" s="38"/>
      <c r="E96" s="39"/>
      <c r="F96" s="40"/>
      <c r="G96" s="41"/>
      <c r="H96" s="42"/>
      <c r="I96" s="43"/>
      <c r="J96" s="43"/>
      <c r="K96" s="43"/>
      <c r="L96" s="43"/>
      <c r="M96" s="43"/>
      <c r="N96" s="43"/>
      <c r="O96" s="43"/>
      <c r="P96" s="44"/>
      <c r="Q96" s="45"/>
      <c r="R96" s="45"/>
    </row>
    <row r="97" spans="2:18" x14ac:dyDescent="0.3">
      <c r="B97" s="36"/>
      <c r="C97" s="37"/>
      <c r="D97" s="38"/>
      <c r="E97" s="39"/>
      <c r="F97" s="40"/>
      <c r="G97" s="41"/>
      <c r="H97" s="42"/>
      <c r="I97" s="43"/>
      <c r="J97" s="43"/>
      <c r="K97" s="43"/>
      <c r="L97" s="43"/>
      <c r="M97" s="43"/>
      <c r="N97" s="43"/>
      <c r="O97" s="43"/>
      <c r="P97" s="44"/>
      <c r="Q97" s="45"/>
      <c r="R97" s="45"/>
    </row>
    <row r="98" spans="2:18" x14ac:dyDescent="0.3">
      <c r="B98" s="36"/>
      <c r="C98" s="37"/>
      <c r="D98" s="38"/>
      <c r="E98" s="39"/>
      <c r="F98" s="40"/>
      <c r="G98" s="41"/>
      <c r="H98" s="42"/>
      <c r="I98" s="43"/>
      <c r="J98" s="43"/>
      <c r="K98" s="43"/>
      <c r="L98" s="43"/>
      <c r="M98" s="43"/>
      <c r="N98" s="43"/>
      <c r="O98" s="43"/>
      <c r="P98" s="44"/>
      <c r="Q98" s="45"/>
      <c r="R98" s="45"/>
    </row>
    <row r="99" spans="2:18" x14ac:dyDescent="0.3">
      <c r="B99" s="36"/>
      <c r="C99" s="37"/>
      <c r="D99" s="38"/>
      <c r="E99" s="39"/>
      <c r="F99" s="40"/>
      <c r="G99" s="41"/>
      <c r="H99" s="42"/>
      <c r="I99" s="43"/>
      <c r="J99" s="43"/>
      <c r="K99" s="43"/>
      <c r="L99" s="43"/>
    </row>
    <row r="100" spans="2:18" ht="25.95" customHeight="1" x14ac:dyDescent="0.3">
      <c r="D100" s="441" t="s">
        <v>15</v>
      </c>
      <c r="E100" s="441"/>
      <c r="F100" s="441"/>
      <c r="G100" s="441"/>
      <c r="H100" s="441"/>
      <c r="I100" s="441"/>
      <c r="J100" s="441"/>
      <c r="K100" s="441"/>
      <c r="L100" s="441"/>
      <c r="M100" s="441"/>
      <c r="N100" s="364"/>
      <c r="P100" s="365"/>
      <c r="Q100" s="365"/>
      <c r="R100" s="365"/>
    </row>
    <row r="101" spans="2:18" ht="15.6" x14ac:dyDescent="0.3">
      <c r="D101" s="69" t="s">
        <v>0</v>
      </c>
      <c r="E101" s="70" t="s">
        <v>26</v>
      </c>
      <c r="F101" s="70" t="s">
        <v>16</v>
      </c>
      <c r="G101" s="70" t="s">
        <v>5</v>
      </c>
      <c r="H101" s="70" t="s">
        <v>17</v>
      </c>
      <c r="I101" s="70" t="s">
        <v>7</v>
      </c>
      <c r="J101" s="71" t="s">
        <v>18</v>
      </c>
      <c r="K101" s="71" t="s">
        <v>19</v>
      </c>
      <c r="L101" s="72" t="s">
        <v>20</v>
      </c>
      <c r="M101" s="363" t="s">
        <v>2649</v>
      </c>
      <c r="N101" s="363" t="s">
        <v>2650</v>
      </c>
      <c r="P101" s="158"/>
      <c r="Q101" s="158"/>
      <c r="R101" s="158"/>
    </row>
    <row r="102" spans="2:18" ht="17.25" customHeight="1" x14ac:dyDescent="0.3">
      <c r="D102" s="46">
        <v>44622</v>
      </c>
      <c r="E102" s="76">
        <v>2336320</v>
      </c>
      <c r="F102" s="76" t="s">
        <v>2948</v>
      </c>
      <c r="G102" s="77">
        <v>6889.87</v>
      </c>
      <c r="H102" s="77">
        <v>1446.87</v>
      </c>
      <c r="I102" s="77"/>
      <c r="J102" s="77"/>
      <c r="K102" s="77">
        <v>206.69</v>
      </c>
      <c r="L102" s="77"/>
      <c r="M102" s="77"/>
      <c r="N102" s="77"/>
    </row>
    <row r="103" spans="2:18" x14ac:dyDescent="0.3">
      <c r="D103" s="46">
        <v>44622</v>
      </c>
      <c r="E103" s="76">
        <v>2336326</v>
      </c>
      <c r="F103" s="76" t="s">
        <v>2948</v>
      </c>
      <c r="G103" s="77"/>
      <c r="H103" s="77"/>
      <c r="I103" s="77"/>
      <c r="J103" s="429"/>
      <c r="K103" s="77"/>
      <c r="L103" s="77"/>
      <c r="M103" s="77">
        <v>3600.37</v>
      </c>
      <c r="N103" s="77"/>
    </row>
    <row r="104" spans="2:18" x14ac:dyDescent="0.3">
      <c r="D104" s="46">
        <v>44622</v>
      </c>
      <c r="E104" s="76">
        <v>2336326</v>
      </c>
      <c r="F104" s="76" t="s">
        <v>2948</v>
      </c>
      <c r="G104" s="77"/>
      <c r="H104" s="77"/>
      <c r="I104" s="77"/>
      <c r="J104" s="429"/>
      <c r="K104" s="77"/>
      <c r="L104" s="77"/>
      <c r="M104" s="77">
        <v>8265.14</v>
      </c>
      <c r="N104" s="77"/>
    </row>
    <row r="105" spans="2:18" x14ac:dyDescent="0.3">
      <c r="D105" s="46">
        <v>44650</v>
      </c>
      <c r="E105" s="76">
        <v>97339008</v>
      </c>
      <c r="F105" s="76" t="s">
        <v>96</v>
      </c>
      <c r="G105" s="77">
        <v>1597.31</v>
      </c>
      <c r="H105" s="77">
        <v>229.56</v>
      </c>
      <c r="I105" s="77"/>
      <c r="J105" s="77">
        <v>1390.26</v>
      </c>
      <c r="K105" s="77">
        <v>867.41</v>
      </c>
      <c r="L105" s="77"/>
      <c r="M105" s="77"/>
      <c r="N105" s="77">
        <v>151.16</v>
      </c>
    </row>
    <row r="106" spans="2:18" x14ac:dyDescent="0.3">
      <c r="D106" s="46">
        <v>44651</v>
      </c>
      <c r="E106" s="76">
        <v>433960</v>
      </c>
      <c r="F106" s="76" t="s">
        <v>2949</v>
      </c>
      <c r="G106" s="77">
        <v>320</v>
      </c>
      <c r="H106" s="77">
        <v>10.14</v>
      </c>
      <c r="I106" s="77"/>
      <c r="J106" s="77"/>
      <c r="K106" s="77"/>
      <c r="L106" s="77"/>
      <c r="M106" s="77">
        <v>67.2</v>
      </c>
      <c r="N106" s="77"/>
    </row>
    <row r="107" spans="2:18" x14ac:dyDescent="0.3">
      <c r="D107" s="46">
        <v>44651</v>
      </c>
      <c r="E107" s="76">
        <v>9688236</v>
      </c>
      <c r="F107" s="76" t="s">
        <v>99</v>
      </c>
      <c r="G107" s="77">
        <v>10495</v>
      </c>
      <c r="H107" s="77">
        <v>2203.9499999999998</v>
      </c>
      <c r="I107" s="77"/>
      <c r="J107" s="77"/>
      <c r="K107" s="77">
        <v>314.85000000000002</v>
      </c>
      <c r="L107" s="77"/>
      <c r="M107" s="77"/>
      <c r="N107" s="77"/>
    </row>
    <row r="108" spans="2:18" x14ac:dyDescent="0.3">
      <c r="D108" s="46">
        <v>44651</v>
      </c>
      <c r="E108" s="76">
        <v>2022</v>
      </c>
      <c r="F108" s="76" t="s">
        <v>2950</v>
      </c>
      <c r="G108" s="77">
        <v>8890</v>
      </c>
      <c r="H108" s="77">
        <v>1866.9</v>
      </c>
      <c r="I108" s="77"/>
      <c r="J108" s="77">
        <v>336</v>
      </c>
      <c r="K108" s="77">
        <v>115.5</v>
      </c>
      <c r="L108" s="77"/>
      <c r="M108" s="77">
        <v>91160.79</v>
      </c>
      <c r="N108" s="77">
        <v>44900.09</v>
      </c>
    </row>
    <row r="109" spans="2:18" x14ac:dyDescent="0.3">
      <c r="D109" s="46">
        <v>44651</v>
      </c>
      <c r="E109" s="76">
        <v>2022</v>
      </c>
      <c r="F109" s="76" t="s">
        <v>2951</v>
      </c>
      <c r="G109" s="77">
        <v>3145.77</v>
      </c>
      <c r="H109" s="77">
        <v>645.30999999999995</v>
      </c>
      <c r="I109" s="77"/>
      <c r="J109" s="77">
        <v>180</v>
      </c>
      <c r="K109" s="77">
        <v>90</v>
      </c>
      <c r="L109" s="77"/>
      <c r="M109" s="77">
        <v>3502.24</v>
      </c>
      <c r="N109" s="77">
        <v>1723.66</v>
      </c>
    </row>
    <row r="110" spans="2:18" x14ac:dyDescent="0.3">
      <c r="D110" s="46">
        <v>44651</v>
      </c>
      <c r="E110" s="76">
        <v>2022</v>
      </c>
      <c r="F110" s="76" t="s">
        <v>99</v>
      </c>
      <c r="G110" s="77">
        <v>355.37</v>
      </c>
      <c r="H110" s="77">
        <v>74.63</v>
      </c>
      <c r="I110" s="77"/>
      <c r="J110" s="77"/>
      <c r="K110" s="77"/>
      <c r="L110" s="77"/>
      <c r="M110" s="77">
        <v>16200.84</v>
      </c>
      <c r="N110" s="77">
        <v>29270.26</v>
      </c>
    </row>
    <row r="111" spans="2:18" x14ac:dyDescent="0.3">
      <c r="D111" s="46">
        <v>44651</v>
      </c>
      <c r="E111" s="76">
        <v>2022</v>
      </c>
      <c r="F111" s="76" t="s">
        <v>2952</v>
      </c>
      <c r="G111" s="77">
        <v>876.13</v>
      </c>
      <c r="H111" s="77">
        <v>183.99</v>
      </c>
      <c r="I111" s="77"/>
      <c r="J111" s="77">
        <v>4888.83</v>
      </c>
      <c r="K111" s="77"/>
      <c r="L111" s="77"/>
      <c r="M111" s="77"/>
      <c r="N111" s="77"/>
    </row>
    <row r="112" spans="2:18" x14ac:dyDescent="0.3">
      <c r="D112" s="46">
        <v>44651</v>
      </c>
      <c r="E112" s="76">
        <v>2022</v>
      </c>
      <c r="F112" s="76" t="s">
        <v>2953</v>
      </c>
      <c r="G112" s="77">
        <v>131386</v>
      </c>
      <c r="H112" s="77">
        <v>20001.439999999999</v>
      </c>
      <c r="I112" s="77"/>
      <c r="J112" s="77">
        <v>145794.10999999999</v>
      </c>
      <c r="K112" s="77"/>
      <c r="L112" s="77"/>
      <c r="M112" s="77"/>
      <c r="N112" s="77"/>
    </row>
    <row r="113" spans="2:18" ht="19.2" customHeight="1" x14ac:dyDescent="0.3">
      <c r="D113" s="46"/>
      <c r="E113" s="76"/>
      <c r="F113" s="76"/>
      <c r="G113" s="77"/>
      <c r="H113" s="77"/>
      <c r="I113" s="77"/>
      <c r="J113" s="77"/>
      <c r="K113" s="77"/>
      <c r="L113" s="77"/>
      <c r="M113" s="77"/>
      <c r="N113" s="77"/>
    </row>
    <row r="114" spans="2:18" ht="28.95" customHeight="1" x14ac:dyDescent="0.3">
      <c r="D114" s="430" t="s">
        <v>83</v>
      </c>
      <c r="E114" s="431"/>
      <c r="F114" s="431"/>
      <c r="G114" s="432">
        <f>SUBTOTAL(109,extracto_banco_mes155[NETO])</f>
        <v>163955.45000000001</v>
      </c>
      <c r="H114" s="432">
        <f>SUBTOTAL(109,extracto_banco_mes155[IVA 21%])</f>
        <v>26662.789999999997</v>
      </c>
      <c r="I114" s="432">
        <f>SUBTOTAL(109,extracto_banco_mes155[IVA 10,5%])</f>
        <v>0</v>
      </c>
      <c r="J114" s="432">
        <f>SUBTOTAL(109,extracto_banco_mes155[RET IIBB CABA])</f>
        <v>152589.19999999998</v>
      </c>
      <c r="K114" s="432">
        <f>SUBTOTAL(109,extracto_banco_mes155[PERC IVA])</f>
        <v>1594.4499999999998</v>
      </c>
      <c r="L114" s="432">
        <f>SUBTOTAL(109,extracto_banco_mes155[PERC IIBB])</f>
        <v>0</v>
      </c>
      <c r="M114" s="432">
        <f>SUM(extracto_banco_mes155[No grav.])</f>
        <v>122796.58</v>
      </c>
      <c r="N114" s="433">
        <f>SUM(extracto_banco_mes155[RET. GAN])</f>
        <v>76045.17</v>
      </c>
    </row>
    <row r="117" spans="2:18" ht="21" x14ac:dyDescent="0.3">
      <c r="D117" s="441" t="s">
        <v>25</v>
      </c>
      <c r="E117" s="441"/>
      <c r="F117" s="441"/>
      <c r="G117" s="441"/>
      <c r="H117" s="441"/>
      <c r="I117" s="441"/>
      <c r="J117" s="441"/>
      <c r="K117" s="441"/>
    </row>
    <row r="118" spans="2:18" x14ac:dyDescent="0.3">
      <c r="D118" s="47" t="s">
        <v>0</v>
      </c>
      <c r="E118" s="47" t="s">
        <v>2</v>
      </c>
      <c r="F118" s="47" t="s">
        <v>56</v>
      </c>
      <c r="G118" s="47" t="s">
        <v>3</v>
      </c>
      <c r="H118" s="47" t="s">
        <v>4</v>
      </c>
      <c r="I118" s="48" t="s">
        <v>10</v>
      </c>
      <c r="J118" s="47" t="s">
        <v>13</v>
      </c>
      <c r="K118" s="47" t="s">
        <v>38</v>
      </c>
    </row>
    <row r="119" spans="2:18" x14ac:dyDescent="0.3">
      <c r="D119" s="46">
        <v>44634</v>
      </c>
      <c r="E119" s="38">
        <v>1</v>
      </c>
      <c r="F119" s="39">
        <v>1</v>
      </c>
      <c r="G119" s="40">
        <v>30717223299</v>
      </c>
      <c r="H119" s="49" t="str">
        <f>IFERROR(IF(factura_c_mes152[[#This Row],[CUIT]]="","-",VLOOKUP(factura_c_mes152[[#This Row],[CUIT]],Lista_CUIT[#All],2,0)),"CUIT NO CARGADO")</f>
        <v>ACEPYM</v>
      </c>
      <c r="I119" s="77">
        <v>132000</v>
      </c>
      <c r="J119" s="50" t="str">
        <f>IFERROR(IF(factura_c_mes152[[#This Row],[CUIT]]="","-",VLOOKUP(factura_c_mes152[[#This Row],[CUIT]],Lista_CUIT[#All],3,0)),"CUIT NO CARGADO")</f>
        <v>Mercaderia</v>
      </c>
      <c r="K119" s="50">
        <f>IFERROR(IF(factura_c_mes152[[#This Row],[CUIT]]="","-",VLOOKUP(factura_c_mes152[[#This Row],[CUIT]],Lista_CUIT[#All],4,0)),"CUIT NO CARGADO")</f>
        <v>0</v>
      </c>
    </row>
    <row r="120" spans="2:18" x14ac:dyDescent="0.3">
      <c r="D120" s="46">
        <v>44641</v>
      </c>
      <c r="E120" s="38">
        <v>1</v>
      </c>
      <c r="F120" s="39">
        <v>2</v>
      </c>
      <c r="G120" s="40">
        <v>30717223299</v>
      </c>
      <c r="H120" s="49" t="str">
        <f>IFERROR(IF(factura_c_mes152[[#This Row],[CUIT]]="","-",VLOOKUP(factura_c_mes152[[#This Row],[CUIT]],Lista_CUIT[#All],2,0)),"CUIT NO CARGADO")</f>
        <v>ACEPYM</v>
      </c>
      <c r="I120" s="77">
        <v>132000</v>
      </c>
      <c r="J120" s="50" t="str">
        <f>IFERROR(IF(factura_c_mes152[[#This Row],[CUIT]]="","-",VLOOKUP(factura_c_mes152[[#This Row],[CUIT]],Lista_CUIT[#All],3,0)),"CUIT NO CARGADO")</f>
        <v>Mercaderia</v>
      </c>
      <c r="K120" s="50">
        <f>IFERROR(IF(factura_c_mes152[[#This Row],[CUIT]]="","-",VLOOKUP(factura_c_mes152[[#This Row],[CUIT]],Lista_CUIT[#All],4,0)),"CUIT NO CARGADO")</f>
        <v>0</v>
      </c>
    </row>
    <row r="121" spans="2:18" x14ac:dyDescent="0.3">
      <c r="D121" s="46">
        <v>44648</v>
      </c>
      <c r="E121" s="38">
        <v>1</v>
      </c>
      <c r="F121" s="39">
        <v>72</v>
      </c>
      <c r="G121" s="40">
        <v>20957969195</v>
      </c>
      <c r="H121" s="49" t="str">
        <f>IFERROR(IF(factura_c_mes152[[#This Row],[CUIT]]="","-",VLOOKUP(factura_c_mes152[[#This Row],[CUIT]],Lista_CUIT[#All],2,0)),"CUIT NO CARGADO")</f>
        <v>AVENDAÑO  ONTIVERO  LEANDRO  J</v>
      </c>
      <c r="I121" s="77">
        <v>140835</v>
      </c>
      <c r="J121" s="50" t="str">
        <f>IFERROR(IF(factura_c_mes152[[#This Row],[CUIT]]="","-",VLOOKUP(factura_c_mes152[[#This Row],[CUIT]],Lista_CUIT[#All],3,0)),"CUIT NO CARGADO")</f>
        <v>Mercaderia</v>
      </c>
      <c r="K121" s="50">
        <f>IFERROR(IF(factura_c_mes152[[#This Row],[CUIT]]="","-",VLOOKUP(factura_c_mes152[[#This Row],[CUIT]],Lista_CUIT[#All],4,0)),"CUIT NO CARGADO")</f>
        <v>0</v>
      </c>
    </row>
    <row r="122" spans="2:18" x14ac:dyDescent="0.3">
      <c r="D122" s="46"/>
      <c r="E122" s="38"/>
      <c r="F122" s="39"/>
      <c r="G122" s="40"/>
      <c r="H122" s="49" t="str">
        <f>IFERROR(IF(factura_c_mes152[[#This Row],[CUIT]]="","-",VLOOKUP(factura_c_mes152[[#This Row],[CUIT]],Lista_CUIT[#All],2,0)),"CUIT NO CARGADO")</f>
        <v>-</v>
      </c>
      <c r="I122" s="77"/>
      <c r="J122" s="50" t="str">
        <f>IFERROR(IF(factura_c_mes152[[#This Row],[CUIT]]="","-",VLOOKUP(factura_c_mes152[[#This Row],[CUIT]],Lista_CUIT[#All],3,0)),"CUIT NO CARGADO")</f>
        <v>-</v>
      </c>
      <c r="K122" s="50" t="str">
        <f>IFERROR(IF(factura_c_mes152[[#This Row],[CUIT]]="","-",VLOOKUP(factura_c_mes152[[#This Row],[CUIT]],Lista_CUIT[#All],4,0)),"CUIT NO CARGADO")</f>
        <v>-</v>
      </c>
    </row>
    <row r="123" spans="2:18" x14ac:dyDescent="0.3">
      <c r="D123" s="51" t="s">
        <v>83</v>
      </c>
      <c r="E123" s="51"/>
      <c r="F123" s="51"/>
      <c r="G123" s="51"/>
      <c r="H123" s="53"/>
      <c r="I123" s="54">
        <f>SUBTOTAL(109,factura_c_mes152[TOTAL])</f>
        <v>404835</v>
      </c>
      <c r="J123" s="51"/>
      <c r="K123" s="51"/>
    </row>
    <row r="124" spans="2:18" x14ac:dyDescent="0.3">
      <c r="B124" s="52"/>
      <c r="C124" s="52"/>
      <c r="L124" s="52"/>
      <c r="M124" s="52"/>
      <c r="N124" s="52"/>
      <c r="O124" s="52"/>
      <c r="P124" s="52"/>
      <c r="Q124" s="52"/>
      <c r="R124" s="52"/>
    </row>
    <row r="129" spans="2:13" ht="25.8" x14ac:dyDescent="0.3">
      <c r="B129" s="456" t="s">
        <v>29</v>
      </c>
      <c r="C129" s="456"/>
      <c r="D129" s="456"/>
      <c r="E129" s="456"/>
      <c r="F129" s="456"/>
      <c r="G129" s="456"/>
      <c r="H129" s="456"/>
      <c r="I129" s="456"/>
      <c r="J129" s="456"/>
      <c r="K129" s="452">
        <f>N1</f>
        <v>44621</v>
      </c>
      <c r="L129" s="452"/>
      <c r="M129" s="452"/>
    </row>
    <row r="131" spans="2:13" ht="21" x14ac:dyDescent="0.3">
      <c r="B131" s="449" t="s">
        <v>30</v>
      </c>
      <c r="C131" s="449"/>
    </row>
    <row r="132" spans="2:13" ht="15.6" x14ac:dyDescent="0.3">
      <c r="B132" s="56" t="s">
        <v>0</v>
      </c>
      <c r="C132" s="57" t="s">
        <v>1</v>
      </c>
      <c r="D132" s="57" t="s">
        <v>21</v>
      </c>
      <c r="E132" s="57" t="s">
        <v>22</v>
      </c>
      <c r="F132" s="57" t="s">
        <v>3</v>
      </c>
      <c r="G132" s="57" t="s">
        <v>4</v>
      </c>
      <c r="H132" s="57" t="s">
        <v>23</v>
      </c>
      <c r="I132" s="57" t="s">
        <v>17</v>
      </c>
      <c r="J132" s="57" t="s">
        <v>7</v>
      </c>
      <c r="K132" s="57" t="s">
        <v>24</v>
      </c>
      <c r="L132" s="57" t="s">
        <v>10</v>
      </c>
      <c r="M132" s="58" t="s">
        <v>38</v>
      </c>
    </row>
    <row r="133" spans="2:13" x14ac:dyDescent="0.3">
      <c r="B133" s="36"/>
      <c r="C133" s="37"/>
      <c r="D133" s="38"/>
      <c r="E133" s="39"/>
      <c r="F133" s="40"/>
      <c r="G133" s="95" t="str">
        <f>IFERROR(IF(venta_a_mes153[[#This Row],[CUIT]]="","-",VLOOKUP(venta_a_mes153[[#This Row],[CUIT]],Lista_CUIT[#All],2,0)),"CUIT NO CARGADO")</f>
        <v>-</v>
      </c>
      <c r="H133" s="96"/>
      <c r="I133" s="97">
        <f>venta_a_mes153[[#This Row],[IMPORTE NETO]]*0.21</f>
        <v>0</v>
      </c>
      <c r="J133" s="61"/>
      <c r="K133" s="61"/>
      <c r="L133" s="61">
        <f>SUM(venta_a_mes153[[#This Row],[IMPORTE NETO]:[EXENTO]])</f>
        <v>0</v>
      </c>
      <c r="M133" s="55"/>
    </row>
    <row r="134" spans="2:13" x14ac:dyDescent="0.3">
      <c r="B134" s="36"/>
      <c r="C134" s="37"/>
      <c r="D134" s="38"/>
      <c r="E134" s="39"/>
      <c r="F134" s="40"/>
      <c r="G134" s="95" t="str">
        <f>IFERROR(IF(venta_a_mes153[[#This Row],[CUIT]]="","-",VLOOKUP(venta_a_mes153[[#This Row],[CUIT]],Lista_CUIT[#All],2,0)),"CUIT NO CARGADO")</f>
        <v>-</v>
      </c>
      <c r="H134" s="96"/>
      <c r="I134" s="97">
        <f>venta_a_mes153[[#This Row],[IMPORTE NETO]]*0.21</f>
        <v>0</v>
      </c>
      <c r="J134" s="61"/>
      <c r="K134" s="61"/>
      <c r="L134" s="61">
        <f>SUM(venta_a_mes153[[#This Row],[IMPORTE NETO]:[EXENTO]])</f>
        <v>0</v>
      </c>
      <c r="M134" s="55"/>
    </row>
    <row r="135" spans="2:13" x14ac:dyDescent="0.3">
      <c r="B135" s="36"/>
      <c r="C135" s="37"/>
      <c r="D135" s="38"/>
      <c r="E135" s="39"/>
      <c r="F135" s="40"/>
      <c r="G135" s="95" t="str">
        <f>IFERROR(IF(venta_a_mes153[[#This Row],[CUIT]]="","-",VLOOKUP(venta_a_mes153[[#This Row],[CUIT]],Lista_CUIT[#All],2,0)),"CUIT NO CARGADO")</f>
        <v>-</v>
      </c>
      <c r="H135" s="96"/>
      <c r="I135" s="97">
        <f>venta_a_mes153[[#This Row],[IMPORTE NETO]]*0.21</f>
        <v>0</v>
      </c>
      <c r="J135" s="61"/>
      <c r="K135" s="61"/>
      <c r="L135" s="61">
        <f>SUM(venta_a_mes153[[#This Row],[IMPORTE NETO]:[EXENTO]])</f>
        <v>0</v>
      </c>
      <c r="M135" s="55"/>
    </row>
    <row r="136" spans="2:13" x14ac:dyDescent="0.3">
      <c r="B136" s="36"/>
      <c r="C136" s="37"/>
      <c r="D136" s="38"/>
      <c r="E136" s="39"/>
      <c r="F136" s="40"/>
      <c r="G136" s="95" t="str">
        <f>IFERROR(IF(venta_a_mes153[[#This Row],[CUIT]]="","-",VLOOKUP(venta_a_mes153[[#This Row],[CUIT]],Lista_CUIT[#All],2,0)),"CUIT NO CARGADO")</f>
        <v>-</v>
      </c>
      <c r="H136" s="96"/>
      <c r="I136" s="97">
        <f>venta_a_mes153[[#This Row],[IMPORTE NETO]]*0.21</f>
        <v>0</v>
      </c>
      <c r="J136" s="61"/>
      <c r="K136" s="61"/>
      <c r="L136" s="61">
        <f>SUM(venta_a_mes153[[#This Row],[IMPORTE NETO]:[EXENTO]])</f>
        <v>0</v>
      </c>
      <c r="M136" s="55"/>
    </row>
    <row r="137" spans="2:13" x14ac:dyDescent="0.3">
      <c r="B137" s="36"/>
      <c r="C137" s="37"/>
      <c r="D137" s="38"/>
      <c r="E137" s="39"/>
      <c r="F137" s="40"/>
      <c r="G137" s="95" t="str">
        <f>IFERROR(IF(venta_a_mes153[[#This Row],[CUIT]]="","-",VLOOKUP(venta_a_mes153[[#This Row],[CUIT]],Lista_CUIT[#All],2,0)),"CUIT NO CARGADO")</f>
        <v>-</v>
      </c>
      <c r="H137" s="96"/>
      <c r="I137" s="97">
        <f>venta_a_mes153[[#This Row],[IMPORTE NETO]]*0.21</f>
        <v>0</v>
      </c>
      <c r="J137" s="61"/>
      <c r="K137" s="61"/>
      <c r="L137" s="61">
        <f>SUM(venta_a_mes153[[#This Row],[IMPORTE NETO]:[EXENTO]])</f>
        <v>0</v>
      </c>
      <c r="M137" s="55"/>
    </row>
    <row r="138" spans="2:13" x14ac:dyDescent="0.3">
      <c r="B138" s="36"/>
      <c r="C138" s="37"/>
      <c r="D138" s="38"/>
      <c r="E138" s="39"/>
      <c r="F138" s="40"/>
      <c r="G138" s="95" t="str">
        <f>IFERROR(IF(venta_a_mes153[[#This Row],[CUIT]]="","-",VLOOKUP(venta_a_mes153[[#This Row],[CUIT]],Lista_CUIT[#All],2,0)),"CUIT NO CARGADO")</f>
        <v>-</v>
      </c>
      <c r="H138" s="96"/>
      <c r="I138" s="97">
        <f>venta_a_mes153[[#This Row],[IMPORTE NETO]]*0.21</f>
        <v>0</v>
      </c>
      <c r="J138" s="61"/>
      <c r="K138" s="61"/>
      <c r="L138" s="61">
        <f>SUM(venta_a_mes153[[#This Row],[IMPORTE NETO]:[EXENTO]])</f>
        <v>0</v>
      </c>
      <c r="M138" s="55"/>
    </row>
    <row r="139" spans="2:13" x14ac:dyDescent="0.3">
      <c r="B139" s="36"/>
      <c r="C139" s="37"/>
      <c r="D139" s="38"/>
      <c r="E139" s="39"/>
      <c r="F139" s="40"/>
      <c r="G139" s="95" t="str">
        <f>IFERROR(IF(venta_a_mes153[[#This Row],[CUIT]]="","-",VLOOKUP(venta_a_mes153[[#This Row],[CUIT]],Lista_CUIT[#All],2,0)),"CUIT NO CARGADO")</f>
        <v>-</v>
      </c>
      <c r="H139" s="96"/>
      <c r="I139" s="97">
        <f>venta_a_mes153[[#This Row],[IMPORTE NETO]]*0.21</f>
        <v>0</v>
      </c>
      <c r="J139" s="61"/>
      <c r="K139" s="61"/>
      <c r="L139" s="61">
        <f>SUM(venta_a_mes153[[#This Row],[IMPORTE NETO]:[EXENTO]])</f>
        <v>0</v>
      </c>
      <c r="M139" s="59"/>
    </row>
    <row r="140" spans="2:13" x14ac:dyDescent="0.3">
      <c r="B140" s="98"/>
      <c r="C140" s="99"/>
      <c r="D140" s="100"/>
      <c r="E140" s="101"/>
      <c r="F140" s="102"/>
      <c r="G140" s="95" t="str">
        <f>IFERROR(IF(venta_a_mes153[[#This Row],[CUIT]]="","-",VLOOKUP(venta_a_mes153[[#This Row],[CUIT]],Lista_CUIT[#All],2,0)),"CUIT NO CARGADO")</f>
        <v>-</v>
      </c>
      <c r="H140" s="103"/>
      <c r="I140" s="104">
        <f>venta_a_mes153[[#This Row],[IMPORTE NETO]]*0.21</f>
        <v>0</v>
      </c>
      <c r="J140" s="68"/>
      <c r="K140" s="68"/>
      <c r="L140" s="68">
        <f>SUM(venta_a_mes153[[#This Row],[IMPORTE NETO]:[EXENTO]])</f>
        <v>0</v>
      </c>
      <c r="M140" s="59"/>
    </row>
    <row r="141" spans="2:13" x14ac:dyDescent="0.3">
      <c r="B141" s="105"/>
      <c r="C141" s="106"/>
      <c r="D141" s="107"/>
      <c r="E141" s="108"/>
      <c r="F141" s="109"/>
      <c r="G141" s="95" t="str">
        <f>IFERROR(IF(venta_a_mes153[[#This Row],[CUIT]]="","-",VLOOKUP(venta_a_mes153[[#This Row],[CUIT]],Lista_CUIT[#All],2,0)),"CUIT NO CARGADO")</f>
        <v>-</v>
      </c>
      <c r="H141" s="96"/>
      <c r="I141" s="97">
        <f>venta_a_mes153[[#This Row],[IMPORTE NETO]]*0.21</f>
        <v>0</v>
      </c>
      <c r="J141" s="61"/>
      <c r="K141" s="61"/>
      <c r="L141" s="61">
        <f>SUM(venta_a_mes153[[#This Row],[IMPORTE NETO]:[EXENTO]])</f>
        <v>0</v>
      </c>
      <c r="M141" s="55"/>
    </row>
    <row r="142" spans="2:13" x14ac:dyDescent="0.3">
      <c r="B142" s="62" t="s">
        <v>83</v>
      </c>
      <c r="C142" s="63"/>
      <c r="D142" s="63"/>
      <c r="E142" s="63"/>
      <c r="F142" s="63"/>
      <c r="G142" s="63"/>
      <c r="H142" s="65">
        <f>SUBTOTAL(109,venta_a_mes153[IMPORTE NETO])</f>
        <v>0</v>
      </c>
      <c r="I142" s="66">
        <f>SUBTOTAL(109,venta_a_mes153[IVA 21%])</f>
        <v>0</v>
      </c>
      <c r="J142" s="67">
        <f>SUBTOTAL(109,venta_a_mes153[IVA 10,5%])</f>
        <v>0</v>
      </c>
      <c r="K142" s="67">
        <f>SUBTOTAL(109,venta_a_mes153[EXENTO])</f>
        <v>0</v>
      </c>
      <c r="L142" s="67">
        <f>SUBTOTAL(109,venta_a_mes153[TOTAL])</f>
        <v>0</v>
      </c>
      <c r="M142" s="64">
        <f>SUBTOTAL(103,venta_a_mes153[Provincia])</f>
        <v>0</v>
      </c>
    </row>
    <row r="145" spans="2:13" ht="21" x14ac:dyDescent="0.3">
      <c r="B145" s="449" t="s">
        <v>31</v>
      </c>
      <c r="C145" s="449"/>
    </row>
    <row r="146" spans="2:13" ht="15.6" x14ac:dyDescent="0.3">
      <c r="B146" s="56" t="s">
        <v>0</v>
      </c>
      <c r="C146" s="57" t="s">
        <v>1</v>
      </c>
      <c r="D146" s="57" t="s">
        <v>21</v>
      </c>
      <c r="E146" s="57" t="s">
        <v>22</v>
      </c>
      <c r="F146" s="57" t="s">
        <v>3</v>
      </c>
      <c r="G146" s="57" t="s">
        <v>4</v>
      </c>
      <c r="H146" s="57" t="s">
        <v>23</v>
      </c>
      <c r="I146" s="57" t="s">
        <v>17</v>
      </c>
      <c r="J146" s="57" t="s">
        <v>7</v>
      </c>
      <c r="K146" s="57" t="s">
        <v>24</v>
      </c>
      <c r="L146" s="57" t="s">
        <v>10</v>
      </c>
      <c r="M146" s="58" t="s">
        <v>38</v>
      </c>
    </row>
    <row r="147" spans="2:13" x14ac:dyDescent="0.3">
      <c r="B147" s="36"/>
      <c r="C147" s="37"/>
      <c r="D147" s="38"/>
      <c r="E147" s="39"/>
      <c r="F147" s="40"/>
      <c r="G147" s="1" t="str">
        <f>IFERROR(IF(ventas_b_mes154[[#This Row],[CUIT]]="","-",VLOOKUP(ventas_b_mes154[[#This Row],[CUIT]],Lista_CUIT[#All],2,0)),"CUIT NO CARGADO")</f>
        <v>-</v>
      </c>
      <c r="H147" s="60"/>
      <c r="I147" s="60"/>
      <c r="J147" s="60"/>
      <c r="K147" s="60"/>
      <c r="L147" s="60">
        <f>SUM(ventas_b_mes154[[#This Row],[IMPORTE NETO]:[EXENTO]])</f>
        <v>0</v>
      </c>
      <c r="M147" s="55"/>
    </row>
    <row r="148" spans="2:13" x14ac:dyDescent="0.3">
      <c r="B148" s="36"/>
      <c r="C148" s="37"/>
      <c r="D148" s="38"/>
      <c r="E148" s="39"/>
      <c r="F148" s="40"/>
      <c r="G148" s="1"/>
      <c r="H148" s="60"/>
      <c r="I148" s="60"/>
      <c r="J148" s="60"/>
      <c r="K148" s="60"/>
      <c r="L148" s="60">
        <f>SUM(ventas_b_mes154[[#This Row],[IMPORTE NETO]:[EXENTO]])</f>
        <v>0</v>
      </c>
      <c r="M148" s="55"/>
    </row>
    <row r="149" spans="2:13" x14ac:dyDescent="0.3">
      <c r="B149" s="36"/>
      <c r="C149" s="37"/>
      <c r="D149" s="38"/>
      <c r="E149" s="39"/>
      <c r="F149" s="40"/>
      <c r="G149" s="1"/>
      <c r="H149" s="60"/>
      <c r="I149" s="60"/>
      <c r="J149" s="60"/>
      <c r="K149" s="60"/>
      <c r="L149" s="60">
        <f>SUM(ventas_b_mes154[[#This Row],[IMPORTE NETO]:[EXENTO]])</f>
        <v>0</v>
      </c>
      <c r="M149" s="55"/>
    </row>
    <row r="150" spans="2:13" x14ac:dyDescent="0.3">
      <c r="B150" s="36"/>
      <c r="C150" s="37"/>
      <c r="D150" s="38"/>
      <c r="E150" s="39"/>
      <c r="F150" s="40"/>
      <c r="G150" s="1"/>
      <c r="H150" s="60"/>
      <c r="I150" s="60"/>
      <c r="J150" s="60"/>
      <c r="K150" s="60"/>
      <c r="L150" s="60">
        <f>SUM(ventas_b_mes154[[#This Row],[IMPORTE NETO]:[EXENTO]])</f>
        <v>0</v>
      </c>
      <c r="M150" s="55"/>
    </row>
    <row r="151" spans="2:13" x14ac:dyDescent="0.3">
      <c r="B151" s="36"/>
      <c r="C151" s="37"/>
      <c r="D151" s="38"/>
      <c r="E151" s="39"/>
      <c r="F151" s="40"/>
      <c r="G151" s="1"/>
      <c r="H151" s="60"/>
      <c r="I151" s="60"/>
      <c r="J151" s="60"/>
      <c r="K151" s="60"/>
      <c r="L151" s="60">
        <f>SUM(ventas_b_mes154[[#This Row],[IMPORTE NETO]:[EXENTO]])</f>
        <v>0</v>
      </c>
      <c r="M151" s="55"/>
    </row>
    <row r="152" spans="2:13" x14ac:dyDescent="0.3">
      <c r="B152" s="36"/>
      <c r="C152" s="37"/>
      <c r="D152" s="38"/>
      <c r="E152" s="39"/>
      <c r="F152" s="40"/>
      <c r="G152" s="1"/>
      <c r="H152" s="60"/>
      <c r="I152" s="60"/>
      <c r="J152" s="60"/>
      <c r="K152" s="60"/>
      <c r="L152" s="60">
        <f>SUM(ventas_b_mes154[[#This Row],[IMPORTE NETO]:[EXENTO]])</f>
        <v>0</v>
      </c>
      <c r="M152" s="55"/>
    </row>
    <row r="153" spans="2:13" x14ac:dyDescent="0.3">
      <c r="B153" s="62" t="s">
        <v>83</v>
      </c>
      <c r="C153" s="63"/>
      <c r="D153" s="63"/>
      <c r="E153" s="63"/>
      <c r="F153" s="63"/>
      <c r="G153" s="63"/>
      <c r="H153" s="73">
        <f>SUBTOTAL(109,ventas_b_mes154[IMPORTE NETO])</f>
        <v>0</v>
      </c>
      <c r="I153" s="73">
        <f>SUBTOTAL(109,ventas_b_mes154[IVA 21%])</f>
        <v>0</v>
      </c>
      <c r="J153" s="74">
        <f>SUBTOTAL(109,ventas_b_mes154[IVA 10,5%])</f>
        <v>0</v>
      </c>
      <c r="K153" s="74">
        <f>SUBTOTAL(109,ventas_b_mes154[EXENTO])</f>
        <v>0</v>
      </c>
      <c r="L153" s="74">
        <f>SUBTOTAL(109,ventas_b_mes154[TOTAL])</f>
        <v>0</v>
      </c>
      <c r="M153" s="64">
        <f>SUBTOTAL(103,ventas_b_mes154[Provincia])</f>
        <v>0</v>
      </c>
    </row>
    <row r="160" spans="2:13" ht="15" thickBot="1" x14ac:dyDescent="0.35"/>
    <row r="161" spans="3:12" ht="15" thickTop="1" x14ac:dyDescent="0.3">
      <c r="C161" s="447" t="s">
        <v>48</v>
      </c>
      <c r="D161" s="447"/>
      <c r="E161" s="447"/>
      <c r="F161" s="447"/>
      <c r="G161" s="447"/>
      <c r="H161" s="29"/>
      <c r="I161" s="29"/>
      <c r="J161" s="29"/>
    </row>
    <row r="162" spans="3:12" ht="15.6" x14ac:dyDescent="0.3">
      <c r="C162" s="110" t="s">
        <v>49</v>
      </c>
      <c r="D162" s="111" t="s">
        <v>50</v>
      </c>
      <c r="E162" s="111" t="s">
        <v>85</v>
      </c>
      <c r="F162" s="111" t="s">
        <v>3</v>
      </c>
      <c r="G162" s="111" t="s">
        <v>4</v>
      </c>
      <c r="H162" s="112" t="s">
        <v>51</v>
      </c>
      <c r="I162" s="112" t="s">
        <v>52</v>
      </c>
      <c r="J162" s="112" t="s">
        <v>53</v>
      </c>
      <c r="K162" s="112" t="s">
        <v>54</v>
      </c>
      <c r="L162" s="112" t="s">
        <v>55</v>
      </c>
    </row>
    <row r="163" spans="3:12" x14ac:dyDescent="0.3">
      <c r="C163" s="113"/>
      <c r="D163" s="114"/>
      <c r="E163" s="114"/>
      <c r="F163" s="115"/>
      <c r="G163" s="49" t="str">
        <f>IFERROR(IF(retenciones_mes156[[#This Row],[CUIT]]="","-",VLOOKUP(retenciones_mes156[[#This Row],[CUIT]],Lista_CUIT[#All],2,0)),"CUIT NO CARGADO")</f>
        <v>-</v>
      </c>
      <c r="H163" s="116"/>
      <c r="I163" s="116"/>
      <c r="J163" s="116"/>
      <c r="K163" s="116"/>
      <c r="L163" s="116"/>
    </row>
    <row r="164" spans="3:12" x14ac:dyDescent="0.3">
      <c r="C164" s="113"/>
      <c r="D164" s="114"/>
      <c r="E164" s="114"/>
      <c r="F164" s="115"/>
      <c r="G164" s="49" t="str">
        <f>IFERROR(IF(retenciones_mes156[[#This Row],[CUIT]]="","-",VLOOKUP(retenciones_mes156[[#This Row],[CUIT]],Lista_CUIT[#All],2,0)),"CUIT NO CARGADO")</f>
        <v>-</v>
      </c>
      <c r="H164" s="116"/>
      <c r="I164" s="116"/>
      <c r="J164" s="116"/>
      <c r="K164" s="116"/>
      <c r="L164" s="116"/>
    </row>
    <row r="165" spans="3:12" x14ac:dyDescent="0.3">
      <c r="C165" s="113"/>
      <c r="D165" s="114"/>
      <c r="E165" s="114"/>
      <c r="F165" s="115"/>
      <c r="G165" s="49" t="str">
        <f>IFERROR(IF(retenciones_mes156[[#This Row],[CUIT]]="","-",VLOOKUP(retenciones_mes156[[#This Row],[CUIT]],Lista_CUIT[#All],2,0)),"CUIT NO CARGADO")</f>
        <v>-</v>
      </c>
      <c r="H165" s="116"/>
      <c r="I165" s="116"/>
      <c r="J165" s="116"/>
      <c r="K165" s="116"/>
      <c r="L165" s="116"/>
    </row>
    <row r="166" spans="3:12" x14ac:dyDescent="0.3">
      <c r="C166" s="113"/>
      <c r="D166" s="114"/>
      <c r="E166" s="114"/>
      <c r="F166" s="115"/>
      <c r="G166" s="49" t="str">
        <f>IFERROR(IF(retenciones_mes156[[#This Row],[CUIT]]="","-",VLOOKUP(retenciones_mes156[[#This Row],[CUIT]],Lista_CUIT[#All],2,0)),"CUIT NO CARGADO")</f>
        <v>-</v>
      </c>
      <c r="H166" s="116"/>
      <c r="I166" s="116"/>
      <c r="J166" s="116"/>
      <c r="K166" s="116"/>
      <c r="L166" s="116"/>
    </row>
    <row r="167" spans="3:12" x14ac:dyDescent="0.3">
      <c r="D167" s="114"/>
      <c r="E167" s="114"/>
      <c r="G167" s="49" t="str">
        <f>IFERROR(IF(retenciones_mes156[[#This Row],[CUIT]]="","-",VLOOKUP(retenciones_mes156[[#This Row],[CUIT]],Lista_CUIT[#All],2,0)),"CUIT NO CARGADO")</f>
        <v>-</v>
      </c>
    </row>
    <row r="168" spans="3:12" x14ac:dyDescent="0.3">
      <c r="C168" s="30"/>
    </row>
  </sheetData>
  <mergeCells count="20">
    <mergeCell ref="P4:R4"/>
    <mergeCell ref="D100:M100"/>
    <mergeCell ref="B1:F1"/>
    <mergeCell ref="G1:M1"/>
    <mergeCell ref="N1:R1"/>
    <mergeCell ref="B3:E3"/>
    <mergeCell ref="G3:H3"/>
    <mergeCell ref="J3:K3"/>
    <mergeCell ref="M3:N3"/>
    <mergeCell ref="P3:R3"/>
    <mergeCell ref="C161:G161"/>
    <mergeCell ref="B4:E4"/>
    <mergeCell ref="G4:H4"/>
    <mergeCell ref="J4:K4"/>
    <mergeCell ref="M4:N4"/>
    <mergeCell ref="D117:K117"/>
    <mergeCell ref="B129:J129"/>
    <mergeCell ref="K129:M129"/>
    <mergeCell ref="B131:C131"/>
    <mergeCell ref="B145:C145"/>
  </mergeCells>
  <dataValidations count="15">
    <dataValidation type="custom" allowBlank="1" showInputMessage="1" showErrorMessage="1" errorTitle="Error de Ingreso" error="Ingreso condicionado al tipo de compra:_x000a_- Tipo 001: solo positivo_x000a_- Tipo 002: solo positivo_x000a_- Tipo 003: solo negativo" sqref="O85">
      <formula1>IF(#REF!=3,O85&lt;0,O85&gt;=0)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67">
      <formula1>IF(#REF!=3,H67&lt;0,H67&gt;=0)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O86:O87 H9:H66 I9:O84 H68:H87 I85:N87">
      <formula1>IF($C9=3,H9&lt;0,H9&gt;=0)</formula1>
    </dataValidation>
    <dataValidation type="custom" allowBlank="1" showInputMessage="1" showErrorMessage="1" sqref="L135:L137">
      <formula1>IF(#REF!=3,#REF!&lt;0,#REF!&gt;=0)</formula1>
    </dataValidation>
    <dataValidation type="custom" allowBlank="1" showInputMessage="1" showErrorMessage="1" sqref="L134">
      <formula1>IF(#REF!=3,#REF!&lt;0,#REF!&gt;=0)</formula1>
    </dataValidation>
    <dataValidation type="custom" allowBlank="1" showInputMessage="1" showErrorMessage="1" sqref="L133">
      <formula1>IF($C9=3,L9&lt;0,L9&gt;=0)</formula1>
    </dataValidation>
    <dataValidation type="custom" allowBlank="1" showInputMessage="1" showErrorMessage="1" sqref="H147:L152">
      <formula1>IF($C147=8,H147&lt;0,H147&gt;=0)</formula1>
    </dataValidation>
    <dataValidation type="whole" allowBlank="1" showInputMessage="1" showErrorMessage="1" sqref="C147:C152">
      <formula1>6</formula1>
      <formula2>8</formula2>
    </dataValidation>
    <dataValidation type="custom" allowBlank="1" showInputMessage="1" showErrorMessage="1" sqref="H133:K133 H135:K135 H137:K137 H139:K139">
      <formula1>IF($C133=3,H133&lt;0,H133&gt;=0)</formula1>
    </dataValidation>
    <dataValidation type="whole" allowBlank="1" showInputMessage="1" showErrorMessage="1" sqref="C133:C141 C96:C99 C9:C94">
      <formula1>1</formula1>
      <formula2>3</formula2>
    </dataValidation>
    <dataValidation type="date" allowBlank="1" showInputMessage="1" showErrorMessage="1" sqref="B133:B141 D119:D122 B96:B99 B147:B152 D102:D111 B9:B94">
      <formula1>40179</formula1>
      <formula2>TODAY()</formula2>
    </dataValidation>
    <dataValidation type="whole" allowBlank="1" showInputMessage="1" showErrorMessage="1" sqref="G119:G122 F133:F141 F147:F152 F9:F94">
      <formula1>20000000000</formula1>
      <formula2>33999999999</formula2>
    </dataValidation>
    <dataValidation type="whole" allowBlank="1" showInputMessage="1" showErrorMessage="1" sqref="F119:F122 E133:E141 E147:E152 E9:E94">
      <formula1>1</formula1>
      <formula2>99999999</formula2>
    </dataValidation>
    <dataValidation type="whole" allowBlank="1" showInputMessage="1" showErrorMessage="1" sqref="E119:E122 D133:D141 D147:D152 D9:D60 D66:D87">
      <formula1>1</formula1>
      <formula2>9999</formula2>
    </dataValidation>
    <dataValidation type="custom" allowBlank="1" showInputMessage="1" showErrorMessage="1" sqref="L138:L139">
      <formula1>IF($C95=3,L95&lt;0,L95&gt;=0)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0.79998168889431442"/>
  </sheetPr>
  <dimension ref="A1:Z331"/>
  <sheetViews>
    <sheetView showGridLines="0" topLeftCell="B73" zoomScale="70" zoomScaleNormal="70" workbookViewId="0">
      <selection activeCell="G5" sqref="G5"/>
    </sheetView>
  </sheetViews>
  <sheetFormatPr baseColWidth="1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16.5546875" customWidth="1"/>
    <col min="9" max="9" width="17.5546875" customWidth="1"/>
    <col min="10" max="10" width="15.33203125" customWidth="1"/>
    <col min="11" max="11" width="14.33203125" customWidth="1"/>
    <col min="12" max="12" width="11.6640625" customWidth="1"/>
    <col min="13" max="13" width="15.88671875" customWidth="1"/>
    <col min="14" max="14" width="18.33203125" customWidth="1"/>
    <col min="15" max="15" width="18.5546875" customWidth="1"/>
    <col min="16" max="16" width="18.44140625" style="32" customWidth="1"/>
    <col min="17" max="17" width="21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</cols>
  <sheetData>
    <row r="1" spans="1:26" ht="34.950000000000003" customHeight="1" x14ac:dyDescent="0.3">
      <c r="A1" s="33"/>
      <c r="B1" s="450" t="s">
        <v>28</v>
      </c>
      <c r="C1" s="450"/>
      <c r="D1" s="450"/>
      <c r="E1" s="450"/>
      <c r="F1" s="450"/>
      <c r="G1" s="457" t="str">
        <f>'Ene-22'!G1:M1</f>
        <v>EUROARGENTINA</v>
      </c>
      <c r="H1" s="457"/>
      <c r="I1" s="457"/>
      <c r="J1" s="457"/>
      <c r="K1" s="457"/>
      <c r="L1" s="457"/>
      <c r="M1" s="457"/>
      <c r="N1" s="448">
        <f>EDATE('Ene-22'!N1,3)</f>
        <v>44652</v>
      </c>
      <c r="O1" s="448"/>
      <c r="P1" s="448"/>
      <c r="Q1" s="448"/>
      <c r="R1" s="448"/>
    </row>
    <row r="2" spans="1:26" ht="15" customHeight="1" x14ac:dyDescent="0.3"/>
    <row r="3" spans="1:26" ht="26.4" customHeight="1" x14ac:dyDescent="0.3">
      <c r="B3" s="453" t="s">
        <v>47</v>
      </c>
      <c r="C3" s="453"/>
      <c r="D3" s="453"/>
      <c r="E3" s="453"/>
      <c r="F3" s="34"/>
      <c r="G3" s="453" t="s">
        <v>37</v>
      </c>
      <c r="H3" s="453"/>
      <c r="I3" s="34"/>
      <c r="J3" s="445" t="s">
        <v>14</v>
      </c>
      <c r="K3" s="445"/>
      <c r="L3" s="34"/>
      <c r="M3" s="445" t="s">
        <v>12</v>
      </c>
      <c r="N3" s="445"/>
      <c r="O3" s="34"/>
      <c r="P3" s="444" t="s">
        <v>82</v>
      </c>
      <c r="Q3" s="444"/>
      <c r="R3" s="444"/>
    </row>
    <row r="4" spans="1:26" ht="25.2" customHeight="1" x14ac:dyDescent="0.4">
      <c r="B4" s="454">
        <f>SUM(compras_mes4[[#Totals],[NETO GRAVADO]])+extracto_banco_mes15516[[#Totals],[NETO]]</f>
        <v>7938454.1899999976</v>
      </c>
      <c r="C4" s="454"/>
      <c r="D4" s="454"/>
      <c r="E4" s="454"/>
      <c r="F4" s="35"/>
      <c r="G4" s="455">
        <f>compras_mes4[[#Totals],[IVA 21 %]]+compras_mes4[[#Totals],[IVA 27%]]+compras_mes4[[#Totals],[IVA 10,5%]]+extracto_banco_mes15516[[#Totals],[IVA 21%]]</f>
        <v>1995795.44</v>
      </c>
      <c r="H4" s="455"/>
      <c r="I4" s="35"/>
      <c r="J4" s="446" t="e">
        <f>venta_a_mes4[[#Totals],[IMPORTE NETO]]+#REF!</f>
        <v>#REF!</v>
      </c>
      <c r="K4" s="446"/>
      <c r="L4" s="35"/>
      <c r="M4" s="446" t="e">
        <f>venta_a_mes4[[#Totals],[IVA 21%]]+venta_a_mes4[[#Totals],[IVA 10,5%]]+#REF!+#REF!</f>
        <v>#REF!</v>
      </c>
      <c r="N4" s="446"/>
      <c r="O4" s="35"/>
      <c r="P4" s="442" t="e">
        <f>G4-M4</f>
        <v>#REF!</v>
      </c>
      <c r="Q4" s="443"/>
      <c r="R4" s="44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36"/>
      <c r="C7" s="37"/>
      <c r="D7" s="38"/>
      <c r="E7" s="39"/>
      <c r="F7" s="40"/>
      <c r="G7" s="41"/>
      <c r="H7" s="42"/>
      <c r="I7" s="43"/>
      <c r="J7" s="43"/>
      <c r="K7" s="43"/>
      <c r="L7" s="43"/>
      <c r="M7" s="43"/>
      <c r="N7" s="43"/>
      <c r="O7" s="43"/>
      <c r="P7" s="44"/>
      <c r="Q7" s="45"/>
      <c r="R7" s="45"/>
      <c r="T7"/>
      <c r="U7"/>
      <c r="V7"/>
      <c r="W7"/>
      <c r="X7"/>
      <c r="Y7"/>
      <c r="Z7"/>
    </row>
    <row r="8" spans="1:26" ht="38.4" customHeight="1" x14ac:dyDescent="0.3">
      <c r="B8" s="80" t="s">
        <v>0</v>
      </c>
      <c r="C8" s="80" t="s">
        <v>1</v>
      </c>
      <c r="D8" s="80" t="s">
        <v>2</v>
      </c>
      <c r="E8" s="80" t="s">
        <v>27</v>
      </c>
      <c r="F8" s="80" t="s">
        <v>3</v>
      </c>
      <c r="G8" s="80" t="s">
        <v>4</v>
      </c>
      <c r="H8" s="80" t="s">
        <v>34</v>
      </c>
      <c r="I8" s="80" t="s">
        <v>35</v>
      </c>
      <c r="J8" s="80" t="s">
        <v>6</v>
      </c>
      <c r="K8" s="80" t="s">
        <v>7</v>
      </c>
      <c r="L8" s="80" t="s">
        <v>8</v>
      </c>
      <c r="M8" s="80" t="s">
        <v>33</v>
      </c>
      <c r="N8" s="80" t="s">
        <v>9</v>
      </c>
      <c r="O8" s="80" t="s">
        <v>36</v>
      </c>
      <c r="P8" s="80" t="s">
        <v>10</v>
      </c>
      <c r="Q8" s="80" t="s">
        <v>11</v>
      </c>
      <c r="R8" s="80" t="s">
        <v>38</v>
      </c>
    </row>
    <row r="9" spans="1:26" x14ac:dyDescent="0.3">
      <c r="B9" s="36">
        <v>44652</v>
      </c>
      <c r="C9" s="37">
        <v>1</v>
      </c>
      <c r="D9" s="38">
        <v>1</v>
      </c>
      <c r="E9" s="39">
        <v>33</v>
      </c>
      <c r="F9" s="40">
        <v>30716010313</v>
      </c>
      <c r="G9" s="41" t="str">
        <f>IFERROR(IF(compras_mes4[[#This Row],[CUIT]]="","-",VLOOKUP(compras_mes4[[#This Row],[CUIT]],Lista_CUIT[#All],2,0)),"CUIT NO CARGADO")</f>
        <v>H UNO 1469 S.A.</v>
      </c>
      <c r="H9" s="42">
        <v>32000</v>
      </c>
      <c r="I9" s="81">
        <v>6720</v>
      </c>
      <c r="J9" s="81"/>
      <c r="K9" s="81"/>
      <c r="L9" s="81"/>
      <c r="M9" s="81"/>
      <c r="N9" s="81"/>
      <c r="O9" s="81"/>
      <c r="P9" s="44">
        <v>38720</v>
      </c>
      <c r="Q9" s="45" t="str">
        <f>IFERROR(IF(compras_mes4[[#This Row],[CUIT]]="","-",VLOOKUP(compras_mes4[[#This Row],[CUIT]],Lista_CUIT[#All],3,0)),"CUIT NO CARGADO")</f>
        <v>Alquiler</v>
      </c>
      <c r="R9" s="45">
        <f>IFERROR(IF(compras_mes4[[#This Row],[CUIT]]="","-",VLOOKUP(compras_mes4[[#This Row],[CUIT]],Lista_CUIT[#All],4,0)),"CUIT NO CARGADO")</f>
        <v>0</v>
      </c>
    </row>
    <row r="10" spans="1:26" x14ac:dyDescent="0.3">
      <c r="B10" s="36">
        <v>44652</v>
      </c>
      <c r="C10" s="37">
        <v>1</v>
      </c>
      <c r="D10" s="38">
        <v>1</v>
      </c>
      <c r="E10" s="39">
        <v>236</v>
      </c>
      <c r="F10" s="40">
        <v>20131206144</v>
      </c>
      <c r="G10" s="41" t="str">
        <f>IFERROR(IF(compras_mes4[[#This Row],[CUIT]]="","-",VLOOKUP(compras_mes4[[#This Row],[CUIT]],Lista_CUIT[#All],2,0)),"CUIT NO CARGADO")</f>
        <v>CHAMORRO MANUEL</v>
      </c>
      <c r="H10" s="42">
        <v>18000</v>
      </c>
      <c r="I10" s="81">
        <v>3780</v>
      </c>
      <c r="J10" s="81"/>
      <c r="K10" s="81"/>
      <c r="L10" s="81"/>
      <c r="M10" s="81"/>
      <c r="N10" s="81"/>
      <c r="O10" s="81"/>
      <c r="P10" s="44">
        <v>21780</v>
      </c>
      <c r="Q10" s="45" t="str">
        <f>IFERROR(IF(compras_mes4[[#This Row],[CUIT]]="","-",VLOOKUP(compras_mes4[[#This Row],[CUIT]],Lista_CUIT[#All],3,0)),"CUIT NO CARGADO")</f>
        <v>Alquiler</v>
      </c>
      <c r="R10" s="45">
        <f>IFERROR(IF(compras_mes4[[#This Row],[CUIT]]="","-",VLOOKUP(compras_mes4[[#This Row],[CUIT]],Lista_CUIT[#All],4,0)),"CUIT NO CARGADO")</f>
        <v>0</v>
      </c>
    </row>
    <row r="11" spans="1:26" x14ac:dyDescent="0.3">
      <c r="B11" s="85">
        <v>44657</v>
      </c>
      <c r="C11" s="86">
        <v>1</v>
      </c>
      <c r="D11" s="38">
        <v>7</v>
      </c>
      <c r="E11" s="39">
        <v>4085</v>
      </c>
      <c r="F11" s="89">
        <v>30716825309</v>
      </c>
      <c r="G11" s="41" t="str">
        <f>IFERROR(IF(compras_mes4[[#This Row],[CUIT]]="","-",VLOOKUP(compras_mes4[[#This Row],[CUIT]],Lista_CUIT[#All],2,0)),"CUIT NO CARGADO")</f>
        <v>LOS  ACCESOS  3</v>
      </c>
      <c r="H11" s="91">
        <v>2624.26</v>
      </c>
      <c r="I11" s="82">
        <v>551.09</v>
      </c>
      <c r="J11" s="82"/>
      <c r="K11" s="82"/>
      <c r="L11" s="82"/>
      <c r="M11" s="82"/>
      <c r="N11" s="82">
        <v>726.04</v>
      </c>
      <c r="O11" s="82"/>
      <c r="P11" s="83">
        <v>3901.39</v>
      </c>
      <c r="Q11" s="84" t="str">
        <f>IFERROR(IF(compras_mes4[[#This Row],[CUIT]]="","-",VLOOKUP(compras_mes4[[#This Row],[CUIT]],Lista_CUIT[#All],3,0)),"CUIT NO CARGADO")</f>
        <v>Combustible</v>
      </c>
      <c r="R11" s="84">
        <f>IFERROR(IF(compras_mes4[[#This Row],[CUIT]]="","-",VLOOKUP(compras_mes4[[#This Row],[CUIT]],Lista_CUIT[#All],4,0)),"CUIT NO CARGADO")</f>
        <v>0</v>
      </c>
    </row>
    <row r="12" spans="1:26" x14ac:dyDescent="0.3">
      <c r="B12" s="85">
        <v>44659</v>
      </c>
      <c r="C12" s="86">
        <v>1</v>
      </c>
      <c r="D12" s="38">
        <v>14</v>
      </c>
      <c r="E12" s="39">
        <v>17904</v>
      </c>
      <c r="F12" s="89">
        <v>30708549041</v>
      </c>
      <c r="G12" s="41" t="str">
        <f>IFERROR(IF(compras_mes4[[#This Row],[CUIT]]="","-",VLOOKUP(compras_mes4[[#This Row],[CUIT]],Lista_CUIT[#All],2,0)),"CUIT NO CARGADO")</f>
        <v>FLORIPO  S.A.</v>
      </c>
      <c r="H12" s="91">
        <v>3563.83</v>
      </c>
      <c r="I12" s="82">
        <v>748.4</v>
      </c>
      <c r="J12" s="82"/>
      <c r="K12" s="82"/>
      <c r="L12" s="82"/>
      <c r="M12" s="82"/>
      <c r="N12" s="82">
        <v>125.77</v>
      </c>
      <c r="O12" s="82"/>
      <c r="P12" s="83">
        <v>4438</v>
      </c>
      <c r="Q12" s="84" t="str">
        <f>IFERROR(IF(compras_mes4[[#This Row],[CUIT]]="","-",VLOOKUP(compras_mes4[[#This Row],[CUIT]],Lista_CUIT[#All],3,0)),"CUIT NO CARGADO")</f>
        <v>Combustible</v>
      </c>
      <c r="R12" s="84">
        <f>IFERROR(IF(compras_mes4[[#This Row],[CUIT]]="","-",VLOOKUP(compras_mes4[[#This Row],[CUIT]],Lista_CUIT[#All],4,0)),"CUIT NO CARGADO")</f>
        <v>0</v>
      </c>
    </row>
    <row r="13" spans="1:26" x14ac:dyDescent="0.3">
      <c r="B13" s="36">
        <v>44680</v>
      </c>
      <c r="C13" s="37">
        <v>1</v>
      </c>
      <c r="D13" s="38">
        <v>14</v>
      </c>
      <c r="E13" s="39">
        <v>9347</v>
      </c>
      <c r="F13" s="40">
        <v>33707010059</v>
      </c>
      <c r="G13" s="41" t="str">
        <f>IFERROR(IF(compras_mes4[[#This Row],[CUIT]]="","-",VLOOKUP(compras_mes4[[#This Row],[CUIT]],Lista_CUIT[#All],2,0)),"CUIT NO CARGADO")</f>
        <v>BUZANCY  S.A.</v>
      </c>
      <c r="H13" s="42">
        <v>2545.1799999999998</v>
      </c>
      <c r="I13" s="81">
        <v>534.49</v>
      </c>
      <c r="J13" s="81"/>
      <c r="K13" s="81"/>
      <c r="L13" s="81">
        <v>474.3</v>
      </c>
      <c r="M13" s="81"/>
      <c r="N13" s="81"/>
      <c r="O13" s="81"/>
      <c r="P13" s="44">
        <v>3553.97</v>
      </c>
      <c r="Q13" s="45" t="str">
        <f>IFERROR(IF(compras_mes4[[#This Row],[CUIT]]="","-",VLOOKUP(compras_mes4[[#This Row],[CUIT]],Lista_CUIT[#All],3,0)),"CUIT NO CARGADO")</f>
        <v>Combustible</v>
      </c>
      <c r="R13" s="45">
        <f>IFERROR(IF(compras_mes4[[#This Row],[CUIT]]="","-",VLOOKUP(compras_mes4[[#This Row],[CUIT]],Lista_CUIT[#All],4,0)),"CUIT NO CARGADO")</f>
        <v>0</v>
      </c>
    </row>
    <row r="14" spans="1:26" x14ac:dyDescent="0.3">
      <c r="B14" s="36">
        <v>44657</v>
      </c>
      <c r="C14" s="37">
        <v>1</v>
      </c>
      <c r="D14" s="38">
        <v>2036</v>
      </c>
      <c r="E14" s="39">
        <v>15655</v>
      </c>
      <c r="F14" s="40">
        <v>30516186670</v>
      </c>
      <c r="G14" s="41" t="str">
        <f>IFERROR(IF(compras_mes4[[#This Row],[CUIT]]="","-",VLOOKUP(compras_mes4[[#This Row],[CUIT]],Lista_CUIT[#All],2,0)),"CUIT NO CARGADO")</f>
        <v>DEHEZA S.A.I.C.F. e I.</v>
      </c>
      <c r="H14" s="42">
        <v>1279.07</v>
      </c>
      <c r="I14" s="81">
        <v>268.60000000000002</v>
      </c>
      <c r="J14" s="81"/>
      <c r="K14" s="81"/>
      <c r="L14" s="81"/>
      <c r="M14" s="81"/>
      <c r="N14" s="81">
        <v>352.27</v>
      </c>
      <c r="O14" s="81">
        <v>97.88</v>
      </c>
      <c r="P14" s="44">
        <v>1997.82</v>
      </c>
      <c r="Q14" s="45" t="str">
        <f>IFERROR(IF(compras_mes4[[#This Row],[CUIT]]="","-",VLOOKUP(compras_mes4[[#This Row],[CUIT]],Lista_CUIT[#All],3,0)),"CUIT NO CARGADO")</f>
        <v>Combustible</v>
      </c>
      <c r="R14" s="45">
        <f>IFERROR(IF(compras_mes4[[#This Row],[CUIT]]="","-",VLOOKUP(compras_mes4[[#This Row],[CUIT]],Lista_CUIT[#All],4,0)),"CUIT NO CARGADO")</f>
        <v>0</v>
      </c>
    </row>
    <row r="15" spans="1:26" x14ac:dyDescent="0.3">
      <c r="B15" s="36">
        <v>44663</v>
      </c>
      <c r="C15" s="37">
        <v>1</v>
      </c>
      <c r="D15" s="38">
        <v>5141</v>
      </c>
      <c r="E15" s="39">
        <v>2648</v>
      </c>
      <c r="F15" s="40">
        <v>30695542476</v>
      </c>
      <c r="G15" s="41" t="str">
        <f>IFERROR(IF(compras_mes4[[#This Row],[CUIT]]="","-",VLOOKUP(compras_mes4[[#This Row],[CUIT]],Lista_CUIT[#All],2,0)),"CUIT NO CARGADO")</f>
        <v>PAN  AMERICAN  ENERGY  SL  S.AR</v>
      </c>
      <c r="H15" s="42">
        <v>969.82</v>
      </c>
      <c r="I15" s="81">
        <v>203.66</v>
      </c>
      <c r="J15" s="81"/>
      <c r="K15" s="81"/>
      <c r="L15" s="81"/>
      <c r="M15" s="81"/>
      <c r="N15" s="81">
        <v>2101.5100000000002</v>
      </c>
      <c r="O15" s="81"/>
      <c r="P15" s="44">
        <v>3274.99</v>
      </c>
      <c r="Q15" s="45" t="str">
        <f>IFERROR(IF(compras_mes4[[#This Row],[CUIT]]="","-",VLOOKUP(compras_mes4[[#This Row],[CUIT]],Lista_CUIT[#All],3,0)),"CUIT NO CARGADO")</f>
        <v>Combustible</v>
      </c>
      <c r="R15" s="45">
        <f>IFERROR(IF(compras_mes4[[#This Row],[CUIT]]="","-",VLOOKUP(compras_mes4[[#This Row],[CUIT]],Lista_CUIT[#All],4,0)),"CUIT NO CARGADO")</f>
        <v>0</v>
      </c>
    </row>
    <row r="16" spans="1:26" s="52" customFormat="1" ht="18.600000000000001" customHeight="1" x14ac:dyDescent="0.3">
      <c r="B16" s="85">
        <v>44666</v>
      </c>
      <c r="C16" s="86">
        <v>1</v>
      </c>
      <c r="D16" s="38">
        <v>11</v>
      </c>
      <c r="E16" s="39">
        <v>1577</v>
      </c>
      <c r="F16" s="89">
        <v>30653466931</v>
      </c>
      <c r="G16" s="41" t="str">
        <f>IFERROR(IF(compras_mes4[[#This Row],[CUIT]]="","-",VLOOKUP(compras_mes4[[#This Row],[CUIT]],Lista_CUIT[#All],2,0)),"CUIT NO CARGADO")</f>
        <v>GNC  ESCOBAR  S.A.</v>
      </c>
      <c r="H16" s="91">
        <v>2762.33</v>
      </c>
      <c r="I16" s="82">
        <v>580.09</v>
      </c>
      <c r="J16" s="82"/>
      <c r="K16" s="82"/>
      <c r="L16" s="82">
        <v>759.15</v>
      </c>
      <c r="M16" s="82"/>
      <c r="N16" s="82"/>
      <c r="O16" s="82"/>
      <c r="P16" s="83">
        <v>4101.57</v>
      </c>
      <c r="Q16" s="84" t="str">
        <f>IFERROR(IF(compras_mes4[[#This Row],[CUIT]]="","-",VLOOKUP(compras_mes4[[#This Row],[CUIT]],Lista_CUIT[#All],3,0)),"CUIT NO CARGADO")</f>
        <v>Combustible</v>
      </c>
      <c r="R16" s="84">
        <f>IFERROR(IF(compras_mes4[[#This Row],[CUIT]]="","-",VLOOKUP(compras_mes4[[#This Row],[CUIT]],Lista_CUIT[#All],4,0)),"CUIT NO CARGADO")</f>
        <v>0</v>
      </c>
    </row>
    <row r="17" spans="2:18" x14ac:dyDescent="0.3">
      <c r="B17" s="376">
        <v>44678</v>
      </c>
      <c r="C17" s="86">
        <v>1</v>
      </c>
      <c r="D17" s="38">
        <v>6852</v>
      </c>
      <c r="E17" s="39">
        <v>8581</v>
      </c>
      <c r="F17" s="89">
        <v>30678774495</v>
      </c>
      <c r="G17" s="41" t="str">
        <f>IFERROR(IF(compras_mes4[[#This Row],[CUIT]]="","-",VLOOKUP(compras_mes4[[#This Row],[CUIT]],Lista_CUIT[#All],2,0)),"CUIT NO CARGADO")</f>
        <v>OPER. DE EST. DE SERV. SA</v>
      </c>
      <c r="H17" s="377">
        <v>6112.44</v>
      </c>
      <c r="I17" s="377">
        <v>1283.6099999999999</v>
      </c>
      <c r="L17" s="377">
        <v>1706.25</v>
      </c>
      <c r="P17" s="379">
        <v>9102.2999999999993</v>
      </c>
      <c r="Q17" s="45" t="str">
        <f>IFERROR(IF(compras_mes4[[#This Row],[CUIT]]="","-",VLOOKUP(compras_mes4[[#This Row],[CUIT]],Lista_CUIT[#All],3,0)),"CUIT NO CARGADO")</f>
        <v>Combustible</v>
      </c>
      <c r="R17" s="45">
        <f>IFERROR(IF(compras_mes4[[#This Row],[CUIT]]="","-",VLOOKUP(compras_mes4[[#This Row],[CUIT]],Lista_CUIT[#All],4,0)),"CUIT NO CARGADO")</f>
        <v>0</v>
      </c>
    </row>
    <row r="18" spans="2:18" x14ac:dyDescent="0.3">
      <c r="B18" s="378">
        <v>44679</v>
      </c>
      <c r="C18" s="86">
        <v>1</v>
      </c>
      <c r="D18" s="38">
        <v>20</v>
      </c>
      <c r="E18" s="39">
        <v>2916</v>
      </c>
      <c r="F18" s="89">
        <v>30515800219</v>
      </c>
      <c r="G18" s="41" t="str">
        <f>IFERROR(IF(compras_mes4[[#This Row],[CUIT]]="","-",VLOOKUP(compras_mes4[[#This Row],[CUIT]],Lista_CUIT[#All],2,0)),"CUIT NO CARGADO")</f>
        <v>INCAT SRL</v>
      </c>
      <c r="H18" s="94">
        <v>10729.86</v>
      </c>
      <c r="I18" s="94">
        <v>2253.27</v>
      </c>
      <c r="J18" s="94"/>
      <c r="K18" s="94"/>
      <c r="L18" s="94">
        <v>2507.37</v>
      </c>
      <c r="M18" s="94"/>
      <c r="N18" s="94"/>
      <c r="O18" s="94"/>
      <c r="P18" s="380">
        <v>15490.5</v>
      </c>
      <c r="Q18" s="45" t="str">
        <f>IFERROR(IF(compras_mes4[[#This Row],[CUIT]]="","-",VLOOKUP(compras_mes4[[#This Row],[CUIT]],Lista_CUIT[#All],3,0)),"CUIT NO CARGADO")</f>
        <v>Combustible</v>
      </c>
      <c r="R18" s="45">
        <f>IFERROR(IF(compras_mes4[[#This Row],[CUIT]]="","-",VLOOKUP(compras_mes4[[#This Row],[CUIT]],Lista_CUIT[#All],4,0)),"CUIT NO CARGADO")</f>
        <v>0</v>
      </c>
    </row>
    <row r="19" spans="2:18" x14ac:dyDescent="0.3">
      <c r="B19" s="378">
        <v>44681</v>
      </c>
      <c r="C19" s="86">
        <v>1</v>
      </c>
      <c r="D19" s="38">
        <v>12</v>
      </c>
      <c r="E19" s="39">
        <v>1240</v>
      </c>
      <c r="F19" s="89">
        <v>30696131003</v>
      </c>
      <c r="G19" s="41" t="str">
        <f>IFERROR(IF(compras_mes4[[#This Row],[CUIT]]="","-",VLOOKUP(compras_mes4[[#This Row],[CUIT]],Lista_CUIT[#All],2,0)),"CUIT NO CARGADO")</f>
        <v>PETROLFE  S.A.</v>
      </c>
      <c r="H19" s="94">
        <v>56337.73</v>
      </c>
      <c r="I19" s="94">
        <v>11830.92</v>
      </c>
      <c r="J19" s="94"/>
      <c r="K19" s="94"/>
      <c r="L19" s="94"/>
      <c r="M19" s="94"/>
      <c r="N19" s="94">
        <v>14747.02</v>
      </c>
      <c r="O19" s="94"/>
      <c r="P19" s="380">
        <v>82915.67</v>
      </c>
      <c r="Q19" s="45" t="str">
        <f>IFERROR(IF(compras_mes4[[#This Row],[CUIT]]="","-",VLOOKUP(compras_mes4[[#This Row],[CUIT]],Lista_CUIT[#All],3,0)),"CUIT NO CARGADO")</f>
        <v>Combustible</v>
      </c>
      <c r="R19" s="45">
        <f>IFERROR(IF(compras_mes4[[#This Row],[CUIT]]="","-",VLOOKUP(compras_mes4[[#This Row],[CUIT]],Lista_CUIT[#All],4,0)),"CUIT NO CARGADO")</f>
        <v>0</v>
      </c>
    </row>
    <row r="20" spans="2:18" ht="14.4" customHeight="1" x14ac:dyDescent="0.3">
      <c r="B20" s="378">
        <v>44663</v>
      </c>
      <c r="C20" s="86">
        <v>1</v>
      </c>
      <c r="D20" s="38">
        <v>5</v>
      </c>
      <c r="E20" s="39">
        <v>2841</v>
      </c>
      <c r="F20" s="89">
        <v>30714734446</v>
      </c>
      <c r="G20" s="41" t="str">
        <f>IFERROR(IF(compras_mes4[[#This Row],[CUIT]]="","-",VLOOKUP(compras_mes4[[#This Row],[CUIT]],Lista_CUIT[#All],2,0)),"CUIT NO CARGADO")</f>
        <v>GANADERA EL 13 S.R.L</v>
      </c>
      <c r="H20" s="94">
        <v>2944.79</v>
      </c>
      <c r="I20" s="94">
        <v>618.41</v>
      </c>
      <c r="J20" s="94"/>
      <c r="K20" s="94"/>
      <c r="L20" s="94"/>
      <c r="M20" s="94"/>
      <c r="N20" s="94"/>
      <c r="O20" s="94"/>
      <c r="P20" s="380">
        <v>3563.2</v>
      </c>
      <c r="Q20" s="45" t="str">
        <f>IFERROR(IF(compras_mes4[[#This Row],[CUIT]]="","-",VLOOKUP(compras_mes4[[#This Row],[CUIT]],Lista_CUIT[#All],3,0)),"CUIT NO CARGADO")</f>
        <v>Comida</v>
      </c>
      <c r="R20" s="45">
        <f>IFERROR(IF(compras_mes4[[#This Row],[CUIT]]="","-",VLOOKUP(compras_mes4[[#This Row],[CUIT]],Lista_CUIT[#All],4,0)),"CUIT NO CARGADO")</f>
        <v>0</v>
      </c>
    </row>
    <row r="21" spans="2:18" x14ac:dyDescent="0.3">
      <c r="B21" s="378">
        <v>44681</v>
      </c>
      <c r="C21" s="86">
        <v>1</v>
      </c>
      <c r="D21" s="38">
        <v>6</v>
      </c>
      <c r="E21" s="39">
        <v>1900</v>
      </c>
      <c r="F21" s="89">
        <v>20134664518</v>
      </c>
      <c r="G21" s="41" t="str">
        <f>IFERROR(IF(compras_mes4[[#This Row],[CUIT]]="","-",VLOOKUP(compras_mes4[[#This Row],[CUIT]],Lista_CUIT[#All],2,0)),"CUIT NO CARGADO")</f>
        <v>HOKAMA SERGIO ENRIQUE</v>
      </c>
      <c r="H21" s="94">
        <v>15009.84</v>
      </c>
      <c r="I21" s="94">
        <v>3152.07</v>
      </c>
      <c r="J21" s="94"/>
      <c r="K21" s="94"/>
      <c r="L21" s="94"/>
      <c r="M21" s="94"/>
      <c r="N21" s="94"/>
      <c r="O21" s="94"/>
      <c r="P21" s="380">
        <v>18161.91</v>
      </c>
      <c r="Q21" s="45" t="str">
        <f>IFERROR(IF(compras_mes4[[#This Row],[CUIT]]="","-",VLOOKUP(compras_mes4[[#This Row],[CUIT]],Lista_CUIT[#All],3,0)),"CUIT NO CARGADO")</f>
        <v>Comida-Limpieza</v>
      </c>
      <c r="R21" s="45">
        <f>IFERROR(IF(compras_mes4[[#This Row],[CUIT]]="","-",VLOOKUP(compras_mes4[[#This Row],[CUIT]],Lista_CUIT[#All],4,0)),"CUIT NO CARGADO")</f>
        <v>0</v>
      </c>
    </row>
    <row r="22" spans="2:18" x14ac:dyDescent="0.3">
      <c r="B22" s="378">
        <v>44657</v>
      </c>
      <c r="C22" s="86">
        <v>1</v>
      </c>
      <c r="D22" s="38">
        <v>3546</v>
      </c>
      <c r="E22" s="39">
        <v>971</v>
      </c>
      <c r="F22" s="89">
        <v>30526874249</v>
      </c>
      <c r="G22" s="41" t="str">
        <f>IFERROR(IF(compras_mes4[[#This Row],[CUIT]]="","-",VLOOKUP(compras_mes4[[#This Row],[CUIT]],Lista_CUIT[#All],2,0)),"CUIT NO CARGADO")</f>
        <v>FRAVEGA S A C I E I</v>
      </c>
      <c r="H22" s="94">
        <v>99171.9</v>
      </c>
      <c r="I22" s="94">
        <v>20826.099999999999</v>
      </c>
      <c r="J22" s="94"/>
      <c r="K22" s="94"/>
      <c r="L22" s="94"/>
      <c r="M22" s="94"/>
      <c r="N22" s="94"/>
      <c r="O22" s="94"/>
      <c r="P22" s="380">
        <v>119998</v>
      </c>
      <c r="Q22" s="45" t="str">
        <f>IFERROR(IF(compras_mes4[[#This Row],[CUIT]]="","-",VLOOKUP(compras_mes4[[#This Row],[CUIT]],Lista_CUIT[#All],3,0)),"CUIT NO CARGADO")</f>
        <v>Equipos de Informatica</v>
      </c>
      <c r="R22" s="45">
        <f>IFERROR(IF(compras_mes4[[#This Row],[CUIT]]="","-",VLOOKUP(compras_mes4[[#This Row],[CUIT]],Lista_CUIT[#All],4,0)),"CUIT NO CARGADO")</f>
        <v>0</v>
      </c>
    </row>
    <row r="23" spans="2:18" ht="14.4" customHeight="1" x14ac:dyDescent="0.3">
      <c r="B23" s="378">
        <v>44663</v>
      </c>
      <c r="C23" s="86">
        <v>1</v>
      </c>
      <c r="D23" s="38">
        <v>2</v>
      </c>
      <c r="E23" s="39">
        <v>5514</v>
      </c>
      <c r="F23" s="89">
        <v>30711069360</v>
      </c>
      <c r="G23" s="41" t="str">
        <f>IFERROR(IF(compras_mes4[[#This Row],[CUIT]]="","-",VLOOKUP(compras_mes4[[#This Row],[CUIT]],Lista_CUIT[#All],2,0)),"CUIT NO CARGADO")</f>
        <v>BIDCOM  S.R.L.</v>
      </c>
      <c r="H23" s="94">
        <v>314090.5</v>
      </c>
      <c r="I23" s="94"/>
      <c r="J23" s="94"/>
      <c r="K23" s="94">
        <v>32979.5</v>
      </c>
      <c r="L23" s="94"/>
      <c r="M23" s="94"/>
      <c r="N23" s="94">
        <v>18845.43</v>
      </c>
      <c r="O23" s="94"/>
      <c r="P23" s="380">
        <v>365915.43</v>
      </c>
      <c r="Q23" s="45" t="str">
        <f>IFERROR(IF(compras_mes4[[#This Row],[CUIT]]="","-",VLOOKUP(compras_mes4[[#This Row],[CUIT]],Lista_CUIT[#All],3,0)),"CUIT NO CARGADO")</f>
        <v>Equipos de Informatica</v>
      </c>
      <c r="R23" s="45">
        <f>IFERROR(IF(compras_mes4[[#This Row],[CUIT]]="","-",VLOOKUP(compras_mes4[[#This Row],[CUIT]],Lista_CUIT[#All],4,0)),"CUIT NO CARGADO")</f>
        <v>0</v>
      </c>
    </row>
    <row r="24" spans="2:18" ht="14.4" customHeight="1" x14ac:dyDescent="0.3">
      <c r="B24" s="378">
        <v>44665</v>
      </c>
      <c r="C24" s="86">
        <v>1</v>
      </c>
      <c r="D24" s="38">
        <v>4</v>
      </c>
      <c r="E24" s="39">
        <v>49676</v>
      </c>
      <c r="F24" s="89">
        <v>30716292319</v>
      </c>
      <c r="G24" s="41" t="str">
        <f>IFERROR(IF(compras_mes4[[#This Row],[CUIT]]="","-",VLOOKUP(compras_mes4[[#This Row],[CUIT]],Lista_CUIT[#All],2,0)),"CUIT NO CARGADO")</f>
        <v>NEPTUN  CORP  S.A.</v>
      </c>
      <c r="H24" s="94">
        <v>147510.41</v>
      </c>
      <c r="I24" s="94"/>
      <c r="J24" s="94"/>
      <c r="K24" s="94">
        <v>15488.59</v>
      </c>
      <c r="L24" s="94"/>
      <c r="M24" s="94"/>
      <c r="N24" s="94"/>
      <c r="O24" s="94"/>
      <c r="P24" s="380">
        <v>162999</v>
      </c>
      <c r="Q24" s="45" t="str">
        <f>IFERROR(IF(compras_mes4[[#This Row],[CUIT]]="","-",VLOOKUP(compras_mes4[[#This Row],[CUIT]],Lista_CUIT[#All],3,0)),"CUIT NO CARGADO")</f>
        <v>Equipos de Informatica</v>
      </c>
      <c r="R24" s="45">
        <f>IFERROR(IF(compras_mes4[[#This Row],[CUIT]]="","-",VLOOKUP(compras_mes4[[#This Row],[CUIT]],Lista_CUIT[#All],4,0)),"CUIT NO CARGADO")</f>
        <v>0</v>
      </c>
    </row>
    <row r="25" spans="2:18" ht="15" customHeight="1" x14ac:dyDescent="0.3">
      <c r="B25" s="378">
        <v>44678</v>
      </c>
      <c r="C25" s="86">
        <v>1</v>
      </c>
      <c r="D25" s="38">
        <v>4</v>
      </c>
      <c r="E25" s="39">
        <v>50358</v>
      </c>
      <c r="F25" s="89">
        <v>30716292319</v>
      </c>
      <c r="G25" s="41" t="str">
        <f>IFERROR(IF(compras_mes4[[#This Row],[CUIT]]="","-",VLOOKUP(compras_mes4[[#This Row],[CUIT]],Lista_CUIT[#All],2,0)),"CUIT NO CARGADO")</f>
        <v>NEPTUN  CORP  S.A.</v>
      </c>
      <c r="H25" s="94">
        <v>57012.67</v>
      </c>
      <c r="I25" s="94"/>
      <c r="J25" s="94"/>
      <c r="K25" s="94">
        <v>5986.33</v>
      </c>
      <c r="L25" s="94"/>
      <c r="M25" s="94"/>
      <c r="N25" s="94"/>
      <c r="O25" s="94"/>
      <c r="P25" s="380">
        <v>62999</v>
      </c>
      <c r="Q25" s="45" t="str">
        <f>IFERROR(IF(compras_mes4[[#This Row],[CUIT]]="","-",VLOOKUP(compras_mes4[[#This Row],[CUIT]],Lista_CUIT[#All],3,0)),"CUIT NO CARGADO")</f>
        <v>Equipos de Informatica</v>
      </c>
      <c r="R25" s="45">
        <f>IFERROR(IF(compras_mes4[[#This Row],[CUIT]]="","-",VLOOKUP(compras_mes4[[#This Row],[CUIT]],Lista_CUIT[#All],4,0)),"CUIT NO CARGADO")</f>
        <v>0</v>
      </c>
    </row>
    <row r="26" spans="2:18" ht="15" customHeight="1" x14ac:dyDescent="0.3">
      <c r="B26" s="378">
        <v>44677</v>
      </c>
      <c r="C26" s="86">
        <v>1</v>
      </c>
      <c r="D26" s="38">
        <v>3</v>
      </c>
      <c r="E26" s="39">
        <v>2022</v>
      </c>
      <c r="F26" s="89">
        <v>30707826890</v>
      </c>
      <c r="G26" s="41" t="str">
        <f>IFERROR(IF(compras_mes4[[#This Row],[CUIT]]="","-",VLOOKUP(compras_mes4[[#This Row],[CUIT]],Lista_CUIT[#All],2,0)),"CUIT NO CARGADO")</f>
        <v>JUVIALE  S.R.L.</v>
      </c>
      <c r="H26" s="94">
        <v>0</v>
      </c>
      <c r="I26" s="94">
        <v>0</v>
      </c>
      <c r="J26" s="94"/>
      <c r="K26" s="94"/>
      <c r="L26" s="94">
        <v>13661.42</v>
      </c>
      <c r="M26" s="94"/>
      <c r="N26" s="94"/>
      <c r="O26" s="94"/>
      <c r="P26" s="380">
        <v>13661.42</v>
      </c>
      <c r="Q26" s="45" t="str">
        <f>IFERROR(IF(compras_mes4[[#This Row],[CUIT]]="","-",VLOOKUP(compras_mes4[[#This Row],[CUIT]],Lista_CUIT[#All],3,0)),"CUIT NO CARGADO")</f>
        <v>EXPENSAS</v>
      </c>
      <c r="R26" s="45">
        <f>IFERROR(IF(compras_mes4[[#This Row],[CUIT]]="","-",VLOOKUP(compras_mes4[[#This Row],[CUIT]],Lista_CUIT[#All],4,0)),"CUIT NO CARGADO")</f>
        <v>0</v>
      </c>
    </row>
    <row r="27" spans="2:18" ht="15" customHeight="1" x14ac:dyDescent="0.3">
      <c r="B27" s="378">
        <v>44665</v>
      </c>
      <c r="C27" s="86">
        <v>1</v>
      </c>
      <c r="D27" s="38">
        <v>301</v>
      </c>
      <c r="E27" s="39">
        <v>10902</v>
      </c>
      <c r="F27" s="89">
        <v>30686978350</v>
      </c>
      <c r="G27" s="41" t="str">
        <f>IFERROR(IF(compras_mes4[[#This Row],[CUIT]]="","-",VLOOKUP(compras_mes4[[#This Row],[CUIT]],Lista_CUIT[#All],2,0)),"CUIT NO CARGADO")</f>
        <v>SPEED BUSINESS S. A.</v>
      </c>
      <c r="H27" s="94">
        <v>1164.46</v>
      </c>
      <c r="I27" s="94">
        <v>265.44</v>
      </c>
      <c r="J27" s="94"/>
      <c r="K27" s="94"/>
      <c r="L27" s="94">
        <v>100</v>
      </c>
      <c r="M27" s="94"/>
      <c r="N27" s="94"/>
      <c r="O27" s="94"/>
      <c r="P27" s="380">
        <v>1529.9</v>
      </c>
      <c r="Q27" s="45" t="str">
        <f>IFERROR(IF(compras_mes4[[#This Row],[CUIT]]="","-",VLOOKUP(compras_mes4[[#This Row],[CUIT]],Lista_CUIT[#All],3,0)),"CUIT NO CARGADO")</f>
        <v>Flete-Logistica</v>
      </c>
      <c r="R27" s="45">
        <f>IFERROR(IF(compras_mes4[[#This Row],[CUIT]]="","-",VLOOKUP(compras_mes4[[#This Row],[CUIT]],Lista_CUIT[#All],4,0)),"CUIT NO CARGADO")</f>
        <v>0</v>
      </c>
    </row>
    <row r="28" spans="2:18" ht="15" customHeight="1" x14ac:dyDescent="0.3">
      <c r="B28" s="378">
        <v>44678</v>
      </c>
      <c r="C28" s="86">
        <v>1</v>
      </c>
      <c r="D28" s="38">
        <v>3</v>
      </c>
      <c r="E28" s="39">
        <v>5220</v>
      </c>
      <c r="F28" s="89">
        <v>20044410932</v>
      </c>
      <c r="G28" s="41" t="str">
        <f>IFERROR(IF(compras_mes4[[#This Row],[CUIT]]="","-",VLOOKUP(compras_mes4[[#This Row],[CUIT]],Lista_CUIT[#All],2,0)),"CUIT NO CARGADO")</f>
        <v>FRATE  NESTOR</v>
      </c>
      <c r="H28" s="94">
        <v>17500</v>
      </c>
      <c r="I28" s="94">
        <v>3675</v>
      </c>
      <c r="J28" s="94"/>
      <c r="K28" s="94"/>
      <c r="L28" s="94"/>
      <c r="M28" s="94"/>
      <c r="N28" s="94"/>
      <c r="O28" s="94"/>
      <c r="P28" s="380">
        <v>21175</v>
      </c>
      <c r="Q28" s="45" t="str">
        <f>IFERROR(IF(compras_mes4[[#This Row],[CUIT]]="","-",VLOOKUP(compras_mes4[[#This Row],[CUIT]],Lista_CUIT[#All],3,0)),"CUIT NO CARGADO")</f>
        <v>Flete-Logistica</v>
      </c>
      <c r="R28" s="45">
        <f>IFERROR(IF(compras_mes4[[#This Row],[CUIT]]="","-",VLOOKUP(compras_mes4[[#This Row],[CUIT]],Lista_CUIT[#All],4,0)),"CUIT NO CARGADO")</f>
        <v>0</v>
      </c>
    </row>
    <row r="29" spans="2:18" ht="15" customHeight="1" x14ac:dyDescent="0.3">
      <c r="B29" s="378">
        <v>44663</v>
      </c>
      <c r="C29" s="86">
        <v>1</v>
      </c>
      <c r="D29" s="38">
        <v>6331</v>
      </c>
      <c r="E29" s="39">
        <v>1387</v>
      </c>
      <c r="F29" s="89">
        <v>30643922157</v>
      </c>
      <c r="G29" s="41" t="str">
        <f>IFERROR(IF(compras_mes4[[#This Row],[CUIT]]="","-",VLOOKUP(compras_mes4[[#This Row],[CUIT]],Lista_CUIT[#All],2,0)),"CUIT NO CARGADO")</f>
        <v>VIA BARILOCHE SA</v>
      </c>
      <c r="H29" s="94">
        <v>3223.14</v>
      </c>
      <c r="I29" s="94">
        <v>676.86</v>
      </c>
      <c r="J29" s="94"/>
      <c r="K29" s="94"/>
      <c r="L29" s="94"/>
      <c r="M29" s="94"/>
      <c r="N29" s="94"/>
      <c r="O29" s="94"/>
      <c r="P29" s="380">
        <v>3900</v>
      </c>
      <c r="Q29" s="45" t="str">
        <f>IFERROR(IF(compras_mes4[[#This Row],[CUIT]]="","-",VLOOKUP(compras_mes4[[#This Row],[CUIT]],Lista_CUIT[#All],3,0)),"CUIT NO CARGADO")</f>
        <v>Flete-Logistica</v>
      </c>
      <c r="R29" s="45">
        <f>IFERROR(IF(compras_mes4[[#This Row],[CUIT]]="","-",VLOOKUP(compras_mes4[[#This Row],[CUIT]],Lista_CUIT[#All],4,0)),"CUIT NO CARGADO")</f>
        <v>0</v>
      </c>
    </row>
    <row r="30" spans="2:18" x14ac:dyDescent="0.3">
      <c r="B30" s="378">
        <v>44652</v>
      </c>
      <c r="C30" s="86">
        <v>1</v>
      </c>
      <c r="D30" s="38">
        <v>7</v>
      </c>
      <c r="E30" s="39">
        <v>359</v>
      </c>
      <c r="F30" s="89">
        <v>27200553573</v>
      </c>
      <c r="G30" s="41" t="str">
        <f>IFERROR(IF(compras_mes4[[#This Row],[CUIT]]="","-",VLOOKUP(compras_mes4[[#This Row],[CUIT]],Lista_CUIT[#All],2,0)),"CUIT NO CARGADO")</f>
        <v>PREISMAN  MANUELA  VERONICA</v>
      </c>
      <c r="H30" s="94">
        <v>5991.74</v>
      </c>
      <c r="I30" s="94">
        <v>1258.27</v>
      </c>
      <c r="J30" s="94"/>
      <c r="K30" s="94"/>
      <c r="L30" s="94"/>
      <c r="M30" s="94"/>
      <c r="N30" s="94"/>
      <c r="O30" s="94"/>
      <c r="P30" s="380">
        <v>7250.01</v>
      </c>
      <c r="Q30" s="45" t="str">
        <f>IFERROR(IF(compras_mes4[[#This Row],[CUIT]]="","-",VLOOKUP(compras_mes4[[#This Row],[CUIT]],Lista_CUIT[#All],3,0)),"CUIT NO CARGADO")</f>
        <v>Gastos Varios</v>
      </c>
      <c r="R30" s="45">
        <f>IFERROR(IF(compras_mes4[[#This Row],[CUIT]]="","-",VLOOKUP(compras_mes4[[#This Row],[CUIT]],Lista_CUIT[#All],4,0)),"CUIT NO CARGADO")</f>
        <v>0</v>
      </c>
    </row>
    <row r="31" spans="2:18" x14ac:dyDescent="0.3">
      <c r="B31" s="378">
        <v>44657</v>
      </c>
      <c r="C31" s="86">
        <v>1</v>
      </c>
      <c r="D31" s="38">
        <v>8</v>
      </c>
      <c r="E31" s="39">
        <v>45381</v>
      </c>
      <c r="F31" s="89">
        <v>30714295957</v>
      </c>
      <c r="G31" s="41" t="str">
        <f>IFERROR(IF(compras_mes4[[#This Row],[CUIT]]="","-",VLOOKUP(compras_mes4[[#This Row],[CUIT]],Lista_CUIT[#All],2,0)),"CUIT NO CARGADO")</f>
        <v>IT  BROKERS  S.A.</v>
      </c>
      <c r="H31" s="94">
        <v>5574.38</v>
      </c>
      <c r="I31" s="94">
        <v>1170.6199999999999</v>
      </c>
      <c r="J31" s="94"/>
      <c r="K31" s="94"/>
      <c r="L31" s="94"/>
      <c r="M31" s="94"/>
      <c r="N31" s="94"/>
      <c r="O31" s="94"/>
      <c r="P31" s="380">
        <v>6745</v>
      </c>
      <c r="Q31" s="45" t="str">
        <f>IFERROR(IF(compras_mes4[[#This Row],[CUIT]]="","-",VLOOKUP(compras_mes4[[#This Row],[CUIT]],Lista_CUIT[#All],3,0)),"CUIT NO CARGADO")</f>
        <v>Gastos Varios</v>
      </c>
      <c r="R31" s="45">
        <f>IFERROR(IF(compras_mes4[[#This Row],[CUIT]]="","-",VLOOKUP(compras_mes4[[#This Row],[CUIT]],Lista_CUIT[#All],4,0)),"CUIT NO CARGADO")</f>
        <v>0</v>
      </c>
    </row>
    <row r="32" spans="2:18" x14ac:dyDescent="0.3">
      <c r="B32" s="378">
        <v>44660</v>
      </c>
      <c r="C32" s="86">
        <v>1</v>
      </c>
      <c r="D32" s="38">
        <v>54</v>
      </c>
      <c r="E32" s="39">
        <v>588</v>
      </c>
      <c r="F32" s="89">
        <v>30709405108</v>
      </c>
      <c r="G32" s="41" t="str">
        <f>IFERROR(IF(compras_mes4[[#This Row],[CUIT]]="","-",VLOOKUP(compras_mes4[[#This Row],[CUIT]],Lista_CUIT[#All],2,0)),"CUIT NO CARGADO")</f>
        <v>MASORIENTE  S.R.L.</v>
      </c>
      <c r="H32" s="94">
        <v>9166.59</v>
      </c>
      <c r="I32" s="94">
        <v>1924.98</v>
      </c>
      <c r="J32" s="94"/>
      <c r="K32" s="94"/>
      <c r="L32" s="94"/>
      <c r="M32" s="94"/>
      <c r="N32" s="94"/>
      <c r="O32" s="94"/>
      <c r="P32" s="380">
        <v>11091.57</v>
      </c>
      <c r="Q32" s="45" t="str">
        <f>IFERROR(IF(compras_mes4[[#This Row],[CUIT]]="","-",VLOOKUP(compras_mes4[[#This Row],[CUIT]],Lista_CUIT[#All],3,0)),"CUIT NO CARGADO")</f>
        <v>Gastos Varios</v>
      </c>
      <c r="R32" s="45">
        <f>IFERROR(IF(compras_mes4[[#This Row],[CUIT]]="","-",VLOOKUP(compras_mes4[[#This Row],[CUIT]],Lista_CUIT[#All],4,0)),"CUIT NO CARGADO")</f>
        <v>0</v>
      </c>
    </row>
    <row r="33" spans="2:18" x14ac:dyDescent="0.3">
      <c r="B33" s="378">
        <v>44663</v>
      </c>
      <c r="C33" s="86">
        <v>1</v>
      </c>
      <c r="D33" s="38">
        <v>2</v>
      </c>
      <c r="E33" s="39">
        <v>45905</v>
      </c>
      <c r="F33" s="89">
        <v>30710831919</v>
      </c>
      <c r="G33" s="41" t="str">
        <f>IFERROR(IF(compras_mes4[[#This Row],[CUIT]]="","-",VLOOKUP(compras_mes4[[#This Row],[CUIT]],Lista_CUIT[#All],2,0)),"CUIT NO CARGADO")</f>
        <v>GESTORIA  OLIVERA  WELLS  S.R.</v>
      </c>
      <c r="H33" s="94">
        <v>750</v>
      </c>
      <c r="I33" s="94">
        <v>157.5</v>
      </c>
      <c r="J33" s="94"/>
      <c r="K33" s="94"/>
      <c r="L33" s="94"/>
      <c r="M33" s="94"/>
      <c r="N33" s="94">
        <v>1525.4</v>
      </c>
      <c r="O33" s="94"/>
      <c r="P33" s="380">
        <v>2432.9</v>
      </c>
      <c r="Q33" s="45" t="str">
        <f>IFERROR(IF(compras_mes4[[#This Row],[CUIT]]="","-",VLOOKUP(compras_mes4[[#This Row],[CUIT]],Lista_CUIT[#All],3,0)),"CUIT NO CARGADO")</f>
        <v>Gastos Varios</v>
      </c>
      <c r="R33" s="45">
        <f>IFERROR(IF(compras_mes4[[#This Row],[CUIT]]="","-",VLOOKUP(compras_mes4[[#This Row],[CUIT]],Lista_CUIT[#All],4,0)),"CUIT NO CARGADO")</f>
        <v>0</v>
      </c>
    </row>
    <row r="34" spans="2:18" x14ac:dyDescent="0.3">
      <c r="B34" s="378">
        <v>44673</v>
      </c>
      <c r="C34" s="86">
        <v>1</v>
      </c>
      <c r="D34" s="38">
        <v>3</v>
      </c>
      <c r="E34" s="39">
        <v>1761</v>
      </c>
      <c r="F34" s="89">
        <v>30714988936</v>
      </c>
      <c r="G34" s="41" t="str">
        <f>IFERROR(IF(compras_mes4[[#This Row],[CUIT]]="","-",VLOOKUP(compras_mes4[[#This Row],[CUIT]],Lista_CUIT[#All],2,0)),"CUIT NO CARGADO")</f>
        <v>NITSUK  S.R.L.</v>
      </c>
      <c r="H34" s="94">
        <v>5702.48</v>
      </c>
      <c r="I34" s="94">
        <v>1197.52</v>
      </c>
      <c r="J34" s="94"/>
      <c r="K34" s="94"/>
      <c r="L34" s="94"/>
      <c r="M34" s="94"/>
      <c r="N34" s="94"/>
      <c r="O34" s="94"/>
      <c r="P34" s="380">
        <v>6900</v>
      </c>
      <c r="Q34" s="45" t="str">
        <f>IFERROR(IF(compras_mes4[[#This Row],[CUIT]]="","-",VLOOKUP(compras_mes4[[#This Row],[CUIT]],Lista_CUIT[#All],3,0)),"CUIT NO CARGADO")</f>
        <v>Gastos Varios</v>
      </c>
      <c r="R34" s="45">
        <f>IFERROR(IF(compras_mes4[[#This Row],[CUIT]]="","-",VLOOKUP(compras_mes4[[#This Row],[CUIT]],Lista_CUIT[#All],4,0)),"CUIT NO CARGADO")</f>
        <v>0</v>
      </c>
    </row>
    <row r="35" spans="2:18" x14ac:dyDescent="0.3">
      <c r="B35" s="378">
        <v>44676</v>
      </c>
      <c r="C35" s="86">
        <v>1</v>
      </c>
      <c r="D35" s="38">
        <v>2</v>
      </c>
      <c r="E35" s="39">
        <v>5514</v>
      </c>
      <c r="F35" s="89">
        <v>30715884328</v>
      </c>
      <c r="G35" s="41" t="str">
        <f>IFERROR(IF(compras_mes4[[#This Row],[CUIT]]="","-",VLOOKUP(compras_mes4[[#This Row],[CUIT]],Lista_CUIT[#All],2,0)),"CUIT NO CARGADO")</f>
        <v>BUENOS  AIRES  POR  AUDIO  S.A.</v>
      </c>
      <c r="H35" s="94">
        <v>5042.1499999999996</v>
      </c>
      <c r="I35" s="94">
        <v>1058.8499999999999</v>
      </c>
      <c r="J35" s="94"/>
      <c r="K35" s="94"/>
      <c r="L35" s="94"/>
      <c r="M35" s="94"/>
      <c r="N35" s="94"/>
      <c r="O35" s="94"/>
      <c r="P35" s="380">
        <v>6101</v>
      </c>
      <c r="Q35" s="45" t="str">
        <f>IFERROR(IF(compras_mes4[[#This Row],[CUIT]]="","-",VLOOKUP(compras_mes4[[#This Row],[CUIT]],Lista_CUIT[#All],3,0)),"CUIT NO CARGADO")</f>
        <v>Gastos Varios</v>
      </c>
      <c r="R35" s="45">
        <f>IFERROR(IF(compras_mes4[[#This Row],[CUIT]]="","-",VLOOKUP(compras_mes4[[#This Row],[CUIT]],Lista_CUIT[#All],4,0)),"CUIT NO CARGADO")</f>
        <v>0</v>
      </c>
    </row>
    <row r="36" spans="2:18" x14ac:dyDescent="0.3">
      <c r="B36" s="378">
        <v>44676</v>
      </c>
      <c r="C36" s="86">
        <v>1</v>
      </c>
      <c r="D36" s="38">
        <v>8</v>
      </c>
      <c r="E36" s="39">
        <v>108048</v>
      </c>
      <c r="F36" s="89">
        <v>33708907869</v>
      </c>
      <c r="G36" s="41" t="str">
        <f>IFERROR(IF(compras_mes4[[#This Row],[CUIT]]="","-",VLOOKUP(compras_mes4[[#This Row],[CUIT]],Lista_CUIT[#All],2,0)),"CUIT NO CARGADO")</f>
        <v>SERCAP  INSUMOS  S.R.L.</v>
      </c>
      <c r="H36" s="94">
        <v>5867.77</v>
      </c>
      <c r="I36" s="94">
        <v>1232.23</v>
      </c>
      <c r="J36" s="94"/>
      <c r="K36" s="94"/>
      <c r="L36" s="94"/>
      <c r="M36" s="94"/>
      <c r="N36" s="94"/>
      <c r="O36" s="94"/>
      <c r="P36" s="380">
        <v>7100</v>
      </c>
      <c r="Q36" s="45" t="str">
        <f>IFERROR(IF(compras_mes4[[#This Row],[CUIT]]="","-",VLOOKUP(compras_mes4[[#This Row],[CUIT]],Lista_CUIT[#All],3,0)),"CUIT NO CARGADO")</f>
        <v>Gastos Varios</v>
      </c>
      <c r="R36" s="45">
        <f>IFERROR(IF(compras_mes4[[#This Row],[CUIT]]="","-",VLOOKUP(compras_mes4[[#This Row],[CUIT]],Lista_CUIT[#All],4,0)),"CUIT NO CARGADO")</f>
        <v>0</v>
      </c>
    </row>
    <row r="37" spans="2:18" s="52" customFormat="1" x14ac:dyDescent="0.3">
      <c r="B37" s="378">
        <v>44678</v>
      </c>
      <c r="C37" s="86">
        <v>1</v>
      </c>
      <c r="D37" s="38">
        <v>4</v>
      </c>
      <c r="E37" s="39">
        <v>51236</v>
      </c>
      <c r="F37" s="89">
        <v>30714749206</v>
      </c>
      <c r="G37" s="41" t="str">
        <f>IFERROR(IF(compras_mes4[[#This Row],[CUIT]]="","-",VLOOKUP(compras_mes4[[#This Row],[CUIT]],Lista_CUIT[#All],2,0)),"CUIT NO CARGADO")</f>
        <v>EBOX  S.A.</v>
      </c>
      <c r="H37" s="94">
        <v>16609.46</v>
      </c>
      <c r="I37" s="94">
        <v>3487.99</v>
      </c>
      <c r="J37" s="94"/>
      <c r="K37" s="94"/>
      <c r="L37" s="94">
        <v>3401.62</v>
      </c>
      <c r="M37" s="94"/>
      <c r="N37" s="94"/>
      <c r="O37" s="94"/>
      <c r="P37" s="380">
        <v>23499.07</v>
      </c>
      <c r="Q37" s="45" t="str">
        <f>IFERROR(IF(compras_mes4[[#This Row],[CUIT]]="","-",VLOOKUP(compras_mes4[[#This Row],[CUIT]],Lista_CUIT[#All],3,0)),"CUIT NO CARGADO")</f>
        <v>Gastos Varios</v>
      </c>
      <c r="R37" s="45">
        <f>IFERROR(IF(compras_mes4[[#This Row],[CUIT]]="","-",VLOOKUP(compras_mes4[[#This Row],[CUIT]],Lista_CUIT[#All],4,0)),"CUIT NO CARGADO")</f>
        <v>0</v>
      </c>
    </row>
    <row r="38" spans="2:18" x14ac:dyDescent="0.3">
      <c r="B38" s="378">
        <v>44680</v>
      </c>
      <c r="C38" s="86">
        <v>1</v>
      </c>
      <c r="D38" s="38">
        <v>7</v>
      </c>
      <c r="E38" s="39">
        <v>2</v>
      </c>
      <c r="F38" s="89">
        <v>20259831351</v>
      </c>
      <c r="G38" s="41" t="str">
        <f>IFERROR(IF(compras_mes4[[#This Row],[CUIT]]="","-",VLOOKUP(compras_mes4[[#This Row],[CUIT]],Lista_CUIT[#All],2,0)),"CUIT NO CARGADO")</f>
        <v>TEMPERLEY  RODRIGO</v>
      </c>
      <c r="H38" s="94">
        <v>41322.31</v>
      </c>
      <c r="I38" s="94">
        <v>8677.69</v>
      </c>
      <c r="J38" s="94"/>
      <c r="K38" s="94"/>
      <c r="L38" s="94"/>
      <c r="M38" s="94"/>
      <c r="N38" s="94"/>
      <c r="O38" s="94"/>
      <c r="P38" s="380">
        <v>50000</v>
      </c>
      <c r="Q38" s="45" t="str">
        <f>IFERROR(IF(compras_mes4[[#This Row],[CUIT]]="","-",VLOOKUP(compras_mes4[[#This Row],[CUIT]],Lista_CUIT[#All],3,0)),"CUIT NO CARGADO")</f>
        <v>Gastos Varios</v>
      </c>
      <c r="R38" s="45">
        <f>IFERROR(IF(compras_mes4[[#This Row],[CUIT]]="","-",VLOOKUP(compras_mes4[[#This Row],[CUIT]],Lista_CUIT[#All],4,0)),"CUIT NO CARGADO")</f>
        <v>0</v>
      </c>
    </row>
    <row r="39" spans="2:18" x14ac:dyDescent="0.3">
      <c r="B39" s="378">
        <v>44652</v>
      </c>
      <c r="C39" s="86">
        <v>1</v>
      </c>
      <c r="D39" s="38">
        <v>1</v>
      </c>
      <c r="E39" s="39">
        <v>15878</v>
      </c>
      <c r="F39" s="89">
        <v>20173025557</v>
      </c>
      <c r="G39" s="41" t="str">
        <f>IFERROR(IF(compras_mes4[[#This Row],[CUIT]]="","-",VLOOKUP(compras_mes4[[#This Row],[CUIT]],Lista_CUIT[#All],2,0)),"CUIT NO CARGADO")</f>
        <v>MARAUDA HECTOR</v>
      </c>
      <c r="H39" s="94">
        <v>1157.02</v>
      </c>
      <c r="I39" s="94">
        <v>242.97</v>
      </c>
      <c r="J39" s="94"/>
      <c r="K39" s="94"/>
      <c r="L39" s="94"/>
      <c r="M39" s="94"/>
      <c r="N39" s="94"/>
      <c r="O39" s="94"/>
      <c r="P39" s="380">
        <v>1399.99</v>
      </c>
      <c r="Q39" s="45" t="str">
        <f>IFERROR(IF(compras_mes4[[#This Row],[CUIT]]="","-",VLOOKUP(compras_mes4[[#This Row],[CUIT]],Lista_CUIT[#All],3,0)),"CUIT NO CARGADO")</f>
        <v>Gastos Varios</v>
      </c>
      <c r="R39" s="45">
        <f>IFERROR(IF(compras_mes4[[#This Row],[CUIT]]="","-",VLOOKUP(compras_mes4[[#This Row],[CUIT]],Lista_CUIT[#All],4,0)),"CUIT NO CARGADO")</f>
        <v>0</v>
      </c>
    </row>
    <row r="40" spans="2:18" x14ac:dyDescent="0.3">
      <c r="B40" s="378">
        <v>44652</v>
      </c>
      <c r="C40" s="86">
        <v>1</v>
      </c>
      <c r="D40" s="38">
        <v>8257</v>
      </c>
      <c r="E40" s="39">
        <v>3766</v>
      </c>
      <c r="F40" s="89">
        <v>30590360763</v>
      </c>
      <c r="G40" s="41" t="str">
        <f>IFERROR(IF(compras_mes4[[#This Row],[CUIT]]="","-",VLOOKUP(compras_mes4[[#This Row],[CUIT]],Lista_CUIT[#All],2,0)),"CUIT NO CARGADO")</f>
        <v>CENCOSUD S.A</v>
      </c>
      <c r="H40" s="94">
        <v>601.65</v>
      </c>
      <c r="I40" s="94">
        <v>126.35</v>
      </c>
      <c r="J40" s="94"/>
      <c r="K40" s="94"/>
      <c r="L40" s="94"/>
      <c r="M40" s="94"/>
      <c r="N40" s="94">
        <v>36.1</v>
      </c>
      <c r="O40" s="94"/>
      <c r="P40" s="380">
        <v>764.1</v>
      </c>
      <c r="Q40" s="45" t="str">
        <f>IFERROR(IF(compras_mes4[[#This Row],[CUIT]]="","-",VLOOKUP(compras_mes4[[#This Row],[CUIT]],Lista_CUIT[#All],3,0)),"CUIT NO CARGADO")</f>
        <v>Gastos Varios</v>
      </c>
      <c r="R40" s="45">
        <f>IFERROR(IF(compras_mes4[[#This Row],[CUIT]]="","-",VLOOKUP(compras_mes4[[#This Row],[CUIT]],Lista_CUIT[#All],4,0)),"CUIT NO CARGADO")</f>
        <v>0</v>
      </c>
    </row>
    <row r="41" spans="2:18" x14ac:dyDescent="0.3">
      <c r="B41" s="378">
        <v>44657</v>
      </c>
      <c r="C41" s="86">
        <v>1</v>
      </c>
      <c r="D41" s="38">
        <v>5</v>
      </c>
      <c r="E41" s="39">
        <v>18217</v>
      </c>
      <c r="F41" s="89">
        <v>30616146447</v>
      </c>
      <c r="G41" s="41" t="str">
        <f>IFERROR(IF(compras_mes4[[#This Row],[CUIT]]="","-",VLOOKUP(compras_mes4[[#This Row],[CUIT]],Lista_CUIT[#All],2,0)),"CUIT NO CARGADO")</f>
        <v>EGEO SOCIEDAD DE RESPONSABILIDAD LIMITADA</v>
      </c>
      <c r="H41" s="94">
        <v>72000</v>
      </c>
      <c r="I41" s="94">
        <v>15120</v>
      </c>
      <c r="J41" s="94"/>
      <c r="K41" s="94"/>
      <c r="L41" s="94"/>
      <c r="M41" s="94"/>
      <c r="N41" s="94"/>
      <c r="O41" s="94"/>
      <c r="P41" s="380">
        <v>87120</v>
      </c>
      <c r="Q41" s="45" t="str">
        <f>IFERROR(IF(compras_mes4[[#This Row],[CUIT]]="","-",VLOOKUP(compras_mes4[[#This Row],[CUIT]],Lista_CUIT[#All],3,0)),"CUIT NO CARGADO")</f>
        <v>Gastos Varios</v>
      </c>
      <c r="R41" s="45">
        <f>IFERROR(IF(compras_mes4[[#This Row],[CUIT]]="","-",VLOOKUP(compras_mes4[[#This Row],[CUIT]],Lista_CUIT[#All],4,0)),"CUIT NO CARGADO")</f>
        <v>0</v>
      </c>
    </row>
    <row r="42" spans="2:18" x14ac:dyDescent="0.3">
      <c r="B42" s="378">
        <v>44670</v>
      </c>
      <c r="C42" s="86">
        <v>1</v>
      </c>
      <c r="D42" s="38">
        <v>5</v>
      </c>
      <c r="E42" s="39">
        <v>18280</v>
      </c>
      <c r="F42" s="89">
        <v>30616146447</v>
      </c>
      <c r="G42" s="41" t="str">
        <f>IFERROR(IF(compras_mes4[[#This Row],[CUIT]]="","-",VLOOKUP(compras_mes4[[#This Row],[CUIT]],Lista_CUIT[#All],2,0)),"CUIT NO CARGADO")</f>
        <v>EGEO SOCIEDAD DE RESPONSABILIDAD LIMITADA</v>
      </c>
      <c r="H42" s="94">
        <v>96000</v>
      </c>
      <c r="I42" s="94">
        <v>20160</v>
      </c>
      <c r="J42" s="94"/>
      <c r="K42" s="94"/>
      <c r="L42" s="94"/>
      <c r="M42" s="94"/>
      <c r="N42" s="94"/>
      <c r="O42" s="94"/>
      <c r="P42" s="380">
        <v>116160</v>
      </c>
      <c r="Q42" s="45" t="str">
        <f>IFERROR(IF(compras_mes4[[#This Row],[CUIT]]="","-",VLOOKUP(compras_mes4[[#This Row],[CUIT]],Lista_CUIT[#All],3,0)),"CUIT NO CARGADO")</f>
        <v>Gastos Varios</v>
      </c>
      <c r="R42" s="45">
        <f>IFERROR(IF(compras_mes4[[#This Row],[CUIT]]="","-",VLOOKUP(compras_mes4[[#This Row],[CUIT]],Lista_CUIT[#All],4,0)),"CUIT NO CARGADO")</f>
        <v>0</v>
      </c>
    </row>
    <row r="43" spans="2:18" x14ac:dyDescent="0.3">
      <c r="B43" s="378">
        <v>44671</v>
      </c>
      <c r="C43" s="86">
        <v>3</v>
      </c>
      <c r="D43" s="38">
        <v>5</v>
      </c>
      <c r="E43" s="39">
        <v>1001</v>
      </c>
      <c r="F43" s="89">
        <v>30616146447</v>
      </c>
      <c r="G43" s="41" t="str">
        <f>IFERROR(IF(compras_mes4[[#This Row],[CUIT]]="","-",VLOOKUP(compras_mes4[[#This Row],[CUIT]],Lista_CUIT[#All],2,0)),"CUIT NO CARGADO")</f>
        <v>EGEO SOCIEDAD DE RESPONSABILIDAD LIMITADA</v>
      </c>
      <c r="H43" s="94">
        <v>-48000</v>
      </c>
      <c r="I43" s="94">
        <v>-10080</v>
      </c>
      <c r="J43" s="94"/>
      <c r="K43" s="94"/>
      <c r="L43" s="94"/>
      <c r="M43" s="94"/>
      <c r="N43" s="94"/>
      <c r="O43" s="94"/>
      <c r="P43" s="380">
        <v>-58080</v>
      </c>
      <c r="Q43" s="45" t="str">
        <f>IFERROR(IF(compras_mes4[[#This Row],[CUIT]]="","-",VLOOKUP(compras_mes4[[#This Row],[CUIT]],Lista_CUIT[#All],3,0)),"CUIT NO CARGADO")</f>
        <v>Gastos Varios</v>
      </c>
      <c r="R43" s="45">
        <f>IFERROR(IF(compras_mes4[[#This Row],[CUIT]]="","-",VLOOKUP(compras_mes4[[#This Row],[CUIT]],Lista_CUIT[#All],4,0)),"CUIT NO CARGADO")</f>
        <v>0</v>
      </c>
    </row>
    <row r="44" spans="2:18" x14ac:dyDescent="0.3">
      <c r="B44" s="378">
        <v>44674</v>
      </c>
      <c r="C44" s="86">
        <v>1</v>
      </c>
      <c r="D44" s="38">
        <v>4527</v>
      </c>
      <c r="E44" s="39">
        <v>204</v>
      </c>
      <c r="F44" s="89">
        <v>30685849751</v>
      </c>
      <c r="G44" s="41" t="str">
        <f>IFERROR(IF(compras_mes4[[#This Row],[CUIT]]="","-",VLOOKUP(compras_mes4[[#This Row],[CUIT]],Lista_CUIT[#All],2,0)),"CUIT NO CARGADO")</f>
        <v>DIA ARGENTINA S A</v>
      </c>
      <c r="H44" s="94">
        <v>6940.8</v>
      </c>
      <c r="I44" s="94">
        <v>1194.03</v>
      </c>
      <c r="J44" s="94"/>
      <c r="K44" s="94"/>
      <c r="L44" s="94"/>
      <c r="M44" s="94"/>
      <c r="N44" s="94"/>
      <c r="O44" s="94"/>
      <c r="P44" s="380">
        <v>8134.83</v>
      </c>
      <c r="Q44" s="45" t="str">
        <f>IFERROR(IF(compras_mes4[[#This Row],[CUIT]]="","-",VLOOKUP(compras_mes4[[#This Row],[CUIT]],Lista_CUIT[#All],3,0)),"CUIT NO CARGADO")</f>
        <v>Gastos Varios</v>
      </c>
      <c r="R44" s="45">
        <f>IFERROR(IF(compras_mes4[[#This Row],[CUIT]]="","-",VLOOKUP(compras_mes4[[#This Row],[CUIT]],Lista_CUIT[#All],4,0)),"CUIT NO CARGADO")</f>
        <v>0</v>
      </c>
    </row>
    <row r="45" spans="2:18" x14ac:dyDescent="0.3">
      <c r="B45" s="378">
        <v>44677</v>
      </c>
      <c r="C45" s="86">
        <v>1</v>
      </c>
      <c r="D45" s="38">
        <v>5</v>
      </c>
      <c r="E45" s="39">
        <v>18332</v>
      </c>
      <c r="F45" s="89">
        <v>30616146447</v>
      </c>
      <c r="G45" s="41" t="str">
        <f>IFERROR(IF(compras_mes4[[#This Row],[CUIT]]="","-",VLOOKUP(compras_mes4[[#This Row],[CUIT]],Lista_CUIT[#All],2,0)),"CUIT NO CARGADO")</f>
        <v>EGEO SOCIEDAD DE RESPONSABILIDAD LIMITADA</v>
      </c>
      <c r="H45" s="94">
        <v>45000</v>
      </c>
      <c r="I45" s="94">
        <v>9450</v>
      </c>
      <c r="J45" s="94"/>
      <c r="K45" s="94"/>
      <c r="L45" s="94"/>
      <c r="M45" s="94"/>
      <c r="N45" s="94"/>
      <c r="O45" s="94"/>
      <c r="P45" s="380">
        <v>54450</v>
      </c>
      <c r="Q45" s="45" t="str">
        <f>IFERROR(IF(compras_mes4[[#This Row],[CUIT]]="","-",VLOOKUP(compras_mes4[[#This Row],[CUIT]],Lista_CUIT[#All],3,0)),"CUIT NO CARGADO")</f>
        <v>Gastos Varios</v>
      </c>
      <c r="R45" s="45">
        <f>IFERROR(IF(compras_mes4[[#This Row],[CUIT]]="","-",VLOOKUP(compras_mes4[[#This Row],[CUIT]],Lista_CUIT[#All],4,0)),"CUIT NO CARGADO")</f>
        <v>0</v>
      </c>
    </row>
    <row r="46" spans="2:18" ht="18" customHeight="1" x14ac:dyDescent="0.3">
      <c r="B46" s="378">
        <v>44679</v>
      </c>
      <c r="C46" s="86">
        <v>1</v>
      </c>
      <c r="D46" s="38">
        <v>2199</v>
      </c>
      <c r="E46" s="39">
        <v>15745</v>
      </c>
      <c r="F46" s="89">
        <v>30548083156</v>
      </c>
      <c r="G46" s="41" t="str">
        <f>IFERROR(IF(compras_mes4[[#This Row],[CUIT]]="","-",VLOOKUP(compras_mes4[[#This Row],[CUIT]],Lista_CUIT[#All],2,0)),"CUIT NO CARGADO")</f>
        <v>COTO  S.A.</v>
      </c>
      <c r="H46" s="94">
        <v>43862.16</v>
      </c>
      <c r="I46" s="94">
        <v>8437.86</v>
      </c>
      <c r="J46" s="94"/>
      <c r="K46" s="94"/>
      <c r="L46" s="94">
        <v>1020.43</v>
      </c>
      <c r="M46" s="94">
        <v>1912.84</v>
      </c>
      <c r="N46" s="94">
        <v>1154.8499999999999</v>
      </c>
      <c r="O46" s="94"/>
      <c r="P46" s="380">
        <v>56388.14</v>
      </c>
      <c r="Q46" s="45" t="str">
        <f>IFERROR(IF(compras_mes4[[#This Row],[CUIT]]="","-",VLOOKUP(compras_mes4[[#This Row],[CUIT]],Lista_CUIT[#All],3,0)),"CUIT NO CARGADO")</f>
        <v>Gastos Varios</v>
      </c>
      <c r="R46" s="45">
        <f>IFERROR(IF(compras_mes4[[#This Row],[CUIT]]="","-",VLOOKUP(compras_mes4[[#This Row],[CUIT]],Lista_CUIT[#All],4,0)),"CUIT NO CARGADO")</f>
        <v>0</v>
      </c>
    </row>
    <row r="47" spans="2:18" x14ac:dyDescent="0.3">
      <c r="B47" s="378">
        <v>44678</v>
      </c>
      <c r="C47" s="86">
        <v>1</v>
      </c>
      <c r="D47" s="38">
        <v>4</v>
      </c>
      <c r="E47" s="39">
        <v>2604</v>
      </c>
      <c r="F47" s="89">
        <v>20132380741</v>
      </c>
      <c r="G47" s="41" t="str">
        <f>IFERROR(IF(compras_mes4[[#This Row],[CUIT]]="","-",VLOOKUP(compras_mes4[[#This Row],[CUIT]],Lista_CUIT[#All],2,0)),"CUIT NO CARGADO")</f>
        <v>GERARDO  A.S.  LARA</v>
      </c>
      <c r="H47" s="94">
        <v>67177</v>
      </c>
      <c r="I47" s="94">
        <v>14107.17</v>
      </c>
      <c r="J47" s="94"/>
      <c r="K47" s="94"/>
      <c r="L47" s="94">
        <v>10370.64</v>
      </c>
      <c r="M47" s="94"/>
      <c r="N47" s="94"/>
      <c r="O47" s="94"/>
      <c r="P47" s="380">
        <v>91654.81</v>
      </c>
      <c r="Q47" s="45" t="str">
        <f>IFERROR(IF(compras_mes4[[#This Row],[CUIT]]="","-",VLOOKUP(compras_mes4[[#This Row],[CUIT]],Lista_CUIT[#All],3,0)),"CUIT NO CARGADO")</f>
        <v>Gtos Comercializacion</v>
      </c>
      <c r="R47" s="45">
        <f>IFERROR(IF(compras_mes4[[#This Row],[CUIT]]="","-",VLOOKUP(compras_mes4[[#This Row],[CUIT]],Lista_CUIT[#All],4,0)),"CUIT NO CARGADO")</f>
        <v>0</v>
      </c>
    </row>
    <row r="48" spans="2:18" x14ac:dyDescent="0.3">
      <c r="B48" s="378">
        <v>44676</v>
      </c>
      <c r="C48" s="86">
        <v>1</v>
      </c>
      <c r="D48" s="38">
        <v>3</v>
      </c>
      <c r="E48" s="39">
        <v>461</v>
      </c>
      <c r="F48" s="89">
        <v>30714705128</v>
      </c>
      <c r="G48" s="41" t="str">
        <f>IFERROR(IF(compras_mes4[[#This Row],[CUIT]]="","-",VLOOKUP(compras_mes4[[#This Row],[CUIT]],Lista_CUIT[#All],2,0)),"CUIT NO CARGADO")</f>
        <v>VIA  CAPRI  S.A.</v>
      </c>
      <c r="H48" s="94">
        <v>45813.22</v>
      </c>
      <c r="I48" s="94">
        <v>9620.7800000000007</v>
      </c>
      <c r="J48" s="94"/>
      <c r="K48" s="94"/>
      <c r="L48" s="94"/>
      <c r="M48" s="94"/>
      <c r="N48" s="94"/>
      <c r="O48" s="94"/>
      <c r="P48" s="380">
        <v>55434</v>
      </c>
      <c r="Q48" s="45" t="str">
        <f>IFERROR(IF(compras_mes4[[#This Row],[CUIT]]="","-",VLOOKUP(compras_mes4[[#This Row],[CUIT]],Lista_CUIT[#All],3,0)),"CUIT NO CARGADO")</f>
        <v>Gtos Comercializacion</v>
      </c>
      <c r="R48" s="45" t="str">
        <f>IFERROR(IF(compras_mes4[[#This Row],[CUIT]]="","-",VLOOKUP(compras_mes4[[#This Row],[CUIT]],Lista_CUIT[#All],4,0)),"CUIT NO CARGADO")</f>
        <v>CORDOBA</v>
      </c>
    </row>
    <row r="49" spans="2:18" x14ac:dyDescent="0.3">
      <c r="B49" s="378">
        <v>44680</v>
      </c>
      <c r="C49" s="86">
        <v>1</v>
      </c>
      <c r="D49" s="38">
        <v>27</v>
      </c>
      <c r="E49" s="39">
        <v>309086</v>
      </c>
      <c r="F49" s="89">
        <v>30703088534</v>
      </c>
      <c r="G49" s="41" t="str">
        <f>IFERROR(IF(compras_mes4[[#This Row],[CUIT]]="","-",VLOOKUP(compras_mes4[[#This Row],[CUIT]],Lista_CUIT[#All],2,0)),"CUIT NO CARGADO")</f>
        <v>MERCADO LIBRE SRL</v>
      </c>
      <c r="H49" s="94">
        <v>109584.16</v>
      </c>
      <c r="I49" s="94">
        <v>23012.67</v>
      </c>
      <c r="J49" s="94"/>
      <c r="K49" s="94"/>
      <c r="L49" s="94">
        <v>6575.1</v>
      </c>
      <c r="M49" s="94"/>
      <c r="N49" s="94">
        <v>3287.55</v>
      </c>
      <c r="O49" s="94"/>
      <c r="P49" s="380">
        <v>142459.48000000001</v>
      </c>
      <c r="Q49" s="45" t="str">
        <f>IFERROR(IF(compras_mes4[[#This Row],[CUIT]]="","-",VLOOKUP(compras_mes4[[#This Row],[CUIT]],Lista_CUIT[#All],3,0)),"CUIT NO CARGADO")</f>
        <v>Gtos Comercializacion</v>
      </c>
      <c r="R49" s="45">
        <f>IFERROR(IF(compras_mes4[[#This Row],[CUIT]]="","-",VLOOKUP(compras_mes4[[#This Row],[CUIT]],Lista_CUIT[#All],4,0)),"CUIT NO CARGADO")</f>
        <v>0</v>
      </c>
    </row>
    <row r="50" spans="2:18" x14ac:dyDescent="0.3">
      <c r="B50" s="378">
        <v>44651</v>
      </c>
      <c r="C50" s="86">
        <v>1</v>
      </c>
      <c r="D50" s="38">
        <v>1</v>
      </c>
      <c r="E50" s="39">
        <v>2194</v>
      </c>
      <c r="F50" s="89">
        <v>20103906149</v>
      </c>
      <c r="G50" s="41" t="str">
        <f>IFERROR(IF(compras_mes4[[#This Row],[CUIT]]="","-",VLOOKUP(compras_mes4[[#This Row],[CUIT]],Lista_CUIT[#All],2,0)),"CUIT NO CARGADO")</f>
        <v>MC LEAN ROBERTO</v>
      </c>
      <c r="H50" s="94">
        <v>45000</v>
      </c>
      <c r="I50" s="94">
        <v>9450</v>
      </c>
      <c r="J50" s="94"/>
      <c r="K50" s="94"/>
      <c r="L50" s="94"/>
      <c r="M50" s="94"/>
      <c r="N50" s="94"/>
      <c r="O50" s="94"/>
      <c r="P50" s="380">
        <v>54450</v>
      </c>
      <c r="Q50" s="45" t="str">
        <f>IFERROR(IF(compras_mes4[[#This Row],[CUIT]]="","-",VLOOKUP(compras_mes4[[#This Row],[CUIT]],Lista_CUIT[#All],3,0)),"CUIT NO CARGADO")</f>
        <v>Honorarios Contables</v>
      </c>
      <c r="R50" s="45">
        <f>IFERROR(IF(compras_mes4[[#This Row],[CUIT]]="","-",VLOOKUP(compras_mes4[[#This Row],[CUIT]],Lista_CUIT[#All],4,0)),"CUIT NO CARGADO")</f>
        <v>0</v>
      </c>
    </row>
    <row r="51" spans="2:18" x14ac:dyDescent="0.3">
      <c r="B51" s="378">
        <v>44680</v>
      </c>
      <c r="C51" s="86">
        <v>1</v>
      </c>
      <c r="D51" s="38">
        <v>1</v>
      </c>
      <c r="E51" s="39">
        <v>2203</v>
      </c>
      <c r="F51" s="89">
        <v>20103906149</v>
      </c>
      <c r="G51" s="41" t="str">
        <f>IFERROR(IF(compras_mes4[[#This Row],[CUIT]]="","-",VLOOKUP(compras_mes4[[#This Row],[CUIT]],Lista_CUIT[#All],2,0)),"CUIT NO CARGADO")</f>
        <v>MC LEAN ROBERTO</v>
      </c>
      <c r="H51" s="94">
        <v>45000</v>
      </c>
      <c r="I51" s="94">
        <v>9450</v>
      </c>
      <c r="J51" s="94"/>
      <c r="K51" s="94"/>
      <c r="L51" s="94"/>
      <c r="M51" s="94"/>
      <c r="N51" s="94"/>
      <c r="O51" s="94"/>
      <c r="P51" s="380">
        <v>54450</v>
      </c>
      <c r="Q51" s="45" t="str">
        <f>IFERROR(IF(compras_mes4[[#This Row],[CUIT]]="","-",VLOOKUP(compras_mes4[[#This Row],[CUIT]],Lista_CUIT[#All],3,0)),"CUIT NO CARGADO")</f>
        <v>Honorarios Contables</v>
      </c>
      <c r="R51" s="45">
        <f>IFERROR(IF(compras_mes4[[#This Row],[CUIT]]="","-",VLOOKUP(compras_mes4[[#This Row],[CUIT]],Lista_CUIT[#All],4,0)),"CUIT NO CARGADO")</f>
        <v>0</v>
      </c>
    </row>
    <row r="52" spans="2:18" x14ac:dyDescent="0.3">
      <c r="B52" s="378">
        <v>44652</v>
      </c>
      <c r="C52" s="86">
        <v>1</v>
      </c>
      <c r="D52" s="38">
        <v>1973</v>
      </c>
      <c r="E52" s="39">
        <v>423</v>
      </c>
      <c r="F52" s="89">
        <v>20231469975</v>
      </c>
      <c r="G52" s="41" t="str">
        <f>IFERROR(IF(compras_mes4[[#This Row],[CUIT]]="","-",VLOOKUP(compras_mes4[[#This Row],[CUIT]],Lista_CUIT[#All],2,0)),"CUIT NO CARGADO")</f>
        <v>CHAMEN  ADOLFO  DANIEL</v>
      </c>
      <c r="H52" s="94">
        <v>3867.77</v>
      </c>
      <c r="I52" s="94">
        <v>812.23</v>
      </c>
      <c r="J52" s="94"/>
      <c r="K52" s="94"/>
      <c r="L52" s="94"/>
      <c r="M52" s="94"/>
      <c r="N52" s="94"/>
      <c r="O52" s="94"/>
      <c r="P52" s="380">
        <v>4680</v>
      </c>
      <c r="Q52" s="45" t="str">
        <f>IFERROR(IF(compras_mes4[[#This Row],[CUIT]]="","-",VLOOKUP(compras_mes4[[#This Row],[CUIT]],Lista_CUIT[#All],3,0)),"CUIT NO CARGADO")</f>
        <v>Librería</v>
      </c>
      <c r="R52" s="45">
        <f>IFERROR(IF(compras_mes4[[#This Row],[CUIT]]="","-",VLOOKUP(compras_mes4[[#This Row],[CUIT]],Lista_CUIT[#All],4,0)),"CUIT NO CARGADO")</f>
        <v>0</v>
      </c>
    </row>
    <row r="53" spans="2:18" x14ac:dyDescent="0.3">
      <c r="B53" s="378">
        <v>44659</v>
      </c>
      <c r="C53" s="86">
        <v>1</v>
      </c>
      <c r="D53" s="38">
        <v>2</v>
      </c>
      <c r="E53" s="39">
        <v>2292</v>
      </c>
      <c r="F53" s="89">
        <v>20240305128</v>
      </c>
      <c r="G53" s="41" t="str">
        <f>IFERROR(IF(compras_mes4[[#This Row],[CUIT]]="","-",VLOOKUP(compras_mes4[[#This Row],[CUIT]],Lista_CUIT[#All],2,0)),"CUIT NO CARGADO")</f>
        <v>ABRALDES DIEGO ROBERTO</v>
      </c>
      <c r="H53" s="94">
        <v>10675</v>
      </c>
      <c r="I53" s="94">
        <v>2241.75</v>
      </c>
      <c r="J53" s="94"/>
      <c r="K53" s="94"/>
      <c r="L53" s="94"/>
      <c r="M53" s="94"/>
      <c r="N53" s="94"/>
      <c r="O53" s="94"/>
      <c r="P53" s="380">
        <v>12916.75</v>
      </c>
      <c r="Q53" s="45" t="str">
        <f>IFERROR(IF(compras_mes4[[#This Row],[CUIT]]="","-",VLOOKUP(compras_mes4[[#This Row],[CUIT]],Lista_CUIT[#All],3,0)),"CUIT NO CARGADO")</f>
        <v>Librería</v>
      </c>
      <c r="R53" s="45">
        <f>IFERROR(IF(compras_mes4[[#This Row],[CUIT]]="","-",VLOOKUP(compras_mes4[[#This Row],[CUIT]],Lista_CUIT[#All],4,0)),"CUIT NO CARGADO")</f>
        <v>0</v>
      </c>
    </row>
    <row r="54" spans="2:18" x14ac:dyDescent="0.3">
      <c r="B54" s="378">
        <v>44670</v>
      </c>
      <c r="C54" s="86">
        <v>1</v>
      </c>
      <c r="D54" s="38">
        <v>2</v>
      </c>
      <c r="E54" s="39">
        <v>2300</v>
      </c>
      <c r="F54" s="89">
        <v>20240305128</v>
      </c>
      <c r="G54" s="41" t="str">
        <f>IFERROR(IF(compras_mes4[[#This Row],[CUIT]]="","-",VLOOKUP(compras_mes4[[#This Row],[CUIT]],Lista_CUIT[#All],2,0)),"CUIT NO CARGADO")</f>
        <v>ABRALDES DIEGO ROBERTO</v>
      </c>
      <c r="H54" s="94">
        <v>3580</v>
      </c>
      <c r="I54" s="94">
        <v>751.8</v>
      </c>
      <c r="J54" s="94"/>
      <c r="K54" s="94"/>
      <c r="L54" s="94"/>
      <c r="M54" s="94"/>
      <c r="N54" s="94"/>
      <c r="O54" s="94"/>
      <c r="P54" s="380">
        <v>4331.8</v>
      </c>
      <c r="Q54" s="45" t="str">
        <f>IFERROR(IF(compras_mes4[[#This Row],[CUIT]]="","-",VLOOKUP(compras_mes4[[#This Row],[CUIT]],Lista_CUIT[#All],3,0)),"CUIT NO CARGADO")</f>
        <v>Librería</v>
      </c>
      <c r="R54" s="45">
        <f>IFERROR(IF(compras_mes4[[#This Row],[CUIT]]="","-",VLOOKUP(compras_mes4[[#This Row],[CUIT]],Lista_CUIT[#All],4,0)),"CUIT NO CARGADO")</f>
        <v>0</v>
      </c>
    </row>
    <row r="55" spans="2:18" x14ac:dyDescent="0.3">
      <c r="B55" s="410">
        <v>44670</v>
      </c>
      <c r="C55" s="411">
        <v>1</v>
      </c>
      <c r="D55" s="262">
        <v>1</v>
      </c>
      <c r="E55" s="412">
        <v>85395</v>
      </c>
      <c r="F55" s="413">
        <v>33693450239</v>
      </c>
      <c r="G55" s="414" t="str">
        <f>IFERROR(IF(compras_mes4[[#This Row],[CUIT]]="","-",VLOOKUP(compras_mes4[[#This Row],[CUIT]],Lista_CUIT[#All],2,0)),"CUIT NO CARGADO")</f>
        <v>AFIP VERIFICAR</v>
      </c>
      <c r="H55" s="415">
        <v>173103.94</v>
      </c>
      <c r="I55" s="415"/>
      <c r="J55" s="415">
        <v>433282.55</v>
      </c>
      <c r="K55" s="415"/>
      <c r="L55" s="415">
        <v>1136.3</v>
      </c>
      <c r="M55" s="415"/>
      <c r="N55" s="415"/>
      <c r="O55" s="415"/>
      <c r="P55" s="416">
        <v>607522.79</v>
      </c>
      <c r="Q55" s="417" t="str">
        <f>IFERROR(IF(compras_mes4[[#This Row],[CUIT]]="","-",VLOOKUP(compras_mes4[[#This Row],[CUIT]],Lista_CUIT[#All],3,0)),"CUIT NO CARGADO")</f>
        <v>LIQUIDACION INPO-EXPO ?</v>
      </c>
      <c r="R55" s="417">
        <f>IFERROR(IF(compras_mes4[[#This Row],[CUIT]]="","-",VLOOKUP(compras_mes4[[#This Row],[CUIT]],Lista_CUIT[#All],4,0)),"CUIT NO CARGADO")</f>
        <v>0</v>
      </c>
    </row>
    <row r="56" spans="2:18" x14ac:dyDescent="0.3">
      <c r="B56" s="378">
        <v>44662</v>
      </c>
      <c r="C56" s="86">
        <v>1</v>
      </c>
      <c r="D56" s="38">
        <v>2</v>
      </c>
      <c r="E56" s="39">
        <v>4776</v>
      </c>
      <c r="F56" s="89">
        <v>33714677239</v>
      </c>
      <c r="G56" s="41" t="str">
        <f>IFERROR(IF(compras_mes4[[#This Row],[CUIT]]="","-",VLOOKUP(compras_mes4[[#This Row],[CUIT]],Lista_CUIT[#All],2,0)),"CUIT NO CARGADO")</f>
        <v>VABAR LIN SRL</v>
      </c>
      <c r="H56" s="94">
        <v>116325</v>
      </c>
      <c r="I56" s="94">
        <v>24428.25</v>
      </c>
      <c r="J56" s="94"/>
      <c r="K56" s="94"/>
      <c r="L56" s="94"/>
      <c r="M56" s="94"/>
      <c r="N56" s="94"/>
      <c r="O56" s="94"/>
      <c r="P56" s="380">
        <v>140753.25</v>
      </c>
      <c r="Q56" s="45" t="str">
        <f>IFERROR(IF(compras_mes4[[#This Row],[CUIT]]="","-",VLOOKUP(compras_mes4[[#This Row],[CUIT]],Lista_CUIT[#All],3,0)),"CUIT NO CARGADO")</f>
        <v>Mantenimiento</v>
      </c>
      <c r="R56" s="45">
        <f>IFERROR(IF(compras_mes4[[#This Row],[CUIT]]="","-",VLOOKUP(compras_mes4[[#This Row],[CUIT]],Lista_CUIT[#All],4,0)),"CUIT NO CARGADO")</f>
        <v>0</v>
      </c>
    </row>
    <row r="57" spans="2:18" x14ac:dyDescent="0.3">
      <c r="B57" s="378">
        <v>44669</v>
      </c>
      <c r="C57" s="86">
        <v>1</v>
      </c>
      <c r="D57" s="38">
        <v>2809</v>
      </c>
      <c r="E57" s="39">
        <v>412</v>
      </c>
      <c r="F57" s="40">
        <v>30543659734</v>
      </c>
      <c r="G57" s="41" t="str">
        <f>IFERROR(IF(compras_mes4[[#This Row],[CUIT]]="","-",VLOOKUP(compras_mes4[[#This Row],[CUIT]],Lista_CUIT[#All],2,0)),"CUIT NO CARGADO")</f>
        <v>ELECTRONICA  MEGATONE  S.A.</v>
      </c>
      <c r="H57" s="94">
        <v>28363.64</v>
      </c>
      <c r="I57" s="94">
        <v>5956.36</v>
      </c>
      <c r="J57" s="94"/>
      <c r="K57" s="94"/>
      <c r="L57" s="94"/>
      <c r="M57" s="94"/>
      <c r="N57" s="94"/>
      <c r="O57" s="94"/>
      <c r="P57" s="380">
        <v>34320</v>
      </c>
      <c r="Q57" s="45" t="str">
        <f>IFERROR(IF(compras_mes4[[#This Row],[CUIT]]="","-",VLOOKUP(compras_mes4[[#This Row],[CUIT]],Lista_CUIT[#All],3,0)),"CUIT NO CARGADO")</f>
        <v>Mantenimiento</v>
      </c>
      <c r="R57" s="45">
        <f>IFERROR(IF(compras_mes4[[#This Row],[CUIT]]="","-",VLOOKUP(compras_mes4[[#This Row],[CUIT]],Lista_CUIT[#All],4,0)),"CUIT NO CARGADO")</f>
        <v>0</v>
      </c>
    </row>
    <row r="58" spans="2:18" ht="17.25" customHeight="1" x14ac:dyDescent="0.3">
      <c r="B58" s="378">
        <v>44655</v>
      </c>
      <c r="C58" s="86">
        <v>1</v>
      </c>
      <c r="D58" s="38">
        <v>6</v>
      </c>
      <c r="E58" s="39">
        <v>12106</v>
      </c>
      <c r="F58" s="40">
        <v>30548690796</v>
      </c>
      <c r="G58" s="41" t="str">
        <f>IFERROR(IF(compras_mes4[[#This Row],[CUIT]]="","-",VLOOKUP(compras_mes4[[#This Row],[CUIT]],Lista_CUIT[#All],2,0)),"CUIT NO CARGADO")</f>
        <v>UNION  QUIMICA  ARGENTINA  SRL</v>
      </c>
      <c r="H58" s="94">
        <v>70050</v>
      </c>
      <c r="I58" s="94">
        <v>14710.5</v>
      </c>
      <c r="J58" s="94"/>
      <c r="K58" s="94"/>
      <c r="L58" s="94"/>
      <c r="M58" s="94"/>
      <c r="N58" s="94"/>
      <c r="O58" s="94"/>
      <c r="P58" s="380">
        <v>84760.5</v>
      </c>
      <c r="Q58" s="45" t="str">
        <f>IFERROR(IF(compras_mes4[[#This Row],[CUIT]]="","-",VLOOKUP(compras_mes4[[#This Row],[CUIT]],Lista_CUIT[#All],3,0)),"CUIT NO CARGADO")</f>
        <v>Materia Prima</v>
      </c>
      <c r="R58" s="45">
        <f>IFERROR(IF(compras_mes4[[#This Row],[CUIT]]="","-",VLOOKUP(compras_mes4[[#This Row],[CUIT]],Lista_CUIT[#All],4,0)),"CUIT NO CARGADO")</f>
        <v>0</v>
      </c>
    </row>
    <row r="59" spans="2:18" x14ac:dyDescent="0.3">
      <c r="B59" s="378">
        <v>44673</v>
      </c>
      <c r="C59" s="86">
        <v>1</v>
      </c>
      <c r="D59" s="38">
        <v>6</v>
      </c>
      <c r="E59" s="39">
        <v>12140</v>
      </c>
      <c r="F59" s="89">
        <v>30548690796</v>
      </c>
      <c r="G59" s="41" t="str">
        <f>IFERROR(IF(compras_mes4[[#This Row],[CUIT]]="","-",VLOOKUP(compras_mes4[[#This Row],[CUIT]],Lista_CUIT[#All],2,0)),"CUIT NO CARGADO")</f>
        <v>UNION  QUIMICA  ARGENTINA  SRL</v>
      </c>
      <c r="H59" s="94">
        <v>71700</v>
      </c>
      <c r="I59" s="94">
        <v>15057</v>
      </c>
      <c r="J59" s="94"/>
      <c r="K59" s="94"/>
      <c r="L59" s="94"/>
      <c r="M59" s="94"/>
      <c r="N59" s="94"/>
      <c r="O59" s="94"/>
      <c r="P59" s="380">
        <v>86757</v>
      </c>
      <c r="Q59" s="45" t="str">
        <f>IFERROR(IF(compras_mes4[[#This Row],[CUIT]]="","-",VLOOKUP(compras_mes4[[#This Row],[CUIT]],Lista_CUIT[#All],3,0)),"CUIT NO CARGADO")</f>
        <v>Materia Prima</v>
      </c>
      <c r="R59" s="45">
        <f>IFERROR(IF(compras_mes4[[#This Row],[CUIT]]="","-",VLOOKUP(compras_mes4[[#This Row],[CUIT]],Lista_CUIT[#All],4,0)),"CUIT NO CARGADO")</f>
        <v>0</v>
      </c>
    </row>
    <row r="60" spans="2:18" x14ac:dyDescent="0.3">
      <c r="B60" s="378">
        <v>44673</v>
      </c>
      <c r="C60" s="86">
        <v>3</v>
      </c>
      <c r="D60" s="38">
        <v>6</v>
      </c>
      <c r="E60" s="39">
        <v>956</v>
      </c>
      <c r="F60" s="89">
        <v>30548690796</v>
      </c>
      <c r="G60" s="41" t="str">
        <f>IFERROR(IF(compras_mes4[[#This Row],[CUIT]]="","-",VLOOKUP(compras_mes4[[#This Row],[CUIT]],Lista_CUIT[#All],2,0)),"CUIT NO CARGADO")</f>
        <v>UNION  QUIMICA  ARGENTINA  SRL</v>
      </c>
      <c r="H60" s="94">
        <v>-71700</v>
      </c>
      <c r="I60" s="94">
        <v>-15057</v>
      </c>
      <c r="J60" s="94"/>
      <c r="K60" s="94"/>
      <c r="L60" s="94"/>
      <c r="M60" s="94"/>
      <c r="N60" s="94"/>
      <c r="O60" s="94"/>
      <c r="P60" s="380">
        <v>-86757</v>
      </c>
      <c r="Q60" s="45" t="str">
        <f>IFERROR(IF(compras_mes4[[#This Row],[CUIT]]="","-",VLOOKUP(compras_mes4[[#This Row],[CUIT]],Lista_CUIT[#All],3,0)),"CUIT NO CARGADO")</f>
        <v>Materia Prima</v>
      </c>
      <c r="R60" s="45">
        <f>IFERROR(IF(compras_mes4[[#This Row],[CUIT]]="","-",VLOOKUP(compras_mes4[[#This Row],[CUIT]],Lista_CUIT[#All],4,0)),"CUIT NO CARGADO")</f>
        <v>0</v>
      </c>
    </row>
    <row r="61" spans="2:18" x14ac:dyDescent="0.3">
      <c r="B61" s="378">
        <v>44662</v>
      </c>
      <c r="C61" s="86">
        <v>1</v>
      </c>
      <c r="D61" s="38">
        <v>9</v>
      </c>
      <c r="E61" s="39">
        <v>626</v>
      </c>
      <c r="F61" s="89">
        <v>30710446047</v>
      </c>
      <c r="G61" s="41" t="str">
        <f>IFERROR(IF(compras_mes4[[#This Row],[CUIT]]="","-",VLOOKUP(compras_mes4[[#This Row],[CUIT]],Lista_CUIT[#All],2,0)),"CUIT NO CARGADO")</f>
        <v>ENSAMBLE GRAFICO S.H.</v>
      </c>
      <c r="H61" s="94">
        <v>139656</v>
      </c>
      <c r="I61" s="94">
        <v>29327.759999999998</v>
      </c>
      <c r="J61" s="94"/>
      <c r="K61" s="94"/>
      <c r="L61" s="94"/>
      <c r="M61" s="94"/>
      <c r="N61" s="94"/>
      <c r="O61" s="94"/>
      <c r="P61" s="380">
        <v>168983.76</v>
      </c>
      <c r="Q61" s="45" t="str">
        <f>IFERROR(IF(compras_mes4[[#This Row],[CUIT]]="","-",VLOOKUP(compras_mes4[[#This Row],[CUIT]],Lista_CUIT[#All],3,0)),"CUIT NO CARGADO")</f>
        <v>Mercaderia</v>
      </c>
      <c r="R61" s="45">
        <f>IFERROR(IF(compras_mes4[[#This Row],[CUIT]]="","-",VLOOKUP(compras_mes4[[#This Row],[CUIT]],Lista_CUIT[#All],4,0)),"CUIT NO CARGADO")</f>
        <v>0</v>
      </c>
    </row>
    <row r="62" spans="2:18" x14ac:dyDescent="0.3">
      <c r="B62" s="378">
        <v>44655</v>
      </c>
      <c r="C62" s="86">
        <v>1</v>
      </c>
      <c r="D62" s="38">
        <v>5</v>
      </c>
      <c r="E62" s="39">
        <v>99201</v>
      </c>
      <c r="F62" s="40">
        <v>30550106430</v>
      </c>
      <c r="G62" s="41" t="str">
        <f>IFERROR(IF(compras_mes4[[#This Row],[CUIT]]="","-",VLOOKUP(compras_mes4[[#This Row],[CUIT]],Lista_CUIT[#All],2,0)),"CUIT NO CARGADO")</f>
        <v>MAGEL  S.A.</v>
      </c>
      <c r="H62" s="94">
        <v>65240</v>
      </c>
      <c r="I62" s="94">
        <v>13700.4</v>
      </c>
      <c r="J62" s="94"/>
      <c r="K62" s="94"/>
      <c r="L62" s="94"/>
      <c r="M62" s="94"/>
      <c r="N62" s="94">
        <v>652.4</v>
      </c>
      <c r="O62" s="94"/>
      <c r="P62" s="380">
        <v>79592.800000000003</v>
      </c>
      <c r="Q62" s="45" t="str">
        <f>IFERROR(IF(compras_mes4[[#This Row],[CUIT]]="","-",VLOOKUP(compras_mes4[[#This Row],[CUIT]],Lista_CUIT[#All],3,0)),"CUIT NO CARGADO")</f>
        <v>Mercaderia</v>
      </c>
      <c r="R62" s="45">
        <f>IFERROR(IF(compras_mes4[[#This Row],[CUIT]]="","-",VLOOKUP(compras_mes4[[#This Row],[CUIT]],Lista_CUIT[#All],4,0)),"CUIT NO CARGADO")</f>
        <v>0</v>
      </c>
    </row>
    <row r="63" spans="2:18" x14ac:dyDescent="0.3">
      <c r="B63" s="378">
        <v>44655</v>
      </c>
      <c r="C63" s="86">
        <v>1</v>
      </c>
      <c r="D63" s="38">
        <v>5</v>
      </c>
      <c r="E63" s="39">
        <v>99213</v>
      </c>
      <c r="F63" s="40">
        <v>30550106430</v>
      </c>
      <c r="G63" s="41" t="str">
        <f>IFERROR(IF(compras_mes4[[#This Row],[CUIT]]="","-",VLOOKUP(compras_mes4[[#This Row],[CUIT]],Lista_CUIT[#All],2,0)),"CUIT NO CARGADO")</f>
        <v>MAGEL  S.A.</v>
      </c>
      <c r="H63" s="94">
        <v>260960</v>
      </c>
      <c r="I63" s="94">
        <v>54801.599999999999</v>
      </c>
      <c r="J63" s="94"/>
      <c r="K63" s="94"/>
      <c r="L63" s="94"/>
      <c r="M63" s="94"/>
      <c r="N63" s="94">
        <v>2609.6</v>
      </c>
      <c r="O63" s="94"/>
      <c r="P63" s="380">
        <v>318371.20000000001</v>
      </c>
      <c r="Q63" s="45" t="str">
        <f>IFERROR(IF(compras_mes4[[#This Row],[CUIT]]="","-",VLOOKUP(compras_mes4[[#This Row],[CUIT]],Lista_CUIT[#All],3,0)),"CUIT NO CARGADO")</f>
        <v>Mercaderia</v>
      </c>
      <c r="R63" s="45">
        <f>IFERROR(IF(compras_mes4[[#This Row],[CUIT]]="","-",VLOOKUP(compras_mes4[[#This Row],[CUIT]],Lista_CUIT[#All],4,0)),"CUIT NO CARGADO")</f>
        <v>0</v>
      </c>
    </row>
    <row r="64" spans="2:18" x14ac:dyDescent="0.3">
      <c r="B64" s="378">
        <v>44655</v>
      </c>
      <c r="C64" s="86">
        <v>3</v>
      </c>
      <c r="D64" s="38">
        <v>5</v>
      </c>
      <c r="E64" s="39">
        <v>8211</v>
      </c>
      <c r="F64" s="40">
        <v>30550106430</v>
      </c>
      <c r="G64" s="41" t="str">
        <f>IFERROR(IF(compras_mes4[[#This Row],[CUIT]]="","-",VLOOKUP(compras_mes4[[#This Row],[CUIT]],Lista_CUIT[#All],2,0)),"CUIT NO CARGADO")</f>
        <v>MAGEL  S.A.</v>
      </c>
      <c r="H64" s="94">
        <v>-65240</v>
      </c>
      <c r="I64" s="94">
        <v>-13700.4</v>
      </c>
      <c r="J64" s="94"/>
      <c r="K64" s="94"/>
      <c r="L64" s="94"/>
      <c r="M64" s="94"/>
      <c r="N64" s="94">
        <v>-652.4</v>
      </c>
      <c r="O64" s="94"/>
      <c r="P64" s="380">
        <v>-79592.800000000003</v>
      </c>
      <c r="Q64" s="45" t="str">
        <f>IFERROR(IF(compras_mes4[[#This Row],[CUIT]]="","-",VLOOKUP(compras_mes4[[#This Row],[CUIT]],Lista_CUIT[#All],3,0)),"CUIT NO CARGADO")</f>
        <v>Mercaderia</v>
      </c>
      <c r="R64" s="45">
        <f>IFERROR(IF(compras_mes4[[#This Row],[CUIT]]="","-",VLOOKUP(compras_mes4[[#This Row],[CUIT]],Lista_CUIT[#All],4,0)),"CUIT NO CARGADO")</f>
        <v>0</v>
      </c>
    </row>
    <row r="65" spans="2:18" x14ac:dyDescent="0.3">
      <c r="B65" s="378">
        <v>44656</v>
      </c>
      <c r="C65" s="86">
        <v>1</v>
      </c>
      <c r="D65" s="38">
        <v>1</v>
      </c>
      <c r="E65" s="39">
        <v>7</v>
      </c>
      <c r="F65" s="40">
        <v>30717305287</v>
      </c>
      <c r="G65" s="41" t="str">
        <f>IFERROR(IF(compras_mes4[[#This Row],[CUIT]]="","-",VLOOKUP(compras_mes4[[#This Row],[CUIT]],Lista_CUIT[#All],2,0)),"CUIT NO CARGADO")</f>
        <v>K.R. S. R. L.</v>
      </c>
      <c r="H65" s="94">
        <v>46200</v>
      </c>
      <c r="I65" s="94">
        <v>9702</v>
      </c>
      <c r="J65" s="94"/>
      <c r="K65" s="94"/>
      <c r="L65" s="94"/>
      <c r="M65" s="94"/>
      <c r="N65" s="94"/>
      <c r="O65" s="94"/>
      <c r="P65" s="380">
        <v>55902</v>
      </c>
      <c r="Q65" s="45" t="str">
        <f>IFERROR(IF(compras_mes4[[#This Row],[CUIT]]="","-",VLOOKUP(compras_mes4[[#This Row],[CUIT]],Lista_CUIT[#All],3,0)),"CUIT NO CARGADO")</f>
        <v>Mercaderia</v>
      </c>
      <c r="R65" s="45">
        <f>IFERROR(IF(compras_mes4[[#This Row],[CUIT]]="","-",VLOOKUP(compras_mes4[[#This Row],[CUIT]],Lista_CUIT[#All],4,0)),"CUIT NO CARGADO")</f>
        <v>0</v>
      </c>
    </row>
    <row r="66" spans="2:18" x14ac:dyDescent="0.3">
      <c r="B66" s="378">
        <v>44657</v>
      </c>
      <c r="C66" s="86">
        <v>1</v>
      </c>
      <c r="D66" s="38">
        <v>5</v>
      </c>
      <c r="E66" s="39">
        <v>99294</v>
      </c>
      <c r="F66" s="40">
        <v>30550106430</v>
      </c>
      <c r="G66" s="41" t="str">
        <f>IFERROR(IF(compras_mes4[[#This Row],[CUIT]]="","-",VLOOKUP(compras_mes4[[#This Row],[CUIT]],Lista_CUIT[#All],2,0)),"CUIT NO CARGADO")</f>
        <v>MAGEL  S.A.</v>
      </c>
      <c r="H66" s="94">
        <v>161460</v>
      </c>
      <c r="I66" s="94">
        <v>33906.6</v>
      </c>
      <c r="J66" s="94"/>
      <c r="K66" s="94"/>
      <c r="L66" s="94"/>
      <c r="M66" s="94"/>
      <c r="N66" s="94">
        <v>1614.6</v>
      </c>
      <c r="O66" s="94"/>
      <c r="P66" s="380">
        <v>196981.2</v>
      </c>
      <c r="Q66" s="45" t="str">
        <f>IFERROR(IF(compras_mes4[[#This Row],[CUIT]]="","-",VLOOKUP(compras_mes4[[#This Row],[CUIT]],Lista_CUIT[#All],3,0)),"CUIT NO CARGADO")</f>
        <v>Mercaderia</v>
      </c>
      <c r="R66" s="45">
        <f>IFERROR(IF(compras_mes4[[#This Row],[CUIT]]="","-",VLOOKUP(compras_mes4[[#This Row],[CUIT]],Lista_CUIT[#All],4,0)),"CUIT NO CARGADO")</f>
        <v>0</v>
      </c>
    </row>
    <row r="67" spans="2:18" x14ac:dyDescent="0.3">
      <c r="B67" s="378">
        <v>44652</v>
      </c>
      <c r="C67" s="86">
        <v>1</v>
      </c>
      <c r="D67" s="38">
        <v>4</v>
      </c>
      <c r="E67" s="39">
        <v>1323</v>
      </c>
      <c r="F67" s="40">
        <v>30715946250</v>
      </c>
      <c r="G67" s="41" t="str">
        <f>IFERROR(IF(compras_mes4[[#This Row],[CUIT]]="","-",VLOOKUP(compras_mes4[[#This Row],[CUIT]],Lista_CUIT[#All],2,0)),"CUIT NO CARGADO")</f>
        <v>GLOBAL  AESTHETICS  PRODUCTS</v>
      </c>
      <c r="H67" s="94">
        <v>367680</v>
      </c>
      <c r="I67" s="94">
        <v>77212.800000000003</v>
      </c>
      <c r="J67" s="94"/>
      <c r="K67" s="94"/>
      <c r="L67" s="94"/>
      <c r="M67" s="94"/>
      <c r="N67" s="94"/>
      <c r="O67" s="94"/>
      <c r="P67" s="380">
        <v>444892.8</v>
      </c>
      <c r="Q67" s="45" t="str">
        <f>IFERROR(IF(compras_mes4[[#This Row],[CUIT]]="","-",VLOOKUP(compras_mes4[[#This Row],[CUIT]],Lista_CUIT[#All],3,0)),"CUIT NO CARGADO")</f>
        <v>Mercaderia</v>
      </c>
      <c r="R67" s="45">
        <f>IFERROR(IF(compras_mes4[[#This Row],[CUIT]]="","-",VLOOKUP(compras_mes4[[#This Row],[CUIT]],Lista_CUIT[#All],4,0)),"CUIT NO CARGADO")</f>
        <v>0</v>
      </c>
    </row>
    <row r="68" spans="2:18" x14ac:dyDescent="0.3">
      <c r="B68" s="378">
        <v>44655</v>
      </c>
      <c r="C68" s="86">
        <v>1</v>
      </c>
      <c r="D68" s="38">
        <v>10</v>
      </c>
      <c r="E68" s="39">
        <v>3354</v>
      </c>
      <c r="F68" s="40">
        <v>20217646414</v>
      </c>
      <c r="G68" s="41" t="str">
        <f>IFERROR(IF(compras_mes4[[#This Row],[CUIT]]="","-",VLOOKUP(compras_mes4[[#This Row],[CUIT]],Lista_CUIT[#All],2,0)),"CUIT NO CARGADO")</f>
        <v>FARBER  HERMAN</v>
      </c>
      <c r="H68" s="94">
        <v>38000</v>
      </c>
      <c r="I68" s="94">
        <v>7980</v>
      </c>
      <c r="J68" s="94"/>
      <c r="K68" s="94"/>
      <c r="L68" s="94"/>
      <c r="M68" s="94"/>
      <c r="N68" s="94"/>
      <c r="O68" s="94"/>
      <c r="P68" s="380">
        <v>45980</v>
      </c>
      <c r="Q68" s="45" t="str">
        <f>IFERROR(IF(compras_mes4[[#This Row],[CUIT]]="","-",VLOOKUP(compras_mes4[[#This Row],[CUIT]],Lista_CUIT[#All],3,0)),"CUIT NO CARGADO")</f>
        <v>Mercaderia</v>
      </c>
      <c r="R68" s="45" t="str">
        <f>IFERROR(IF(compras_mes4[[#This Row],[CUIT]]="","-",VLOOKUP(compras_mes4[[#This Row],[CUIT]],Lista_CUIT[#All],4,0)),"CUIT NO CARGADO")</f>
        <v>BS AS</v>
      </c>
    </row>
    <row r="69" spans="2:18" x14ac:dyDescent="0.3">
      <c r="B69" s="378">
        <v>44655</v>
      </c>
      <c r="C69" s="86">
        <v>1</v>
      </c>
      <c r="D69" s="38">
        <v>10</v>
      </c>
      <c r="E69" s="39">
        <v>3355</v>
      </c>
      <c r="F69" s="40">
        <v>20217646414</v>
      </c>
      <c r="G69" s="41" t="str">
        <f>IFERROR(IF(compras_mes4[[#This Row],[CUIT]]="","-",VLOOKUP(compras_mes4[[#This Row],[CUIT]],Lista_CUIT[#All],2,0)),"CUIT NO CARGADO")</f>
        <v>FARBER  HERMAN</v>
      </c>
      <c r="H69" s="94">
        <v>154300</v>
      </c>
      <c r="I69" s="94">
        <v>32403</v>
      </c>
      <c r="J69" s="94"/>
      <c r="K69" s="94"/>
      <c r="L69" s="94"/>
      <c r="M69" s="94"/>
      <c r="N69" s="94"/>
      <c r="O69" s="94"/>
      <c r="P69" s="380">
        <v>186703</v>
      </c>
      <c r="Q69" s="45" t="str">
        <f>IFERROR(IF(compras_mes4[[#This Row],[CUIT]]="","-",VLOOKUP(compras_mes4[[#This Row],[CUIT]],Lista_CUIT[#All],3,0)),"CUIT NO CARGADO")</f>
        <v>Mercaderia</v>
      </c>
      <c r="R69" s="45" t="str">
        <f>IFERROR(IF(compras_mes4[[#This Row],[CUIT]]="","-",VLOOKUP(compras_mes4[[#This Row],[CUIT]],Lista_CUIT[#All],4,0)),"CUIT NO CARGADO")</f>
        <v>BS AS</v>
      </c>
    </row>
    <row r="70" spans="2:18" x14ac:dyDescent="0.3">
      <c r="B70" s="378">
        <v>44655</v>
      </c>
      <c r="C70" s="86">
        <v>3</v>
      </c>
      <c r="D70" s="38">
        <v>10</v>
      </c>
      <c r="E70" s="39">
        <v>109</v>
      </c>
      <c r="F70" s="40">
        <v>20217646414</v>
      </c>
      <c r="G70" s="41" t="str">
        <f>IFERROR(IF(compras_mes4[[#This Row],[CUIT]]="","-",VLOOKUP(compras_mes4[[#This Row],[CUIT]],Lista_CUIT[#All],2,0)),"CUIT NO CARGADO")</f>
        <v>FARBER  HERMAN</v>
      </c>
      <c r="H70" s="94">
        <v>-127520.66</v>
      </c>
      <c r="I70" s="94">
        <v>-26779.34</v>
      </c>
      <c r="J70" s="94"/>
      <c r="K70" s="94"/>
      <c r="L70" s="94"/>
      <c r="M70" s="94"/>
      <c r="N70" s="94"/>
      <c r="O70" s="94"/>
      <c r="P70" s="380">
        <v>-154300</v>
      </c>
      <c r="Q70" s="45" t="str">
        <f>IFERROR(IF(compras_mes4[[#This Row],[CUIT]]="","-",VLOOKUP(compras_mes4[[#This Row],[CUIT]],Lista_CUIT[#All],3,0)),"CUIT NO CARGADO")</f>
        <v>Mercaderia</v>
      </c>
      <c r="R70" s="45" t="str">
        <f>IFERROR(IF(compras_mes4[[#This Row],[CUIT]]="","-",VLOOKUP(compras_mes4[[#This Row],[CUIT]],Lista_CUIT[#All],4,0)),"CUIT NO CARGADO")</f>
        <v>BS AS</v>
      </c>
    </row>
    <row r="71" spans="2:18" x14ac:dyDescent="0.3">
      <c r="B71" s="378">
        <v>44656</v>
      </c>
      <c r="C71" s="86">
        <v>1</v>
      </c>
      <c r="D71" s="38">
        <v>6</v>
      </c>
      <c r="E71" s="39">
        <v>1991</v>
      </c>
      <c r="F71" s="40">
        <v>30574603788</v>
      </c>
      <c r="G71" s="41" t="str">
        <f>IFERROR(IF(compras_mes4[[#This Row],[CUIT]]="","-",VLOOKUP(compras_mes4[[#This Row],[CUIT]],Lista_CUIT[#All],2,0)),"CUIT NO CARGADO")</f>
        <v>Codac SRL</v>
      </c>
      <c r="H71" s="94">
        <v>344456</v>
      </c>
      <c r="I71" s="94">
        <v>72335.759999999995</v>
      </c>
      <c r="J71" s="94"/>
      <c r="K71" s="94"/>
      <c r="L71" s="94"/>
      <c r="M71" s="94"/>
      <c r="N71" s="94"/>
      <c r="O71" s="94"/>
      <c r="P71" s="380">
        <v>416791.76</v>
      </c>
      <c r="Q71" s="45" t="str">
        <f>IFERROR(IF(compras_mes4[[#This Row],[CUIT]]="","-",VLOOKUP(compras_mes4[[#This Row],[CUIT]],Lista_CUIT[#All],3,0)),"CUIT NO CARGADO")</f>
        <v>Mercaderia</v>
      </c>
      <c r="R71" s="45">
        <f>IFERROR(IF(compras_mes4[[#This Row],[CUIT]]="","-",VLOOKUP(compras_mes4[[#This Row],[CUIT]],Lista_CUIT[#All],4,0)),"CUIT NO CARGADO")</f>
        <v>0</v>
      </c>
    </row>
    <row r="72" spans="2:18" x14ac:dyDescent="0.3">
      <c r="B72" s="378">
        <v>44657</v>
      </c>
      <c r="C72" s="86">
        <v>1</v>
      </c>
      <c r="D72" s="38">
        <v>2</v>
      </c>
      <c r="E72" s="39">
        <v>3031</v>
      </c>
      <c r="F72" s="40">
        <v>30629863571</v>
      </c>
      <c r="G72" s="41" t="str">
        <f>IFERROR(IF(compras_mes4[[#This Row],[CUIT]]="","-",VLOOKUP(compras_mes4[[#This Row],[CUIT]],Lista_CUIT[#All],2,0)),"CUIT NO CARGADO")</f>
        <v>TECNIMAR S R L</v>
      </c>
      <c r="H72" s="94">
        <v>319142.96999999997</v>
      </c>
      <c r="I72" s="94">
        <v>67020.02</v>
      </c>
      <c r="J72" s="94"/>
      <c r="K72" s="94"/>
      <c r="L72" s="94"/>
      <c r="M72" s="94"/>
      <c r="N72" s="94"/>
      <c r="O72" s="94"/>
      <c r="P72" s="380">
        <v>386162.99</v>
      </c>
      <c r="Q72" s="45" t="str">
        <f>IFERROR(IF(compras_mes4[[#This Row],[CUIT]]="","-",VLOOKUP(compras_mes4[[#This Row],[CUIT]],Lista_CUIT[#All],3,0)),"CUIT NO CARGADO")</f>
        <v>Mercaderia</v>
      </c>
      <c r="R72" s="45">
        <f>IFERROR(IF(compras_mes4[[#This Row],[CUIT]]="","-",VLOOKUP(compras_mes4[[#This Row],[CUIT]],Lista_CUIT[#All],4,0)),"CUIT NO CARGADO")</f>
        <v>0</v>
      </c>
    </row>
    <row r="73" spans="2:18" x14ac:dyDescent="0.3">
      <c r="B73" s="378">
        <v>44657</v>
      </c>
      <c r="C73" s="86">
        <v>1</v>
      </c>
      <c r="D73" s="38">
        <v>3</v>
      </c>
      <c r="E73" s="39">
        <v>3020</v>
      </c>
      <c r="F73" s="40">
        <v>30714618977</v>
      </c>
      <c r="G73" s="41" t="str">
        <f>IFERROR(IF(compras_mes4[[#This Row],[CUIT]]="","-",VLOOKUP(compras_mes4[[#This Row],[CUIT]],Lista_CUIT[#All],2,0)),"CUIT NO CARGADO")</f>
        <v>DISTRIBUIDORA N.G. S.A.</v>
      </c>
      <c r="H73" s="94">
        <v>127500</v>
      </c>
      <c r="I73" s="94">
        <v>26775</v>
      </c>
      <c r="J73" s="94"/>
      <c r="K73" s="94"/>
      <c r="L73" s="94"/>
      <c r="M73" s="94"/>
      <c r="N73" s="94"/>
      <c r="O73" s="94"/>
      <c r="P73" s="380">
        <v>154275</v>
      </c>
      <c r="Q73" s="45" t="str">
        <f>IFERROR(IF(compras_mes4[[#This Row],[CUIT]]="","-",VLOOKUP(compras_mes4[[#This Row],[CUIT]],Lista_CUIT[#All],3,0)),"CUIT NO CARGADO")</f>
        <v>Mercaderia</v>
      </c>
      <c r="R73" s="45">
        <f>IFERROR(IF(compras_mes4[[#This Row],[CUIT]]="","-",VLOOKUP(compras_mes4[[#This Row],[CUIT]],Lista_CUIT[#All],4,0)),"CUIT NO CARGADO")</f>
        <v>0</v>
      </c>
    </row>
    <row r="74" spans="2:18" x14ac:dyDescent="0.3">
      <c r="B74" s="378">
        <v>44659</v>
      </c>
      <c r="C74" s="86">
        <v>1</v>
      </c>
      <c r="D74" s="38">
        <v>5</v>
      </c>
      <c r="E74" s="39">
        <v>5179</v>
      </c>
      <c r="F74" s="40">
        <v>30532905555</v>
      </c>
      <c r="G74" s="41" t="str">
        <f>IFERROR(IF(compras_mes4[[#This Row],[CUIT]]="","-",VLOOKUP(compras_mes4[[#This Row],[CUIT]],Lista_CUIT[#All],2,0)),"CUIT NO CARGADO")</f>
        <v>UNTECO  SAIC  E  I.</v>
      </c>
      <c r="H74" s="94">
        <v>41479.33</v>
      </c>
      <c r="I74" s="94">
        <v>8710.66</v>
      </c>
      <c r="J74" s="94"/>
      <c r="K74" s="94"/>
      <c r="L74" s="94"/>
      <c r="M74" s="94"/>
      <c r="N74" s="94">
        <v>2488.7600000000002</v>
      </c>
      <c r="O74" s="94"/>
      <c r="P74" s="380">
        <v>52678.75</v>
      </c>
      <c r="Q74" s="45" t="str">
        <f>IFERROR(IF(compras_mes4[[#This Row],[CUIT]]="","-",VLOOKUP(compras_mes4[[#This Row],[CUIT]],Lista_CUIT[#All],3,0)),"CUIT NO CARGADO")</f>
        <v>Mercaderia</v>
      </c>
      <c r="R74" s="45">
        <f>IFERROR(IF(compras_mes4[[#This Row],[CUIT]]="","-",VLOOKUP(compras_mes4[[#This Row],[CUIT]],Lista_CUIT[#All],4,0)),"CUIT NO CARGADO")</f>
        <v>0</v>
      </c>
    </row>
    <row r="75" spans="2:18" x14ac:dyDescent="0.3">
      <c r="B75" s="378">
        <v>44663</v>
      </c>
      <c r="C75" s="86">
        <v>1</v>
      </c>
      <c r="D75" s="38">
        <v>1</v>
      </c>
      <c r="E75" s="39">
        <v>1675</v>
      </c>
      <c r="F75" s="40">
        <v>27181689183</v>
      </c>
      <c r="G75" s="41" t="str">
        <f>IFERROR(IF(compras_mes4[[#This Row],[CUIT]]="","-",VLOOKUP(compras_mes4[[#This Row],[CUIT]],Lista_CUIT[#All],2,0)),"CUIT NO CARGADO")</f>
        <v>REPETTO MARIA FERNANDA</v>
      </c>
      <c r="H75" s="94">
        <v>74400</v>
      </c>
      <c r="I75" s="94">
        <v>15624</v>
      </c>
      <c r="J75" s="94"/>
      <c r="K75" s="94"/>
      <c r="L75" s="94"/>
      <c r="M75" s="94"/>
      <c r="N75" s="94"/>
      <c r="O75" s="94"/>
      <c r="P75" s="380">
        <v>90024</v>
      </c>
      <c r="Q75" s="45" t="str">
        <f>IFERROR(IF(compras_mes4[[#This Row],[CUIT]]="","-",VLOOKUP(compras_mes4[[#This Row],[CUIT]],Lista_CUIT[#All],3,0)),"CUIT NO CARGADO")</f>
        <v>Mercaderia</v>
      </c>
      <c r="R75" s="45">
        <f>IFERROR(IF(compras_mes4[[#This Row],[CUIT]]="","-",VLOOKUP(compras_mes4[[#This Row],[CUIT]],Lista_CUIT[#All],4,0)),"CUIT NO CARGADO")</f>
        <v>0</v>
      </c>
    </row>
    <row r="76" spans="2:18" x14ac:dyDescent="0.3">
      <c r="B76" s="378">
        <v>44664</v>
      </c>
      <c r="C76" s="86">
        <v>1</v>
      </c>
      <c r="D76" s="38">
        <v>2</v>
      </c>
      <c r="E76" s="39">
        <v>3035</v>
      </c>
      <c r="F76" s="40">
        <v>30629863571</v>
      </c>
      <c r="G76" s="41" t="str">
        <f>IFERROR(IF(compras_mes4[[#This Row],[CUIT]]="","-",VLOOKUP(compras_mes4[[#This Row],[CUIT]],Lista_CUIT[#All],2,0)),"CUIT NO CARGADO")</f>
        <v>TECNIMAR S R L</v>
      </c>
      <c r="H76" s="94">
        <v>531069.94999999995</v>
      </c>
      <c r="I76" s="94">
        <v>111524.69</v>
      </c>
      <c r="J76" s="94"/>
      <c r="K76" s="94"/>
      <c r="L76" s="94"/>
      <c r="M76" s="94"/>
      <c r="N76" s="94"/>
      <c r="O76" s="94"/>
      <c r="P76" s="380">
        <v>642594.64</v>
      </c>
      <c r="Q76" s="45" t="str">
        <f>IFERROR(IF(compras_mes4[[#This Row],[CUIT]]="","-",VLOOKUP(compras_mes4[[#This Row],[CUIT]],Lista_CUIT[#All],3,0)),"CUIT NO CARGADO")</f>
        <v>Mercaderia</v>
      </c>
      <c r="R76" s="45">
        <f>IFERROR(IF(compras_mes4[[#This Row],[CUIT]]="","-",VLOOKUP(compras_mes4[[#This Row],[CUIT]],Lista_CUIT[#All],4,0)),"CUIT NO CARGADO")</f>
        <v>0</v>
      </c>
    </row>
    <row r="77" spans="2:18" x14ac:dyDescent="0.3">
      <c r="B77" s="378">
        <v>44669</v>
      </c>
      <c r="C77" s="86">
        <v>1</v>
      </c>
      <c r="D77" s="38">
        <v>2</v>
      </c>
      <c r="E77" s="39">
        <v>3038</v>
      </c>
      <c r="F77" s="40">
        <v>30629863571</v>
      </c>
      <c r="G77" s="41" t="str">
        <f>IFERROR(IF(compras_mes4[[#This Row],[CUIT]]="","-",VLOOKUP(compras_mes4[[#This Row],[CUIT]],Lista_CUIT[#All],2,0)),"CUIT NO CARGADO")</f>
        <v>TECNIMAR S R L</v>
      </c>
      <c r="H77" s="94">
        <v>108394.01</v>
      </c>
      <c r="I77" s="94">
        <v>22762.74</v>
      </c>
      <c r="J77" s="94"/>
      <c r="K77" s="94"/>
      <c r="L77" s="94"/>
      <c r="M77" s="94"/>
      <c r="N77" s="94"/>
      <c r="O77" s="94"/>
      <c r="P77" s="380">
        <v>131156.75</v>
      </c>
      <c r="Q77" s="45" t="str">
        <f>IFERROR(IF(compras_mes4[[#This Row],[CUIT]]="","-",VLOOKUP(compras_mes4[[#This Row],[CUIT]],Lista_CUIT[#All],3,0)),"CUIT NO CARGADO")</f>
        <v>Mercaderia</v>
      </c>
      <c r="R77" s="45">
        <f>IFERROR(IF(compras_mes4[[#This Row],[CUIT]]="","-",VLOOKUP(compras_mes4[[#This Row],[CUIT]],Lista_CUIT[#All],4,0)),"CUIT NO CARGADO")</f>
        <v>0</v>
      </c>
    </row>
    <row r="78" spans="2:18" x14ac:dyDescent="0.3">
      <c r="B78" s="378">
        <v>44669</v>
      </c>
      <c r="C78" s="86">
        <v>1</v>
      </c>
      <c r="D78" s="38">
        <v>3</v>
      </c>
      <c r="E78" s="39">
        <v>9249</v>
      </c>
      <c r="F78" s="89">
        <v>30658667374</v>
      </c>
      <c r="G78" s="41" t="str">
        <f>IFERROR(IF(compras_mes4[[#This Row],[CUIT]]="","-",VLOOKUP(compras_mes4[[#This Row],[CUIT]],Lista_CUIT[#All],2,0)),"CUIT NO CARGADO")</f>
        <v>SASUAR  S.R.L.</v>
      </c>
      <c r="H78" s="94">
        <v>194434.5</v>
      </c>
      <c r="I78" s="94">
        <v>40831.25</v>
      </c>
      <c r="J78" s="94"/>
      <c r="K78" s="94"/>
      <c r="L78" s="94"/>
      <c r="M78" s="94"/>
      <c r="N78" s="94"/>
      <c r="O78" s="94"/>
      <c r="P78" s="380">
        <v>235265.75</v>
      </c>
      <c r="Q78" s="45" t="str">
        <f>IFERROR(IF(compras_mes4[[#This Row],[CUIT]]="","-",VLOOKUP(compras_mes4[[#This Row],[CUIT]],Lista_CUIT[#All],3,0)),"CUIT NO CARGADO")</f>
        <v>Mercaderia</v>
      </c>
      <c r="R78" s="45">
        <f>IFERROR(IF(compras_mes4[[#This Row],[CUIT]]="","-",VLOOKUP(compras_mes4[[#This Row],[CUIT]],Lista_CUIT[#All],4,0)),"CUIT NO CARGADO")</f>
        <v>0</v>
      </c>
    </row>
    <row r="79" spans="2:18" x14ac:dyDescent="0.3">
      <c r="B79" s="378">
        <v>44670</v>
      </c>
      <c r="C79" s="86">
        <v>1</v>
      </c>
      <c r="D79" s="38">
        <v>4</v>
      </c>
      <c r="E79" s="39">
        <v>30</v>
      </c>
      <c r="F79" s="89">
        <v>20946785300</v>
      </c>
      <c r="G79" s="41" t="str">
        <f>IFERROR(IF(compras_mes4[[#This Row],[CUIT]]="","-",VLOOKUP(compras_mes4[[#This Row],[CUIT]],Lista_CUIT[#All],2,0)),"CUIT NO CARGADO")</f>
        <v>FLORES HUAYRA MICHAEL MARTIN</v>
      </c>
      <c r="H79" s="94">
        <v>73500</v>
      </c>
      <c r="I79" s="94">
        <v>15435</v>
      </c>
      <c r="J79" s="94"/>
      <c r="K79" s="94"/>
      <c r="L79" s="94"/>
      <c r="M79" s="94"/>
      <c r="N79" s="94"/>
      <c r="O79" s="94"/>
      <c r="P79" s="380">
        <v>88935</v>
      </c>
      <c r="Q79" s="45" t="str">
        <f>IFERROR(IF(compras_mes4[[#This Row],[CUIT]]="","-",VLOOKUP(compras_mes4[[#This Row],[CUIT]],Lista_CUIT[#All],3,0)),"CUIT NO CARGADO")</f>
        <v>Mercaderia</v>
      </c>
      <c r="R79" s="45">
        <f>IFERROR(IF(compras_mes4[[#This Row],[CUIT]]="","-",VLOOKUP(compras_mes4[[#This Row],[CUIT]],Lista_CUIT[#All],4,0)),"CUIT NO CARGADO")</f>
        <v>0</v>
      </c>
    </row>
    <row r="80" spans="2:18" x14ac:dyDescent="0.3">
      <c r="B80" s="378">
        <v>44670</v>
      </c>
      <c r="C80" s="86">
        <v>1</v>
      </c>
      <c r="D80" s="38">
        <v>10</v>
      </c>
      <c r="E80" s="39">
        <v>33275</v>
      </c>
      <c r="F80" s="89">
        <v>30699342129</v>
      </c>
      <c r="G80" s="41" t="str">
        <f>IFERROR(IF(compras_mes4[[#This Row],[CUIT]]="","-",VLOOKUP(compras_mes4[[#This Row],[CUIT]],Lista_CUIT[#All],2,0)),"CUIT NO CARGADO")</f>
        <v>PLASTICOS  BAN  PLAST  S.R.L.</v>
      </c>
      <c r="H80" s="94">
        <v>107613.11</v>
      </c>
      <c r="I80" s="94">
        <v>22598.75</v>
      </c>
      <c r="J80" s="94"/>
      <c r="K80" s="94"/>
      <c r="L80" s="94"/>
      <c r="M80" s="94"/>
      <c r="N80" s="94"/>
      <c r="O80" s="94"/>
      <c r="P80" s="380">
        <v>130211.86</v>
      </c>
      <c r="Q80" s="45" t="str">
        <f>IFERROR(IF(compras_mes4[[#This Row],[CUIT]]="","-",VLOOKUP(compras_mes4[[#This Row],[CUIT]],Lista_CUIT[#All],3,0)),"CUIT NO CARGADO")</f>
        <v>Mercaderia</v>
      </c>
      <c r="R80" s="45">
        <f>IFERROR(IF(compras_mes4[[#This Row],[CUIT]]="","-",VLOOKUP(compras_mes4[[#This Row],[CUIT]],Lista_CUIT[#All],4,0)),"CUIT NO CARGADO")</f>
        <v>0</v>
      </c>
    </row>
    <row r="81" spans="2:18" x14ac:dyDescent="0.3">
      <c r="B81" s="378">
        <v>44671</v>
      </c>
      <c r="C81" s="86">
        <v>1</v>
      </c>
      <c r="D81" s="38">
        <v>2</v>
      </c>
      <c r="E81" s="39">
        <v>3042</v>
      </c>
      <c r="F81" s="89">
        <v>30629863571</v>
      </c>
      <c r="G81" s="41" t="str">
        <f>IFERROR(IF(compras_mes4[[#This Row],[CUIT]]="","-",VLOOKUP(compras_mes4[[#This Row],[CUIT]],Lista_CUIT[#All],2,0)),"CUIT NO CARGADO")</f>
        <v>TECNIMAR S R L</v>
      </c>
      <c r="H81" s="94">
        <v>118922.6</v>
      </c>
      <c r="I81" s="94">
        <v>24973.75</v>
      </c>
      <c r="J81" s="94"/>
      <c r="K81" s="94"/>
      <c r="L81" s="94"/>
      <c r="M81" s="94"/>
      <c r="N81" s="94"/>
      <c r="O81" s="94"/>
      <c r="P81" s="380">
        <v>143896.35</v>
      </c>
      <c r="Q81" s="45" t="str">
        <f>IFERROR(IF(compras_mes4[[#This Row],[CUIT]]="","-",VLOOKUP(compras_mes4[[#This Row],[CUIT]],Lista_CUIT[#All],3,0)),"CUIT NO CARGADO")</f>
        <v>Mercaderia</v>
      </c>
      <c r="R81" s="45">
        <f>IFERROR(IF(compras_mes4[[#This Row],[CUIT]]="","-",VLOOKUP(compras_mes4[[#This Row],[CUIT]],Lista_CUIT[#All],4,0)),"CUIT NO CARGADO")</f>
        <v>0</v>
      </c>
    </row>
    <row r="82" spans="2:18" x14ac:dyDescent="0.3">
      <c r="B82" s="378">
        <v>44671</v>
      </c>
      <c r="C82" s="86">
        <v>1</v>
      </c>
      <c r="D82" s="38">
        <v>7</v>
      </c>
      <c r="E82" s="39">
        <v>6225</v>
      </c>
      <c r="F82" s="89">
        <v>30708017759</v>
      </c>
      <c r="G82" s="41" t="str">
        <f>IFERROR(IF(compras_mes4[[#This Row],[CUIT]]="","-",VLOOKUP(compras_mes4[[#This Row],[CUIT]],Lista_CUIT[#All],2,0)),"CUIT NO CARGADO")</f>
        <v>NEW  HIGH PACK  SA</v>
      </c>
      <c r="H82" s="94">
        <v>195520</v>
      </c>
      <c r="I82" s="94">
        <v>41059.199999999997</v>
      </c>
      <c r="J82" s="94"/>
      <c r="K82" s="94"/>
      <c r="L82" s="94">
        <v>11731.2</v>
      </c>
      <c r="M82" s="94"/>
      <c r="N82" s="94"/>
      <c r="O82" s="94"/>
      <c r="P82" s="380">
        <v>248310.39999999999</v>
      </c>
      <c r="Q82" s="45" t="str">
        <f>IFERROR(IF(compras_mes4[[#This Row],[CUIT]]="","-",VLOOKUP(compras_mes4[[#This Row],[CUIT]],Lista_CUIT[#All],3,0)),"CUIT NO CARGADO")</f>
        <v>Mercaderia</v>
      </c>
      <c r="R82" s="45">
        <f>IFERROR(IF(compras_mes4[[#This Row],[CUIT]]="","-",VLOOKUP(compras_mes4[[#This Row],[CUIT]],Lista_CUIT[#All],4,0)),"CUIT NO CARGADO")</f>
        <v>0</v>
      </c>
    </row>
    <row r="83" spans="2:18" x14ac:dyDescent="0.3">
      <c r="B83" s="378">
        <v>44672</v>
      </c>
      <c r="C83" s="86">
        <v>1</v>
      </c>
      <c r="D83" s="38">
        <v>6</v>
      </c>
      <c r="E83" s="39">
        <v>250</v>
      </c>
      <c r="F83" s="89">
        <v>20219190469</v>
      </c>
      <c r="G83" s="41" t="str">
        <f>IFERROR(IF(compras_mes4[[#This Row],[CUIT]]="","-",VLOOKUP(compras_mes4[[#This Row],[CUIT]],Lista_CUIT[#All],2,0)),"CUIT NO CARGADO")</f>
        <v>PARADISO ESTEBAN DAMIAN</v>
      </c>
      <c r="H83" s="94">
        <v>39153.599999999999</v>
      </c>
      <c r="I83" s="94">
        <v>8222.26</v>
      </c>
      <c r="J83" s="94"/>
      <c r="K83" s="94"/>
      <c r="L83" s="94"/>
      <c r="M83" s="94"/>
      <c r="N83" s="94"/>
      <c r="O83" s="94"/>
      <c r="P83" s="380">
        <v>47375.86</v>
      </c>
      <c r="Q83" s="45" t="str">
        <f>IFERROR(IF(compras_mes4[[#This Row],[CUIT]]="","-",VLOOKUP(compras_mes4[[#This Row],[CUIT]],Lista_CUIT[#All],3,0)),"CUIT NO CARGADO")</f>
        <v>Mercaderia</v>
      </c>
      <c r="R83" s="45">
        <f>IFERROR(IF(compras_mes4[[#This Row],[CUIT]]="","-",VLOOKUP(compras_mes4[[#This Row],[CUIT]],Lista_CUIT[#All],4,0)),"CUIT NO CARGADO")</f>
        <v>0</v>
      </c>
    </row>
    <row r="84" spans="2:18" x14ac:dyDescent="0.3">
      <c r="B84" s="378">
        <v>44673</v>
      </c>
      <c r="C84" s="86">
        <v>1</v>
      </c>
      <c r="D84" s="38">
        <v>2</v>
      </c>
      <c r="E84" s="39">
        <v>3045</v>
      </c>
      <c r="F84" s="89">
        <v>30629863571</v>
      </c>
      <c r="G84" s="41" t="str">
        <f>IFERROR(IF(compras_mes4[[#This Row],[CUIT]]="","-",VLOOKUP(compras_mes4[[#This Row],[CUIT]],Lista_CUIT[#All],2,0)),"CUIT NO CARGADO")</f>
        <v>TECNIMAR S R L</v>
      </c>
      <c r="H84" s="94">
        <v>165500.81</v>
      </c>
      <c r="I84" s="94">
        <v>34755.17</v>
      </c>
      <c r="J84" s="94"/>
      <c r="K84" s="94"/>
      <c r="L84" s="94"/>
      <c r="M84" s="94"/>
      <c r="N84" s="94"/>
      <c r="O84" s="94"/>
      <c r="P84" s="380">
        <v>200255.98</v>
      </c>
      <c r="Q84" s="45" t="str">
        <f>IFERROR(IF(compras_mes4[[#This Row],[CUIT]]="","-",VLOOKUP(compras_mes4[[#This Row],[CUIT]],Lista_CUIT[#All],3,0)),"CUIT NO CARGADO")</f>
        <v>Mercaderia</v>
      </c>
      <c r="R84" s="45">
        <f>IFERROR(IF(compras_mes4[[#This Row],[CUIT]]="","-",VLOOKUP(compras_mes4[[#This Row],[CUIT]],Lista_CUIT[#All],4,0)),"CUIT NO CARGADO")</f>
        <v>0</v>
      </c>
    </row>
    <row r="85" spans="2:18" x14ac:dyDescent="0.3">
      <c r="B85" s="378">
        <v>44673</v>
      </c>
      <c r="C85" s="86">
        <v>1</v>
      </c>
      <c r="D85" s="38">
        <v>4</v>
      </c>
      <c r="E85" s="39">
        <v>34230</v>
      </c>
      <c r="F85" s="89">
        <v>30585948817</v>
      </c>
      <c r="G85" s="41" t="str">
        <f>IFERROR(IF(compras_mes4[[#This Row],[CUIT]]="","-",VLOOKUP(compras_mes4[[#This Row],[CUIT]],Lista_CUIT[#All],2,0)),"CUIT NO CARGADO")</f>
        <v xml:space="preserve">GLASCAR </v>
      </c>
      <c r="H85" s="94">
        <v>236115.20000000001</v>
      </c>
      <c r="I85" s="94">
        <v>49584.19</v>
      </c>
      <c r="J85" s="94"/>
      <c r="K85" s="94"/>
      <c r="L85" s="94">
        <v>14166.91</v>
      </c>
      <c r="M85" s="94"/>
      <c r="N85" s="94"/>
      <c r="O85" s="94"/>
      <c r="P85" s="380">
        <v>299866.3</v>
      </c>
      <c r="Q85" s="45" t="str">
        <f>IFERROR(IF(compras_mes4[[#This Row],[CUIT]]="","-",VLOOKUP(compras_mes4[[#This Row],[CUIT]],Lista_CUIT[#All],3,0)),"CUIT NO CARGADO")</f>
        <v>Mercaderia</v>
      </c>
      <c r="R85" s="45">
        <f>IFERROR(IF(compras_mes4[[#This Row],[CUIT]]="","-",VLOOKUP(compras_mes4[[#This Row],[CUIT]],Lista_CUIT[#All],4,0)),"CUIT NO CARGADO")</f>
        <v>0</v>
      </c>
    </row>
    <row r="86" spans="2:18" x14ac:dyDescent="0.3">
      <c r="B86" s="378">
        <v>44673</v>
      </c>
      <c r="C86" s="86">
        <v>1</v>
      </c>
      <c r="D86" s="38">
        <v>6</v>
      </c>
      <c r="E86" s="39">
        <v>2008</v>
      </c>
      <c r="F86" s="89">
        <v>30574603788</v>
      </c>
      <c r="G86" s="41" t="str">
        <f>IFERROR(IF(compras_mes4[[#This Row],[CUIT]]="","-",VLOOKUP(compras_mes4[[#This Row],[CUIT]],Lista_CUIT[#All],2,0)),"CUIT NO CARGADO")</f>
        <v>Codac SRL</v>
      </c>
      <c r="H86" s="94">
        <v>1211485</v>
      </c>
      <c r="I86" s="94">
        <v>254411.85</v>
      </c>
      <c r="J86" s="94"/>
      <c r="K86" s="94"/>
      <c r="L86" s="94"/>
      <c r="M86" s="94"/>
      <c r="N86" s="94"/>
      <c r="O86" s="94"/>
      <c r="P86" s="380">
        <v>1465896.85</v>
      </c>
      <c r="Q86" s="45" t="str">
        <f>IFERROR(IF(compras_mes4[[#This Row],[CUIT]]="","-",VLOOKUP(compras_mes4[[#This Row],[CUIT]],Lista_CUIT[#All],3,0)),"CUIT NO CARGADO")</f>
        <v>Mercaderia</v>
      </c>
      <c r="R86" s="45">
        <f>IFERROR(IF(compras_mes4[[#This Row],[CUIT]]="","-",VLOOKUP(compras_mes4[[#This Row],[CUIT]],Lista_CUIT[#All],4,0)),"CUIT NO CARGADO")</f>
        <v>0</v>
      </c>
    </row>
    <row r="87" spans="2:18" x14ac:dyDescent="0.3">
      <c r="B87" s="378">
        <v>44677</v>
      </c>
      <c r="C87" s="86">
        <v>1</v>
      </c>
      <c r="D87" s="38">
        <v>2</v>
      </c>
      <c r="E87" s="39">
        <v>3047</v>
      </c>
      <c r="F87" s="89">
        <v>30629863571</v>
      </c>
      <c r="G87" s="41" t="str">
        <f>IFERROR(IF(compras_mes4[[#This Row],[CUIT]]="","-",VLOOKUP(compras_mes4[[#This Row],[CUIT]],Lista_CUIT[#All],2,0)),"CUIT NO CARGADO")</f>
        <v>TECNIMAR S R L</v>
      </c>
      <c r="H87" s="94">
        <v>137048.53</v>
      </c>
      <c r="I87" s="94">
        <v>28780.19</v>
      </c>
      <c r="J87" s="94"/>
      <c r="K87" s="94"/>
      <c r="L87" s="94"/>
      <c r="M87" s="94"/>
      <c r="N87" s="94"/>
      <c r="O87" s="94"/>
      <c r="P87" s="380">
        <v>165828.72</v>
      </c>
      <c r="Q87" s="45" t="str">
        <f>IFERROR(IF(compras_mes4[[#This Row],[CUIT]]="","-",VLOOKUP(compras_mes4[[#This Row],[CUIT]],Lista_CUIT[#All],3,0)),"CUIT NO CARGADO")</f>
        <v>Mercaderia</v>
      </c>
      <c r="R87" s="45">
        <f>IFERROR(IF(compras_mes4[[#This Row],[CUIT]]="","-",VLOOKUP(compras_mes4[[#This Row],[CUIT]],Lista_CUIT[#All],4,0)),"CUIT NO CARGADO")</f>
        <v>0</v>
      </c>
    </row>
    <row r="88" spans="2:18" x14ac:dyDescent="0.3">
      <c r="B88" s="378">
        <v>44678</v>
      </c>
      <c r="C88" s="86">
        <v>1</v>
      </c>
      <c r="D88" s="38">
        <v>2</v>
      </c>
      <c r="E88" s="39">
        <v>3050</v>
      </c>
      <c r="F88" s="89">
        <v>30629863571</v>
      </c>
      <c r="G88" s="41" t="str">
        <f>IFERROR(IF(compras_mes4[[#This Row],[CUIT]]="","-",VLOOKUP(compras_mes4[[#This Row],[CUIT]],Lista_CUIT[#All],2,0)),"CUIT NO CARGADO")</f>
        <v>TECNIMAR S R L</v>
      </c>
      <c r="H88" s="94">
        <v>167765.01999999999</v>
      </c>
      <c r="I88" s="94">
        <v>35230.65</v>
      </c>
      <c r="J88" s="94"/>
      <c r="K88" s="94"/>
      <c r="L88" s="94"/>
      <c r="M88" s="94"/>
      <c r="N88" s="94"/>
      <c r="O88" s="94"/>
      <c r="P88" s="380">
        <v>202995.67</v>
      </c>
      <c r="Q88" s="45" t="str">
        <f>IFERROR(IF(compras_mes4[[#This Row],[CUIT]]="","-",VLOOKUP(compras_mes4[[#This Row],[CUIT]],Lista_CUIT[#All],3,0)),"CUIT NO CARGADO")</f>
        <v>Mercaderia</v>
      </c>
      <c r="R88" s="45">
        <f>IFERROR(IF(compras_mes4[[#This Row],[CUIT]]="","-",VLOOKUP(compras_mes4[[#This Row],[CUIT]],Lista_CUIT[#All],4,0)),"CUIT NO CARGADO")</f>
        <v>0</v>
      </c>
    </row>
    <row r="89" spans="2:18" x14ac:dyDescent="0.3">
      <c r="B89" s="378">
        <v>44678</v>
      </c>
      <c r="C89" s="86">
        <v>1</v>
      </c>
      <c r="D89" s="38">
        <v>6</v>
      </c>
      <c r="E89" s="39">
        <v>21158</v>
      </c>
      <c r="F89" s="89">
        <v>33640878679</v>
      </c>
      <c r="G89" s="41" t="str">
        <f>IFERROR(IF(compras_mes4[[#This Row],[CUIT]]="","-",VLOOKUP(compras_mes4[[#This Row],[CUIT]],Lista_CUIT[#All],2,0)),"CUIT NO CARGADO")</f>
        <v>DHACAM  S.R.L.</v>
      </c>
      <c r="H89" s="94">
        <v>130220</v>
      </c>
      <c r="I89" s="94">
        <v>27346.2</v>
      </c>
      <c r="J89" s="94"/>
      <c r="K89" s="94"/>
      <c r="L89" s="94"/>
      <c r="M89" s="94"/>
      <c r="N89" s="94"/>
      <c r="O89" s="94"/>
      <c r="P89" s="380">
        <v>157566.20000000001</v>
      </c>
      <c r="Q89" s="45" t="str">
        <f>IFERROR(IF(compras_mes4[[#This Row],[CUIT]]="","-",VLOOKUP(compras_mes4[[#This Row],[CUIT]],Lista_CUIT[#All],3,0)),"CUIT NO CARGADO")</f>
        <v>Mercaderia</v>
      </c>
      <c r="R89" s="45">
        <f>IFERROR(IF(compras_mes4[[#This Row],[CUIT]]="","-",VLOOKUP(compras_mes4[[#This Row],[CUIT]],Lista_CUIT[#All],4,0)),"CUIT NO CARGADO")</f>
        <v>0</v>
      </c>
    </row>
    <row r="90" spans="2:18" x14ac:dyDescent="0.3">
      <c r="B90" s="378">
        <v>44679</v>
      </c>
      <c r="C90" s="86">
        <v>1</v>
      </c>
      <c r="D90" s="38">
        <v>6</v>
      </c>
      <c r="E90" s="39">
        <v>263</v>
      </c>
      <c r="F90" s="89">
        <v>20219190469</v>
      </c>
      <c r="G90" s="41" t="str">
        <f>IFERROR(IF(compras_mes4[[#This Row],[CUIT]]="","-",VLOOKUP(compras_mes4[[#This Row],[CUIT]],Lista_CUIT[#All],2,0)),"CUIT NO CARGADO")</f>
        <v>PARADISO ESTEBAN DAMIAN</v>
      </c>
      <c r="H90" s="94">
        <v>64393.56</v>
      </c>
      <c r="I90" s="94">
        <v>13522.65</v>
      </c>
      <c r="J90" s="94"/>
      <c r="K90" s="94"/>
      <c r="L90" s="94"/>
      <c r="M90" s="94"/>
      <c r="N90" s="94"/>
      <c r="O90" s="94"/>
      <c r="P90" s="380">
        <v>77916.210000000006</v>
      </c>
      <c r="Q90" s="45" t="str">
        <f>IFERROR(IF(compras_mes4[[#This Row],[CUIT]]="","-",VLOOKUP(compras_mes4[[#This Row],[CUIT]],Lista_CUIT[#All],3,0)),"CUIT NO CARGADO")</f>
        <v>Mercaderia</v>
      </c>
      <c r="R90" s="45">
        <f>IFERROR(IF(compras_mes4[[#This Row],[CUIT]]="","-",VLOOKUP(compras_mes4[[#This Row],[CUIT]],Lista_CUIT[#All],4,0)),"CUIT NO CARGADO")</f>
        <v>0</v>
      </c>
    </row>
    <row r="91" spans="2:18" x14ac:dyDescent="0.3">
      <c r="B91" s="378">
        <v>44680</v>
      </c>
      <c r="C91" s="86">
        <v>1</v>
      </c>
      <c r="D91" s="38">
        <v>9</v>
      </c>
      <c r="E91" s="39">
        <v>2957</v>
      </c>
      <c r="F91" s="89">
        <v>30701023494</v>
      </c>
      <c r="G91" s="41" t="str">
        <f>IFERROR(IF(compras_mes4[[#This Row],[CUIT]]="","-",VLOOKUP(compras_mes4[[#This Row],[CUIT]],Lista_CUIT[#All],2,0)),"CUIT NO CARGADO")</f>
        <v>VTG  SPECIALTY  CHEMICALS  S.A</v>
      </c>
      <c r="H91" s="94">
        <v>348136.35</v>
      </c>
      <c r="I91" s="94">
        <v>73108.63</v>
      </c>
      <c r="J91" s="94"/>
      <c r="K91" s="94"/>
      <c r="L91" s="94">
        <v>20887.810000000001</v>
      </c>
      <c r="M91" s="94"/>
      <c r="N91" s="94"/>
      <c r="O91" s="94"/>
      <c r="P91" s="380">
        <v>442132.79</v>
      </c>
      <c r="Q91" s="45" t="str">
        <f>IFERROR(IF(compras_mes4[[#This Row],[CUIT]]="","-",VLOOKUP(compras_mes4[[#This Row],[CUIT]],Lista_CUIT[#All],3,0)),"CUIT NO CARGADO")</f>
        <v>Mercaderia</v>
      </c>
      <c r="R91" s="45">
        <f>IFERROR(IF(compras_mes4[[#This Row],[CUIT]]="","-",VLOOKUP(compras_mes4[[#This Row],[CUIT]],Lista_CUIT[#All],4,0)),"CUIT NO CARGADO")</f>
        <v>0</v>
      </c>
    </row>
    <row r="92" spans="2:18" x14ac:dyDescent="0.3">
      <c r="B92" s="378">
        <v>44674</v>
      </c>
      <c r="C92" s="86">
        <v>1</v>
      </c>
      <c r="D92" s="38">
        <v>97</v>
      </c>
      <c r="E92" s="39">
        <v>156</v>
      </c>
      <c r="F92" s="89">
        <v>30659514628</v>
      </c>
      <c r="G92" s="41" t="str">
        <f>IFERROR(IF(compras_mes4[[#This Row],[CUIT]]="","-",VLOOKUP(compras_mes4[[#This Row],[CUIT]],Lista_CUIT[#All],2,0)),"CUIT NO CARGADO")</f>
        <v>ALMUNDO.COM  S.R.L.</v>
      </c>
      <c r="H92" s="94">
        <v>59329.08</v>
      </c>
      <c r="I92" s="94">
        <v>12459.11</v>
      </c>
      <c r="J92" s="94"/>
      <c r="K92" s="94"/>
      <c r="L92" s="94"/>
      <c r="M92" s="94"/>
      <c r="N92" s="94"/>
      <c r="O92" s="94"/>
      <c r="P92" s="380">
        <v>71788.19</v>
      </c>
      <c r="Q92" s="45" t="str">
        <f>IFERROR(IF(compras_mes4[[#This Row],[CUIT]]="","-",VLOOKUP(compras_mes4[[#This Row],[CUIT]],Lista_CUIT[#All],3,0)),"CUIT NO CARGADO")</f>
        <v xml:space="preserve">Movilidad </v>
      </c>
      <c r="R92" s="45">
        <f>IFERROR(IF(compras_mes4[[#This Row],[CUIT]]="","-",VLOOKUP(compras_mes4[[#This Row],[CUIT]],Lista_CUIT[#All],4,0)),"CUIT NO CARGADO")</f>
        <v>0</v>
      </c>
    </row>
    <row r="93" spans="2:18" x14ac:dyDescent="0.3">
      <c r="B93" s="378">
        <v>44670</v>
      </c>
      <c r="C93" s="86">
        <v>1</v>
      </c>
      <c r="D93" s="38">
        <v>16</v>
      </c>
      <c r="E93" s="39">
        <v>53957</v>
      </c>
      <c r="F93" s="89">
        <v>30706053812</v>
      </c>
      <c r="G93" s="41" t="str">
        <f>IFERROR(IF(compras_mes4[[#This Row],[CUIT]]="","-",VLOOKUP(compras_mes4[[#This Row],[CUIT]],Lista_CUIT[#All],2,0)),"CUIT NO CARGADO")</f>
        <v>BUMERAN.COM  ARGENTINA  S.A.</v>
      </c>
      <c r="H93" s="94">
        <v>29796</v>
      </c>
      <c r="I93" s="94">
        <v>6257.16</v>
      </c>
      <c r="J93" s="94"/>
      <c r="K93" s="94"/>
      <c r="L93" s="94"/>
      <c r="M93" s="94">
        <v>1787.76</v>
      </c>
      <c r="N93" s="94"/>
      <c r="O93" s="94"/>
      <c r="P93" s="380">
        <v>37840.92</v>
      </c>
      <c r="Q93" s="45" t="str">
        <f>IFERROR(IF(compras_mes4[[#This Row],[CUIT]]="","-",VLOOKUP(compras_mes4[[#This Row],[CUIT]],Lista_CUIT[#All],3,0)),"CUIT NO CARGADO")</f>
        <v>Publicidad</v>
      </c>
      <c r="R93" s="45">
        <f>IFERROR(IF(compras_mes4[[#This Row],[CUIT]]="","-",VLOOKUP(compras_mes4[[#This Row],[CUIT]],Lista_CUIT[#All],4,0)),"CUIT NO CARGADO")</f>
        <v>0</v>
      </c>
    </row>
    <row r="94" spans="2:18" x14ac:dyDescent="0.3">
      <c r="B94" s="378">
        <v>44652</v>
      </c>
      <c r="C94" s="86">
        <v>1</v>
      </c>
      <c r="D94" s="38">
        <v>773</v>
      </c>
      <c r="E94" s="39">
        <v>2537</v>
      </c>
      <c r="F94" s="89">
        <v>30638485733</v>
      </c>
      <c r="G94" s="41" t="str">
        <f>IFERROR(IF(compras_mes4[[#This Row],[CUIT]]="","-",VLOOKUP(compras_mes4[[#This Row],[CUIT]],Lista_CUIT[#All],2,0)),"CUIT NO CARGADO")</f>
        <v>DABRA  S.A.</v>
      </c>
      <c r="H94" s="94">
        <v>6280.17</v>
      </c>
      <c r="I94" s="94">
        <v>1318.84</v>
      </c>
      <c r="J94" s="94"/>
      <c r="K94" s="94"/>
      <c r="L94" s="94"/>
      <c r="M94" s="94"/>
      <c r="N94" s="94"/>
      <c r="O94" s="94"/>
      <c r="P94" s="380">
        <v>7599.01</v>
      </c>
      <c r="Q94" s="45" t="str">
        <f>IFERROR(IF(compras_mes4[[#This Row],[CUIT]]="","-",VLOOKUP(compras_mes4[[#This Row],[CUIT]],Lista_CUIT[#All],3,0)),"CUIT NO CARGADO")</f>
        <v>Ropa de Trabajo</v>
      </c>
      <c r="R94" s="45">
        <f>IFERROR(IF(compras_mes4[[#This Row],[CUIT]]="","-",VLOOKUP(compras_mes4[[#This Row],[CUIT]],Lista_CUIT[#All],4,0)),"CUIT NO CARGADO")</f>
        <v>0</v>
      </c>
    </row>
    <row r="95" spans="2:18" x14ac:dyDescent="0.3">
      <c r="B95" s="378">
        <v>44656</v>
      </c>
      <c r="C95" s="86">
        <v>1</v>
      </c>
      <c r="D95" s="38">
        <v>2</v>
      </c>
      <c r="E95" s="39">
        <v>29723</v>
      </c>
      <c r="F95" s="89">
        <v>33714232199</v>
      </c>
      <c r="G95" s="41" t="str">
        <f>IFERROR(IF(compras_mes4[[#This Row],[CUIT]]="","-",VLOOKUP(compras_mes4[[#This Row],[CUIT]],Lista_CUIT[#All],2,0)),"CUIT NO CARGADO")</f>
        <v>NUAGE SYSTEMS S.A</v>
      </c>
      <c r="H95" s="94">
        <v>16317</v>
      </c>
      <c r="I95" s="94">
        <v>3426.57</v>
      </c>
      <c r="J95" s="94"/>
      <c r="K95" s="94"/>
      <c r="L95" s="94"/>
      <c r="M95" s="94"/>
      <c r="N95" s="94"/>
      <c r="O95" s="94"/>
      <c r="P95" s="380">
        <v>19743.57</v>
      </c>
      <c r="Q95" s="45" t="str">
        <f>IFERROR(IF(compras_mes4[[#This Row],[CUIT]]="","-",VLOOKUP(compras_mes4[[#This Row],[CUIT]],Lista_CUIT[#All],3,0)),"CUIT NO CARGADO")</f>
        <v>Servicios Informatica</v>
      </c>
      <c r="R95" s="45">
        <f>IFERROR(IF(compras_mes4[[#This Row],[CUIT]]="","-",VLOOKUP(compras_mes4[[#This Row],[CUIT]],Lista_CUIT[#All],4,0)),"CUIT NO CARGADO")</f>
        <v>0</v>
      </c>
    </row>
    <row r="96" spans="2:18" x14ac:dyDescent="0.3">
      <c r="B96" s="382" t="s">
        <v>83</v>
      </c>
      <c r="C96" s="382"/>
      <c r="D96" s="382"/>
      <c r="E96" s="382"/>
      <c r="F96" s="382"/>
      <c r="G96" s="383"/>
      <c r="H96" s="384">
        <f>SUBTOTAL(109,compras_mes4[NETO GRAVADO])</f>
        <v>7715388.5999999978</v>
      </c>
      <c r="I96" s="384">
        <f>SUBTOTAL(109,compras_mes4[IVA 21 %])</f>
        <v>1473955.0899999999</v>
      </c>
      <c r="J96" s="384">
        <f>SUBTOTAL(109,compras_mes4[IVA 27%])</f>
        <v>433282.55</v>
      </c>
      <c r="K96" s="384">
        <f>SUBTOTAL(109,compras_mes4[IVA 10,5%])</f>
        <v>54454.42</v>
      </c>
      <c r="L96" s="384">
        <f>SUBTOTAL(109,compras_mes4[PERC. IVA])</f>
        <v>88498.5</v>
      </c>
      <c r="M96" s="384">
        <f>SUBTOTAL(109,compras_mes4[PERC IIBB 
BS AS])</f>
        <v>3700.6</v>
      </c>
      <c r="N96" s="384">
        <f>SUBTOTAL(109,compras_mes4[PERC. IIBB CABA])</f>
        <v>49614.9</v>
      </c>
      <c r="O96" s="384">
        <f>SUBTOTAL(109,compras_mes4[Otros / No Grav.])</f>
        <v>97.88</v>
      </c>
      <c r="P96" s="385">
        <f>SUBTOTAL(109,compras_mes4[TOTAL])</f>
        <v>9818992.540000001</v>
      </c>
      <c r="Q96" s="382"/>
      <c r="R96" s="382"/>
    </row>
    <row r="97" spans="2:18" x14ac:dyDescent="0.3">
      <c r="B97" s="36"/>
      <c r="C97" s="37"/>
      <c r="D97" s="38"/>
      <c r="E97" s="39"/>
      <c r="F97" s="40"/>
      <c r="G97" s="41"/>
      <c r="H97" s="42"/>
      <c r="I97" s="43"/>
      <c r="J97" s="43"/>
      <c r="K97" s="43"/>
      <c r="L97" s="43"/>
      <c r="M97" s="43"/>
      <c r="N97" s="43"/>
      <c r="O97" s="43"/>
      <c r="P97" s="44"/>
      <c r="Q97" s="45"/>
      <c r="R97" s="45"/>
    </row>
    <row r="98" spans="2:18" x14ac:dyDescent="0.3">
      <c r="B98" s="36"/>
      <c r="C98" s="37"/>
      <c r="D98" s="38"/>
      <c r="E98" s="39"/>
      <c r="F98" s="40"/>
      <c r="G98" s="41"/>
      <c r="H98" s="42"/>
      <c r="I98" s="43"/>
      <c r="J98" s="43"/>
      <c r="K98" s="43"/>
      <c r="L98" s="43"/>
      <c r="M98" s="43"/>
      <c r="N98" s="43"/>
      <c r="O98" s="43"/>
      <c r="P98" s="44"/>
      <c r="Q98" s="45"/>
      <c r="R98" s="45"/>
    </row>
    <row r="99" spans="2:18" x14ac:dyDescent="0.3">
      <c r="B99" s="36"/>
      <c r="C99" s="37"/>
      <c r="D99" s="38"/>
      <c r="E99" s="39"/>
      <c r="F99" s="40"/>
      <c r="G99" s="41"/>
      <c r="H99" s="42"/>
      <c r="I99" s="43"/>
      <c r="J99" s="43"/>
      <c r="K99" s="43"/>
      <c r="L99" s="43"/>
      <c r="M99" s="43"/>
      <c r="N99" s="43"/>
      <c r="O99" s="43"/>
      <c r="P99" s="44"/>
      <c r="Q99" s="45"/>
      <c r="R99" s="45"/>
    </row>
    <row r="100" spans="2:18" x14ac:dyDescent="0.3">
      <c r="B100" s="36"/>
      <c r="C100" s="37"/>
      <c r="D100" s="38"/>
      <c r="E100" s="39"/>
      <c r="F100" s="40"/>
      <c r="G100" s="41"/>
      <c r="H100" s="42"/>
      <c r="I100" s="43"/>
      <c r="J100" s="43"/>
      <c r="K100" s="43"/>
      <c r="L100" s="43"/>
    </row>
    <row r="101" spans="2:18" x14ac:dyDescent="0.3">
      <c r="B101" s="36"/>
      <c r="C101" s="37"/>
      <c r="D101" s="38"/>
      <c r="E101" s="39"/>
      <c r="F101" s="40"/>
      <c r="G101" s="41"/>
      <c r="H101" s="42"/>
      <c r="I101" s="43"/>
      <c r="J101" s="43"/>
      <c r="K101" s="43"/>
      <c r="L101" s="43"/>
      <c r="P101"/>
    </row>
    <row r="102" spans="2:18" ht="25.95" customHeight="1" x14ac:dyDescent="0.3">
      <c r="D102" s="441" t="s">
        <v>15</v>
      </c>
      <c r="E102" s="441"/>
      <c r="F102" s="441"/>
      <c r="G102" s="441"/>
      <c r="H102" s="441"/>
      <c r="I102" s="441"/>
      <c r="J102" s="441"/>
      <c r="K102" s="441"/>
      <c r="L102" s="441"/>
      <c r="M102" s="441"/>
      <c r="N102" s="364"/>
      <c r="P102" s="365"/>
      <c r="Q102" s="365"/>
      <c r="R102" s="365"/>
    </row>
    <row r="103" spans="2:18" ht="15.6" x14ac:dyDescent="0.3">
      <c r="D103" s="69" t="s">
        <v>0</v>
      </c>
      <c r="E103" s="70" t="s">
        <v>26</v>
      </c>
      <c r="F103" s="70" t="s">
        <v>16</v>
      </c>
      <c r="G103" s="70" t="s">
        <v>5</v>
      </c>
      <c r="H103" s="70" t="s">
        <v>17</v>
      </c>
      <c r="I103" s="70" t="s">
        <v>7</v>
      </c>
      <c r="J103" s="71" t="s">
        <v>18</v>
      </c>
      <c r="K103" s="71" t="s">
        <v>19</v>
      </c>
      <c r="L103" s="72" t="s">
        <v>20</v>
      </c>
      <c r="M103" s="363" t="s">
        <v>2649</v>
      </c>
      <c r="N103" s="363" t="s">
        <v>2650</v>
      </c>
      <c r="P103" s="158"/>
      <c r="Q103" s="158"/>
      <c r="R103" s="158"/>
    </row>
    <row r="104" spans="2:18" ht="17.25" customHeight="1" x14ac:dyDescent="0.3">
      <c r="D104" s="46">
        <v>45018</v>
      </c>
      <c r="E104" s="76">
        <v>2340857</v>
      </c>
      <c r="F104" s="76" t="s">
        <v>2948</v>
      </c>
      <c r="G104" s="77">
        <v>6699.61</v>
      </c>
      <c r="H104" s="77">
        <v>1406.92</v>
      </c>
      <c r="I104" s="77"/>
      <c r="J104" s="77"/>
      <c r="K104" s="77">
        <v>200.98</v>
      </c>
      <c r="L104" s="77"/>
      <c r="M104" s="77"/>
      <c r="N104" s="77"/>
      <c r="P104"/>
    </row>
    <row r="105" spans="2:18" x14ac:dyDescent="0.3">
      <c r="D105" s="46">
        <v>45018</v>
      </c>
      <c r="E105" s="76">
        <v>2340861</v>
      </c>
      <c r="F105" s="76" t="s">
        <v>2948</v>
      </c>
      <c r="G105" s="77"/>
      <c r="H105" s="77"/>
      <c r="I105" s="77"/>
      <c r="J105" s="429"/>
      <c r="K105" s="77"/>
      <c r="L105" s="77"/>
      <c r="M105" s="77">
        <v>3600.37</v>
      </c>
      <c r="N105" s="77"/>
      <c r="P105"/>
    </row>
    <row r="106" spans="2:18" x14ac:dyDescent="0.3">
      <c r="D106" s="46">
        <v>44653</v>
      </c>
      <c r="E106" s="76">
        <v>2340865</v>
      </c>
      <c r="F106" s="76" t="s">
        <v>2948</v>
      </c>
      <c r="G106" s="77"/>
      <c r="H106" s="77"/>
      <c r="I106" s="77"/>
      <c r="J106" s="429"/>
      <c r="K106" s="77"/>
      <c r="L106" s="77"/>
      <c r="M106" s="77">
        <v>8265.14</v>
      </c>
      <c r="N106" s="77"/>
      <c r="P106"/>
    </row>
    <row r="107" spans="2:18" x14ac:dyDescent="0.3">
      <c r="D107" s="46">
        <v>44664</v>
      </c>
      <c r="E107" s="76">
        <v>2341851</v>
      </c>
      <c r="F107" s="76" t="s">
        <v>2948</v>
      </c>
      <c r="G107" s="77">
        <v>25</v>
      </c>
      <c r="H107" s="77">
        <v>5.25</v>
      </c>
      <c r="I107" s="77"/>
      <c r="J107" s="77"/>
      <c r="K107" s="77"/>
      <c r="L107" s="77"/>
      <c r="M107" s="77">
        <v>3692.92</v>
      </c>
      <c r="N107" s="77"/>
      <c r="P107"/>
    </row>
    <row r="108" spans="2:18" x14ac:dyDescent="0.3">
      <c r="D108" s="46">
        <v>44677</v>
      </c>
      <c r="E108" s="76">
        <v>22509986</v>
      </c>
      <c r="F108" s="76" t="s">
        <v>2954</v>
      </c>
      <c r="G108" s="77">
        <v>5262.91</v>
      </c>
      <c r="H108" s="77">
        <v>1105.21</v>
      </c>
      <c r="I108" s="77"/>
      <c r="J108" s="77">
        <v>5148.17</v>
      </c>
      <c r="K108" s="77">
        <v>77.47</v>
      </c>
      <c r="L108" s="77"/>
      <c r="M108" s="77"/>
      <c r="N108" s="77"/>
      <c r="P108"/>
    </row>
    <row r="109" spans="2:18" x14ac:dyDescent="0.3">
      <c r="D109" s="46">
        <v>44679</v>
      </c>
      <c r="E109" s="76">
        <v>4</v>
      </c>
      <c r="F109" s="76" t="s">
        <v>99</v>
      </c>
      <c r="G109" s="77">
        <v>355.37</v>
      </c>
      <c r="H109" s="77">
        <v>74.63</v>
      </c>
      <c r="I109" s="77"/>
      <c r="J109" s="77"/>
      <c r="K109" s="77"/>
      <c r="L109" s="77"/>
      <c r="M109" s="77">
        <v>9347.15</v>
      </c>
      <c r="N109" s="77">
        <v>26350.05</v>
      </c>
      <c r="P109"/>
    </row>
    <row r="110" spans="2:18" x14ac:dyDescent="0.3">
      <c r="D110" s="46">
        <v>44679</v>
      </c>
      <c r="E110" s="76">
        <v>98205209</v>
      </c>
      <c r="F110" s="76" t="s">
        <v>96</v>
      </c>
      <c r="G110" s="77">
        <v>561.53</v>
      </c>
      <c r="H110" s="77">
        <v>117.92</v>
      </c>
      <c r="I110" s="77"/>
      <c r="J110" s="77">
        <v>2002.65</v>
      </c>
      <c r="K110" s="77">
        <v>702.34</v>
      </c>
      <c r="L110" s="77"/>
      <c r="M110" s="77"/>
      <c r="N110" s="77">
        <v>138.09</v>
      </c>
      <c r="P110"/>
    </row>
    <row r="111" spans="2:18" x14ac:dyDescent="0.3">
      <c r="D111" s="46">
        <v>44681</v>
      </c>
      <c r="E111" s="76">
        <v>10149591</v>
      </c>
      <c r="F111" s="76" t="s">
        <v>99</v>
      </c>
      <c r="G111" s="77">
        <v>10495</v>
      </c>
      <c r="H111" s="77">
        <v>2203.9499999999998</v>
      </c>
      <c r="I111" s="77"/>
      <c r="J111" s="77"/>
      <c r="K111" s="77">
        <v>314.85000000000002</v>
      </c>
      <c r="L111" s="77"/>
      <c r="M111" s="77"/>
      <c r="N111" s="77"/>
      <c r="P111"/>
    </row>
    <row r="112" spans="2:18" x14ac:dyDescent="0.3">
      <c r="D112" s="46">
        <v>44681</v>
      </c>
      <c r="E112" s="76">
        <v>2022</v>
      </c>
      <c r="F112" s="76" t="s">
        <v>2956</v>
      </c>
      <c r="G112" s="77">
        <v>10060.530000000001</v>
      </c>
      <c r="H112" s="77">
        <v>2112.71</v>
      </c>
      <c r="I112" s="77"/>
      <c r="J112" s="77">
        <v>437.13</v>
      </c>
      <c r="K112" s="77">
        <v>197.4</v>
      </c>
      <c r="L112" s="77"/>
      <c r="M112" s="77">
        <v>80677.259999999995</v>
      </c>
      <c r="N112" s="77">
        <v>39736.559999999998</v>
      </c>
      <c r="P112"/>
    </row>
    <row r="113" spans="2:18" x14ac:dyDescent="0.3">
      <c r="D113" s="46">
        <v>44681</v>
      </c>
      <c r="E113" s="76">
        <v>2022</v>
      </c>
      <c r="F113" s="76" t="s">
        <v>2951</v>
      </c>
      <c r="G113" s="77">
        <v>3034.97</v>
      </c>
      <c r="H113" s="77">
        <v>633.66999999999996</v>
      </c>
      <c r="I113" s="77"/>
      <c r="J113" s="77">
        <v>180</v>
      </c>
      <c r="K113" s="77">
        <v>90</v>
      </c>
      <c r="L113" s="77"/>
      <c r="M113" s="77">
        <v>3472.36</v>
      </c>
      <c r="N113" s="77">
        <v>1709.95</v>
      </c>
      <c r="P113"/>
    </row>
    <row r="114" spans="2:18" x14ac:dyDescent="0.3">
      <c r="D114" s="46">
        <v>44681</v>
      </c>
      <c r="E114" s="76">
        <v>2022</v>
      </c>
      <c r="F114" s="76" t="s">
        <v>97</v>
      </c>
      <c r="G114" s="77">
        <v>868.09</v>
      </c>
      <c r="H114" s="77">
        <v>182.29</v>
      </c>
      <c r="I114" s="77"/>
      <c r="J114" s="77"/>
      <c r="K114" s="77"/>
      <c r="L114" s="77"/>
      <c r="M114" s="77">
        <v>4843.62</v>
      </c>
      <c r="N114" s="77"/>
      <c r="P114"/>
    </row>
    <row r="115" spans="2:18" ht="19.2" customHeight="1" x14ac:dyDescent="0.3">
      <c r="D115" s="46">
        <v>44681</v>
      </c>
      <c r="E115" s="76">
        <v>2022</v>
      </c>
      <c r="F115" s="76" t="s">
        <v>98</v>
      </c>
      <c r="G115" s="77">
        <v>185702.58</v>
      </c>
      <c r="H115" s="77">
        <v>26260.83</v>
      </c>
      <c r="I115" s="77"/>
      <c r="J115" s="77">
        <v>175726.17</v>
      </c>
      <c r="K115" s="77">
        <v>3690.21</v>
      </c>
      <c r="L115" s="77"/>
      <c r="M115" s="77"/>
      <c r="N115" s="77"/>
      <c r="P115"/>
    </row>
    <row r="116" spans="2:18" ht="28.95" customHeight="1" x14ac:dyDescent="0.3">
      <c r="D116" s="430" t="s">
        <v>83</v>
      </c>
      <c r="E116" s="431"/>
      <c r="F116" s="431"/>
      <c r="G116" s="432">
        <f>SUBTOTAL(109,extracto_banco_mes15516[NETO])</f>
        <v>223065.59</v>
      </c>
      <c r="H116" s="432">
        <f>SUBTOTAL(109,extracto_banco_mes15516[IVA 21%])</f>
        <v>34103.380000000005</v>
      </c>
      <c r="I116" s="432">
        <f>SUBTOTAL(109,extracto_banco_mes15516[IVA 10,5%])</f>
        <v>0</v>
      </c>
      <c r="J116" s="432">
        <f>SUBTOTAL(109,extracto_banco_mes15516[RET IIBB CABA])</f>
        <v>183494.12000000002</v>
      </c>
      <c r="K116" s="432">
        <f>SUBTOTAL(109,extracto_banco_mes15516[PERC IVA])</f>
        <v>5273.25</v>
      </c>
      <c r="L116" s="432">
        <f>SUBTOTAL(109,extracto_banco_mes15516[PERC IIBB])</f>
        <v>0</v>
      </c>
      <c r="M116" s="432">
        <f>SUM(extracto_banco_mes15516[No grav.])</f>
        <v>113898.81999999999</v>
      </c>
      <c r="N116" s="433">
        <f>SUM(extracto_banco_mes15516[RET. GAN])</f>
        <v>67934.649999999994</v>
      </c>
      <c r="P116"/>
    </row>
    <row r="119" spans="2:18" ht="21" x14ac:dyDescent="0.3">
      <c r="D119" s="441" t="s">
        <v>25</v>
      </c>
      <c r="E119" s="441"/>
      <c r="F119" s="441"/>
      <c r="G119" s="441"/>
      <c r="H119" s="441"/>
      <c r="I119" s="441"/>
      <c r="J119" s="441"/>
      <c r="K119" s="441"/>
    </row>
    <row r="120" spans="2:18" x14ac:dyDescent="0.3">
      <c r="D120" s="47" t="s">
        <v>0</v>
      </c>
      <c r="E120" s="47" t="s">
        <v>2</v>
      </c>
      <c r="F120" s="47" t="s">
        <v>56</v>
      </c>
      <c r="G120" s="47" t="s">
        <v>3</v>
      </c>
      <c r="H120" s="47" t="s">
        <v>4</v>
      </c>
      <c r="I120" s="48" t="s">
        <v>10</v>
      </c>
      <c r="J120" s="47" t="s">
        <v>13</v>
      </c>
      <c r="K120" s="47" t="s">
        <v>38</v>
      </c>
    </row>
    <row r="121" spans="2:18" x14ac:dyDescent="0.3">
      <c r="D121" s="46">
        <v>44657</v>
      </c>
      <c r="E121" s="38">
        <v>5</v>
      </c>
      <c r="F121" s="39">
        <v>7</v>
      </c>
      <c r="G121" s="40">
        <v>20321437215</v>
      </c>
      <c r="H121" s="49" t="str">
        <f>IFERROR(IF(factura_c_mes4[[#This Row],[CUIT]]="","-",VLOOKUP(factura_c_mes4[[#This Row],[CUIT]],Lista_CUIT[#All],2,0)),"CUIT NO CARGADO")</f>
        <v>MARQUEZ  FACUNDO  EZEQUIEL</v>
      </c>
      <c r="I121" s="77">
        <v>4000</v>
      </c>
      <c r="J121" s="50" t="str">
        <f>IFERROR(IF(factura_c_mes4[[#This Row],[CUIT]]="","-",VLOOKUP(factura_c_mes4[[#This Row],[CUIT]],Lista_CUIT[#All],3,0)),"CUIT NO CARGADO")</f>
        <v>Publicidad</v>
      </c>
      <c r="K121" s="50">
        <f>IFERROR(IF(factura_c_mes4[[#This Row],[CUIT]]="","-",VLOOKUP(factura_c_mes4[[#This Row],[CUIT]],Lista_CUIT[#All],4,0)),"CUIT NO CARGADO")</f>
        <v>0</v>
      </c>
    </row>
    <row r="122" spans="2:18" x14ac:dyDescent="0.3">
      <c r="D122" s="46">
        <v>44678</v>
      </c>
      <c r="E122" s="38">
        <v>2</v>
      </c>
      <c r="F122" s="39">
        <v>157</v>
      </c>
      <c r="G122" s="40">
        <v>23319210954</v>
      </c>
      <c r="H122" s="49" t="str">
        <f>IFERROR(IF(factura_c_mes4[[#This Row],[CUIT]]="","-",VLOOKUP(factura_c_mes4[[#This Row],[CUIT]],Lista_CUIT[#All],2,0)),"CUIT NO CARGADO")</f>
        <v>CAFFARATTI ROMINA PAOLA</v>
      </c>
      <c r="I122" s="77">
        <v>27500</v>
      </c>
      <c r="J122" s="50" t="str">
        <f>IFERROR(IF(factura_c_mes4[[#This Row],[CUIT]]="","-",VLOOKUP(factura_c_mes4[[#This Row],[CUIT]],Lista_CUIT[#All],3,0)),"CUIT NO CARGADO")</f>
        <v>Honorarios Contables</v>
      </c>
      <c r="K122" s="50">
        <f>IFERROR(IF(factura_c_mes4[[#This Row],[CUIT]]="","-",VLOOKUP(factura_c_mes4[[#This Row],[CUIT]],Lista_CUIT[#All],4,0)),"CUIT NO CARGADO")</f>
        <v>0</v>
      </c>
    </row>
    <row r="123" spans="2:18" x14ac:dyDescent="0.3">
      <c r="D123" s="46">
        <v>44678</v>
      </c>
      <c r="E123" s="38">
        <v>2</v>
      </c>
      <c r="F123" s="39">
        <v>158</v>
      </c>
      <c r="G123" s="40">
        <v>23319210954</v>
      </c>
      <c r="H123" s="49" t="str">
        <f>IFERROR(IF(factura_c_mes4[[#This Row],[CUIT]]="","-",VLOOKUP(factura_c_mes4[[#This Row],[CUIT]],Lista_CUIT[#All],2,0)),"CUIT NO CARGADO")</f>
        <v>CAFFARATTI ROMINA PAOLA</v>
      </c>
      <c r="I123" s="77">
        <v>5800</v>
      </c>
      <c r="J123" s="50" t="str">
        <f>IFERROR(IF(factura_c_mes4[[#This Row],[CUIT]]="","-",VLOOKUP(factura_c_mes4[[#This Row],[CUIT]],Lista_CUIT[#All],3,0)),"CUIT NO CARGADO")</f>
        <v>Honorarios Contables</v>
      </c>
      <c r="K123" s="50">
        <f>IFERROR(IF(factura_c_mes4[[#This Row],[CUIT]]="","-",VLOOKUP(factura_c_mes4[[#This Row],[CUIT]],Lista_CUIT[#All],4,0)),"CUIT NO CARGADO")</f>
        <v>0</v>
      </c>
    </row>
    <row r="124" spans="2:18" x14ac:dyDescent="0.3">
      <c r="D124" s="46">
        <v>44680</v>
      </c>
      <c r="E124" s="38">
        <v>1</v>
      </c>
      <c r="F124" s="39">
        <v>32</v>
      </c>
      <c r="G124" s="40">
        <v>20231009524</v>
      </c>
      <c r="H124" s="49" t="str">
        <f>IFERROR(IF(factura_c_mes4[[#This Row],[CUIT]]="","-",VLOOKUP(factura_c_mes4[[#This Row],[CUIT]],Lista_CUIT[#All],2,0)),"CUIT NO CARGADO")</f>
        <v>RAMOS PATRICIO SEBASTIAN</v>
      </c>
      <c r="I124" s="77">
        <v>55000</v>
      </c>
      <c r="J124" s="50" t="str">
        <f>IFERROR(IF(factura_c_mes4[[#This Row],[CUIT]]="","-",VLOOKUP(factura_c_mes4[[#This Row],[CUIT]],Lista_CUIT[#All],3,0)),"CUIT NO CARGADO")</f>
        <v>Mercaderia</v>
      </c>
      <c r="K124" s="50">
        <f>IFERROR(IF(factura_c_mes4[[#This Row],[CUIT]]="","-",VLOOKUP(factura_c_mes4[[#This Row],[CUIT]],Lista_CUIT[#All],4,0)),"CUIT NO CARGADO")</f>
        <v>0</v>
      </c>
    </row>
    <row r="125" spans="2:18" x14ac:dyDescent="0.3">
      <c r="D125" s="51" t="s">
        <v>83</v>
      </c>
      <c r="E125" s="51"/>
      <c r="F125" s="51"/>
      <c r="G125" s="51"/>
      <c r="H125" s="53"/>
      <c r="I125" s="54">
        <f>SUBTOTAL(109,factura_c_mes4[TOTAL])</f>
        <v>92300</v>
      </c>
      <c r="J125" s="51"/>
      <c r="K125" s="51"/>
    </row>
    <row r="126" spans="2:18" x14ac:dyDescent="0.3">
      <c r="B126" s="52"/>
      <c r="C126" s="52"/>
      <c r="L126" s="52"/>
      <c r="M126" s="52"/>
      <c r="N126" s="52"/>
      <c r="O126" s="52"/>
      <c r="P126" s="381"/>
      <c r="Q126" s="52"/>
      <c r="R126" s="52"/>
    </row>
    <row r="131" spans="2:13" ht="25.8" x14ac:dyDescent="0.3">
      <c r="B131" s="456" t="s">
        <v>29</v>
      </c>
      <c r="C131" s="456"/>
      <c r="D131" s="456"/>
      <c r="E131" s="456"/>
      <c r="F131" s="456"/>
      <c r="G131" s="456"/>
      <c r="H131" s="456"/>
      <c r="I131" s="456"/>
      <c r="J131" s="456"/>
      <c r="K131" s="452">
        <f>N1</f>
        <v>44652</v>
      </c>
      <c r="L131" s="452"/>
      <c r="M131" s="452"/>
    </row>
    <row r="133" spans="2:13" ht="21" x14ac:dyDescent="0.3">
      <c r="B133" s="449" t="s">
        <v>30</v>
      </c>
      <c r="C133" s="449"/>
    </row>
    <row r="134" spans="2:13" ht="15.6" x14ac:dyDescent="0.3">
      <c r="B134" s="56" t="s">
        <v>0</v>
      </c>
      <c r="C134" s="57" t="s">
        <v>1</v>
      </c>
      <c r="D134" s="57" t="s">
        <v>21</v>
      </c>
      <c r="E134" s="57" t="s">
        <v>22</v>
      </c>
      <c r="F134" s="57" t="s">
        <v>3</v>
      </c>
      <c r="G134" s="57" t="s">
        <v>4</v>
      </c>
      <c r="H134" s="57" t="s">
        <v>23</v>
      </c>
      <c r="I134" s="57" t="s">
        <v>17</v>
      </c>
      <c r="J134" s="57" t="s">
        <v>7</v>
      </c>
      <c r="K134" s="57" t="s">
        <v>24</v>
      </c>
      <c r="L134" s="57" t="s">
        <v>10</v>
      </c>
      <c r="M134" s="58" t="s">
        <v>38</v>
      </c>
    </row>
    <row r="135" spans="2:13" x14ac:dyDescent="0.3">
      <c r="B135" s="36"/>
      <c r="C135" s="37"/>
      <c r="D135" s="38"/>
      <c r="E135" s="39"/>
      <c r="F135" s="40"/>
      <c r="G135" s="95" t="str">
        <f>IFERROR(IF(venta_a_mes4[[#This Row],[CUIT]]="","-",VLOOKUP(venta_a_mes4[[#This Row],[CUIT]],Lista_CUIT[#All],2,0)),"CUIT NO CARGADO")</f>
        <v>-</v>
      </c>
      <c r="H135" s="96"/>
      <c r="I135" s="97">
        <f>venta_a_mes4[[#This Row],[IMPORTE NETO]]*0.21</f>
        <v>0</v>
      </c>
      <c r="J135" s="61"/>
      <c r="K135" s="61"/>
      <c r="L135" s="61">
        <f>SUM(venta_a_mes4[[#This Row],[IMPORTE NETO]:[EXENTO]])</f>
        <v>0</v>
      </c>
      <c r="M135" s="55"/>
    </row>
    <row r="136" spans="2:13" x14ac:dyDescent="0.3">
      <c r="B136" s="36"/>
      <c r="C136" s="37"/>
      <c r="D136" s="38"/>
      <c r="E136" s="39"/>
      <c r="F136" s="40"/>
      <c r="G136" s="95" t="str">
        <f>IFERROR(IF(venta_a_mes4[[#This Row],[CUIT]]="","-",VLOOKUP(venta_a_mes4[[#This Row],[CUIT]],Lista_CUIT[#All],2,0)),"CUIT NO CARGADO")</f>
        <v>-</v>
      </c>
      <c r="H136" s="96"/>
      <c r="I136" s="97">
        <f>venta_a_mes4[[#This Row],[IMPORTE NETO]]*0.21</f>
        <v>0</v>
      </c>
      <c r="J136" s="61"/>
      <c r="K136" s="61"/>
      <c r="L136" s="61">
        <f>SUM(venta_a_mes4[[#This Row],[IMPORTE NETO]:[EXENTO]])</f>
        <v>0</v>
      </c>
      <c r="M136" s="55"/>
    </row>
    <row r="137" spans="2:13" x14ac:dyDescent="0.3">
      <c r="B137" s="36"/>
      <c r="C137" s="37"/>
      <c r="D137" s="38"/>
      <c r="E137" s="39"/>
      <c r="F137" s="40"/>
      <c r="G137" s="95" t="str">
        <f>IFERROR(IF(venta_a_mes4[[#This Row],[CUIT]]="","-",VLOOKUP(venta_a_mes4[[#This Row],[CUIT]],Lista_CUIT[#All],2,0)),"CUIT NO CARGADO")</f>
        <v>-</v>
      </c>
      <c r="H137" s="96"/>
      <c r="I137" s="97">
        <f>venta_a_mes4[[#This Row],[IMPORTE NETO]]*0.21</f>
        <v>0</v>
      </c>
      <c r="J137" s="61"/>
      <c r="K137" s="61"/>
      <c r="L137" s="61">
        <f>SUM(venta_a_mes4[[#This Row],[IMPORTE NETO]:[EXENTO]])</f>
        <v>0</v>
      </c>
      <c r="M137" s="55"/>
    </row>
    <row r="138" spans="2:13" x14ac:dyDescent="0.3">
      <c r="B138" s="36"/>
      <c r="C138" s="37"/>
      <c r="D138" s="38"/>
      <c r="E138" s="39"/>
      <c r="F138" s="40"/>
      <c r="G138" s="95" t="str">
        <f>IFERROR(IF(venta_a_mes4[[#This Row],[CUIT]]="","-",VLOOKUP(venta_a_mes4[[#This Row],[CUIT]],Lista_CUIT[#All],2,0)),"CUIT NO CARGADO")</f>
        <v>-</v>
      </c>
      <c r="H138" s="96"/>
      <c r="I138" s="97">
        <f>venta_a_mes4[[#This Row],[IMPORTE NETO]]*0.21</f>
        <v>0</v>
      </c>
      <c r="J138" s="61"/>
      <c r="K138" s="61"/>
      <c r="L138" s="61">
        <f>SUM(venta_a_mes4[[#This Row],[IMPORTE NETO]:[EXENTO]])</f>
        <v>0</v>
      </c>
      <c r="M138" s="55"/>
    </row>
    <row r="139" spans="2:13" x14ac:dyDescent="0.3">
      <c r="B139" s="36"/>
      <c r="C139" s="37"/>
      <c r="D139" s="38"/>
      <c r="E139" s="39"/>
      <c r="F139" s="40"/>
      <c r="G139" s="95" t="str">
        <f>IFERROR(IF(venta_a_mes4[[#This Row],[CUIT]]="","-",VLOOKUP(venta_a_mes4[[#This Row],[CUIT]],Lista_CUIT[#All],2,0)),"CUIT NO CARGADO")</f>
        <v>-</v>
      </c>
      <c r="H139" s="96"/>
      <c r="I139" s="97">
        <f>venta_a_mes4[[#This Row],[IMPORTE NETO]]*0.21</f>
        <v>0</v>
      </c>
      <c r="J139" s="61"/>
      <c r="K139" s="61"/>
      <c r="L139" s="61">
        <f>SUM(venta_a_mes4[[#This Row],[IMPORTE NETO]:[EXENTO]])</f>
        <v>0</v>
      </c>
      <c r="M139" s="55"/>
    </row>
    <row r="140" spans="2:13" x14ac:dyDescent="0.3">
      <c r="B140" s="36"/>
      <c r="C140" s="37"/>
      <c r="D140" s="38"/>
      <c r="E140" s="39"/>
      <c r="F140" s="40"/>
      <c r="G140" s="95" t="str">
        <f>IFERROR(IF(venta_a_mes4[[#This Row],[CUIT]]="","-",VLOOKUP(venta_a_mes4[[#This Row],[CUIT]],Lista_CUIT[#All],2,0)),"CUIT NO CARGADO")</f>
        <v>-</v>
      </c>
      <c r="H140" s="96"/>
      <c r="I140" s="97">
        <f>venta_a_mes4[[#This Row],[IMPORTE NETO]]*0.21</f>
        <v>0</v>
      </c>
      <c r="J140" s="61"/>
      <c r="K140" s="61"/>
      <c r="L140" s="61">
        <f>SUM(venta_a_mes4[[#This Row],[IMPORTE NETO]:[EXENTO]])</f>
        <v>0</v>
      </c>
      <c r="M140" s="55"/>
    </row>
    <row r="141" spans="2:13" x14ac:dyDescent="0.3">
      <c r="B141" s="36"/>
      <c r="C141" s="37"/>
      <c r="D141" s="38"/>
      <c r="E141" s="39"/>
      <c r="F141" s="40"/>
      <c r="G141" s="95" t="str">
        <f>IFERROR(IF(venta_a_mes4[[#This Row],[CUIT]]="","-",VLOOKUP(venta_a_mes4[[#This Row],[CUIT]],Lista_CUIT[#All],2,0)),"CUIT NO CARGADO")</f>
        <v>-</v>
      </c>
      <c r="H141" s="96"/>
      <c r="I141" s="97">
        <f>venta_a_mes4[[#This Row],[IMPORTE NETO]]*0.21</f>
        <v>0</v>
      </c>
      <c r="J141" s="61"/>
      <c r="K141" s="61"/>
      <c r="L141" s="61">
        <f>SUM(venta_a_mes4[[#This Row],[IMPORTE NETO]:[EXENTO]])</f>
        <v>0</v>
      </c>
      <c r="M141" s="59"/>
    </row>
    <row r="142" spans="2:13" x14ac:dyDescent="0.3">
      <c r="B142" s="98"/>
      <c r="C142" s="99"/>
      <c r="D142" s="100"/>
      <c r="E142" s="101"/>
      <c r="F142" s="102"/>
      <c r="G142" s="95" t="str">
        <f>IFERROR(IF(venta_a_mes4[[#This Row],[CUIT]]="","-",VLOOKUP(venta_a_mes4[[#This Row],[CUIT]],Lista_CUIT[#All],2,0)),"CUIT NO CARGADO")</f>
        <v>-</v>
      </c>
      <c r="H142" s="103"/>
      <c r="I142" s="104">
        <f>venta_a_mes4[[#This Row],[IMPORTE NETO]]*0.21</f>
        <v>0</v>
      </c>
      <c r="J142" s="68"/>
      <c r="K142" s="68"/>
      <c r="L142" s="68">
        <f>SUM(venta_a_mes4[[#This Row],[IMPORTE NETO]:[EXENTO]])</f>
        <v>0</v>
      </c>
      <c r="M142" s="59"/>
    </row>
    <row r="143" spans="2:13" x14ac:dyDescent="0.3">
      <c r="B143" s="105"/>
      <c r="C143" s="106"/>
      <c r="D143" s="107"/>
      <c r="E143" s="108"/>
      <c r="F143" s="109"/>
      <c r="G143" s="95" t="str">
        <f>IFERROR(IF(venta_a_mes4[[#This Row],[CUIT]]="","-",VLOOKUP(venta_a_mes4[[#This Row],[CUIT]],Lista_CUIT[#All],2,0)),"CUIT NO CARGADO")</f>
        <v>-</v>
      </c>
      <c r="H143" s="96"/>
      <c r="I143" s="97">
        <f>venta_a_mes4[[#This Row],[IMPORTE NETO]]*0.21</f>
        <v>0</v>
      </c>
      <c r="J143" s="61"/>
      <c r="K143" s="61"/>
      <c r="L143" s="61">
        <f>SUM(venta_a_mes4[[#This Row],[IMPORTE NETO]:[EXENTO]])</f>
        <v>0</v>
      </c>
      <c r="M143" s="55"/>
    </row>
    <row r="144" spans="2:13" x14ac:dyDescent="0.3">
      <c r="B144" s="62" t="s">
        <v>83</v>
      </c>
      <c r="C144" s="63"/>
      <c r="D144" s="63"/>
      <c r="E144" s="63"/>
      <c r="F144" s="63"/>
      <c r="G144" s="63"/>
      <c r="H144" s="65">
        <f>SUBTOTAL(109,venta_a_mes4[IMPORTE NETO])</f>
        <v>0</v>
      </c>
      <c r="I144" s="66">
        <f>SUBTOTAL(109,venta_a_mes4[IVA 21%])</f>
        <v>0</v>
      </c>
      <c r="J144" s="67">
        <f>SUBTOTAL(109,venta_a_mes4[IVA 10,5%])</f>
        <v>0</v>
      </c>
      <c r="K144" s="67">
        <f>SUBTOTAL(109,venta_a_mes4[EXENTO])</f>
        <v>0</v>
      </c>
      <c r="L144" s="67">
        <f>SUBTOTAL(109,venta_a_mes4[TOTAL])</f>
        <v>0</v>
      </c>
      <c r="M144" s="64">
        <f>SUBTOTAL(103,venta_a_mes4[Provincia])</f>
        <v>0</v>
      </c>
    </row>
    <row r="147" spans="2:13" ht="21" x14ac:dyDescent="0.3">
      <c r="B147" s="449" t="s">
        <v>31</v>
      </c>
      <c r="C147" s="449"/>
    </row>
    <row r="148" spans="2:13" ht="21" x14ac:dyDescent="0.3">
      <c r="B148" s="449" t="s">
        <v>0</v>
      </c>
      <c r="C148" s="449" t="s">
        <v>1</v>
      </c>
      <c r="D148" t="s">
        <v>21</v>
      </c>
      <c r="E148" t="s">
        <v>22</v>
      </c>
      <c r="F148" t="s">
        <v>3</v>
      </c>
      <c r="G148" t="s">
        <v>4</v>
      </c>
      <c r="H148" t="s">
        <v>23</v>
      </c>
      <c r="I148" t="s">
        <v>17</v>
      </c>
      <c r="J148" t="s">
        <v>7</v>
      </c>
      <c r="K148" t="s">
        <v>24</v>
      </c>
      <c r="L148" t="s">
        <v>10</v>
      </c>
      <c r="M148" t="s">
        <v>38</v>
      </c>
    </row>
    <row r="149" spans="2:13" x14ac:dyDescent="0.3">
      <c r="B149" s="36"/>
      <c r="C149" s="37"/>
      <c r="D149" s="38"/>
      <c r="E149" s="39"/>
      <c r="F149" s="40"/>
      <c r="G149" s="1" t="str">
        <f>IFERROR(IF(#REF!="","-",VLOOKUP(#REF!,Lista_CUIT[#All],2,0)),"CUIT NO CARGADO")</f>
        <v>CUIT NO CARGADO</v>
      </c>
      <c r="H149" s="60"/>
      <c r="I149" s="60"/>
      <c r="J149" s="60"/>
      <c r="K149" s="60"/>
      <c r="L149" s="60" t="e">
        <f>SUM(#REF!)</f>
        <v>#REF!</v>
      </c>
      <c r="M149" s="55"/>
    </row>
    <row r="150" spans="2:13" x14ac:dyDescent="0.3">
      <c r="B150" s="36"/>
      <c r="C150" s="37"/>
      <c r="D150" s="38"/>
      <c r="E150" s="39"/>
      <c r="F150" s="40"/>
      <c r="G150" s="1"/>
      <c r="H150" s="60"/>
      <c r="I150" s="60"/>
      <c r="J150" s="60"/>
      <c r="K150" s="60"/>
      <c r="L150" s="60" t="e">
        <f>SUM(#REF!)</f>
        <v>#REF!</v>
      </c>
      <c r="M150" s="55"/>
    </row>
    <row r="151" spans="2:13" x14ac:dyDescent="0.3">
      <c r="B151" s="36"/>
      <c r="C151" s="37"/>
      <c r="D151" s="38"/>
      <c r="E151" s="39"/>
      <c r="F151" s="40"/>
      <c r="G151" s="1"/>
      <c r="H151" s="60"/>
      <c r="I151" s="60"/>
      <c r="J151" s="60"/>
      <c r="K151" s="60"/>
      <c r="L151" s="60" t="e">
        <f>SUM(#REF!)</f>
        <v>#REF!</v>
      </c>
      <c r="M151" s="55"/>
    </row>
    <row r="152" spans="2:13" x14ac:dyDescent="0.3">
      <c r="B152" s="36"/>
      <c r="C152" s="37"/>
      <c r="D152" s="38"/>
      <c r="E152" s="39"/>
      <c r="F152" s="40"/>
      <c r="G152" s="1"/>
      <c r="H152" s="60"/>
      <c r="I152" s="60"/>
      <c r="J152" s="60"/>
      <c r="K152" s="60"/>
      <c r="L152" s="60" t="e">
        <f>SUM(#REF!)</f>
        <v>#REF!</v>
      </c>
      <c r="M152" s="55"/>
    </row>
    <row r="153" spans="2:13" x14ac:dyDescent="0.3">
      <c r="B153" s="36"/>
      <c r="C153" s="37"/>
      <c r="D153" s="38"/>
      <c r="E153" s="39"/>
      <c r="F153" s="40"/>
      <c r="G153" s="1"/>
      <c r="H153" s="60"/>
      <c r="I153" s="60"/>
      <c r="J153" s="60"/>
      <c r="K153" s="60"/>
      <c r="L153" s="60" t="e">
        <f>SUM(#REF!)</f>
        <v>#REF!</v>
      </c>
      <c r="M153" s="55"/>
    </row>
    <row r="154" spans="2:13" x14ac:dyDescent="0.3">
      <c r="B154" s="36"/>
      <c r="C154" s="37"/>
      <c r="D154" s="38"/>
      <c r="E154" s="39"/>
      <c r="F154" s="40"/>
      <c r="G154" s="1"/>
      <c r="H154" s="60"/>
      <c r="I154" s="60"/>
      <c r="J154" s="60"/>
      <c r="K154" s="60"/>
      <c r="L154" s="60" t="e">
        <f>SUM(#REF!)</f>
        <v>#REF!</v>
      </c>
      <c r="M154" s="55"/>
    </row>
    <row r="155" spans="2:13" x14ac:dyDescent="0.3">
      <c r="B155" s="62" t="s">
        <v>83</v>
      </c>
      <c r="C155" s="63"/>
      <c r="D155" s="63"/>
      <c r="E155" s="63"/>
      <c r="F155" s="63"/>
      <c r="G155" s="63"/>
      <c r="H155" s="73" t="e">
        <f>SUBTOTAL(109,#REF!)</f>
        <v>#REF!</v>
      </c>
      <c r="I155" s="73" t="e">
        <f>SUBTOTAL(109,#REF!)</f>
        <v>#REF!</v>
      </c>
      <c r="J155" s="74" t="e">
        <f>SUBTOTAL(109,#REF!)</f>
        <v>#REF!</v>
      </c>
      <c r="K155" s="74" t="e">
        <f>SUBTOTAL(109,#REF!)</f>
        <v>#REF!</v>
      </c>
      <c r="L155" s="74" t="e">
        <f>SUBTOTAL(109,#REF!)</f>
        <v>#REF!</v>
      </c>
      <c r="M155" s="64" t="e">
        <f>SUBTOTAL(103,#REF!)</f>
        <v>#REF!</v>
      </c>
    </row>
    <row r="162" spans="3:12" ht="15" thickBot="1" x14ac:dyDescent="0.35"/>
    <row r="163" spans="3:12" ht="15" thickTop="1" x14ac:dyDescent="0.3">
      <c r="C163" s="447" t="s">
        <v>48</v>
      </c>
      <c r="D163" s="447"/>
      <c r="E163" s="447"/>
      <c r="F163" s="447"/>
      <c r="G163" s="447"/>
      <c r="H163" s="29"/>
      <c r="I163" s="29"/>
      <c r="J163" s="29"/>
    </row>
    <row r="164" spans="3:12" ht="15.6" x14ac:dyDescent="0.3">
      <c r="C164" s="110" t="s">
        <v>49</v>
      </c>
      <c r="D164" s="111" t="s">
        <v>50</v>
      </c>
      <c r="E164" s="111" t="s">
        <v>85</v>
      </c>
      <c r="F164" s="111" t="s">
        <v>3</v>
      </c>
      <c r="G164" s="111" t="s">
        <v>4</v>
      </c>
      <c r="H164" s="112" t="s">
        <v>51</v>
      </c>
      <c r="I164" s="112" t="s">
        <v>52</v>
      </c>
      <c r="J164" s="112" t="s">
        <v>53</v>
      </c>
      <c r="K164" s="112" t="s">
        <v>54</v>
      </c>
      <c r="L164" s="112" t="s">
        <v>55</v>
      </c>
    </row>
    <row r="165" spans="3:12" x14ac:dyDescent="0.3">
      <c r="C165" s="113"/>
      <c r="D165" s="114"/>
      <c r="E165" s="114"/>
      <c r="F165" s="115"/>
      <c r="G165" s="49" t="str">
        <f>IFERROR(IF(Retenciones_mes4[[#This Row],[CUIT]]="","-",VLOOKUP(Retenciones_mes4[[#This Row],[CUIT]],Lista_CUIT[#All],2,0)),"CUIT NO CARGADO")</f>
        <v>-</v>
      </c>
      <c r="H165" s="116"/>
      <c r="I165" s="116"/>
      <c r="J165" s="116"/>
      <c r="K165" s="116"/>
      <c r="L165" s="116"/>
    </row>
    <row r="166" spans="3:12" x14ac:dyDescent="0.3">
      <c r="C166" s="113"/>
      <c r="D166" s="114"/>
      <c r="E166" s="114"/>
      <c r="F166" s="115"/>
      <c r="G166" s="49" t="str">
        <f>IFERROR(IF(Retenciones_mes4[[#This Row],[CUIT]]="","-",VLOOKUP(Retenciones_mes4[[#This Row],[CUIT]],Lista_CUIT[#All],2,0)),"CUIT NO CARGADO")</f>
        <v>-</v>
      </c>
      <c r="H166" s="116"/>
      <c r="I166" s="116"/>
      <c r="J166" s="116"/>
      <c r="K166" s="116"/>
      <c r="L166" s="116"/>
    </row>
    <row r="167" spans="3:12" x14ac:dyDescent="0.3">
      <c r="C167" s="113"/>
      <c r="D167" s="114"/>
      <c r="E167" s="114"/>
      <c r="F167" s="115"/>
      <c r="G167" s="49" t="str">
        <f>IFERROR(IF(Retenciones_mes4[[#This Row],[CUIT]]="","-",VLOOKUP(Retenciones_mes4[[#This Row],[CUIT]],Lista_CUIT[#All],2,0)),"CUIT NO CARGADO")</f>
        <v>-</v>
      </c>
      <c r="H167" s="116"/>
      <c r="I167" s="116"/>
      <c r="J167" s="116"/>
      <c r="K167" s="116"/>
      <c r="L167" s="116"/>
    </row>
    <row r="168" spans="3:12" x14ac:dyDescent="0.3">
      <c r="C168" s="113"/>
      <c r="D168" s="114"/>
      <c r="E168" s="114"/>
      <c r="F168" s="115"/>
      <c r="G168" s="49" t="str">
        <f>IFERROR(IF(Retenciones_mes4[[#This Row],[CUIT]]="","-",VLOOKUP(Retenciones_mes4[[#This Row],[CUIT]],Lista_CUIT[#All],2,0)),"CUIT NO CARGADO")</f>
        <v>-</v>
      </c>
      <c r="H168" s="116"/>
      <c r="I168" s="116"/>
      <c r="J168" s="116"/>
      <c r="K168" s="116"/>
      <c r="L168" s="116"/>
    </row>
    <row r="169" spans="3:12" x14ac:dyDescent="0.3">
      <c r="D169" s="114"/>
      <c r="E169" s="114"/>
      <c r="G169" s="49" t="str">
        <f>IFERROR(IF(Retenciones_mes4[[#This Row],[CUIT]]="","-",VLOOKUP(Retenciones_mes4[[#This Row],[CUIT]],Lista_CUIT[#All],2,0)),"CUIT NO CARGADO")</f>
        <v>-</v>
      </c>
    </row>
    <row r="170" spans="3:12" x14ac:dyDescent="0.3">
      <c r="C170" s="30"/>
    </row>
    <row r="331" ht="25.5" customHeight="1" x14ac:dyDescent="0.3"/>
  </sheetData>
  <mergeCells count="21">
    <mergeCell ref="D102:M102"/>
    <mergeCell ref="C163:G163"/>
    <mergeCell ref="B4:E4"/>
    <mergeCell ref="G4:H4"/>
    <mergeCell ref="J4:K4"/>
    <mergeCell ref="M4:N4"/>
    <mergeCell ref="D119:K119"/>
    <mergeCell ref="B131:J131"/>
    <mergeCell ref="K131:M131"/>
    <mergeCell ref="B133:C133"/>
    <mergeCell ref="B147:C147"/>
    <mergeCell ref="B148:C148"/>
    <mergeCell ref="P4:R4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149:L154">
      <formula1>IF($C149=8,H149&lt;0,H149&gt;=0)</formula1>
    </dataValidation>
    <dataValidation type="custom" allowBlank="1" showInputMessage="1" showErrorMessage="1" sqref="L137:L139">
      <formula1>IF($C13=3,L13&lt;0,L13&gt;=0)</formula1>
    </dataValidation>
    <dataValidation type="custom" allowBlank="1" showInputMessage="1" showErrorMessage="1" sqref="L135:L136">
      <formula1>IF($C9=3,L9&lt;0,L9&gt;=0)</formula1>
    </dataValidation>
    <dataValidation type="whole" allowBlank="1" showInputMessage="1" showErrorMessage="1" sqref="C149:C154">
      <formula1>6</formula1>
      <formula2>8</formula2>
    </dataValidation>
    <dataValidation type="custom" allowBlank="1" showInputMessage="1" showErrorMessage="1" sqref="H135:K135 H137:K137 H139:K139 H141:K141">
      <formula1>IF($C135=3,H135&lt;0,H135&gt;=0)</formula1>
    </dataValidation>
    <dataValidation type="whole" allowBlank="1" showInputMessage="1" showErrorMessage="1" sqref="C9:C95 C135:C143 C97:C101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95">
      <formula1>IF($C9=3,H9&lt;0,H9&gt;=0)</formula1>
    </dataValidation>
    <dataValidation type="date" allowBlank="1" showInputMessage="1" showErrorMessage="1" sqref="B9:B95 B135:B143 D121:D124 B149:B154 B97:B101 D104:D113">
      <formula1>40179</formula1>
      <formula2>TODAY()</formula2>
    </dataValidation>
    <dataValidation type="whole" allowBlank="1" showInputMessage="1" showErrorMessage="1" sqref="F149:F154 G121:G124 F135:F143 F59:F95 F9:F56">
      <formula1>20000000000</formula1>
      <formula2>33999999999</formula2>
    </dataValidation>
    <dataValidation type="whole" allowBlank="1" showInputMessage="1" showErrorMessage="1" sqref="E9:E95 F121:F124 E135:E143 E149:E154">
      <formula1>1</formula1>
      <formula2>99999999</formula2>
    </dataValidation>
    <dataValidation type="whole" allowBlank="1" showInputMessage="1" showErrorMessage="1" sqref="D9:D95 E121:E124 D135:D143 D149:D154">
      <formula1>1</formula1>
      <formula2>9999</formula2>
    </dataValidation>
    <dataValidation type="custom" allowBlank="1" showInputMessage="1" showErrorMessage="1" sqref="L140:L141">
      <formula1>IF($C96=3,L96&lt;0,L96&gt;=0)</formula1>
    </dataValidation>
  </dataValidation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theme="9" tint="0.79998168889431442"/>
  </sheetPr>
  <dimension ref="A1:Z154"/>
  <sheetViews>
    <sheetView showGridLines="0" topLeftCell="A66" zoomScale="70" zoomScaleNormal="70" workbookViewId="0">
      <selection activeCell="E126" sqref="E126"/>
    </sheetView>
  </sheetViews>
  <sheetFormatPr baseColWidth="1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18.109375" customWidth="1"/>
    <col min="15" max="15" width="14.88671875" customWidth="1"/>
    <col min="16" max="16" width="20.5546875" customWidth="1"/>
    <col min="17" max="17" width="21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</cols>
  <sheetData>
    <row r="1" spans="1:26" ht="34.950000000000003" customHeight="1" x14ac:dyDescent="0.3">
      <c r="A1" s="33"/>
      <c r="B1" s="450" t="s">
        <v>28</v>
      </c>
      <c r="C1" s="450"/>
      <c r="D1" s="450"/>
      <c r="E1" s="450"/>
      <c r="F1" s="450"/>
      <c r="G1" s="457" t="str">
        <f>'Ene-22'!G1:M1</f>
        <v>EUROARGENTINA</v>
      </c>
      <c r="H1" s="457"/>
      <c r="I1" s="457"/>
      <c r="J1" s="457"/>
      <c r="K1" s="457"/>
      <c r="L1" s="457"/>
      <c r="M1" s="457"/>
      <c r="N1" s="448">
        <f>EDATE('Ene-22'!N1,4)</f>
        <v>44682</v>
      </c>
      <c r="O1" s="448"/>
      <c r="P1" s="448"/>
      <c r="Q1" s="448"/>
      <c r="R1" s="448"/>
    </row>
    <row r="2" spans="1:26" ht="15" customHeight="1" x14ac:dyDescent="0.3"/>
    <row r="3" spans="1:26" ht="26.4" customHeight="1" x14ac:dyDescent="0.3">
      <c r="B3" s="453" t="s">
        <v>47</v>
      </c>
      <c r="C3" s="453"/>
      <c r="D3" s="453"/>
      <c r="E3" s="453"/>
      <c r="F3" s="34"/>
      <c r="G3" s="453" t="s">
        <v>37</v>
      </c>
      <c r="H3" s="453"/>
      <c r="I3" s="34"/>
      <c r="J3" s="445" t="s">
        <v>14</v>
      </c>
      <c r="K3" s="445"/>
      <c r="L3" s="34"/>
      <c r="M3" s="445" t="s">
        <v>12</v>
      </c>
      <c r="N3" s="445"/>
      <c r="O3" s="34"/>
      <c r="P3" s="444" t="s">
        <v>82</v>
      </c>
      <c r="Q3" s="444"/>
      <c r="R3" s="444"/>
    </row>
    <row r="4" spans="1:26" ht="25.2" customHeight="1" x14ac:dyDescent="0.4">
      <c r="B4" s="454">
        <f>SUM(compras_mes5[[#Totals],[NETO GRAVADO]])+extracto_banco_mes1551617[[#Totals],[NETO]]</f>
        <v>4377958.6400000006</v>
      </c>
      <c r="C4" s="454"/>
      <c r="D4" s="454"/>
      <c r="E4" s="454"/>
      <c r="F4" s="35"/>
      <c r="G4" s="455">
        <f>compras_mes5[[#Totals],[IVA 21 %]]+compras_mes5[[#Totals],[IVA 27%]]+compras_mes5[[#Totals],[IVA 10,5%]]+extracto_banco_mes1551617[[#Totals],[IVA 21%]]</f>
        <v>887188.81229999999</v>
      </c>
      <c r="H4" s="455"/>
      <c r="I4" s="35"/>
      <c r="J4" s="446">
        <f>venta_a_mes5[[#Totals],[IMPORTE NETO]]+ventas_b_mes5[[#Totals],[IMPORTE NETO]]</f>
        <v>0</v>
      </c>
      <c r="K4" s="446"/>
      <c r="L4" s="35"/>
      <c r="M4" s="446">
        <f>venta_a_mes5[[#Totals],[IVA 21%]]+venta_a_mes5[[#Totals],[IVA 10,5%]]+ventas_b_mes5[[#Totals],[IVA 21%]]+ventas_b_mes5[[#Totals],[IVA 10,5%]]</f>
        <v>0</v>
      </c>
      <c r="N4" s="446"/>
      <c r="O4" s="35"/>
      <c r="P4" s="442">
        <f>G4-M4</f>
        <v>887188.81229999999</v>
      </c>
      <c r="Q4" s="443"/>
      <c r="R4" s="44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36"/>
      <c r="C7" s="37"/>
      <c r="D7" s="38"/>
      <c r="E7" s="39"/>
      <c r="F7" s="40"/>
      <c r="G7" s="41"/>
      <c r="H7" s="42"/>
      <c r="I7" s="43"/>
      <c r="J7" s="43"/>
      <c r="K7" s="43"/>
      <c r="L7" s="43"/>
      <c r="M7" s="43"/>
      <c r="N7" s="43"/>
      <c r="O7" s="43"/>
      <c r="P7" s="44"/>
      <c r="Q7" s="45"/>
      <c r="R7" s="45"/>
      <c r="T7"/>
      <c r="U7"/>
      <c r="V7"/>
      <c r="W7"/>
      <c r="X7"/>
      <c r="Y7"/>
      <c r="Z7"/>
    </row>
    <row r="8" spans="1:26" ht="38.4" customHeight="1" x14ac:dyDescent="0.3">
      <c r="B8" s="80" t="s">
        <v>0</v>
      </c>
      <c r="C8" s="80" t="s">
        <v>1</v>
      </c>
      <c r="D8" s="80" t="s">
        <v>2</v>
      </c>
      <c r="E8" s="80" t="s">
        <v>27</v>
      </c>
      <c r="F8" s="80" t="s">
        <v>3</v>
      </c>
      <c r="G8" s="80" t="s">
        <v>4</v>
      </c>
      <c r="H8" s="80" t="s">
        <v>34</v>
      </c>
      <c r="I8" s="80" t="s">
        <v>35</v>
      </c>
      <c r="J8" s="80" t="s">
        <v>6</v>
      </c>
      <c r="K8" s="80" t="s">
        <v>7</v>
      </c>
      <c r="L8" s="80" t="s">
        <v>8</v>
      </c>
      <c r="M8" s="80" t="s">
        <v>33</v>
      </c>
      <c r="N8" s="80" t="s">
        <v>9</v>
      </c>
      <c r="O8" s="80" t="s">
        <v>36</v>
      </c>
      <c r="P8" s="80" t="s">
        <v>10</v>
      </c>
      <c r="Q8" s="80" t="s">
        <v>11</v>
      </c>
      <c r="R8" s="80" t="s">
        <v>38</v>
      </c>
    </row>
    <row r="9" spans="1:26" x14ac:dyDescent="0.3">
      <c r="B9" s="36">
        <v>44683</v>
      </c>
      <c r="C9" s="37">
        <v>1</v>
      </c>
      <c r="D9" s="38">
        <v>1</v>
      </c>
      <c r="E9" s="39">
        <v>248</v>
      </c>
      <c r="F9" s="40">
        <v>20131206144</v>
      </c>
      <c r="G9" s="41" t="str">
        <f>IFERROR(IF(compras_mes5[[#This Row],[CUIT]]="","-",VLOOKUP(compras_mes5[[#This Row],[CUIT]],Lista_CUIT[#All],2,0)),"CUIT NO CARGADO")</f>
        <v>CHAMORRO MANUEL</v>
      </c>
      <c r="H9" s="42">
        <v>18000</v>
      </c>
      <c r="I9" s="81">
        <v>3780</v>
      </c>
      <c r="J9" s="81"/>
      <c r="K9" s="81"/>
      <c r="L9" s="81"/>
      <c r="M9" s="81"/>
      <c r="N9" s="81"/>
      <c r="O9" s="81"/>
      <c r="P9" s="44">
        <v>21780</v>
      </c>
      <c r="Q9" s="45" t="str">
        <f>IFERROR(IF(compras_mes5[[#This Row],[CUIT]]="","-",VLOOKUP(compras_mes5[[#This Row],[CUIT]],Lista_CUIT[#All],3,0)),"CUIT NO CARGADO")</f>
        <v>Alquiler</v>
      </c>
      <c r="R9" s="45">
        <f>IFERROR(IF(compras_mes5[[#This Row],[CUIT]]="","-",VLOOKUP(compras_mes5[[#This Row],[CUIT]],Lista_CUIT[#All],4,0)),"CUIT NO CARGADO")</f>
        <v>0</v>
      </c>
    </row>
    <row r="10" spans="1:26" x14ac:dyDescent="0.3">
      <c r="B10" s="36">
        <v>44686</v>
      </c>
      <c r="C10" s="37">
        <v>1</v>
      </c>
      <c r="D10" s="38">
        <v>1</v>
      </c>
      <c r="E10" s="39">
        <v>35</v>
      </c>
      <c r="F10" s="40">
        <v>30716010313</v>
      </c>
      <c r="G10" s="41" t="s">
        <v>2142</v>
      </c>
      <c r="H10" s="42">
        <v>32000</v>
      </c>
      <c r="I10" s="81">
        <v>6720</v>
      </c>
      <c r="J10" s="81"/>
      <c r="K10" s="81"/>
      <c r="L10" s="81"/>
      <c r="M10" s="81"/>
      <c r="N10" s="81"/>
      <c r="O10" s="81"/>
      <c r="P10" s="44">
        <v>38720</v>
      </c>
      <c r="Q10" s="45" t="str">
        <f>IFERROR(IF(compras_mes5[[#This Row],[CUIT]]="","-",VLOOKUP(compras_mes5[[#This Row],[CUIT]],Lista_CUIT[#All],3,0)),"CUIT NO CARGADO")</f>
        <v>Alquiler</v>
      </c>
      <c r="R10" s="45">
        <f>IFERROR(IF(compras_mes5[[#This Row],[CUIT]]="","-",VLOOKUP(compras_mes5[[#This Row],[CUIT]],Lista_CUIT[#All],4,0)),"CUIT NO CARGADO")</f>
        <v>0</v>
      </c>
    </row>
    <row r="11" spans="1:26" x14ac:dyDescent="0.3">
      <c r="B11" s="36">
        <v>44684</v>
      </c>
      <c r="C11" s="37">
        <v>1</v>
      </c>
      <c r="D11" s="38">
        <v>8</v>
      </c>
      <c r="E11" s="39">
        <v>2625</v>
      </c>
      <c r="F11" s="40">
        <v>30709465801</v>
      </c>
      <c r="G11" s="41" t="s">
        <v>2815</v>
      </c>
      <c r="H11" s="42">
        <v>1053.67</v>
      </c>
      <c r="I11" s="81">
        <v>221.27070000000001</v>
      </c>
      <c r="J11" s="81"/>
      <c r="K11" s="81"/>
      <c r="L11" s="81"/>
      <c r="M11" s="81"/>
      <c r="N11" s="81">
        <v>225.07</v>
      </c>
      <c r="O11" s="81"/>
      <c r="P11" s="44">
        <v>1500.0107</v>
      </c>
      <c r="Q11" s="84" t="str">
        <f>IFERROR(IF(compras_mes5[[#This Row],[CUIT]]="","-",VLOOKUP(compras_mes5[[#This Row],[CUIT]],Lista_CUIT[#All],3,0)),"CUIT NO CARGADO")</f>
        <v>Combustible</v>
      </c>
      <c r="R11" s="84">
        <f>IFERROR(IF(compras_mes5[[#This Row],[CUIT]]="","-",VLOOKUP(compras_mes5[[#This Row],[CUIT]],Lista_CUIT[#All],4,0)),"CUIT NO CARGADO")</f>
        <v>0</v>
      </c>
    </row>
    <row r="12" spans="1:26" x14ac:dyDescent="0.3">
      <c r="B12" s="36">
        <v>44683</v>
      </c>
      <c r="C12" s="37">
        <v>1</v>
      </c>
      <c r="D12" s="38">
        <v>20</v>
      </c>
      <c r="E12" s="39">
        <v>2969</v>
      </c>
      <c r="F12" s="40">
        <v>30515800219</v>
      </c>
      <c r="G12" s="41" t="s">
        <v>2131</v>
      </c>
      <c r="H12" s="42">
        <v>492.73</v>
      </c>
      <c r="I12" s="81">
        <v>103.47329999999999</v>
      </c>
      <c r="J12" s="81"/>
      <c r="K12" s="81"/>
      <c r="L12" s="81"/>
      <c r="M12" s="81"/>
      <c r="N12" s="81">
        <v>13.8</v>
      </c>
      <c r="O12" s="81"/>
      <c r="P12" s="44">
        <v>610.00329999999997</v>
      </c>
      <c r="Q12" s="84" t="str">
        <f>IFERROR(IF(compras_mes5[[#This Row],[CUIT]]="","-",VLOOKUP(compras_mes5[[#This Row],[CUIT]],Lista_CUIT[#All],3,0)),"CUIT NO CARGADO")</f>
        <v>Combustible</v>
      </c>
      <c r="R12" s="84">
        <f>IFERROR(IF(compras_mes5[[#This Row],[CUIT]]="","-",VLOOKUP(compras_mes5[[#This Row],[CUIT]],Lista_CUIT[#All],4,0)),"CUIT NO CARGADO")</f>
        <v>0</v>
      </c>
    </row>
    <row r="13" spans="1:26" x14ac:dyDescent="0.3">
      <c r="B13" s="36">
        <v>44694</v>
      </c>
      <c r="C13" s="37">
        <v>1</v>
      </c>
      <c r="D13" s="38">
        <v>20</v>
      </c>
      <c r="E13" s="39">
        <v>3178</v>
      </c>
      <c r="F13" s="40">
        <v>30515800219</v>
      </c>
      <c r="G13" s="41" t="s">
        <v>2131</v>
      </c>
      <c r="H13" s="42">
        <v>404.48</v>
      </c>
      <c r="I13" s="81">
        <v>84.940799999999996</v>
      </c>
      <c r="J13" s="81"/>
      <c r="K13" s="81"/>
      <c r="L13" s="81"/>
      <c r="M13" s="81"/>
      <c r="N13" s="81">
        <v>10.58</v>
      </c>
      <c r="O13" s="81"/>
      <c r="P13" s="44">
        <v>500.00079999999997</v>
      </c>
      <c r="Q13" s="45" t="str">
        <f>IFERROR(IF(compras_mes5[[#This Row],[CUIT]]="","-",VLOOKUP(compras_mes5[[#This Row],[CUIT]],Lista_CUIT[#All],3,0)),"CUIT NO CARGADO")</f>
        <v>Combustible</v>
      </c>
      <c r="R13" s="45">
        <f>IFERROR(IF(compras_mes5[[#This Row],[CUIT]]="","-",VLOOKUP(compras_mes5[[#This Row],[CUIT]],Lista_CUIT[#All],4,0)),"CUIT NO CARGADO")</f>
        <v>0</v>
      </c>
    </row>
    <row r="14" spans="1:26" x14ac:dyDescent="0.3">
      <c r="B14" s="36">
        <v>44694</v>
      </c>
      <c r="C14" s="37">
        <v>1</v>
      </c>
      <c r="D14" s="38">
        <v>5154</v>
      </c>
      <c r="E14" s="39">
        <v>1330</v>
      </c>
      <c r="F14" s="40">
        <v>30695542476</v>
      </c>
      <c r="G14" s="41" t="s">
        <v>2642</v>
      </c>
      <c r="H14" s="42">
        <v>2821.51</v>
      </c>
      <c r="I14" s="81">
        <v>592.51710000000003</v>
      </c>
      <c r="J14" s="81"/>
      <c r="K14" s="81"/>
      <c r="L14" s="81"/>
      <c r="M14" s="81"/>
      <c r="N14" s="81">
        <v>1455.97</v>
      </c>
      <c r="O14" s="81">
        <v>62.86</v>
      </c>
      <c r="P14" s="44">
        <v>4932.8571000000002</v>
      </c>
      <c r="Q14" s="45" t="str">
        <f>IFERROR(IF(compras_mes5[[#This Row],[CUIT]]="","-",VLOOKUP(compras_mes5[[#This Row],[CUIT]],Lista_CUIT[#All],3,0)),"CUIT NO CARGADO")</f>
        <v>Combustible</v>
      </c>
      <c r="R14" s="45">
        <f>IFERROR(IF(compras_mes5[[#This Row],[CUIT]]="","-",VLOOKUP(compras_mes5[[#This Row],[CUIT]],Lista_CUIT[#All],4,0)),"CUIT NO CARGADO")</f>
        <v>0</v>
      </c>
    </row>
    <row r="15" spans="1:26" x14ac:dyDescent="0.3">
      <c r="B15" s="36">
        <v>44701</v>
      </c>
      <c r="C15" s="37">
        <v>1</v>
      </c>
      <c r="D15" s="38">
        <v>7152</v>
      </c>
      <c r="E15" s="39">
        <v>4867</v>
      </c>
      <c r="F15" s="40">
        <v>30678774495</v>
      </c>
      <c r="G15" s="41" t="s">
        <v>75</v>
      </c>
      <c r="H15" s="42">
        <v>9044.5499999999993</v>
      </c>
      <c r="I15" s="81">
        <v>1899.3554999999997</v>
      </c>
      <c r="J15" s="81"/>
      <c r="K15" s="81"/>
      <c r="L15" s="81"/>
      <c r="M15" s="81"/>
      <c r="N15" s="81">
        <v>2610.08</v>
      </c>
      <c r="O15" s="81"/>
      <c r="P15" s="44">
        <v>13553.985499999999</v>
      </c>
      <c r="Q15" s="45" t="str">
        <f>IFERROR(IF(compras_mes5[[#This Row],[CUIT]]="","-",VLOOKUP(compras_mes5[[#This Row],[CUIT]],Lista_CUIT[#All],3,0)),"CUIT NO CARGADO")</f>
        <v>Combustible</v>
      </c>
      <c r="R15" s="45">
        <f>IFERROR(IF(compras_mes5[[#This Row],[CUIT]]="","-",VLOOKUP(compras_mes5[[#This Row],[CUIT]],Lista_CUIT[#All],4,0)),"CUIT NO CARGADO")</f>
        <v>0</v>
      </c>
    </row>
    <row r="16" spans="1:26" s="52" customFormat="1" x14ac:dyDescent="0.3">
      <c r="B16" s="36">
        <v>44707</v>
      </c>
      <c r="C16" s="37">
        <v>1</v>
      </c>
      <c r="D16" s="38">
        <v>13</v>
      </c>
      <c r="E16" s="39">
        <v>29082</v>
      </c>
      <c r="F16" s="40">
        <v>30707841105</v>
      </c>
      <c r="G16" s="41" t="s">
        <v>2147</v>
      </c>
      <c r="H16" s="42">
        <v>3377.08</v>
      </c>
      <c r="I16" s="81">
        <v>709.18679999999995</v>
      </c>
      <c r="J16" s="81"/>
      <c r="K16" s="81"/>
      <c r="L16" s="81"/>
      <c r="M16" s="81"/>
      <c r="N16" s="81">
        <v>413.86</v>
      </c>
      <c r="O16" s="81"/>
      <c r="P16" s="44">
        <v>4500.1268</v>
      </c>
      <c r="Q16" s="84" t="str">
        <f>IFERROR(IF(compras_mes5[[#This Row],[CUIT]]="","-",VLOOKUP(compras_mes5[[#This Row],[CUIT]],Lista_CUIT[#All],3,0)),"CUIT NO CARGADO")</f>
        <v>Combustible</v>
      </c>
      <c r="R16" s="84">
        <f>IFERROR(IF(compras_mes5[[#This Row],[CUIT]]="","-",VLOOKUP(compras_mes5[[#This Row],[CUIT]],Lista_CUIT[#All],4,0)),"CUIT NO CARGADO")</f>
        <v>0</v>
      </c>
    </row>
    <row r="17" spans="2:18" x14ac:dyDescent="0.3">
      <c r="B17" s="36">
        <v>44707</v>
      </c>
      <c r="C17" s="37">
        <v>1</v>
      </c>
      <c r="D17" s="38">
        <v>2036</v>
      </c>
      <c r="E17" s="39">
        <v>18270</v>
      </c>
      <c r="F17" s="40">
        <v>30516186670</v>
      </c>
      <c r="G17" s="41" t="s">
        <v>2171</v>
      </c>
      <c r="H17" s="42">
        <v>4098.32</v>
      </c>
      <c r="I17" s="81">
        <v>860.64719999999988</v>
      </c>
      <c r="J17" s="81"/>
      <c r="K17" s="81"/>
      <c r="L17" s="81">
        <v>101.36</v>
      </c>
      <c r="M17" s="81"/>
      <c r="N17" s="81">
        <v>1343.08</v>
      </c>
      <c r="O17" s="81">
        <v>290.48</v>
      </c>
      <c r="P17" s="44">
        <v>6693.8871999999992</v>
      </c>
      <c r="Q17" s="45" t="str">
        <f>IFERROR(IF(compras_mes5[[#This Row],[CUIT]]="","-",VLOOKUP(compras_mes5[[#This Row],[CUIT]],Lista_CUIT[#All],3,0)),"CUIT NO CARGADO")</f>
        <v>Combustible</v>
      </c>
      <c r="R17" s="45">
        <f>IFERROR(IF(compras_mes5[[#This Row],[CUIT]]="","-",VLOOKUP(compras_mes5[[#This Row],[CUIT]],Lista_CUIT[#All],4,0)),"CUIT NO CARGADO")</f>
        <v>0</v>
      </c>
    </row>
    <row r="18" spans="2:18" x14ac:dyDescent="0.3">
      <c r="B18" s="36">
        <v>44709</v>
      </c>
      <c r="C18" s="37">
        <v>1</v>
      </c>
      <c r="D18" s="38">
        <v>12</v>
      </c>
      <c r="E18" s="39">
        <v>2915</v>
      </c>
      <c r="F18" s="40">
        <v>30696131003</v>
      </c>
      <c r="G18" s="41" t="s">
        <v>2643</v>
      </c>
      <c r="H18" s="42">
        <v>50820.49</v>
      </c>
      <c r="I18" s="81">
        <v>10672.302899999999</v>
      </c>
      <c r="J18" s="81"/>
      <c r="K18" s="81"/>
      <c r="L18" s="81"/>
      <c r="M18" s="81"/>
      <c r="N18" s="81">
        <v>12593.38</v>
      </c>
      <c r="O18" s="81"/>
      <c r="P18" s="44">
        <v>74086.172900000005</v>
      </c>
      <c r="Q18" s="45" t="str">
        <f>IFERROR(IF(compras_mes5[[#This Row],[CUIT]]="","-",VLOOKUP(compras_mes5[[#This Row],[CUIT]],Lista_CUIT[#All],3,0)),"CUIT NO CARGADO")</f>
        <v>Combustible</v>
      </c>
      <c r="R18" s="45">
        <f>IFERROR(IF(compras_mes5[[#This Row],[CUIT]]="","-",VLOOKUP(compras_mes5[[#This Row],[CUIT]],Lista_CUIT[#All],4,0)),"CUIT NO CARGADO")</f>
        <v>0</v>
      </c>
    </row>
    <row r="19" spans="2:18" x14ac:dyDescent="0.3">
      <c r="B19" s="36">
        <v>44712</v>
      </c>
      <c r="C19" s="37">
        <v>1</v>
      </c>
      <c r="D19" s="38">
        <v>20</v>
      </c>
      <c r="E19" s="39">
        <v>3353</v>
      </c>
      <c r="F19" s="40">
        <v>30515800219</v>
      </c>
      <c r="G19" s="41" t="s">
        <v>2131</v>
      </c>
      <c r="H19" s="42">
        <v>15931.68</v>
      </c>
      <c r="I19" s="81">
        <v>3345.6527999999998</v>
      </c>
      <c r="J19" s="81"/>
      <c r="K19" s="81"/>
      <c r="L19" s="81"/>
      <c r="M19" s="81"/>
      <c r="N19" s="81">
        <v>3824.43</v>
      </c>
      <c r="O19" s="81"/>
      <c r="P19" s="44">
        <v>23101.7628</v>
      </c>
      <c r="Q19" s="45" t="str">
        <f>IFERROR(IF(compras_mes5[[#This Row],[CUIT]]="","-",VLOOKUP(compras_mes5[[#This Row],[CUIT]],Lista_CUIT[#All],3,0)),"CUIT NO CARGADO")</f>
        <v>Combustible</v>
      </c>
      <c r="R19" s="45">
        <f>IFERROR(IF(compras_mes5[[#This Row],[CUIT]]="","-",VLOOKUP(compras_mes5[[#This Row],[CUIT]],Lista_CUIT[#All],4,0)),"CUIT NO CARGADO")</f>
        <v>0</v>
      </c>
    </row>
    <row r="20" spans="2:18" ht="14.4" customHeight="1" x14ac:dyDescent="0.3">
      <c r="B20" s="36">
        <v>44690</v>
      </c>
      <c r="C20" s="37">
        <v>1</v>
      </c>
      <c r="D20" s="38">
        <v>1676</v>
      </c>
      <c r="E20" s="39">
        <v>1632</v>
      </c>
      <c r="F20" s="40">
        <v>30589621499</v>
      </c>
      <c r="G20" s="41" t="s">
        <v>71</v>
      </c>
      <c r="H20" s="42">
        <v>12931.52</v>
      </c>
      <c r="I20" s="81">
        <v>2664.62</v>
      </c>
      <c r="J20" s="81"/>
      <c r="K20" s="81"/>
      <c r="L20" s="81"/>
      <c r="M20" s="81"/>
      <c r="N20" s="81">
        <v>775.89</v>
      </c>
      <c r="O20" s="81">
        <v>380.66</v>
      </c>
      <c r="P20" s="44">
        <v>16752.689999999999</v>
      </c>
      <c r="Q20" s="45" t="str">
        <f>IFERROR(IF(compras_mes5[[#This Row],[CUIT]]="","-",VLOOKUP(compras_mes5[[#This Row],[CUIT]],Lista_CUIT[#All],3,0)),"CUIT NO CARGADO")</f>
        <v>Comida-Limpieza</v>
      </c>
      <c r="R20" s="45">
        <f>IFERROR(IF(compras_mes5[[#This Row],[CUIT]]="","-",VLOOKUP(compras_mes5[[#This Row],[CUIT]],Lista_CUIT[#All],4,0)),"CUIT NO CARGADO")</f>
        <v>0</v>
      </c>
    </row>
    <row r="21" spans="2:18" x14ac:dyDescent="0.3">
      <c r="B21" s="36">
        <v>44707</v>
      </c>
      <c r="C21" s="37">
        <v>1</v>
      </c>
      <c r="D21" s="38">
        <v>6</v>
      </c>
      <c r="E21" s="39">
        <v>2086</v>
      </c>
      <c r="F21" s="40">
        <v>20134664518</v>
      </c>
      <c r="G21" s="41" t="s">
        <v>2141</v>
      </c>
      <c r="H21" s="42">
        <v>24569.119999999999</v>
      </c>
      <c r="I21" s="81">
        <v>5159.5151999999998</v>
      </c>
      <c r="J21" s="81"/>
      <c r="K21" s="81"/>
      <c r="L21" s="81"/>
      <c r="M21" s="81"/>
      <c r="N21" s="81"/>
      <c r="O21" s="81"/>
      <c r="P21" s="44">
        <v>29728.635199999997</v>
      </c>
      <c r="Q21" s="45" t="str">
        <f>IFERROR(IF(compras_mes5[[#This Row],[CUIT]]="","-",VLOOKUP(compras_mes5[[#This Row],[CUIT]],Lista_CUIT[#All],3,0)),"CUIT NO CARGADO")</f>
        <v>Comida-Limpieza</v>
      </c>
      <c r="R21" s="45">
        <f>IFERROR(IF(compras_mes5[[#This Row],[CUIT]]="","-",VLOOKUP(compras_mes5[[#This Row],[CUIT]],Lista_CUIT[#All],4,0)),"CUIT NO CARGADO")</f>
        <v>0</v>
      </c>
    </row>
    <row r="22" spans="2:18" x14ac:dyDescent="0.3">
      <c r="B22" s="36">
        <v>44701</v>
      </c>
      <c r="C22" s="37">
        <v>1</v>
      </c>
      <c r="D22" s="38">
        <v>5</v>
      </c>
      <c r="E22" s="39">
        <v>21117</v>
      </c>
      <c r="F22" s="40">
        <v>30715124919</v>
      </c>
      <c r="G22" s="41" t="s">
        <v>2425</v>
      </c>
      <c r="H22" s="42">
        <v>12187.71</v>
      </c>
      <c r="I22" s="81">
        <v>2559.4190999999996</v>
      </c>
      <c r="J22" s="81"/>
      <c r="K22" s="81"/>
      <c r="L22" s="81"/>
      <c r="M22" s="81"/>
      <c r="N22" s="81"/>
      <c r="O22" s="81"/>
      <c r="P22" s="44">
        <v>14747.129099999998</v>
      </c>
      <c r="Q22" s="45" t="str">
        <f>IFERROR(IF(compras_mes5[[#This Row],[CUIT]]="","-",VLOOKUP(compras_mes5[[#This Row],[CUIT]],Lista_CUIT[#All],3,0)),"CUIT NO CARGADO")</f>
        <v>Comida-Limpieza</v>
      </c>
      <c r="R22" s="45">
        <f>IFERROR(IF(compras_mes5[[#This Row],[CUIT]]="","-",VLOOKUP(compras_mes5[[#This Row],[CUIT]],Lista_CUIT[#All],4,0)),"CUIT NO CARGADO")</f>
        <v>0</v>
      </c>
    </row>
    <row r="23" spans="2:18" ht="14.4" customHeight="1" x14ac:dyDescent="0.3">
      <c r="B23" s="36">
        <v>44701</v>
      </c>
      <c r="C23" s="37">
        <v>1</v>
      </c>
      <c r="D23" s="38">
        <v>5</v>
      </c>
      <c r="E23" s="39">
        <v>21118</v>
      </c>
      <c r="F23" s="40">
        <v>30715124919</v>
      </c>
      <c r="G23" s="41" t="s">
        <v>2425</v>
      </c>
      <c r="H23" s="42">
        <v>8146.39</v>
      </c>
      <c r="I23" s="81">
        <v>1710.7419</v>
      </c>
      <c r="J23" s="81"/>
      <c r="K23" s="81"/>
      <c r="L23" s="81"/>
      <c r="M23" s="81"/>
      <c r="N23" s="81"/>
      <c r="O23" s="81"/>
      <c r="P23" s="44">
        <v>9857.1319000000003</v>
      </c>
      <c r="Q23" s="45" t="str">
        <f>IFERROR(IF(compras_mes5[[#This Row],[CUIT]]="","-",VLOOKUP(compras_mes5[[#This Row],[CUIT]],Lista_CUIT[#All],3,0)),"CUIT NO CARGADO")</f>
        <v>Comida-Limpieza</v>
      </c>
      <c r="R23" s="45">
        <f>IFERROR(IF(compras_mes5[[#This Row],[CUIT]]="","-",VLOOKUP(compras_mes5[[#This Row],[CUIT]],Lista_CUIT[#All],4,0)),"CUIT NO CARGADO")</f>
        <v>0</v>
      </c>
    </row>
    <row r="24" spans="2:18" ht="14.4" customHeight="1" x14ac:dyDescent="0.3">
      <c r="B24" s="36">
        <v>44701</v>
      </c>
      <c r="C24" s="37">
        <v>1</v>
      </c>
      <c r="D24" s="38">
        <v>5</v>
      </c>
      <c r="E24" s="39">
        <v>21119</v>
      </c>
      <c r="F24" s="40">
        <v>30715124919</v>
      </c>
      <c r="G24" s="41" t="s">
        <v>2425</v>
      </c>
      <c r="H24" s="42">
        <v>2779.29</v>
      </c>
      <c r="I24" s="81">
        <v>583.65089999999998</v>
      </c>
      <c r="J24" s="81"/>
      <c r="K24" s="81"/>
      <c r="L24" s="81"/>
      <c r="M24" s="81"/>
      <c r="N24" s="81"/>
      <c r="O24" s="81"/>
      <c r="P24" s="44">
        <v>3362.9409000000001</v>
      </c>
      <c r="Q24" s="45" t="str">
        <f>IFERROR(IF(compras_mes5[[#This Row],[CUIT]]="","-",VLOOKUP(compras_mes5[[#This Row],[CUIT]],Lista_CUIT[#All],3,0)),"CUIT NO CARGADO")</f>
        <v>Comida-Limpieza</v>
      </c>
      <c r="R24" s="45">
        <f>IFERROR(IF(compras_mes5[[#This Row],[CUIT]]="","-",VLOOKUP(compras_mes5[[#This Row],[CUIT]],Lista_CUIT[#All],4,0)),"CUIT NO CARGADO")</f>
        <v>0</v>
      </c>
    </row>
    <row r="25" spans="2:18" ht="15" customHeight="1" x14ac:dyDescent="0.3">
      <c r="B25" s="36">
        <v>44707</v>
      </c>
      <c r="C25" s="37">
        <v>1</v>
      </c>
      <c r="D25" s="38">
        <v>7</v>
      </c>
      <c r="E25" s="39">
        <v>22576816</v>
      </c>
      <c r="F25" s="40">
        <v>30574816870</v>
      </c>
      <c r="G25" s="41" t="s">
        <v>2638</v>
      </c>
      <c r="H25" s="42">
        <v>2910.78</v>
      </c>
      <c r="I25" s="81">
        <v>611.26380000000006</v>
      </c>
      <c r="J25" s="81"/>
      <c r="K25" s="81"/>
      <c r="L25" s="81"/>
      <c r="M25" s="81"/>
      <c r="N25" s="81">
        <v>3319.99</v>
      </c>
      <c r="O25" s="81"/>
      <c r="P25" s="44">
        <v>6842.0338000000002</v>
      </c>
      <c r="Q25" s="45" t="str">
        <f>IFERROR(IF(compras_mes5[[#This Row],[CUIT]]="","-",VLOOKUP(compras_mes5[[#This Row],[CUIT]],Lista_CUIT[#All],3,0)),"CUIT NO CARGADO")</f>
        <v>Comisiones Bancarias</v>
      </c>
      <c r="R25" s="45">
        <f>IFERROR(IF(compras_mes5[[#This Row],[CUIT]]="","-",VLOOKUP(compras_mes5[[#This Row],[CUIT]],Lista_CUIT[#All],4,0)),"CUIT NO CARGADO")</f>
        <v>0</v>
      </c>
    </row>
    <row r="26" spans="2:18" ht="15" customHeight="1" x14ac:dyDescent="0.3">
      <c r="B26" s="36">
        <v>44685</v>
      </c>
      <c r="C26" s="37">
        <v>1</v>
      </c>
      <c r="D26" s="38">
        <v>9</v>
      </c>
      <c r="E26" s="39">
        <v>4004</v>
      </c>
      <c r="F26" s="40">
        <v>30697262063</v>
      </c>
      <c r="G26" s="41" t="s">
        <v>2860</v>
      </c>
      <c r="H26" s="42">
        <v>59357.47</v>
      </c>
      <c r="I26" s="81"/>
      <c r="J26" s="81"/>
      <c r="K26" s="81">
        <v>6232.53</v>
      </c>
      <c r="L26" s="81"/>
      <c r="M26" s="81"/>
      <c r="N26" s="81"/>
      <c r="O26" s="81"/>
      <c r="P26" s="44">
        <v>65590</v>
      </c>
      <c r="Q26" s="45" t="str">
        <f>IFERROR(IF(compras_mes5[[#This Row],[CUIT]]="","-",VLOOKUP(compras_mes5[[#This Row],[CUIT]],Lista_CUIT[#All],3,0)),"CUIT NO CARGADO")</f>
        <v>Equipos de informatica</v>
      </c>
      <c r="R26" s="45">
        <f>IFERROR(IF(compras_mes5[[#This Row],[CUIT]]="","-",VLOOKUP(compras_mes5[[#This Row],[CUIT]],Lista_CUIT[#All],4,0)),"CUIT NO CARGADO")</f>
        <v>0</v>
      </c>
    </row>
    <row r="27" spans="2:18" ht="15" customHeight="1" x14ac:dyDescent="0.3">
      <c r="B27" s="36">
        <v>44711</v>
      </c>
      <c r="C27" s="37">
        <v>1</v>
      </c>
      <c r="D27" s="38">
        <v>9</v>
      </c>
      <c r="E27" s="39">
        <v>4219</v>
      </c>
      <c r="F27" s="40">
        <v>30697262063</v>
      </c>
      <c r="G27" s="41" t="s">
        <v>2860</v>
      </c>
      <c r="H27" s="42">
        <v>62615.38</v>
      </c>
      <c r="I27" s="81"/>
      <c r="J27" s="81">
        <v>6574.61</v>
      </c>
      <c r="K27" s="81"/>
      <c r="L27" s="81"/>
      <c r="M27" s="81"/>
      <c r="N27" s="81"/>
      <c r="O27" s="81"/>
      <c r="P27" s="44">
        <v>69189.989999999991</v>
      </c>
      <c r="Q27" s="45" t="str">
        <f>IFERROR(IF(compras_mes5[[#This Row],[CUIT]]="","-",VLOOKUP(compras_mes5[[#This Row],[CUIT]],Lista_CUIT[#All],3,0)),"CUIT NO CARGADO")</f>
        <v>Equipos de informatica</v>
      </c>
      <c r="R27" s="45">
        <f>IFERROR(IF(compras_mes5[[#This Row],[CUIT]]="","-",VLOOKUP(compras_mes5[[#This Row],[CUIT]],Lista_CUIT[#All],4,0)),"CUIT NO CARGADO")</f>
        <v>0</v>
      </c>
    </row>
    <row r="28" spans="2:18" ht="15" customHeight="1" x14ac:dyDescent="0.3">
      <c r="B28" s="36">
        <v>44691</v>
      </c>
      <c r="C28" s="37">
        <v>1</v>
      </c>
      <c r="D28" s="38">
        <v>3333</v>
      </c>
      <c r="E28" s="39">
        <v>4231</v>
      </c>
      <c r="F28" s="40">
        <v>30526874249</v>
      </c>
      <c r="G28" s="41" t="s">
        <v>2362</v>
      </c>
      <c r="H28" s="42">
        <v>50677.83</v>
      </c>
      <c r="I28" s="81"/>
      <c r="J28" s="81">
        <v>5321.17</v>
      </c>
      <c r="K28" s="81"/>
      <c r="L28" s="81"/>
      <c r="M28" s="81"/>
      <c r="N28" s="81"/>
      <c r="O28" s="81"/>
      <c r="P28" s="44">
        <v>55999</v>
      </c>
      <c r="Q28" s="45" t="str">
        <f>IFERROR(IF(compras_mes5[[#This Row],[CUIT]]="","-",VLOOKUP(compras_mes5[[#This Row],[CUIT]],Lista_CUIT[#All],3,0)),"CUIT NO CARGADO")</f>
        <v>Equipos de Informatica</v>
      </c>
      <c r="R28" s="45">
        <f>IFERROR(IF(compras_mes5[[#This Row],[CUIT]]="","-",VLOOKUP(compras_mes5[[#This Row],[CUIT]],Lista_CUIT[#All],4,0)),"CUIT NO CARGADO")</f>
        <v>0</v>
      </c>
    </row>
    <row r="29" spans="2:18" ht="15" customHeight="1" x14ac:dyDescent="0.3">
      <c r="B29" s="36">
        <v>44692</v>
      </c>
      <c r="C29" s="37">
        <v>1</v>
      </c>
      <c r="D29" s="38">
        <v>2</v>
      </c>
      <c r="E29" s="39">
        <v>7386</v>
      </c>
      <c r="F29" s="40">
        <v>30714284963</v>
      </c>
      <c r="G29" s="41" t="s">
        <v>2422</v>
      </c>
      <c r="H29" s="42">
        <v>12500</v>
      </c>
      <c r="I29" s="81">
        <v>2625</v>
      </c>
      <c r="J29" s="81"/>
      <c r="K29" s="81"/>
      <c r="L29" s="81"/>
      <c r="M29" s="81"/>
      <c r="N29" s="81"/>
      <c r="O29" s="81"/>
      <c r="P29" s="44">
        <v>15125</v>
      </c>
      <c r="Q29" s="45" t="str">
        <f>IFERROR(IF(compras_mes5[[#This Row],[CUIT]]="","-",VLOOKUP(compras_mes5[[#This Row],[CUIT]],Lista_CUIT[#All],3,0)),"CUIT NO CARGADO")</f>
        <v xml:space="preserve">Gastos Mantenimiento </v>
      </c>
      <c r="R29" s="45">
        <f>IFERROR(IF(compras_mes5[[#This Row],[CUIT]]="","-",VLOOKUP(compras_mes5[[#This Row],[CUIT]],Lista_CUIT[#All],4,0)),"CUIT NO CARGADO")</f>
        <v>0</v>
      </c>
    </row>
    <row r="30" spans="2:18" x14ac:dyDescent="0.3">
      <c r="B30" s="36">
        <v>44683</v>
      </c>
      <c r="C30" s="37">
        <v>1</v>
      </c>
      <c r="D30" s="38">
        <v>5</v>
      </c>
      <c r="E30" s="39">
        <v>7</v>
      </c>
      <c r="F30" s="40">
        <v>23268367969</v>
      </c>
      <c r="G30" s="41" t="s">
        <v>2878</v>
      </c>
      <c r="H30" s="42">
        <v>5429.88</v>
      </c>
      <c r="I30" s="81">
        <v>570.14</v>
      </c>
      <c r="J30" s="81"/>
      <c r="K30" s="81"/>
      <c r="L30" s="81"/>
      <c r="M30" s="81"/>
      <c r="N30" s="81"/>
      <c r="O30" s="81"/>
      <c r="P30" s="44">
        <v>6000.02</v>
      </c>
      <c r="Q30" s="45" t="str">
        <f>IFERROR(IF(compras_mes5[[#This Row],[CUIT]]="","-",VLOOKUP(compras_mes5[[#This Row],[CUIT]],Lista_CUIT[#All],3,0)),"CUIT NO CARGADO")</f>
        <v>Gastos Varios</v>
      </c>
      <c r="R30" s="45">
        <f>IFERROR(IF(compras_mes5[[#This Row],[CUIT]]="","-",VLOOKUP(compras_mes5[[#This Row],[CUIT]],Lista_CUIT[#All],4,0)),"CUIT NO CARGADO")</f>
        <v>0</v>
      </c>
    </row>
    <row r="31" spans="2:18" x14ac:dyDescent="0.3">
      <c r="B31" s="36">
        <v>44686</v>
      </c>
      <c r="C31" s="37">
        <v>1</v>
      </c>
      <c r="D31" s="38">
        <v>5001</v>
      </c>
      <c r="E31" s="39">
        <v>74965</v>
      </c>
      <c r="F31" s="40">
        <v>30696692951</v>
      </c>
      <c r="G31" s="41" t="s">
        <v>2742</v>
      </c>
      <c r="H31" s="42">
        <v>18304.96</v>
      </c>
      <c r="I31" s="81">
        <v>3844.0415999999996</v>
      </c>
      <c r="J31" s="81"/>
      <c r="K31" s="81"/>
      <c r="L31" s="81"/>
      <c r="M31" s="81"/>
      <c r="N31" s="81"/>
      <c r="O31" s="81"/>
      <c r="P31" s="44">
        <v>22149.0016</v>
      </c>
      <c r="Q31" s="45" t="str">
        <f>IFERROR(IF(compras_mes5[[#This Row],[CUIT]]="","-",VLOOKUP(compras_mes5[[#This Row],[CUIT]],Lista_CUIT[#All],3,0)),"CUIT NO CARGADO")</f>
        <v>Gastos varios</v>
      </c>
      <c r="R31" s="45">
        <f>IFERROR(IF(compras_mes5[[#This Row],[CUIT]]="","-",VLOOKUP(compras_mes5[[#This Row],[CUIT]],Lista_CUIT[#All],4,0)),"CUIT NO CARGADO")</f>
        <v>0</v>
      </c>
    </row>
    <row r="32" spans="2:18" x14ac:dyDescent="0.3">
      <c r="B32" s="36">
        <v>44687</v>
      </c>
      <c r="C32" s="37">
        <v>1</v>
      </c>
      <c r="D32" s="38">
        <v>8</v>
      </c>
      <c r="E32" s="39">
        <v>1576</v>
      </c>
      <c r="F32" s="40">
        <v>20357275882</v>
      </c>
      <c r="G32" s="41" t="s">
        <v>2715</v>
      </c>
      <c r="H32" s="42">
        <v>5313.05</v>
      </c>
      <c r="I32" s="81">
        <v>1115.7404999999999</v>
      </c>
      <c r="J32" s="81"/>
      <c r="K32" s="81"/>
      <c r="L32" s="81"/>
      <c r="M32" s="81"/>
      <c r="N32" s="81"/>
      <c r="O32" s="81"/>
      <c r="P32" s="44">
        <v>6428.7905000000001</v>
      </c>
      <c r="Q32" s="45" t="str">
        <f>IFERROR(IF(compras_mes5[[#This Row],[CUIT]]="","-",VLOOKUP(compras_mes5[[#This Row],[CUIT]],Lista_CUIT[#All],3,0)),"CUIT NO CARGADO")</f>
        <v>Gastos Varios</v>
      </c>
      <c r="R32" s="45">
        <f>IFERROR(IF(compras_mes5[[#This Row],[CUIT]]="","-",VLOOKUP(compras_mes5[[#This Row],[CUIT]],Lista_CUIT[#All],4,0)),"CUIT NO CARGADO")</f>
        <v>0</v>
      </c>
    </row>
    <row r="33" spans="2:18" x14ac:dyDescent="0.3">
      <c r="B33" s="36">
        <v>44690</v>
      </c>
      <c r="C33" s="37">
        <v>1</v>
      </c>
      <c r="D33" s="38">
        <v>16</v>
      </c>
      <c r="E33" s="39">
        <v>11388</v>
      </c>
      <c r="F33" s="40">
        <v>30687059812</v>
      </c>
      <c r="G33" s="41" t="s">
        <v>2857</v>
      </c>
      <c r="H33" s="42">
        <v>1227.27</v>
      </c>
      <c r="I33" s="81">
        <v>257.72669999999999</v>
      </c>
      <c r="J33" s="81"/>
      <c r="K33" s="81"/>
      <c r="L33" s="81"/>
      <c r="M33" s="81"/>
      <c r="N33" s="81"/>
      <c r="O33" s="81"/>
      <c r="P33" s="44">
        <v>1484.9966999999999</v>
      </c>
      <c r="Q33" s="45" t="str">
        <f>IFERROR(IF(compras_mes5[[#This Row],[CUIT]]="","-",VLOOKUP(compras_mes5[[#This Row],[CUIT]],Lista_CUIT[#All],3,0)),"CUIT NO CARGADO")</f>
        <v>Gastos Varios</v>
      </c>
      <c r="R33" s="45">
        <f>IFERROR(IF(compras_mes5[[#This Row],[CUIT]]="","-",VLOOKUP(compras_mes5[[#This Row],[CUIT]],Lista_CUIT[#All],4,0)),"CUIT NO CARGADO")</f>
        <v>0</v>
      </c>
    </row>
    <row r="34" spans="2:18" x14ac:dyDescent="0.3">
      <c r="B34" s="36">
        <v>44697</v>
      </c>
      <c r="C34" s="37">
        <v>1</v>
      </c>
      <c r="D34" s="38">
        <v>3</v>
      </c>
      <c r="E34" s="39">
        <v>33066</v>
      </c>
      <c r="F34" s="40">
        <v>30714930490</v>
      </c>
      <c r="G34" s="41" t="s">
        <v>2717</v>
      </c>
      <c r="H34" s="42">
        <v>2958.02</v>
      </c>
      <c r="I34" s="81">
        <v>621.18419999999992</v>
      </c>
      <c r="J34" s="81"/>
      <c r="K34" s="81"/>
      <c r="L34" s="81"/>
      <c r="M34" s="81"/>
      <c r="N34" s="81"/>
      <c r="O34" s="81"/>
      <c r="P34" s="44">
        <v>3579.2042000000001</v>
      </c>
      <c r="Q34" s="45" t="str">
        <f>IFERROR(IF(compras_mes5[[#This Row],[CUIT]]="","-",VLOOKUP(compras_mes5[[#This Row],[CUIT]],Lista_CUIT[#All],3,0)),"CUIT NO CARGADO")</f>
        <v>Gastos Varios</v>
      </c>
      <c r="R34" s="45">
        <f>IFERROR(IF(compras_mes5[[#This Row],[CUIT]]="","-",VLOOKUP(compras_mes5[[#This Row],[CUIT]],Lista_CUIT[#All],4,0)),"CUIT NO CARGADO")</f>
        <v>0</v>
      </c>
    </row>
    <row r="35" spans="2:18" x14ac:dyDescent="0.3">
      <c r="B35" s="36">
        <v>44697</v>
      </c>
      <c r="C35" s="37">
        <v>1</v>
      </c>
      <c r="D35" s="38">
        <v>3</v>
      </c>
      <c r="E35" s="39">
        <v>216775</v>
      </c>
      <c r="F35" s="40">
        <v>30709131865</v>
      </c>
      <c r="G35" s="41" t="s">
        <v>2546</v>
      </c>
      <c r="H35" s="42">
        <v>367.72</v>
      </c>
      <c r="I35" s="81">
        <v>77.221199999999996</v>
      </c>
      <c r="J35" s="81"/>
      <c r="K35" s="81"/>
      <c r="L35" s="81"/>
      <c r="M35" s="81"/>
      <c r="N35" s="81"/>
      <c r="O35" s="81"/>
      <c r="P35" s="44">
        <v>444.94120000000004</v>
      </c>
      <c r="Q35" s="45" t="str">
        <f>IFERROR(IF(compras_mes5[[#This Row],[CUIT]]="","-",VLOOKUP(compras_mes5[[#This Row],[CUIT]],Lista_CUIT[#All],3,0)),"CUIT NO CARGADO")</f>
        <v>Gastos Varios</v>
      </c>
      <c r="R35" s="45">
        <f>IFERROR(IF(compras_mes5[[#This Row],[CUIT]]="","-",VLOOKUP(compras_mes5[[#This Row],[CUIT]],Lista_CUIT[#All],4,0)),"CUIT NO CARGADO")</f>
        <v>0</v>
      </c>
    </row>
    <row r="36" spans="2:18" x14ac:dyDescent="0.3">
      <c r="B36" s="36">
        <v>44700</v>
      </c>
      <c r="C36" s="37">
        <v>1</v>
      </c>
      <c r="D36" s="38">
        <v>6</v>
      </c>
      <c r="E36" s="39">
        <v>29938</v>
      </c>
      <c r="F36" s="40">
        <v>30708624353</v>
      </c>
      <c r="G36" s="41" t="s">
        <v>2783</v>
      </c>
      <c r="H36" s="42">
        <v>611.57000000000005</v>
      </c>
      <c r="I36" s="81">
        <v>128.4297</v>
      </c>
      <c r="J36" s="81"/>
      <c r="K36" s="81"/>
      <c r="L36" s="81"/>
      <c r="M36" s="81"/>
      <c r="N36" s="81"/>
      <c r="O36" s="81"/>
      <c r="P36" s="44">
        <v>739.99970000000008</v>
      </c>
      <c r="Q36" s="45" t="str">
        <f>IFERROR(IF(compras_mes5[[#This Row],[CUIT]]="","-",VLOOKUP(compras_mes5[[#This Row],[CUIT]],Lista_CUIT[#All],3,0)),"CUIT NO CARGADO")</f>
        <v>Gastos Varios</v>
      </c>
      <c r="R36" s="45">
        <f>IFERROR(IF(compras_mes5[[#This Row],[CUIT]]="","-",VLOOKUP(compras_mes5[[#This Row],[CUIT]],Lista_CUIT[#All],4,0)),"CUIT NO CARGADO")</f>
        <v>0</v>
      </c>
    </row>
    <row r="37" spans="2:18" s="52" customFormat="1" x14ac:dyDescent="0.3">
      <c r="B37" s="36">
        <v>44700</v>
      </c>
      <c r="C37" s="37">
        <v>1</v>
      </c>
      <c r="D37" s="38">
        <v>1166</v>
      </c>
      <c r="E37" s="39">
        <v>4898</v>
      </c>
      <c r="F37" s="40">
        <v>30715885596</v>
      </c>
      <c r="G37" s="41" t="s">
        <v>2858</v>
      </c>
      <c r="H37" s="42">
        <v>315.07</v>
      </c>
      <c r="I37" s="81">
        <v>66.164699999999996</v>
      </c>
      <c r="J37" s="81"/>
      <c r="K37" s="81"/>
      <c r="L37" s="81"/>
      <c r="M37" s="81"/>
      <c r="N37" s="81"/>
      <c r="O37" s="81"/>
      <c r="P37" s="44">
        <v>381.23469999999998</v>
      </c>
      <c r="Q37" s="45" t="str">
        <f>IFERROR(IF(compras_mes5[[#This Row],[CUIT]]="","-",VLOOKUP(compras_mes5[[#This Row],[CUIT]],Lista_CUIT[#All],3,0)),"CUIT NO CARGADO")</f>
        <v>Gastos Varios</v>
      </c>
      <c r="R37" s="45">
        <f>IFERROR(IF(compras_mes5[[#This Row],[CUIT]]="","-",VLOOKUP(compras_mes5[[#This Row],[CUIT]],Lista_CUIT[#All],4,0)),"CUIT NO CARGADO")</f>
        <v>0</v>
      </c>
    </row>
    <row r="38" spans="2:18" x14ac:dyDescent="0.3">
      <c r="B38" s="36">
        <v>44701</v>
      </c>
      <c r="C38" s="37">
        <v>1</v>
      </c>
      <c r="D38" s="38">
        <v>6</v>
      </c>
      <c r="E38" s="39">
        <v>29988</v>
      </c>
      <c r="F38" s="40">
        <v>30708624353</v>
      </c>
      <c r="G38" s="41" t="s">
        <v>2783</v>
      </c>
      <c r="H38" s="42">
        <v>564.46</v>
      </c>
      <c r="I38" s="81">
        <v>118.53660000000001</v>
      </c>
      <c r="J38" s="81"/>
      <c r="K38" s="81"/>
      <c r="L38" s="81"/>
      <c r="M38" s="81"/>
      <c r="N38" s="81"/>
      <c r="O38" s="81"/>
      <c r="P38" s="44">
        <v>682.99660000000006</v>
      </c>
      <c r="Q38" s="45" t="str">
        <f>IFERROR(IF(compras_mes5[[#This Row],[CUIT]]="","-",VLOOKUP(compras_mes5[[#This Row],[CUIT]],Lista_CUIT[#All],3,0)),"CUIT NO CARGADO")</f>
        <v>Gastos Varios</v>
      </c>
      <c r="R38" s="45">
        <f>IFERROR(IF(compras_mes5[[#This Row],[CUIT]]="","-",VLOOKUP(compras_mes5[[#This Row],[CUIT]],Lista_CUIT[#All],4,0)),"CUIT NO CARGADO")</f>
        <v>0</v>
      </c>
    </row>
    <row r="39" spans="2:18" x14ac:dyDescent="0.3">
      <c r="B39" s="36">
        <v>44684</v>
      </c>
      <c r="C39" s="37">
        <v>1</v>
      </c>
      <c r="D39" s="38">
        <v>1</v>
      </c>
      <c r="E39" s="39">
        <v>15928</v>
      </c>
      <c r="F39" s="40">
        <v>20173025557</v>
      </c>
      <c r="G39" s="41" t="s">
        <v>2129</v>
      </c>
      <c r="H39" s="42">
        <v>1157.02</v>
      </c>
      <c r="I39" s="81">
        <v>242.9742</v>
      </c>
      <c r="J39" s="81"/>
      <c r="K39" s="81"/>
      <c r="L39" s="81"/>
      <c r="M39" s="81"/>
      <c r="N39" s="81"/>
      <c r="O39" s="81"/>
      <c r="P39" s="44">
        <v>1399.9942000000001</v>
      </c>
      <c r="Q39" s="45" t="str">
        <f>IFERROR(IF(compras_mes5[[#This Row],[CUIT]]="","-",VLOOKUP(compras_mes5[[#This Row],[CUIT]],Lista_CUIT[#All],3,0)),"CUIT NO CARGADO")</f>
        <v>Gastos Varios</v>
      </c>
      <c r="R39" s="45">
        <f>IFERROR(IF(compras_mes5[[#This Row],[CUIT]]="","-",VLOOKUP(compras_mes5[[#This Row],[CUIT]],Lista_CUIT[#All],4,0)),"CUIT NO CARGADO")</f>
        <v>0</v>
      </c>
    </row>
    <row r="40" spans="2:18" x14ac:dyDescent="0.3">
      <c r="B40" s="36">
        <v>44693</v>
      </c>
      <c r="C40" s="37">
        <v>1</v>
      </c>
      <c r="D40" s="38">
        <v>3</v>
      </c>
      <c r="E40" s="39">
        <v>6990</v>
      </c>
      <c r="F40" s="40">
        <v>30679163317</v>
      </c>
      <c r="G40" s="41" t="s">
        <v>2692</v>
      </c>
      <c r="H40" s="42">
        <v>1818.18</v>
      </c>
      <c r="I40" s="81">
        <v>381.81779999999998</v>
      </c>
      <c r="J40" s="81"/>
      <c r="K40" s="81"/>
      <c r="L40" s="81"/>
      <c r="M40" s="81"/>
      <c r="N40" s="81"/>
      <c r="O40" s="81"/>
      <c r="P40" s="44">
        <v>2199.9978000000001</v>
      </c>
      <c r="Q40" s="45" t="str">
        <f>IFERROR(IF(compras_mes5[[#This Row],[CUIT]]="","-",VLOOKUP(compras_mes5[[#This Row],[CUIT]],Lista_CUIT[#All],3,0)),"CUIT NO CARGADO")</f>
        <v>Gastos Varios</v>
      </c>
      <c r="R40" s="45">
        <f>IFERROR(IF(compras_mes5[[#This Row],[CUIT]]="","-",VLOOKUP(compras_mes5[[#This Row],[CUIT]],Lista_CUIT[#All],4,0)),"CUIT NO CARGADO")</f>
        <v>0</v>
      </c>
    </row>
    <row r="41" spans="2:18" x14ac:dyDescent="0.3">
      <c r="B41" s="36">
        <v>44700</v>
      </c>
      <c r="C41" s="37">
        <v>1</v>
      </c>
      <c r="D41" s="38">
        <v>5</v>
      </c>
      <c r="E41" s="39">
        <v>18445</v>
      </c>
      <c r="F41" s="40">
        <v>30616146447</v>
      </c>
      <c r="G41" s="41" t="s">
        <v>2556</v>
      </c>
      <c r="H41" s="42">
        <v>60000</v>
      </c>
      <c r="I41" s="81">
        <v>12600</v>
      </c>
      <c r="J41" s="81"/>
      <c r="K41" s="81"/>
      <c r="L41" s="81"/>
      <c r="M41" s="81"/>
      <c r="N41" s="81"/>
      <c r="O41" s="81"/>
      <c r="P41" s="44">
        <v>72600</v>
      </c>
      <c r="Q41" s="45" t="str">
        <f>IFERROR(IF(compras_mes5[[#This Row],[CUIT]]="","-",VLOOKUP(compras_mes5[[#This Row],[CUIT]],Lista_CUIT[#All],3,0)),"CUIT NO CARGADO")</f>
        <v>Gastos Varios</v>
      </c>
      <c r="R41" s="45">
        <f>IFERROR(IF(compras_mes5[[#This Row],[CUIT]]="","-",VLOOKUP(compras_mes5[[#This Row],[CUIT]],Lista_CUIT[#All],4,0)),"CUIT NO CARGADO")</f>
        <v>0</v>
      </c>
    </row>
    <row r="42" spans="2:18" x14ac:dyDescent="0.3">
      <c r="B42" s="36">
        <v>44705</v>
      </c>
      <c r="C42" s="37">
        <v>1</v>
      </c>
      <c r="D42" s="38">
        <v>8</v>
      </c>
      <c r="E42" s="39">
        <v>631</v>
      </c>
      <c r="F42" s="40">
        <v>20388915413</v>
      </c>
      <c r="G42" s="41" t="s">
        <v>2633</v>
      </c>
      <c r="H42" s="42">
        <v>52000</v>
      </c>
      <c r="I42" s="81">
        <v>10920</v>
      </c>
      <c r="J42" s="81"/>
      <c r="K42" s="81"/>
      <c r="L42" s="81"/>
      <c r="M42" s="81"/>
      <c r="N42" s="81"/>
      <c r="O42" s="81"/>
      <c r="P42" s="44">
        <v>62920</v>
      </c>
      <c r="Q42" s="45" t="str">
        <f>IFERROR(IF(compras_mes5[[#This Row],[CUIT]]="","-",VLOOKUP(compras_mes5[[#This Row],[CUIT]],Lista_CUIT[#All],3,0)),"CUIT NO CARGADO")</f>
        <v>Gastos Varios</v>
      </c>
      <c r="R42" s="45" t="str">
        <f>IFERROR(IF(compras_mes5[[#This Row],[CUIT]]="","-",VLOOKUP(compras_mes5[[#This Row],[CUIT]],Lista_CUIT[#All],4,0)),"CUIT NO CARGADO")</f>
        <v>BUENOS AIRES</v>
      </c>
    </row>
    <row r="43" spans="2:18" x14ac:dyDescent="0.3">
      <c r="B43" s="36">
        <v>44709</v>
      </c>
      <c r="C43" s="37">
        <v>1</v>
      </c>
      <c r="D43" s="38">
        <v>2199</v>
      </c>
      <c r="E43" s="39">
        <v>16203</v>
      </c>
      <c r="F43" s="40">
        <v>30548083156</v>
      </c>
      <c r="G43" s="41" t="s">
        <v>2641</v>
      </c>
      <c r="H43" s="42">
        <v>43506.87</v>
      </c>
      <c r="I43" s="81">
        <v>8440.09</v>
      </c>
      <c r="J43" s="81"/>
      <c r="K43" s="81"/>
      <c r="L43" s="81"/>
      <c r="M43" s="81"/>
      <c r="N43" s="81">
        <v>1369.31</v>
      </c>
      <c r="O43" s="81">
        <v>1110.83</v>
      </c>
      <c r="P43" s="44">
        <v>54427.100000000006</v>
      </c>
      <c r="Q43" s="45" t="str">
        <f>IFERROR(IF(compras_mes5[[#This Row],[CUIT]]="","-",VLOOKUP(compras_mes5[[#This Row],[CUIT]],Lista_CUIT[#All],3,0)),"CUIT NO CARGADO")</f>
        <v>Gastos Varios</v>
      </c>
      <c r="R43" s="45">
        <f>IFERROR(IF(compras_mes5[[#This Row],[CUIT]]="","-",VLOOKUP(compras_mes5[[#This Row],[CUIT]],Lista_CUIT[#All],4,0)),"CUIT NO CARGADO")</f>
        <v>0</v>
      </c>
    </row>
    <row r="44" spans="2:18" x14ac:dyDescent="0.3">
      <c r="B44" s="36">
        <v>44711</v>
      </c>
      <c r="C44" s="37">
        <v>1</v>
      </c>
      <c r="D44" s="38">
        <v>3</v>
      </c>
      <c r="E44" s="39">
        <v>7029</v>
      </c>
      <c r="F44" s="40">
        <v>30679163317</v>
      </c>
      <c r="G44" s="41" t="s">
        <v>2692</v>
      </c>
      <c r="H44" s="42">
        <v>3636.36</v>
      </c>
      <c r="I44" s="81">
        <v>763.63559999999995</v>
      </c>
      <c r="J44" s="81"/>
      <c r="K44" s="81"/>
      <c r="L44" s="81"/>
      <c r="M44" s="81"/>
      <c r="N44" s="81"/>
      <c r="O44" s="81"/>
      <c r="P44" s="44">
        <v>4399.9956000000002</v>
      </c>
      <c r="Q44" s="45" t="str">
        <f>IFERROR(IF(compras_mes5[[#This Row],[CUIT]]="","-",VLOOKUP(compras_mes5[[#This Row],[CUIT]],Lista_CUIT[#All],3,0)),"CUIT NO CARGADO")</f>
        <v>Gastos Varios</v>
      </c>
      <c r="R44" s="45">
        <f>IFERROR(IF(compras_mes5[[#This Row],[CUIT]]="","-",VLOOKUP(compras_mes5[[#This Row],[CUIT]],Lista_CUIT[#All],4,0)),"CUIT NO CARGADO")</f>
        <v>0</v>
      </c>
    </row>
    <row r="45" spans="2:18" x14ac:dyDescent="0.3">
      <c r="B45" s="36">
        <v>44704</v>
      </c>
      <c r="C45" s="37">
        <v>1</v>
      </c>
      <c r="D45" s="38">
        <v>4</v>
      </c>
      <c r="E45" s="39">
        <v>16432</v>
      </c>
      <c r="F45" s="40">
        <v>30552433595</v>
      </c>
      <c r="G45" s="41" t="s">
        <v>2632</v>
      </c>
      <c r="H45" s="42">
        <v>299076.3</v>
      </c>
      <c r="I45" s="81">
        <v>62806.022999999994</v>
      </c>
      <c r="J45" s="81"/>
      <c r="K45" s="81"/>
      <c r="L45" s="81"/>
      <c r="M45" s="81"/>
      <c r="N45" s="81"/>
      <c r="O45" s="81"/>
      <c r="P45" s="44">
        <v>361882.32299999997</v>
      </c>
      <c r="Q45" s="45" t="str">
        <f>IFERROR(IF(compras_mes5[[#This Row],[CUIT]]="","-",VLOOKUP(compras_mes5[[#This Row],[CUIT]],Lista_CUIT[#All],3,0)),"CUIT NO CARGADO")</f>
        <v>Gtos Comercializacion</v>
      </c>
      <c r="R45" s="45">
        <f>IFERROR(IF(compras_mes5[[#This Row],[CUIT]]="","-",VLOOKUP(compras_mes5[[#This Row],[CUIT]],Lista_CUIT[#All],4,0)),"CUIT NO CARGADO")</f>
        <v>0</v>
      </c>
    </row>
    <row r="46" spans="2:18" ht="18" customHeight="1" x14ac:dyDescent="0.3">
      <c r="B46" s="36">
        <v>44707</v>
      </c>
      <c r="C46" s="37">
        <v>1</v>
      </c>
      <c r="D46" s="38">
        <v>4</v>
      </c>
      <c r="E46" s="39">
        <v>16470</v>
      </c>
      <c r="F46" s="40">
        <v>30552433595</v>
      </c>
      <c r="G46" s="41" t="s">
        <v>2632</v>
      </c>
      <c r="H46" s="42">
        <v>55890.9</v>
      </c>
      <c r="I46" s="81">
        <v>11737.089</v>
      </c>
      <c r="J46" s="81"/>
      <c r="K46" s="81"/>
      <c r="L46" s="81"/>
      <c r="M46" s="81"/>
      <c r="N46" s="81"/>
      <c r="O46" s="81"/>
      <c r="P46" s="44">
        <v>67627.989000000001</v>
      </c>
      <c r="Q46" s="45" t="str">
        <f>IFERROR(IF(compras_mes5[[#This Row],[CUIT]]="","-",VLOOKUP(compras_mes5[[#This Row],[CUIT]],Lista_CUIT[#All],3,0)),"CUIT NO CARGADO")</f>
        <v>Gtos Comercializacion</v>
      </c>
      <c r="R46" s="45">
        <f>IFERROR(IF(compras_mes5[[#This Row],[CUIT]]="","-",VLOOKUP(compras_mes5[[#This Row],[CUIT]],Lista_CUIT[#All],4,0)),"CUIT NO CARGADO")</f>
        <v>0</v>
      </c>
    </row>
    <row r="47" spans="2:18" x14ac:dyDescent="0.3">
      <c r="B47" s="36">
        <v>44686</v>
      </c>
      <c r="C47" s="37">
        <v>1</v>
      </c>
      <c r="D47" s="38">
        <v>3</v>
      </c>
      <c r="E47" s="39">
        <v>904</v>
      </c>
      <c r="F47" s="40">
        <v>30715434276</v>
      </c>
      <c r="G47" s="41" t="s">
        <v>2674</v>
      </c>
      <c r="H47" s="42">
        <v>129672</v>
      </c>
      <c r="I47" s="81">
        <v>27231.119999999999</v>
      </c>
      <c r="J47" s="81"/>
      <c r="K47" s="81"/>
      <c r="L47" s="81"/>
      <c r="M47" s="81"/>
      <c r="N47" s="81"/>
      <c r="O47" s="81"/>
      <c r="P47" s="44">
        <v>156903.12</v>
      </c>
      <c r="Q47" s="45" t="str">
        <f>IFERROR(IF(compras_mes5[[#This Row],[CUIT]]="","-",VLOOKUP(compras_mes5[[#This Row],[CUIT]],Lista_CUIT[#All],3,0)),"CUIT NO CARGADO")</f>
        <v>Gtos Comercializacion</v>
      </c>
      <c r="R47" s="45">
        <f>IFERROR(IF(compras_mes5[[#This Row],[CUIT]]="","-",VLOOKUP(compras_mes5[[#This Row],[CUIT]],Lista_CUIT[#All],4,0)),"CUIT NO CARGADO")</f>
        <v>0</v>
      </c>
    </row>
    <row r="48" spans="2:18" x14ac:dyDescent="0.3">
      <c r="B48" s="36">
        <v>44704</v>
      </c>
      <c r="C48" s="37">
        <v>1</v>
      </c>
      <c r="D48" s="38">
        <v>3</v>
      </c>
      <c r="E48" s="39">
        <v>924</v>
      </c>
      <c r="F48" s="40">
        <v>30715434276</v>
      </c>
      <c r="G48" s="41" t="s">
        <v>2674</v>
      </c>
      <c r="H48" s="42">
        <v>117965.5</v>
      </c>
      <c r="I48" s="81">
        <v>24772.754999999997</v>
      </c>
      <c r="J48" s="81"/>
      <c r="K48" s="81"/>
      <c r="L48" s="81"/>
      <c r="M48" s="81"/>
      <c r="N48" s="81"/>
      <c r="O48" s="81"/>
      <c r="P48" s="44">
        <v>142738.255</v>
      </c>
      <c r="Q48" s="45" t="str">
        <f>IFERROR(IF(compras_mes5[[#This Row],[CUIT]]="","-",VLOOKUP(compras_mes5[[#This Row],[CUIT]],Lista_CUIT[#All],3,0)),"CUIT NO CARGADO")</f>
        <v>Gtos Comercializacion</v>
      </c>
      <c r="R48" s="45">
        <f>IFERROR(IF(compras_mes5[[#This Row],[CUIT]]="","-",VLOOKUP(compras_mes5[[#This Row],[CUIT]],Lista_CUIT[#All],4,0)),"CUIT NO CARGADO")</f>
        <v>0</v>
      </c>
    </row>
    <row r="49" spans="2:18" x14ac:dyDescent="0.3">
      <c r="B49" s="36">
        <v>44710</v>
      </c>
      <c r="C49" s="37">
        <v>1</v>
      </c>
      <c r="D49" s="38">
        <v>27</v>
      </c>
      <c r="E49" s="39">
        <v>368166</v>
      </c>
      <c r="F49" s="40">
        <v>30703088534</v>
      </c>
      <c r="G49" s="41" t="s">
        <v>1462</v>
      </c>
      <c r="H49" s="42">
        <v>117981.34</v>
      </c>
      <c r="I49" s="81">
        <v>24776.081399999999</v>
      </c>
      <c r="J49" s="81"/>
      <c r="K49" s="81"/>
      <c r="L49" s="81"/>
      <c r="M49" s="81"/>
      <c r="N49" s="81">
        <v>7078.92</v>
      </c>
      <c r="O49" s="81">
        <v>3539.46</v>
      </c>
      <c r="P49" s="44">
        <v>153375.8014</v>
      </c>
      <c r="Q49" s="45" t="str">
        <f>IFERROR(IF(compras_mes5[[#This Row],[CUIT]]="","-",VLOOKUP(compras_mes5[[#This Row],[CUIT]],Lista_CUIT[#All],3,0)),"CUIT NO CARGADO")</f>
        <v>Gtos Comercializacion</v>
      </c>
      <c r="R49" s="45">
        <f>IFERROR(IF(compras_mes5[[#This Row],[CUIT]]="","-",VLOOKUP(compras_mes5[[#This Row],[CUIT]],Lista_CUIT[#All],4,0)),"CUIT NO CARGADO")</f>
        <v>0</v>
      </c>
    </row>
    <row r="50" spans="2:18" x14ac:dyDescent="0.3">
      <c r="B50" s="36">
        <v>44710</v>
      </c>
      <c r="C50" s="37">
        <v>3</v>
      </c>
      <c r="D50" s="38">
        <v>2</v>
      </c>
      <c r="E50" s="39">
        <v>23277</v>
      </c>
      <c r="F50" s="40">
        <v>30703088534</v>
      </c>
      <c r="G50" s="41" t="s">
        <v>1462</v>
      </c>
      <c r="H50" s="42">
        <v>-179.5</v>
      </c>
      <c r="I50" s="81">
        <v>-37.695</v>
      </c>
      <c r="J50" s="81"/>
      <c r="K50" s="81"/>
      <c r="L50" s="81"/>
      <c r="M50" s="81"/>
      <c r="N50" s="81"/>
      <c r="O50" s="81">
        <v>-5.38</v>
      </c>
      <c r="P50" s="44">
        <v>-222.57499999999999</v>
      </c>
      <c r="Q50" s="45" t="str">
        <f>IFERROR(IF(compras_mes5[[#This Row],[CUIT]]="","-",VLOOKUP(compras_mes5[[#This Row],[CUIT]],Lista_CUIT[#All],3,0)),"CUIT NO CARGADO")</f>
        <v>Gtos Comercializacion</v>
      </c>
      <c r="R50" s="45">
        <f>IFERROR(IF(compras_mes5[[#This Row],[CUIT]]="","-",VLOOKUP(compras_mes5[[#This Row],[CUIT]],Lista_CUIT[#All],4,0)),"CUIT NO CARGADO")</f>
        <v>0</v>
      </c>
    </row>
    <row r="51" spans="2:18" x14ac:dyDescent="0.3">
      <c r="B51" s="36">
        <v>44710</v>
      </c>
      <c r="C51" s="37">
        <v>3</v>
      </c>
      <c r="D51" s="38">
        <v>27</v>
      </c>
      <c r="E51" s="39">
        <v>23289</v>
      </c>
      <c r="F51" s="40">
        <v>30703088534</v>
      </c>
      <c r="G51" s="41" t="s">
        <v>1462</v>
      </c>
      <c r="H51" s="42">
        <v>-206.43</v>
      </c>
      <c r="I51" s="81">
        <v>-43.350299999999997</v>
      </c>
      <c r="J51" s="81"/>
      <c r="K51" s="81"/>
      <c r="L51" s="81"/>
      <c r="M51" s="81"/>
      <c r="N51" s="81"/>
      <c r="O51" s="81">
        <v>-6.19</v>
      </c>
      <c r="P51" s="44">
        <v>-255.97030000000001</v>
      </c>
      <c r="Q51" s="45" t="str">
        <f>IFERROR(IF(compras_mes5[[#This Row],[CUIT]]="","-",VLOOKUP(compras_mes5[[#This Row],[CUIT]],Lista_CUIT[#All],3,0)),"CUIT NO CARGADO")</f>
        <v>Gtos Comercializacion</v>
      </c>
      <c r="R51" s="45">
        <f>IFERROR(IF(compras_mes5[[#This Row],[CUIT]]="","-",VLOOKUP(compras_mes5[[#This Row],[CUIT]],Lista_CUIT[#All],4,0)),"CUIT NO CARGADO")</f>
        <v>0</v>
      </c>
    </row>
    <row r="52" spans="2:18" x14ac:dyDescent="0.3">
      <c r="B52" s="36">
        <v>44712</v>
      </c>
      <c r="C52" s="37">
        <v>1</v>
      </c>
      <c r="D52" s="38">
        <v>1</v>
      </c>
      <c r="E52" s="39">
        <v>2212</v>
      </c>
      <c r="F52" s="40">
        <v>20103906149</v>
      </c>
      <c r="G52" s="41" t="s">
        <v>2444</v>
      </c>
      <c r="H52" s="42">
        <v>45000</v>
      </c>
      <c r="I52" s="81">
        <v>9450</v>
      </c>
      <c r="J52" s="81"/>
      <c r="K52" s="81"/>
      <c r="L52" s="81"/>
      <c r="M52" s="81"/>
      <c r="N52" s="81">
        <v>0</v>
      </c>
      <c r="O52" s="81"/>
      <c r="P52" s="44">
        <v>54450</v>
      </c>
      <c r="Q52" s="45" t="str">
        <f>IFERROR(IF(compras_mes5[[#This Row],[CUIT]]="","-",VLOOKUP(compras_mes5[[#This Row],[CUIT]],Lista_CUIT[#All],3,0)),"CUIT NO CARGADO")</f>
        <v>Honorarios Contables</v>
      </c>
      <c r="R52" s="45">
        <f>IFERROR(IF(compras_mes5[[#This Row],[CUIT]]="","-",VLOOKUP(compras_mes5[[#This Row],[CUIT]],Lista_CUIT[#All],4,0)),"CUIT NO CARGADO")</f>
        <v>0</v>
      </c>
    </row>
    <row r="53" spans="2:18" x14ac:dyDescent="0.3">
      <c r="B53" s="36">
        <v>44693</v>
      </c>
      <c r="C53" s="37">
        <v>1</v>
      </c>
      <c r="D53" s="38">
        <v>3</v>
      </c>
      <c r="E53" s="39">
        <v>206</v>
      </c>
      <c r="F53" s="40">
        <v>20145337918</v>
      </c>
      <c r="G53" s="41" t="s">
        <v>2760</v>
      </c>
      <c r="H53" s="42">
        <v>14900</v>
      </c>
      <c r="I53" s="81">
        <v>3129</v>
      </c>
      <c r="J53" s="81"/>
      <c r="K53" s="81"/>
      <c r="L53" s="81"/>
      <c r="M53" s="81"/>
      <c r="N53" s="81">
        <v>630</v>
      </c>
      <c r="O53" s="81"/>
      <c r="P53" s="44">
        <v>18659</v>
      </c>
      <c r="Q53" s="45" t="str">
        <f>IFERROR(IF(compras_mes5[[#This Row],[CUIT]]="","-",VLOOKUP(compras_mes5[[#This Row],[CUIT]],Lista_CUIT[#All],3,0)),"CUIT NO CARGADO")</f>
        <v>Honorarios Juridicos</v>
      </c>
      <c r="R53" s="45">
        <f>IFERROR(IF(compras_mes5[[#This Row],[CUIT]]="","-",VLOOKUP(compras_mes5[[#This Row],[CUIT]],Lista_CUIT[#All],4,0)),"CUIT NO CARGADO")</f>
        <v>0</v>
      </c>
    </row>
    <row r="54" spans="2:18" x14ac:dyDescent="0.3">
      <c r="B54" s="36">
        <v>44693</v>
      </c>
      <c r="C54" s="37">
        <v>1</v>
      </c>
      <c r="D54" s="38">
        <v>3</v>
      </c>
      <c r="E54" s="39">
        <v>207</v>
      </c>
      <c r="F54" s="40">
        <v>20145337918</v>
      </c>
      <c r="G54" s="41" t="s">
        <v>2760</v>
      </c>
      <c r="H54" s="42">
        <v>24000</v>
      </c>
      <c r="I54" s="81">
        <v>5040</v>
      </c>
      <c r="J54" s="81"/>
      <c r="K54" s="81"/>
      <c r="L54" s="81"/>
      <c r="M54" s="81"/>
      <c r="N54" s="81">
        <v>2214</v>
      </c>
      <c r="O54" s="81"/>
      <c r="P54" s="44">
        <v>31254</v>
      </c>
      <c r="Q54" s="45" t="str">
        <f>IFERROR(IF(compras_mes5[[#This Row],[CUIT]]="","-",VLOOKUP(compras_mes5[[#This Row],[CUIT]],Lista_CUIT[#All],3,0)),"CUIT NO CARGADO")</f>
        <v>Honorarios Juridicos</v>
      </c>
      <c r="R54" s="45">
        <f>IFERROR(IF(compras_mes5[[#This Row],[CUIT]]="","-",VLOOKUP(compras_mes5[[#This Row],[CUIT]],Lista_CUIT[#All],4,0)),"CUIT NO CARGADO")</f>
        <v>0</v>
      </c>
    </row>
    <row r="55" spans="2:18" x14ac:dyDescent="0.3">
      <c r="B55" s="36">
        <v>44707</v>
      </c>
      <c r="C55" s="37">
        <v>1</v>
      </c>
      <c r="D55" s="38">
        <v>10</v>
      </c>
      <c r="E55" s="39">
        <v>1334</v>
      </c>
      <c r="F55" s="40">
        <v>23127284369</v>
      </c>
      <c r="G55" s="41" t="s">
        <v>2630</v>
      </c>
      <c r="H55" s="42">
        <v>12719.06</v>
      </c>
      <c r="I55" s="81">
        <v>2671.0025999999998</v>
      </c>
      <c r="J55" s="81"/>
      <c r="K55" s="81"/>
      <c r="L55" s="81"/>
      <c r="M55" s="81"/>
      <c r="N55" s="81"/>
      <c r="O55" s="81"/>
      <c r="P55" s="44">
        <v>15390.062599999999</v>
      </c>
      <c r="Q55" s="45" t="str">
        <f>IFERROR(IF(compras_mes5[[#This Row],[CUIT]]="","-",VLOOKUP(compras_mes5[[#This Row],[CUIT]],Lista_CUIT[#All],3,0)),"CUIT NO CARGADO")</f>
        <v>Librería</v>
      </c>
      <c r="R55" s="45">
        <f>IFERROR(IF(compras_mes5[[#This Row],[CUIT]]="","-",VLOOKUP(compras_mes5[[#This Row],[CUIT]],Lista_CUIT[#All],4,0)),"CUIT NO CARGADO")</f>
        <v>0</v>
      </c>
    </row>
    <row r="56" spans="2:18" x14ac:dyDescent="0.3">
      <c r="B56" s="36">
        <v>44711</v>
      </c>
      <c r="C56" s="37">
        <v>1</v>
      </c>
      <c r="D56" s="38">
        <v>3</v>
      </c>
      <c r="E56" s="39">
        <v>171704</v>
      </c>
      <c r="F56" s="40">
        <v>30693293754</v>
      </c>
      <c r="G56" s="41" t="s">
        <v>2753</v>
      </c>
      <c r="H56" s="42">
        <v>40693.5</v>
      </c>
      <c r="I56" s="81">
        <v>8545.6350000000002</v>
      </c>
      <c r="J56" s="81"/>
      <c r="K56" s="81"/>
      <c r="L56" s="81"/>
      <c r="M56" s="81"/>
      <c r="N56" s="81"/>
      <c r="O56" s="81"/>
      <c r="P56" s="44">
        <v>49239.135000000002</v>
      </c>
      <c r="Q56" s="45" t="str">
        <f>IFERROR(IF(compras_mes5[[#This Row],[CUIT]]="","-",VLOOKUP(compras_mes5[[#This Row],[CUIT]],Lista_CUIT[#All],3,0)),"CUIT NO CARGADO")</f>
        <v>Librería</v>
      </c>
      <c r="R56" s="45">
        <f>IFERROR(IF(compras_mes5[[#This Row],[CUIT]]="","-",VLOOKUP(compras_mes5[[#This Row],[CUIT]],Lista_CUIT[#All],4,0)),"CUIT NO CARGADO")</f>
        <v>0</v>
      </c>
    </row>
    <row r="57" spans="2:18" x14ac:dyDescent="0.3">
      <c r="B57" s="36">
        <v>44711</v>
      </c>
      <c r="C57" s="37">
        <v>1</v>
      </c>
      <c r="D57" s="38">
        <v>3</v>
      </c>
      <c r="E57" s="39">
        <v>171705</v>
      </c>
      <c r="F57" s="40">
        <v>30693293754</v>
      </c>
      <c r="G57" s="41" t="s">
        <v>2753</v>
      </c>
      <c r="H57" s="42">
        <v>12246.68</v>
      </c>
      <c r="I57" s="81">
        <v>2571.8027999999999</v>
      </c>
      <c r="J57" s="81"/>
      <c r="K57" s="81"/>
      <c r="L57" s="81"/>
      <c r="M57" s="81"/>
      <c r="N57" s="81"/>
      <c r="O57" s="81"/>
      <c r="P57" s="44">
        <v>14818.4828</v>
      </c>
      <c r="Q57" s="45" t="str">
        <f>IFERROR(IF(compras_mes5[[#This Row],[CUIT]]="","-",VLOOKUP(compras_mes5[[#This Row],[CUIT]],Lista_CUIT[#All],3,0)),"CUIT NO CARGADO")</f>
        <v>Librería</v>
      </c>
      <c r="R57" s="45">
        <f>IFERROR(IF(compras_mes5[[#This Row],[CUIT]]="","-",VLOOKUP(compras_mes5[[#This Row],[CUIT]],Lista_CUIT[#All],4,0)),"CUIT NO CARGADO")</f>
        <v>0</v>
      </c>
    </row>
    <row r="58" spans="2:18" ht="17.25" customHeight="1" x14ac:dyDescent="0.3">
      <c r="B58" s="36">
        <v>44692</v>
      </c>
      <c r="C58" s="37">
        <v>1</v>
      </c>
      <c r="D58" s="38">
        <v>4</v>
      </c>
      <c r="E58" s="39">
        <v>2373</v>
      </c>
      <c r="F58" s="40">
        <v>30708669306</v>
      </c>
      <c r="G58" s="41" t="s">
        <v>2548</v>
      </c>
      <c r="H58" s="42">
        <v>225000</v>
      </c>
      <c r="I58" s="81">
        <v>47250</v>
      </c>
      <c r="J58" s="81"/>
      <c r="K58" s="81"/>
      <c r="L58" s="81"/>
      <c r="M58" s="81"/>
      <c r="N58" s="81"/>
      <c r="O58" s="81"/>
      <c r="P58" s="44">
        <v>272250</v>
      </c>
      <c r="Q58" s="45" t="str">
        <f>IFERROR(IF(compras_mes5[[#This Row],[CUIT]]="","-",VLOOKUP(compras_mes5[[#This Row],[CUIT]],Lista_CUIT[#All],3,0)),"CUIT NO CARGADO")</f>
        <v>Mercaderia</v>
      </c>
      <c r="R58" s="45">
        <f>IFERROR(IF(compras_mes5[[#This Row],[CUIT]]="","-",VLOOKUP(compras_mes5[[#This Row],[CUIT]],Lista_CUIT[#All],4,0)),"CUIT NO CARGADO")</f>
        <v>0</v>
      </c>
    </row>
    <row r="59" spans="2:18" x14ac:dyDescent="0.3">
      <c r="B59" s="36">
        <v>44683</v>
      </c>
      <c r="C59" s="37">
        <v>1</v>
      </c>
      <c r="D59" s="38">
        <v>2</v>
      </c>
      <c r="E59" s="39">
        <v>3051</v>
      </c>
      <c r="F59" s="40">
        <v>30629863571</v>
      </c>
      <c r="G59" s="41" t="s">
        <v>2357</v>
      </c>
      <c r="H59" s="42">
        <v>203868.79</v>
      </c>
      <c r="I59" s="81">
        <v>42812.445899999999</v>
      </c>
      <c r="J59" s="81"/>
      <c r="K59" s="81"/>
      <c r="L59" s="81"/>
      <c r="M59" s="81"/>
      <c r="N59" s="81"/>
      <c r="O59" s="81"/>
      <c r="P59" s="44">
        <v>246681.2359</v>
      </c>
      <c r="Q59" s="45" t="str">
        <f>IFERROR(IF(compras_mes5[[#This Row],[CUIT]]="","-",VLOOKUP(compras_mes5[[#This Row],[CUIT]],Lista_CUIT[#All],3,0)),"CUIT NO CARGADO")</f>
        <v>Mercaderia</v>
      </c>
      <c r="R59" s="45">
        <f>IFERROR(IF(compras_mes5[[#This Row],[CUIT]]="","-",VLOOKUP(compras_mes5[[#This Row],[CUIT]],Lista_CUIT[#All],4,0)),"CUIT NO CARGADO")</f>
        <v>0</v>
      </c>
    </row>
    <row r="60" spans="2:18" x14ac:dyDescent="0.3">
      <c r="B60" s="36">
        <v>44683</v>
      </c>
      <c r="C60" s="37">
        <v>1</v>
      </c>
      <c r="D60" s="38">
        <v>6</v>
      </c>
      <c r="E60" s="39">
        <v>2019</v>
      </c>
      <c r="F60" s="40">
        <v>30574603788</v>
      </c>
      <c r="G60" s="41" t="s">
        <v>2157</v>
      </c>
      <c r="H60" s="42">
        <v>26999</v>
      </c>
      <c r="I60" s="81">
        <v>5669.79</v>
      </c>
      <c r="J60" s="81"/>
      <c r="K60" s="81"/>
      <c r="L60" s="81"/>
      <c r="M60" s="81"/>
      <c r="N60" s="81"/>
      <c r="O60" s="81"/>
      <c r="P60" s="44">
        <v>32668.79</v>
      </c>
      <c r="Q60" s="45" t="str">
        <f>IFERROR(IF(compras_mes5[[#This Row],[CUIT]]="","-",VLOOKUP(compras_mes5[[#This Row],[CUIT]],Lista_CUIT[#All],3,0)),"CUIT NO CARGADO")</f>
        <v>Mercaderia</v>
      </c>
      <c r="R60" s="45">
        <f>IFERROR(IF(compras_mes5[[#This Row],[CUIT]]="","-",VLOOKUP(compras_mes5[[#This Row],[CUIT]],Lista_CUIT[#All],4,0)),"CUIT NO CARGADO")</f>
        <v>0</v>
      </c>
    </row>
    <row r="61" spans="2:18" x14ac:dyDescent="0.3">
      <c r="B61" s="36">
        <v>44684</v>
      </c>
      <c r="C61" s="37">
        <v>1</v>
      </c>
      <c r="D61" s="38">
        <v>2</v>
      </c>
      <c r="E61" s="39">
        <v>1799</v>
      </c>
      <c r="F61" s="40">
        <v>30715811622</v>
      </c>
      <c r="G61" s="41" t="s">
        <v>2688</v>
      </c>
      <c r="H61" s="42">
        <v>74876.039999999994</v>
      </c>
      <c r="I61" s="81">
        <v>15723.968399999998</v>
      </c>
      <c r="J61" s="81"/>
      <c r="K61" s="81"/>
      <c r="L61" s="81"/>
      <c r="M61" s="81"/>
      <c r="N61" s="81"/>
      <c r="O61" s="81"/>
      <c r="P61" s="44">
        <v>90600.008399999992</v>
      </c>
      <c r="Q61" s="45" t="str">
        <f>IFERROR(IF(compras_mes5[[#This Row],[CUIT]]="","-",VLOOKUP(compras_mes5[[#This Row],[CUIT]],Lista_CUIT[#All],3,0)),"CUIT NO CARGADO")</f>
        <v>Mercaderia</v>
      </c>
      <c r="R61" s="45">
        <f>IFERROR(IF(compras_mes5[[#This Row],[CUIT]]="","-",VLOOKUP(compras_mes5[[#This Row],[CUIT]],Lista_CUIT[#All],4,0)),"CUIT NO CARGADO")</f>
        <v>0</v>
      </c>
    </row>
    <row r="62" spans="2:18" x14ac:dyDescent="0.3">
      <c r="B62" s="36">
        <v>44684</v>
      </c>
      <c r="C62" s="37">
        <v>1</v>
      </c>
      <c r="D62" s="38">
        <v>3</v>
      </c>
      <c r="E62" s="39">
        <v>20345</v>
      </c>
      <c r="F62" s="40">
        <v>30712121781</v>
      </c>
      <c r="G62" s="41" t="s">
        <v>2657</v>
      </c>
      <c r="H62" s="42">
        <v>79378</v>
      </c>
      <c r="I62" s="81">
        <v>16669.38</v>
      </c>
      <c r="J62" s="81"/>
      <c r="K62" s="81"/>
      <c r="L62" s="81"/>
      <c r="M62" s="81"/>
      <c r="N62" s="81"/>
      <c r="O62" s="81"/>
      <c r="P62" s="44">
        <v>96047.38</v>
      </c>
      <c r="Q62" s="45" t="str">
        <f>IFERROR(IF(compras_mes5[[#This Row],[CUIT]]="","-",VLOOKUP(compras_mes5[[#This Row],[CUIT]],Lista_CUIT[#All],3,0)),"CUIT NO CARGADO")</f>
        <v>Mercaderia</v>
      </c>
      <c r="R62" s="45">
        <f>IFERROR(IF(compras_mes5[[#This Row],[CUIT]]="","-",VLOOKUP(compras_mes5[[#This Row],[CUIT]],Lista_CUIT[#All],4,0)),"CUIT NO CARGADO")</f>
        <v>0</v>
      </c>
    </row>
    <row r="63" spans="2:18" x14ac:dyDescent="0.3">
      <c r="B63" s="36">
        <v>44686</v>
      </c>
      <c r="C63" s="37">
        <v>1</v>
      </c>
      <c r="D63" s="38">
        <v>2</v>
      </c>
      <c r="E63" s="39">
        <v>3053</v>
      </c>
      <c r="F63" s="40">
        <v>30629863571</v>
      </c>
      <c r="G63" s="41" t="s">
        <v>2357</v>
      </c>
      <c r="H63" s="42">
        <v>218334.75</v>
      </c>
      <c r="I63" s="81">
        <v>45850.297500000001</v>
      </c>
      <c r="J63" s="81"/>
      <c r="K63" s="81"/>
      <c r="L63" s="81"/>
      <c r="M63" s="81"/>
      <c r="N63" s="81"/>
      <c r="O63" s="81"/>
      <c r="P63" s="44">
        <v>264185.04749999999</v>
      </c>
      <c r="Q63" s="45" t="str">
        <f>IFERROR(IF(compras_mes5[[#This Row],[CUIT]]="","-",VLOOKUP(compras_mes5[[#This Row],[CUIT]],Lista_CUIT[#All],3,0)),"CUIT NO CARGADO")</f>
        <v>Mercaderia</v>
      </c>
      <c r="R63" s="45">
        <f>IFERROR(IF(compras_mes5[[#This Row],[CUIT]]="","-",VLOOKUP(compras_mes5[[#This Row],[CUIT]],Lista_CUIT[#All],4,0)),"CUIT NO CARGADO")</f>
        <v>0</v>
      </c>
    </row>
    <row r="64" spans="2:18" x14ac:dyDescent="0.3">
      <c r="B64" s="36">
        <v>44686</v>
      </c>
      <c r="C64" s="37">
        <v>1</v>
      </c>
      <c r="D64" s="38">
        <v>6</v>
      </c>
      <c r="E64" s="39">
        <v>266</v>
      </c>
      <c r="F64" s="40">
        <v>20219190469</v>
      </c>
      <c r="G64" s="41" t="s">
        <v>2396</v>
      </c>
      <c r="H64" s="42">
        <v>45991.8</v>
      </c>
      <c r="I64" s="81">
        <v>9658.2780000000002</v>
      </c>
      <c r="J64" s="81"/>
      <c r="K64" s="81"/>
      <c r="L64" s="81"/>
      <c r="M64" s="81"/>
      <c r="N64" s="81"/>
      <c r="O64" s="81"/>
      <c r="P64" s="44">
        <v>55650.078000000001</v>
      </c>
      <c r="Q64" s="45" t="str">
        <f>IFERROR(IF(compras_mes5[[#This Row],[CUIT]]="","-",VLOOKUP(compras_mes5[[#This Row],[CUIT]],Lista_CUIT[#All],3,0)),"CUIT NO CARGADO")</f>
        <v>Mercaderia</v>
      </c>
      <c r="R64" s="45">
        <f>IFERROR(IF(compras_mes5[[#This Row],[CUIT]]="","-",VLOOKUP(compras_mes5[[#This Row],[CUIT]],Lista_CUIT[#All],4,0)),"CUIT NO CARGADO")</f>
        <v>0</v>
      </c>
    </row>
    <row r="65" spans="2:18" x14ac:dyDescent="0.3">
      <c r="B65" s="36">
        <v>44687</v>
      </c>
      <c r="C65" s="37">
        <v>1</v>
      </c>
      <c r="D65" s="38">
        <v>5</v>
      </c>
      <c r="E65" s="39">
        <v>41079</v>
      </c>
      <c r="F65" s="40">
        <v>30709932876</v>
      </c>
      <c r="G65" s="41" t="s">
        <v>2169</v>
      </c>
      <c r="H65" s="42">
        <v>64530</v>
      </c>
      <c r="I65" s="81">
        <v>13551.3</v>
      </c>
      <c r="J65" s="81"/>
      <c r="K65" s="81"/>
      <c r="L65" s="81"/>
      <c r="M65" s="81"/>
      <c r="N65" s="81">
        <v>3871.8</v>
      </c>
      <c r="O65" s="81"/>
      <c r="P65" s="44">
        <v>81953.100000000006</v>
      </c>
      <c r="Q65" s="45" t="str">
        <f>IFERROR(IF(compras_mes5[[#This Row],[CUIT]]="","-",VLOOKUP(compras_mes5[[#This Row],[CUIT]],Lista_CUIT[#All],3,0)),"CUIT NO CARGADO")</f>
        <v>Mercaderia</v>
      </c>
      <c r="R65" s="45">
        <f>IFERROR(IF(compras_mes5[[#This Row],[CUIT]]="","-",VLOOKUP(compras_mes5[[#This Row],[CUIT]],Lista_CUIT[#All],4,0)),"CUIT NO CARGADO")</f>
        <v>0</v>
      </c>
    </row>
    <row r="66" spans="2:18" x14ac:dyDescent="0.3">
      <c r="B66" s="36">
        <v>44691</v>
      </c>
      <c r="C66" s="37">
        <v>1</v>
      </c>
      <c r="D66" s="38">
        <v>3</v>
      </c>
      <c r="E66" s="39">
        <v>17874</v>
      </c>
      <c r="F66" s="40">
        <v>30707463143</v>
      </c>
      <c r="G66" s="41" t="s">
        <v>2364</v>
      </c>
      <c r="H66" s="42">
        <v>86157.5</v>
      </c>
      <c r="I66" s="81">
        <v>18093.075000000001</v>
      </c>
      <c r="J66" s="81"/>
      <c r="K66" s="81"/>
      <c r="L66" s="81"/>
      <c r="M66" s="81"/>
      <c r="N66" s="81"/>
      <c r="O66" s="81"/>
      <c r="P66" s="44">
        <v>104250.575</v>
      </c>
      <c r="Q66" s="45" t="str">
        <f>IFERROR(IF(compras_mes5[[#This Row],[CUIT]]="","-",VLOOKUP(compras_mes5[[#This Row],[CUIT]],Lista_CUIT[#All],3,0)),"CUIT NO CARGADO")</f>
        <v>Mercaderia</v>
      </c>
      <c r="R66" s="45">
        <f>IFERROR(IF(compras_mes5[[#This Row],[CUIT]]="","-",VLOOKUP(compras_mes5[[#This Row],[CUIT]],Lista_CUIT[#All],4,0)),"CUIT NO CARGADO")</f>
        <v>0</v>
      </c>
    </row>
    <row r="67" spans="2:18" x14ac:dyDescent="0.3">
      <c r="B67" s="36">
        <v>44692</v>
      </c>
      <c r="C67" s="37">
        <v>1</v>
      </c>
      <c r="D67" s="38">
        <v>3</v>
      </c>
      <c r="E67" s="39">
        <v>6029</v>
      </c>
      <c r="F67" s="40">
        <v>30708006420</v>
      </c>
      <c r="G67" s="41" t="s">
        <v>2615</v>
      </c>
      <c r="H67" s="42">
        <v>110000</v>
      </c>
      <c r="I67" s="81">
        <v>23100</v>
      </c>
      <c r="J67" s="81"/>
      <c r="K67" s="81"/>
      <c r="L67" s="81"/>
      <c r="M67" s="81"/>
      <c r="N67" s="81"/>
      <c r="O67" s="81"/>
      <c r="P67" s="44">
        <v>133100</v>
      </c>
      <c r="Q67" s="45" t="str">
        <f>IFERROR(IF(compras_mes5[[#This Row],[CUIT]]="","-",VLOOKUP(compras_mes5[[#This Row],[CUIT]],Lista_CUIT[#All],3,0)),"CUIT NO CARGADO")</f>
        <v>Mercaderia</v>
      </c>
      <c r="R67" s="45">
        <f>IFERROR(IF(compras_mes5[[#This Row],[CUIT]]="","-",VLOOKUP(compras_mes5[[#This Row],[CUIT]],Lista_CUIT[#All],4,0)),"CUIT NO CARGADO")</f>
        <v>0</v>
      </c>
    </row>
    <row r="68" spans="2:18" x14ac:dyDescent="0.3">
      <c r="B68" s="36">
        <v>44692</v>
      </c>
      <c r="C68" s="37">
        <v>1</v>
      </c>
      <c r="D68" s="38">
        <v>5</v>
      </c>
      <c r="E68" s="39">
        <v>19197</v>
      </c>
      <c r="F68" s="40">
        <v>30708041722</v>
      </c>
      <c r="G68" s="41" t="s">
        <v>2428</v>
      </c>
      <c r="H68" s="42">
        <v>154912.5</v>
      </c>
      <c r="I68" s="81">
        <v>32531.625</v>
      </c>
      <c r="J68" s="81"/>
      <c r="K68" s="81"/>
      <c r="L68" s="81"/>
      <c r="M68" s="81"/>
      <c r="N68" s="81"/>
      <c r="O68" s="81"/>
      <c r="P68" s="44">
        <v>187444.125</v>
      </c>
      <c r="Q68" s="45" t="str">
        <f>IFERROR(IF(compras_mes5[[#This Row],[CUIT]]="","-",VLOOKUP(compras_mes5[[#This Row],[CUIT]],Lista_CUIT[#All],3,0)),"CUIT NO CARGADO")</f>
        <v>Mercaderia</v>
      </c>
      <c r="R68" s="45">
        <f>IFERROR(IF(compras_mes5[[#This Row],[CUIT]]="","-",VLOOKUP(compras_mes5[[#This Row],[CUIT]],Lista_CUIT[#All],4,0)),"CUIT NO CARGADO")</f>
        <v>0</v>
      </c>
    </row>
    <row r="69" spans="2:18" x14ac:dyDescent="0.3">
      <c r="B69" s="36">
        <v>44698</v>
      </c>
      <c r="C69" s="37">
        <v>1</v>
      </c>
      <c r="D69" s="38">
        <v>2</v>
      </c>
      <c r="E69" s="39">
        <v>1820</v>
      </c>
      <c r="F69" s="40">
        <v>30715811622</v>
      </c>
      <c r="G69" s="41" t="s">
        <v>2688</v>
      </c>
      <c r="H69" s="42">
        <v>26942.14</v>
      </c>
      <c r="I69" s="81">
        <v>5657.8494000000001</v>
      </c>
      <c r="J69" s="81"/>
      <c r="K69" s="81"/>
      <c r="L69" s="81"/>
      <c r="M69" s="81"/>
      <c r="N69" s="81"/>
      <c r="O69" s="81"/>
      <c r="P69" s="44">
        <v>32599.989399999999</v>
      </c>
      <c r="Q69" s="45" t="str">
        <f>IFERROR(IF(compras_mes5[[#This Row],[CUIT]]="","-",VLOOKUP(compras_mes5[[#This Row],[CUIT]],Lista_CUIT[#All],3,0)),"CUIT NO CARGADO")</f>
        <v>Mercaderia</v>
      </c>
      <c r="R69" s="45">
        <f>IFERROR(IF(compras_mes5[[#This Row],[CUIT]]="","-",VLOOKUP(compras_mes5[[#This Row],[CUIT]],Lista_CUIT[#All],4,0)),"CUIT NO CARGADO")</f>
        <v>0</v>
      </c>
    </row>
    <row r="70" spans="2:18" x14ac:dyDescent="0.3">
      <c r="B70" s="36">
        <v>44698</v>
      </c>
      <c r="C70" s="37">
        <v>1</v>
      </c>
      <c r="D70" s="38">
        <v>7</v>
      </c>
      <c r="E70" s="39">
        <v>6426</v>
      </c>
      <c r="F70" s="40">
        <v>30708017759</v>
      </c>
      <c r="G70" s="41" t="s">
        <v>2418</v>
      </c>
      <c r="H70" s="42">
        <v>203360</v>
      </c>
      <c r="I70" s="81">
        <v>42705.599999999999</v>
      </c>
      <c r="J70" s="81"/>
      <c r="K70" s="81"/>
      <c r="L70" s="81"/>
      <c r="M70" s="81"/>
      <c r="N70" s="81">
        <v>12201.6</v>
      </c>
      <c r="O70" s="81"/>
      <c r="P70" s="44">
        <v>258267.2</v>
      </c>
      <c r="Q70" s="45" t="str">
        <f>IFERROR(IF(compras_mes5[[#This Row],[CUIT]]="","-",VLOOKUP(compras_mes5[[#This Row],[CUIT]],Lista_CUIT[#All],3,0)),"CUIT NO CARGADO")</f>
        <v>Mercaderia</v>
      </c>
      <c r="R70" s="45">
        <f>IFERROR(IF(compras_mes5[[#This Row],[CUIT]]="","-",VLOOKUP(compras_mes5[[#This Row],[CUIT]],Lista_CUIT[#All],4,0)),"CUIT NO CARGADO")</f>
        <v>0</v>
      </c>
    </row>
    <row r="71" spans="2:18" x14ac:dyDescent="0.3">
      <c r="B71" s="36">
        <v>44700</v>
      </c>
      <c r="C71" s="37">
        <v>1</v>
      </c>
      <c r="D71" s="38">
        <v>2</v>
      </c>
      <c r="E71" s="39">
        <v>1821</v>
      </c>
      <c r="F71" s="40">
        <v>30715811622</v>
      </c>
      <c r="G71" s="41" t="s">
        <v>2688</v>
      </c>
      <c r="H71" s="42">
        <v>40537.19</v>
      </c>
      <c r="I71" s="81">
        <v>8512.8099000000002</v>
      </c>
      <c r="J71" s="81"/>
      <c r="K71" s="81"/>
      <c r="L71" s="81"/>
      <c r="M71" s="81"/>
      <c r="N71" s="81"/>
      <c r="O71" s="81"/>
      <c r="P71" s="44">
        <v>49049.999900000003</v>
      </c>
      <c r="Q71" s="45" t="str">
        <f>IFERROR(IF(compras_mes5[[#This Row],[CUIT]]="","-",VLOOKUP(compras_mes5[[#This Row],[CUIT]],Lista_CUIT[#All],3,0)),"CUIT NO CARGADO")</f>
        <v>Mercaderia</v>
      </c>
      <c r="R71" s="45">
        <f>IFERROR(IF(compras_mes5[[#This Row],[CUIT]]="","-",VLOOKUP(compras_mes5[[#This Row],[CUIT]],Lista_CUIT[#All],4,0)),"CUIT NO CARGADO")</f>
        <v>0</v>
      </c>
    </row>
    <row r="72" spans="2:18" x14ac:dyDescent="0.3">
      <c r="B72" s="36">
        <v>44700</v>
      </c>
      <c r="C72" s="37">
        <v>1</v>
      </c>
      <c r="D72" s="38">
        <v>2</v>
      </c>
      <c r="E72" s="39">
        <v>3063</v>
      </c>
      <c r="F72" s="40">
        <v>30629863571</v>
      </c>
      <c r="G72" s="41" t="s">
        <v>2357</v>
      </c>
      <c r="H72" s="42">
        <v>428484.09</v>
      </c>
      <c r="I72" s="81">
        <v>89981.658899999995</v>
      </c>
      <c r="J72" s="81"/>
      <c r="K72" s="81"/>
      <c r="L72" s="81"/>
      <c r="M72" s="81"/>
      <c r="N72" s="81"/>
      <c r="O72" s="81"/>
      <c r="P72" s="44">
        <v>518465.74890000001</v>
      </c>
      <c r="Q72" s="45" t="str">
        <f>IFERROR(IF(compras_mes5[[#This Row],[CUIT]]="","-",VLOOKUP(compras_mes5[[#This Row],[CUIT]],Lista_CUIT[#All],3,0)),"CUIT NO CARGADO")</f>
        <v>Mercaderia</v>
      </c>
      <c r="R72" s="45">
        <f>IFERROR(IF(compras_mes5[[#This Row],[CUIT]]="","-",VLOOKUP(compras_mes5[[#This Row],[CUIT]],Lista_CUIT[#All],4,0)),"CUIT NO CARGADO")</f>
        <v>0</v>
      </c>
    </row>
    <row r="73" spans="2:18" x14ac:dyDescent="0.3">
      <c r="B73" s="36">
        <v>44701</v>
      </c>
      <c r="C73" s="37">
        <v>1</v>
      </c>
      <c r="D73" s="38">
        <v>1</v>
      </c>
      <c r="E73" s="39">
        <v>62</v>
      </c>
      <c r="F73" s="40">
        <v>20077604627</v>
      </c>
      <c r="G73" s="41" t="s">
        <v>2353</v>
      </c>
      <c r="H73" s="42">
        <v>127680</v>
      </c>
      <c r="I73" s="81">
        <v>26812.799999999999</v>
      </c>
      <c r="J73" s="81"/>
      <c r="K73" s="81"/>
      <c r="L73" s="81"/>
      <c r="M73" s="81"/>
      <c r="N73" s="81"/>
      <c r="O73" s="81"/>
      <c r="P73" s="44">
        <v>154492.79999999999</v>
      </c>
      <c r="Q73" s="45" t="str">
        <f>IFERROR(IF(compras_mes5[[#This Row],[CUIT]]="","-",VLOOKUP(compras_mes5[[#This Row],[CUIT]],Lista_CUIT[#All],3,0)),"CUIT NO CARGADO")</f>
        <v>Mercaderia</v>
      </c>
      <c r="R73" s="45">
        <f>IFERROR(IF(compras_mes5[[#This Row],[CUIT]]="","-",VLOOKUP(compras_mes5[[#This Row],[CUIT]],Lista_CUIT[#All],4,0)),"CUIT NO CARGADO")</f>
        <v>0</v>
      </c>
    </row>
    <row r="74" spans="2:18" x14ac:dyDescent="0.3">
      <c r="B74" s="36">
        <v>44701</v>
      </c>
      <c r="C74" s="37">
        <v>1</v>
      </c>
      <c r="D74" s="38">
        <v>6</v>
      </c>
      <c r="E74" s="39">
        <v>274</v>
      </c>
      <c r="F74" s="40">
        <v>20219190469</v>
      </c>
      <c r="G74" s="41" t="s">
        <v>2396</v>
      </c>
      <c r="H74" s="42">
        <v>206211.24</v>
      </c>
      <c r="I74" s="81">
        <v>43304.360399999998</v>
      </c>
      <c r="J74" s="81"/>
      <c r="K74" s="81"/>
      <c r="L74" s="81"/>
      <c r="M74" s="81"/>
      <c r="N74" s="81"/>
      <c r="O74" s="81"/>
      <c r="P74" s="44">
        <v>249515.6004</v>
      </c>
      <c r="Q74" s="45" t="str">
        <f>IFERROR(IF(compras_mes5[[#This Row],[CUIT]]="","-",VLOOKUP(compras_mes5[[#This Row],[CUIT]],Lista_CUIT[#All],3,0)),"CUIT NO CARGADO")</f>
        <v>Mercaderia</v>
      </c>
      <c r="R74" s="45">
        <f>IFERROR(IF(compras_mes5[[#This Row],[CUIT]]="","-",VLOOKUP(compras_mes5[[#This Row],[CUIT]],Lista_CUIT[#All],4,0)),"CUIT NO CARGADO")</f>
        <v>0</v>
      </c>
    </row>
    <row r="75" spans="2:18" x14ac:dyDescent="0.3">
      <c r="B75" s="36">
        <v>44708</v>
      </c>
      <c r="C75" s="37">
        <v>1</v>
      </c>
      <c r="D75" s="38">
        <v>1</v>
      </c>
      <c r="E75" s="39">
        <v>13</v>
      </c>
      <c r="F75" s="40">
        <v>30717305287</v>
      </c>
      <c r="G75" s="41" t="s">
        <v>2810</v>
      </c>
      <c r="H75" s="42">
        <v>60000</v>
      </c>
      <c r="I75" s="81">
        <v>12600</v>
      </c>
      <c r="J75" s="81"/>
      <c r="K75" s="81"/>
      <c r="L75" s="81"/>
      <c r="M75" s="81"/>
      <c r="N75" s="81"/>
      <c r="O75" s="81"/>
      <c r="P75" s="44">
        <v>72600</v>
      </c>
      <c r="Q75" s="45" t="str">
        <f>IFERROR(IF(compras_mes5[[#This Row],[CUIT]]="","-",VLOOKUP(compras_mes5[[#This Row],[CUIT]],Lista_CUIT[#All],3,0)),"CUIT NO CARGADO")</f>
        <v>Mercaderia</v>
      </c>
      <c r="R75" s="45">
        <f>IFERROR(IF(compras_mes5[[#This Row],[CUIT]]="","-",VLOOKUP(compras_mes5[[#This Row],[CUIT]],Lista_CUIT[#All],4,0)),"CUIT NO CARGADO")</f>
        <v>0</v>
      </c>
    </row>
    <row r="76" spans="2:18" x14ac:dyDescent="0.3">
      <c r="B76" s="36">
        <v>44711</v>
      </c>
      <c r="C76" s="37">
        <v>1</v>
      </c>
      <c r="D76" s="38">
        <v>3</v>
      </c>
      <c r="E76" s="39">
        <v>6064</v>
      </c>
      <c r="F76" s="40">
        <v>30708006420</v>
      </c>
      <c r="G76" s="41" t="s">
        <v>2615</v>
      </c>
      <c r="H76" s="42">
        <v>28000</v>
      </c>
      <c r="I76" s="81">
        <v>5880</v>
      </c>
      <c r="J76" s="81"/>
      <c r="K76" s="81"/>
      <c r="L76" s="81"/>
      <c r="M76" s="81"/>
      <c r="N76" s="81"/>
      <c r="O76" s="81"/>
      <c r="P76" s="44">
        <v>33880</v>
      </c>
      <c r="Q76" s="45" t="str">
        <f>IFERROR(IF(compras_mes5[[#This Row],[CUIT]]="","-",VLOOKUP(compras_mes5[[#This Row],[CUIT]],Lista_CUIT[#All],3,0)),"CUIT NO CARGADO")</f>
        <v>Mercaderia</v>
      </c>
      <c r="R76" s="45">
        <f>IFERROR(IF(compras_mes5[[#This Row],[CUIT]]="","-",VLOOKUP(compras_mes5[[#This Row],[CUIT]],Lista_CUIT[#All],4,0)),"CUIT NO CARGADO")</f>
        <v>0</v>
      </c>
    </row>
    <row r="77" spans="2:18" x14ac:dyDescent="0.3">
      <c r="B77" s="36">
        <v>44711</v>
      </c>
      <c r="C77" s="37">
        <v>1</v>
      </c>
      <c r="D77" s="38">
        <v>60</v>
      </c>
      <c r="E77" s="39">
        <v>54029</v>
      </c>
      <c r="F77" s="40">
        <v>30517345039</v>
      </c>
      <c r="G77" s="41" t="s">
        <v>1729</v>
      </c>
      <c r="H77" s="42">
        <v>40156.5</v>
      </c>
      <c r="I77" s="81">
        <v>8432.8649999999998</v>
      </c>
      <c r="J77" s="81"/>
      <c r="K77" s="81"/>
      <c r="L77" s="81"/>
      <c r="M77" s="81"/>
      <c r="N77" s="81">
        <v>2409.39</v>
      </c>
      <c r="O77" s="81"/>
      <c r="P77" s="44">
        <v>50998.754999999997</v>
      </c>
      <c r="Q77" s="45" t="str">
        <f>IFERROR(IF(compras_mes5[[#This Row],[CUIT]]="","-",VLOOKUP(compras_mes5[[#This Row],[CUIT]],Lista_CUIT[#All],3,0)),"CUIT NO CARGADO")</f>
        <v>Mercaderia</v>
      </c>
      <c r="R77" s="45">
        <f>IFERROR(IF(compras_mes5[[#This Row],[CUIT]]="","-",VLOOKUP(compras_mes5[[#This Row],[CUIT]],Lista_CUIT[#All],4,0)),"CUIT NO CARGADO")</f>
        <v>0</v>
      </c>
    </row>
    <row r="78" spans="2:18" x14ac:dyDescent="0.3">
      <c r="B78" s="36">
        <v>44712</v>
      </c>
      <c r="C78" s="37">
        <v>1</v>
      </c>
      <c r="D78" s="38">
        <v>4</v>
      </c>
      <c r="E78" s="39">
        <v>34801</v>
      </c>
      <c r="F78" s="40">
        <v>30585948817</v>
      </c>
      <c r="G78" s="41" t="s">
        <v>2174</v>
      </c>
      <c r="H78" s="42">
        <v>186738.79</v>
      </c>
      <c r="I78" s="81">
        <v>39215.145900000003</v>
      </c>
      <c r="J78" s="81"/>
      <c r="K78" s="81"/>
      <c r="L78" s="81"/>
      <c r="M78" s="81"/>
      <c r="N78" s="81">
        <v>11204.33</v>
      </c>
      <c r="O78" s="81"/>
      <c r="P78" s="44">
        <v>237158.2659</v>
      </c>
      <c r="Q78" s="45" t="str">
        <f>IFERROR(IF(compras_mes5[[#This Row],[CUIT]]="","-",VLOOKUP(compras_mes5[[#This Row],[CUIT]],Lista_CUIT[#All],3,0)),"CUIT NO CARGADO")</f>
        <v>Mercaderia</v>
      </c>
      <c r="R78" s="45">
        <f>IFERROR(IF(compras_mes5[[#This Row],[CUIT]]="","-",VLOOKUP(compras_mes5[[#This Row],[CUIT]],Lista_CUIT[#All],4,0)),"CUIT NO CARGADO")</f>
        <v>0</v>
      </c>
    </row>
    <row r="79" spans="2:18" x14ac:dyDescent="0.3">
      <c r="B79" s="36">
        <v>44680</v>
      </c>
      <c r="C79" s="37">
        <v>1</v>
      </c>
      <c r="D79" s="38">
        <v>813</v>
      </c>
      <c r="E79" s="39">
        <v>2896</v>
      </c>
      <c r="F79" s="40">
        <v>30638485733</v>
      </c>
      <c r="G79" s="41" t="s">
        <v>2660</v>
      </c>
      <c r="H79" s="42">
        <v>12064.47</v>
      </c>
      <c r="I79" s="81">
        <v>2533.5386999999996</v>
      </c>
      <c r="J79" s="81"/>
      <c r="K79" s="81"/>
      <c r="L79" s="81"/>
      <c r="M79" s="81"/>
      <c r="N79" s="81"/>
      <c r="O79" s="81"/>
      <c r="P79" s="44">
        <v>14598.008699999998</v>
      </c>
      <c r="Q79" s="45" t="str">
        <f>IFERROR(IF(compras_mes5[[#This Row],[CUIT]]="","-",VLOOKUP(compras_mes5[[#This Row],[CUIT]],Lista_CUIT[#All],3,0)),"CUIT NO CARGADO")</f>
        <v>Ropa de Trabajo</v>
      </c>
      <c r="R79" s="45">
        <f>IFERROR(IF(compras_mes5[[#This Row],[CUIT]]="","-",VLOOKUP(compras_mes5[[#This Row],[CUIT]],Lista_CUIT[#All],4,0)),"CUIT NO CARGADO")</f>
        <v>0</v>
      </c>
    </row>
    <row r="80" spans="2:18" x14ac:dyDescent="0.3">
      <c r="B80" s="36">
        <v>44687</v>
      </c>
      <c r="C80" s="37">
        <v>1</v>
      </c>
      <c r="D80" s="38">
        <v>2</v>
      </c>
      <c r="E80" s="39">
        <v>30121</v>
      </c>
      <c r="F80" s="40">
        <v>33714232199</v>
      </c>
      <c r="G80" s="41" t="s">
        <v>2160</v>
      </c>
      <c r="H80" s="42">
        <v>17640</v>
      </c>
      <c r="I80" s="81">
        <v>3704.3999999999996</v>
      </c>
      <c r="J80" s="81"/>
      <c r="K80" s="81"/>
      <c r="L80" s="81"/>
      <c r="M80" s="81"/>
      <c r="N80" s="81"/>
      <c r="O80" s="81"/>
      <c r="P80" s="44">
        <v>21344.400000000001</v>
      </c>
      <c r="Q80" s="45" t="str">
        <f>IFERROR(IF(compras_mes5[[#This Row],[CUIT]]="","-",VLOOKUP(compras_mes5[[#This Row],[CUIT]],Lista_CUIT[#All],3,0)),"CUIT NO CARGADO")</f>
        <v>Servicios Informatica</v>
      </c>
      <c r="R80" s="45">
        <f>IFERROR(IF(compras_mes5[[#This Row],[CUIT]]="","-",VLOOKUP(compras_mes5[[#This Row],[CUIT]],Lista_CUIT[#All],4,0)),"CUIT NO CARGADO")</f>
        <v>0</v>
      </c>
    </row>
    <row r="81" spans="2:18" x14ac:dyDescent="0.3">
      <c r="B81" s="92" t="s">
        <v>83</v>
      </c>
      <c r="C81" s="92"/>
      <c r="D81" s="92"/>
      <c r="E81" s="92"/>
      <c r="F81" s="92"/>
      <c r="G81" s="93"/>
      <c r="H81" s="94">
        <f>SUBTOTAL(109,compras_mes5[NETO GRAVADO])</f>
        <v>4121552.5800000005</v>
      </c>
      <c r="I81" s="94">
        <f>SUBTOTAL(109,compras_mes5[IVA 21 %])</f>
        <v>827951.91229999997</v>
      </c>
      <c r="J81" s="94">
        <f>SUBTOTAL(109,compras_mes5[IVA 27%])</f>
        <v>11895.779999999999</v>
      </c>
      <c r="K81" s="94">
        <f>SUBTOTAL(109,compras_mes5[IVA 10,5%])</f>
        <v>6232.53</v>
      </c>
      <c r="L81" s="94">
        <f>SUBTOTAL(109,compras_mes5[PERC. IVA])</f>
        <v>101.36</v>
      </c>
      <c r="M81" s="94">
        <f>SUBTOTAL(109,compras_mes5[PERC IIBB 
BS AS])</f>
        <v>0</v>
      </c>
      <c r="N81" s="94">
        <f>SUBTOTAL(109,compras_mes5[PERC. IIBB CABA])</f>
        <v>67565.48</v>
      </c>
      <c r="O81" s="94">
        <f>SUBTOTAL(109,compras_mes5[Otros / No Grav.])</f>
        <v>5372.72</v>
      </c>
      <c r="P81" s="94">
        <f>SUBTOTAL(109,compras_mes5[TOTAL])</f>
        <v>5040672.3623000011</v>
      </c>
      <c r="Q81" s="92"/>
      <c r="R81" s="92"/>
    </row>
    <row r="82" spans="2:18" x14ac:dyDescent="0.3">
      <c r="B82" s="36"/>
      <c r="C82" s="37"/>
      <c r="D82" s="38"/>
      <c r="E82" s="39"/>
      <c r="F82" s="40"/>
      <c r="G82" s="41"/>
      <c r="H82" s="42"/>
      <c r="I82" s="43"/>
      <c r="J82" s="43"/>
      <c r="K82" s="43"/>
      <c r="L82" s="43"/>
      <c r="M82" s="43"/>
      <c r="N82" s="43"/>
      <c r="O82" s="43"/>
      <c r="P82" s="44"/>
      <c r="Q82" s="45"/>
      <c r="R82" s="45"/>
    </row>
    <row r="83" spans="2:18" x14ac:dyDescent="0.3">
      <c r="B83" s="36"/>
      <c r="C83" s="37"/>
      <c r="D83" s="38"/>
      <c r="E83" s="39"/>
      <c r="F83" s="40"/>
      <c r="G83" s="41"/>
      <c r="H83" s="42"/>
      <c r="I83" s="43"/>
      <c r="J83" s="43"/>
      <c r="K83" s="43"/>
      <c r="L83" s="43"/>
      <c r="M83" s="43"/>
      <c r="N83" s="43"/>
      <c r="O83" s="43"/>
      <c r="P83" s="44"/>
      <c r="Q83" s="45"/>
      <c r="R83" s="45"/>
    </row>
    <row r="84" spans="2:18" x14ac:dyDescent="0.3">
      <c r="B84" s="36"/>
      <c r="C84" s="37"/>
      <c r="D84" s="38"/>
      <c r="E84" s="39"/>
      <c r="F84" s="40"/>
      <c r="G84" s="41"/>
      <c r="H84" s="42"/>
      <c r="I84" s="43"/>
      <c r="J84" s="43"/>
      <c r="K84" s="43"/>
      <c r="L84" s="43"/>
      <c r="M84" s="43"/>
      <c r="N84" s="43"/>
      <c r="O84" s="43"/>
      <c r="P84" s="44"/>
      <c r="Q84" s="45"/>
      <c r="R84" s="45"/>
    </row>
    <row r="85" spans="2:18" x14ac:dyDescent="0.3">
      <c r="B85" s="36"/>
      <c r="C85" s="37"/>
      <c r="D85" s="38"/>
      <c r="E85" s="39"/>
      <c r="F85" s="40"/>
      <c r="G85" s="41"/>
      <c r="H85" s="42"/>
      <c r="I85" s="43"/>
      <c r="J85" s="43"/>
      <c r="K85" s="43"/>
      <c r="L85" s="43"/>
    </row>
    <row r="86" spans="2:18" ht="25.95" customHeight="1" x14ac:dyDescent="0.3">
      <c r="D86" s="441" t="s">
        <v>15</v>
      </c>
      <c r="E86" s="441"/>
      <c r="F86" s="441"/>
      <c r="G86" s="441"/>
      <c r="H86" s="441"/>
      <c r="I86" s="441"/>
      <c r="J86" s="441"/>
      <c r="K86" s="441"/>
      <c r="L86" s="441"/>
      <c r="M86" s="441"/>
      <c r="N86" s="364"/>
      <c r="P86" s="365"/>
      <c r="Q86" s="365"/>
      <c r="R86" s="365"/>
    </row>
    <row r="87" spans="2:18" ht="15.6" x14ac:dyDescent="0.3">
      <c r="D87" s="69" t="s">
        <v>0</v>
      </c>
      <c r="E87" s="70" t="s">
        <v>26</v>
      </c>
      <c r="F87" s="70" t="s">
        <v>16</v>
      </c>
      <c r="G87" s="70" t="s">
        <v>5</v>
      </c>
      <c r="H87" s="70" t="s">
        <v>17</v>
      </c>
      <c r="I87" s="70" t="s">
        <v>7</v>
      </c>
      <c r="J87" s="71" t="s">
        <v>18</v>
      </c>
      <c r="K87" s="71" t="s">
        <v>19</v>
      </c>
      <c r="L87" s="72" t="s">
        <v>20</v>
      </c>
      <c r="M87" s="363" t="s">
        <v>2649</v>
      </c>
      <c r="N87" s="363" t="s">
        <v>2650</v>
      </c>
      <c r="P87" s="158"/>
      <c r="Q87" s="158"/>
      <c r="R87" s="158"/>
    </row>
    <row r="88" spans="2:18" ht="17.25" customHeight="1" x14ac:dyDescent="0.3">
      <c r="D88" s="46">
        <v>44683</v>
      </c>
      <c r="E88" s="76">
        <v>2344239</v>
      </c>
      <c r="F88" s="76" t="s">
        <v>2948</v>
      </c>
      <c r="G88" s="77"/>
      <c r="H88" s="77"/>
      <c r="I88" s="77"/>
      <c r="J88" s="77"/>
      <c r="K88" s="77"/>
      <c r="L88" s="77"/>
      <c r="M88" s="77">
        <v>8304.19</v>
      </c>
      <c r="N88" s="77"/>
    </row>
    <row r="89" spans="2:18" x14ac:dyDescent="0.3">
      <c r="D89" s="46">
        <v>44707</v>
      </c>
      <c r="E89" s="76">
        <v>430566</v>
      </c>
      <c r="F89" s="76" t="s">
        <v>2949</v>
      </c>
      <c r="G89" s="77">
        <v>320</v>
      </c>
      <c r="H89" s="77">
        <v>67.2</v>
      </c>
      <c r="I89" s="77"/>
      <c r="J89" s="429"/>
      <c r="K89" s="77"/>
      <c r="L89" s="77"/>
      <c r="M89" s="77">
        <v>10.14</v>
      </c>
      <c r="N89" s="77"/>
    </row>
    <row r="90" spans="2:18" x14ac:dyDescent="0.3">
      <c r="D90" s="46">
        <v>44707</v>
      </c>
      <c r="E90" s="76">
        <v>22576816</v>
      </c>
      <c r="F90" s="76" t="s">
        <v>101</v>
      </c>
      <c r="G90" s="77">
        <v>2910.78</v>
      </c>
      <c r="H90" s="77">
        <v>611.26</v>
      </c>
      <c r="I90" s="77"/>
      <c r="J90" s="429">
        <v>3319.99</v>
      </c>
      <c r="K90" s="77"/>
      <c r="L90" s="77"/>
      <c r="M90" s="77"/>
      <c r="N90" s="77"/>
    </row>
    <row r="91" spans="2:18" x14ac:dyDescent="0.3">
      <c r="D91" s="46">
        <v>44712</v>
      </c>
      <c r="E91" s="76">
        <v>10622120</v>
      </c>
      <c r="F91" s="76" t="s">
        <v>2955</v>
      </c>
      <c r="G91" s="77">
        <v>10495</v>
      </c>
      <c r="H91" s="77">
        <v>2203.9499999999998</v>
      </c>
      <c r="I91" s="77"/>
      <c r="J91" s="77"/>
      <c r="K91" s="77">
        <v>314.85000000000002</v>
      </c>
      <c r="L91" s="77"/>
      <c r="M91" s="77"/>
      <c r="N91" s="77"/>
    </row>
    <row r="92" spans="2:18" x14ac:dyDescent="0.3">
      <c r="D92" s="46">
        <v>44712</v>
      </c>
      <c r="E92" s="76">
        <v>99111735</v>
      </c>
      <c r="F92" s="76" t="s">
        <v>2957</v>
      </c>
      <c r="G92" s="77">
        <v>224.4</v>
      </c>
      <c r="H92" s="77">
        <v>47.12</v>
      </c>
      <c r="I92" s="77"/>
      <c r="J92" s="77">
        <v>807.37</v>
      </c>
      <c r="K92" s="77">
        <v>262.39999999999998</v>
      </c>
      <c r="L92" s="77"/>
      <c r="M92" s="77"/>
      <c r="N92" s="77"/>
    </row>
    <row r="93" spans="2:18" x14ac:dyDescent="0.3">
      <c r="D93" s="46">
        <v>44712</v>
      </c>
      <c r="E93" s="76">
        <v>2022</v>
      </c>
      <c r="F93" s="76" t="s">
        <v>2956</v>
      </c>
      <c r="G93" s="77">
        <v>52530</v>
      </c>
      <c r="H93" s="77">
        <v>11031.3</v>
      </c>
      <c r="I93" s="77"/>
      <c r="J93" s="77">
        <v>3019.2</v>
      </c>
      <c r="K93" s="77">
        <v>1465.5</v>
      </c>
      <c r="L93" s="77"/>
      <c r="M93" s="77">
        <v>108622.64</v>
      </c>
      <c r="N93" s="77">
        <v>53500.7</v>
      </c>
    </row>
    <row r="94" spans="2:18" x14ac:dyDescent="0.3">
      <c r="D94" s="46">
        <v>44712</v>
      </c>
      <c r="E94" s="76">
        <v>2022</v>
      </c>
      <c r="F94" s="76" t="s">
        <v>2951</v>
      </c>
      <c r="G94" s="77">
        <v>3000</v>
      </c>
      <c r="H94" s="77">
        <v>630</v>
      </c>
      <c r="I94" s="77"/>
      <c r="J94" s="77">
        <v>180</v>
      </c>
      <c r="K94" s="77">
        <v>90</v>
      </c>
      <c r="L94" s="77"/>
      <c r="M94" s="77">
        <v>3987.12</v>
      </c>
      <c r="N94" s="77">
        <v>1963.81</v>
      </c>
    </row>
    <row r="95" spans="2:18" x14ac:dyDescent="0.3">
      <c r="D95" s="46">
        <v>44712</v>
      </c>
      <c r="E95" s="76">
        <v>2022</v>
      </c>
      <c r="F95" s="76" t="s">
        <v>97</v>
      </c>
      <c r="G95" s="77">
        <v>868.03</v>
      </c>
      <c r="H95" s="77">
        <v>182.29</v>
      </c>
      <c r="I95" s="77"/>
      <c r="J95" s="77">
        <v>4843.62</v>
      </c>
      <c r="K95" s="77"/>
      <c r="L95" s="77"/>
      <c r="M95" s="77"/>
      <c r="N95" s="77"/>
    </row>
    <row r="96" spans="2:18" x14ac:dyDescent="0.3">
      <c r="D96" s="46">
        <v>44712</v>
      </c>
      <c r="E96" s="76">
        <v>45432588</v>
      </c>
      <c r="F96" s="76" t="s">
        <v>99</v>
      </c>
      <c r="G96" s="77">
        <v>355.37</v>
      </c>
      <c r="H96" s="77">
        <v>74.63</v>
      </c>
      <c r="I96" s="77"/>
      <c r="J96" s="77"/>
      <c r="K96" s="77"/>
      <c r="L96" s="77"/>
      <c r="M96" s="77">
        <v>17453.66</v>
      </c>
      <c r="N96" s="77">
        <v>30844.2</v>
      </c>
    </row>
    <row r="97" spans="2:18" x14ac:dyDescent="0.3">
      <c r="D97" s="46">
        <v>44712</v>
      </c>
      <c r="E97" s="76">
        <v>52022</v>
      </c>
      <c r="F97" s="76" t="s">
        <v>98</v>
      </c>
      <c r="G97" s="77">
        <v>185702.48</v>
      </c>
      <c r="H97" s="77">
        <v>26260.84</v>
      </c>
      <c r="I97" s="77"/>
      <c r="J97" s="77">
        <v>177008.3</v>
      </c>
      <c r="K97" s="77">
        <v>2408.08</v>
      </c>
      <c r="L97" s="77"/>
      <c r="M97" s="77"/>
      <c r="N97" s="77"/>
    </row>
    <row r="98" spans="2:18" x14ac:dyDescent="0.3">
      <c r="D98" s="46"/>
      <c r="E98" s="76"/>
      <c r="F98" s="76"/>
      <c r="G98" s="77"/>
      <c r="H98" s="77"/>
      <c r="I98" s="77"/>
      <c r="J98" s="77"/>
      <c r="K98" s="77"/>
      <c r="L98" s="77"/>
      <c r="M98" s="77"/>
      <c r="N98" s="77"/>
    </row>
    <row r="99" spans="2:18" ht="19.2" customHeight="1" x14ac:dyDescent="0.3">
      <c r="D99" s="46"/>
      <c r="E99" s="76"/>
      <c r="F99" s="76"/>
      <c r="G99" s="77"/>
      <c r="H99" s="77"/>
      <c r="I99" s="77"/>
      <c r="J99" s="77"/>
      <c r="K99" s="77"/>
      <c r="L99" s="77"/>
      <c r="M99" s="77"/>
      <c r="N99" s="77"/>
    </row>
    <row r="100" spans="2:18" ht="28.95" customHeight="1" x14ac:dyDescent="0.3">
      <c r="D100" s="430" t="s">
        <v>83</v>
      </c>
      <c r="E100" s="431"/>
      <c r="F100" s="431"/>
      <c r="G100" s="432">
        <f>SUBTOTAL(109,extracto_banco_mes1551617[NETO])</f>
        <v>256406.06</v>
      </c>
      <c r="H100" s="432">
        <f>SUBTOTAL(109,extracto_banco_mes1551617[IVA 21%])</f>
        <v>41108.589999999997</v>
      </c>
      <c r="I100" s="432">
        <f>SUBTOTAL(109,extracto_banco_mes1551617[IVA 10,5%])</f>
        <v>0</v>
      </c>
      <c r="J100" s="432">
        <f>SUBTOTAL(109,extracto_banco_mes1551617[RET IIBB CABA])</f>
        <v>189178.47999999998</v>
      </c>
      <c r="K100" s="432">
        <f>SUBTOTAL(109,extracto_banco_mes1551617[PERC IVA])</f>
        <v>4540.83</v>
      </c>
      <c r="L100" s="432">
        <f>SUBTOTAL(109,extracto_banco_mes1551617[PERC IIBB])</f>
        <v>0</v>
      </c>
      <c r="M100" s="432">
        <f>SUM(extracto_banco_mes1551617[No grav.])</f>
        <v>138377.75</v>
      </c>
      <c r="N100" s="433">
        <f>SUM(extracto_banco_mes1551617[RET. GAN])</f>
        <v>86308.709999999992</v>
      </c>
    </row>
    <row r="103" spans="2:18" ht="21" x14ac:dyDescent="0.3">
      <c r="D103" s="441" t="s">
        <v>25</v>
      </c>
      <c r="E103" s="441"/>
      <c r="F103" s="441"/>
      <c r="G103" s="441"/>
      <c r="H103" s="441"/>
      <c r="I103" s="441"/>
      <c r="J103" s="441"/>
      <c r="K103" s="441"/>
    </row>
    <row r="104" spans="2:18" x14ac:dyDescent="0.3">
      <c r="D104" s="47" t="s">
        <v>0</v>
      </c>
      <c r="E104" s="47" t="s">
        <v>2</v>
      </c>
      <c r="F104" s="47" t="s">
        <v>56</v>
      </c>
      <c r="G104" s="47" t="s">
        <v>3</v>
      </c>
      <c r="H104" s="47" t="s">
        <v>4</v>
      </c>
      <c r="I104" s="48" t="s">
        <v>10</v>
      </c>
      <c r="J104" s="47" t="s">
        <v>13</v>
      </c>
      <c r="K104" s="47" t="s">
        <v>38</v>
      </c>
    </row>
    <row r="105" spans="2:18" x14ac:dyDescent="0.3">
      <c r="D105" s="46">
        <v>44686</v>
      </c>
      <c r="E105" s="38">
        <v>2</v>
      </c>
      <c r="F105" s="39">
        <v>159</v>
      </c>
      <c r="G105" s="40">
        <v>23319210954</v>
      </c>
      <c r="H105" s="49" t="str">
        <f>IFERROR(IF(factura_c_mes5[[#This Row],[CUIT]]="","-",VLOOKUP(factura_c_mes5[[#This Row],[CUIT]],Lista_CUIT[#All],2,0)),"CUIT NO CARGADO")</f>
        <v>CAFFARATTI ROMINA PAOLA</v>
      </c>
      <c r="I105" s="77">
        <v>6100</v>
      </c>
      <c r="J105" s="50" t="str">
        <f>IFERROR(IF(factura_c_mes5[[#This Row],[CUIT]]="","-",VLOOKUP(factura_c_mes5[[#This Row],[CUIT]],Lista_CUIT[#All],3,0)),"CUIT NO CARGADO")</f>
        <v>Honorarios Contables</v>
      </c>
      <c r="K105" s="50">
        <f>IFERROR(IF(factura_c_mes5[[#This Row],[CUIT]]="","-",VLOOKUP(factura_c_mes5[[#This Row],[CUIT]],Lista_CUIT[#All],4,0)),"CUIT NO CARGADO")</f>
        <v>0</v>
      </c>
    </row>
    <row r="106" spans="2:18" x14ac:dyDescent="0.3">
      <c r="D106" s="46">
        <v>44692</v>
      </c>
      <c r="E106" s="38">
        <v>1</v>
      </c>
      <c r="F106" s="39">
        <v>39</v>
      </c>
      <c r="G106" s="40">
        <v>20231009524</v>
      </c>
      <c r="H106" s="49" t="str">
        <f>IFERROR(IF(factura_c_mes5[[#This Row],[CUIT]]="","-",VLOOKUP(factura_c_mes5[[#This Row],[CUIT]],Lista_CUIT[#All],2,0)),"CUIT NO CARGADO")</f>
        <v>RAMOS PATRICIO SEBASTIAN</v>
      </c>
      <c r="I106" s="77">
        <v>70000</v>
      </c>
      <c r="J106" s="50" t="str">
        <f>IFERROR(IF(factura_c_mes5[[#This Row],[CUIT]]="","-",VLOOKUP(factura_c_mes5[[#This Row],[CUIT]],Lista_CUIT[#All],3,0)),"CUIT NO CARGADO")</f>
        <v>Mercaderia</v>
      </c>
      <c r="K106" s="50">
        <f>IFERROR(IF(factura_c_mes5[[#This Row],[CUIT]]="","-",VLOOKUP(factura_c_mes5[[#This Row],[CUIT]],Lista_CUIT[#All],4,0)),"CUIT NO CARGADO")</f>
        <v>0</v>
      </c>
    </row>
    <row r="107" spans="2:18" x14ac:dyDescent="0.3">
      <c r="D107" s="46">
        <v>44693</v>
      </c>
      <c r="E107" s="38">
        <v>3</v>
      </c>
      <c r="F107" s="39">
        <v>322</v>
      </c>
      <c r="G107" s="40">
        <v>20210551574</v>
      </c>
      <c r="H107" s="49" t="str">
        <f>IFERROR(IF(factura_c_mes5[[#This Row],[CUIT]]="","-",VLOOKUP(factura_c_mes5[[#This Row],[CUIT]],Lista_CUIT[#All],2,0)),"CUIT NO CARGADO")</f>
        <v>REUS JORGE DIEGO</v>
      </c>
      <c r="I107" s="77">
        <v>30000</v>
      </c>
      <c r="J107" s="50" t="str">
        <f>IFERROR(IF(factura_c_mes5[[#This Row],[CUIT]]="","-",VLOOKUP(factura_c_mes5[[#This Row],[CUIT]],Lista_CUIT[#All],3,0)),"CUIT NO CARGADO")</f>
        <v>Honorarios Juridicos</v>
      </c>
      <c r="K107" s="50">
        <f>IFERROR(IF(factura_c_mes5[[#This Row],[CUIT]]="","-",VLOOKUP(factura_c_mes5[[#This Row],[CUIT]],Lista_CUIT[#All],4,0)),"CUIT NO CARGADO")</f>
        <v>0</v>
      </c>
    </row>
    <row r="108" spans="2:18" x14ac:dyDescent="0.3">
      <c r="D108" s="46">
        <v>44697</v>
      </c>
      <c r="E108" s="38">
        <v>3</v>
      </c>
      <c r="F108" s="39">
        <v>91</v>
      </c>
      <c r="G108" s="40">
        <v>20174208094</v>
      </c>
      <c r="H108" s="49" t="str">
        <f>IFERROR(IF(factura_c_mes5[[#This Row],[CUIT]]="","-",VLOOKUP(factura_c_mes5[[#This Row],[CUIT]],Lista_CUIT[#All],2,0)),"CUIT NO CARGADO")</f>
        <v>VILLARUEL OSCAR EDUARDO</v>
      </c>
      <c r="I108" s="77">
        <v>44000</v>
      </c>
      <c r="J108" s="50" t="str">
        <f>IFERROR(IF(factura_c_mes5[[#This Row],[CUIT]]="","-",VLOOKUP(factura_c_mes5[[#This Row],[CUIT]],Lista_CUIT[#All],3,0)),"CUIT NO CARGADO")</f>
        <v>Alquiler</v>
      </c>
      <c r="K108" s="50">
        <f>IFERROR(IF(factura_c_mes5[[#This Row],[CUIT]]="","-",VLOOKUP(factura_c_mes5[[#This Row],[CUIT]],Lista_CUIT[#All],4,0)),"CUIT NO CARGADO")</f>
        <v>0</v>
      </c>
    </row>
    <row r="109" spans="2:18" x14ac:dyDescent="0.3">
      <c r="D109" s="46">
        <v>44707</v>
      </c>
      <c r="E109" s="38">
        <v>11</v>
      </c>
      <c r="F109" s="39">
        <v>593</v>
      </c>
      <c r="G109" s="40">
        <v>20045468128</v>
      </c>
      <c r="H109" s="49" t="str">
        <f>IFERROR(IF(factura_c_mes5[[#This Row],[CUIT]]="","-",VLOOKUP(factura_c_mes5[[#This Row],[CUIT]],Lista_CUIT[#All],2,0)),"CUIT NO CARGADO")</f>
        <v>FUKS EDUARDO SERGIO</v>
      </c>
      <c r="I109" s="77">
        <v>13750</v>
      </c>
      <c r="J109" s="50" t="str">
        <f>IFERROR(IF(factura_c_mes5[[#This Row],[CUIT]]="","-",VLOOKUP(factura_c_mes5[[#This Row],[CUIT]],Lista_CUIT[#All],3,0)),"CUIT NO CARGADO")</f>
        <v>Honorarios Juridicos</v>
      </c>
      <c r="K109" s="50">
        <f>IFERROR(IF(factura_c_mes5[[#This Row],[CUIT]]="","-",VLOOKUP(factura_c_mes5[[#This Row],[CUIT]],Lista_CUIT[#All],4,0)),"CUIT NO CARGADO")</f>
        <v>0</v>
      </c>
    </row>
    <row r="110" spans="2:18" x14ac:dyDescent="0.3">
      <c r="B110" s="52"/>
      <c r="C110" s="52"/>
      <c r="D110" s="46">
        <v>44708</v>
      </c>
      <c r="E110" s="38">
        <v>6</v>
      </c>
      <c r="F110" s="39">
        <v>107</v>
      </c>
      <c r="G110" s="40">
        <v>20286401989</v>
      </c>
      <c r="H110" s="49" t="str">
        <f>IFERROR(IF(factura_c_mes5[[#This Row],[CUIT]]="","-",VLOOKUP(factura_c_mes5[[#This Row],[CUIT]],Lista_CUIT[#All],2,0)),"CUIT NO CARGADO")</f>
        <v>MAZZA EMILIANO LIBER PEDRO</v>
      </c>
      <c r="I110" s="77">
        <v>100000</v>
      </c>
      <c r="J110" s="50" t="str">
        <f>IFERROR(IF(factura_c_mes5[[#This Row],[CUIT]]="","-",VLOOKUP(factura_c_mes5[[#This Row],[CUIT]],Lista_CUIT[#All],3,0)),"CUIT NO CARGADO")</f>
        <v>Honorarios Juridicos</v>
      </c>
      <c r="K110" s="50">
        <f>IFERROR(IF(factura_c_mes5[[#This Row],[CUIT]]="","-",VLOOKUP(factura_c_mes5[[#This Row],[CUIT]],Lista_CUIT[#All],4,0)),"CUIT NO CARGADO")</f>
        <v>0</v>
      </c>
      <c r="L110" s="52"/>
      <c r="M110" s="52"/>
      <c r="N110" s="52"/>
      <c r="O110" s="52"/>
      <c r="P110" s="52"/>
      <c r="Q110" s="52"/>
      <c r="R110" s="52"/>
    </row>
    <row r="111" spans="2:18" x14ac:dyDescent="0.3">
      <c r="D111" s="51" t="s">
        <v>83</v>
      </c>
      <c r="E111" s="51"/>
      <c r="F111" s="51"/>
      <c r="G111" s="51"/>
      <c r="H111" s="53"/>
      <c r="I111" s="54">
        <f>SUBTOTAL(109,factura_c_mes5[TOTAL])</f>
        <v>263850</v>
      </c>
      <c r="J111" s="51"/>
      <c r="K111" s="51"/>
    </row>
    <row r="115" spans="2:13" ht="25.8" x14ac:dyDescent="0.3">
      <c r="B115" s="456" t="s">
        <v>29</v>
      </c>
      <c r="C115" s="456"/>
      <c r="D115" s="456"/>
      <c r="E115" s="456"/>
      <c r="F115" s="456"/>
      <c r="G115" s="456"/>
      <c r="H115" s="456"/>
      <c r="I115" s="456"/>
      <c r="J115" s="456"/>
      <c r="K115" s="452">
        <f>N1</f>
        <v>44682</v>
      </c>
      <c r="L115" s="452"/>
      <c r="M115" s="452"/>
    </row>
    <row r="117" spans="2:13" ht="21" x14ac:dyDescent="0.3">
      <c r="B117" s="449" t="s">
        <v>30</v>
      </c>
      <c r="C117" s="449"/>
    </row>
    <row r="118" spans="2:13" ht="15.6" x14ac:dyDescent="0.3">
      <c r="B118" s="56" t="s">
        <v>0</v>
      </c>
      <c r="C118" s="57" t="s">
        <v>1</v>
      </c>
      <c r="D118" s="57" t="s">
        <v>21</v>
      </c>
      <c r="E118" s="57" t="s">
        <v>22</v>
      </c>
      <c r="F118" s="57" t="s">
        <v>3</v>
      </c>
      <c r="G118" s="57" t="s">
        <v>4</v>
      </c>
      <c r="H118" s="57" t="s">
        <v>23</v>
      </c>
      <c r="I118" s="57" t="s">
        <v>17</v>
      </c>
      <c r="J118" s="57" t="s">
        <v>7</v>
      </c>
      <c r="K118" s="57" t="s">
        <v>24</v>
      </c>
      <c r="L118" s="57" t="s">
        <v>10</v>
      </c>
      <c r="M118" s="58" t="s">
        <v>38</v>
      </c>
    </row>
    <row r="119" spans="2:13" x14ac:dyDescent="0.3">
      <c r="B119" s="36"/>
      <c r="C119" s="37"/>
      <c r="D119" s="38"/>
      <c r="E119" s="39"/>
      <c r="F119" s="40"/>
      <c r="G119" s="95" t="str">
        <f>IFERROR(IF(venta_a_mes5[[#This Row],[CUIT]]="","-",VLOOKUP(venta_a_mes5[[#This Row],[CUIT]],Lista_CUIT[#All],2,0)),"CUIT NO CARGADO")</f>
        <v>-</v>
      </c>
      <c r="H119" s="96"/>
      <c r="I119" s="97">
        <f>venta_a_mes5[[#This Row],[IMPORTE NETO]]*0.21</f>
        <v>0</v>
      </c>
      <c r="J119" s="61"/>
      <c r="K119" s="61"/>
      <c r="L119" s="61">
        <f>SUM(venta_a_mes5[[#This Row],[IMPORTE NETO]:[EXENTO]])</f>
        <v>0</v>
      </c>
      <c r="M119" s="55"/>
    </row>
    <row r="120" spans="2:13" x14ac:dyDescent="0.3">
      <c r="B120" s="36"/>
      <c r="C120" s="37"/>
      <c r="D120" s="38"/>
      <c r="E120" s="39"/>
      <c r="F120" s="40"/>
      <c r="G120" s="95" t="str">
        <f>IFERROR(IF(venta_a_mes5[[#This Row],[CUIT]]="","-",VLOOKUP(venta_a_mes5[[#This Row],[CUIT]],Lista_CUIT[#All],2,0)),"CUIT NO CARGADO")</f>
        <v>-</v>
      </c>
      <c r="H120" s="96"/>
      <c r="I120" s="97">
        <f>venta_a_mes5[[#This Row],[IMPORTE NETO]]*0.21</f>
        <v>0</v>
      </c>
      <c r="J120" s="61"/>
      <c r="K120" s="61"/>
      <c r="L120" s="61">
        <f>SUM(venta_a_mes5[[#This Row],[IMPORTE NETO]:[EXENTO]])</f>
        <v>0</v>
      </c>
      <c r="M120" s="55"/>
    </row>
    <row r="121" spans="2:13" x14ac:dyDescent="0.3">
      <c r="B121" s="36"/>
      <c r="C121" s="37"/>
      <c r="D121" s="38"/>
      <c r="E121" s="39"/>
      <c r="F121" s="40"/>
      <c r="G121" s="95" t="str">
        <f>IFERROR(IF(venta_a_mes5[[#This Row],[CUIT]]="","-",VLOOKUP(venta_a_mes5[[#This Row],[CUIT]],Lista_CUIT[#All],2,0)),"CUIT NO CARGADO")</f>
        <v>-</v>
      </c>
      <c r="H121" s="96"/>
      <c r="I121" s="97">
        <f>venta_a_mes5[[#This Row],[IMPORTE NETO]]*0.21</f>
        <v>0</v>
      </c>
      <c r="J121" s="61"/>
      <c r="K121" s="61"/>
      <c r="L121" s="61">
        <f>SUM(venta_a_mes5[[#This Row],[IMPORTE NETO]:[EXENTO]])</f>
        <v>0</v>
      </c>
      <c r="M121" s="55"/>
    </row>
    <row r="122" spans="2:13" x14ac:dyDescent="0.3">
      <c r="B122" s="36"/>
      <c r="C122" s="37"/>
      <c r="D122" s="38"/>
      <c r="E122" s="39"/>
      <c r="F122" s="40"/>
      <c r="G122" s="95" t="str">
        <f>IFERROR(IF(venta_a_mes5[[#This Row],[CUIT]]="","-",VLOOKUP(venta_a_mes5[[#This Row],[CUIT]],Lista_CUIT[#All],2,0)),"CUIT NO CARGADO")</f>
        <v>-</v>
      </c>
      <c r="H122" s="96"/>
      <c r="I122" s="97">
        <f>venta_a_mes5[[#This Row],[IMPORTE NETO]]*0.21</f>
        <v>0</v>
      </c>
      <c r="J122" s="61"/>
      <c r="K122" s="61"/>
      <c r="L122" s="61">
        <f>SUM(venta_a_mes5[[#This Row],[IMPORTE NETO]:[EXENTO]])</f>
        <v>0</v>
      </c>
      <c r="M122" s="55"/>
    </row>
    <row r="123" spans="2:13" x14ac:dyDescent="0.3">
      <c r="B123" s="36"/>
      <c r="C123" s="37"/>
      <c r="D123" s="38"/>
      <c r="E123" s="39"/>
      <c r="F123" s="40"/>
      <c r="G123" s="95" t="str">
        <f>IFERROR(IF(venta_a_mes5[[#This Row],[CUIT]]="","-",VLOOKUP(venta_a_mes5[[#This Row],[CUIT]],Lista_CUIT[#All],2,0)),"CUIT NO CARGADO")</f>
        <v>-</v>
      </c>
      <c r="H123" s="96"/>
      <c r="I123" s="97">
        <f>venta_a_mes5[[#This Row],[IMPORTE NETO]]*0.21</f>
        <v>0</v>
      </c>
      <c r="J123" s="61"/>
      <c r="K123" s="61"/>
      <c r="L123" s="61">
        <f>SUM(venta_a_mes5[[#This Row],[IMPORTE NETO]:[EXENTO]])</f>
        <v>0</v>
      </c>
      <c r="M123" s="55"/>
    </row>
    <row r="124" spans="2:13" x14ac:dyDescent="0.3">
      <c r="B124" s="36"/>
      <c r="C124" s="37"/>
      <c r="D124" s="38"/>
      <c r="E124" s="39"/>
      <c r="F124" s="40"/>
      <c r="G124" s="95" t="str">
        <f>IFERROR(IF(venta_a_mes5[[#This Row],[CUIT]]="","-",VLOOKUP(venta_a_mes5[[#This Row],[CUIT]],Lista_CUIT[#All],2,0)),"CUIT NO CARGADO")</f>
        <v>-</v>
      </c>
      <c r="H124" s="96"/>
      <c r="I124" s="97">
        <f>venta_a_mes5[[#This Row],[IMPORTE NETO]]*0.21</f>
        <v>0</v>
      </c>
      <c r="J124" s="61"/>
      <c r="K124" s="61"/>
      <c r="L124" s="61">
        <f>SUM(venta_a_mes5[[#This Row],[IMPORTE NETO]:[EXENTO]])</f>
        <v>0</v>
      </c>
      <c r="M124" s="55"/>
    </row>
    <row r="125" spans="2:13" x14ac:dyDescent="0.3">
      <c r="B125" s="36"/>
      <c r="C125" s="37"/>
      <c r="D125" s="38"/>
      <c r="E125" s="39"/>
      <c r="F125" s="40"/>
      <c r="G125" s="95" t="str">
        <f>IFERROR(IF(venta_a_mes5[[#This Row],[CUIT]]="","-",VLOOKUP(venta_a_mes5[[#This Row],[CUIT]],Lista_CUIT[#All],2,0)),"CUIT NO CARGADO")</f>
        <v>-</v>
      </c>
      <c r="H125" s="96"/>
      <c r="I125" s="97">
        <f>venta_a_mes5[[#This Row],[IMPORTE NETO]]*0.21</f>
        <v>0</v>
      </c>
      <c r="J125" s="61"/>
      <c r="K125" s="61"/>
      <c r="L125" s="61">
        <f>SUM(venta_a_mes5[[#This Row],[IMPORTE NETO]:[EXENTO]])</f>
        <v>0</v>
      </c>
      <c r="M125" s="59"/>
    </row>
    <row r="126" spans="2:13" x14ac:dyDescent="0.3">
      <c r="B126" s="98"/>
      <c r="C126" s="99"/>
      <c r="D126" s="100"/>
      <c r="E126" s="101"/>
      <c r="F126" s="102"/>
      <c r="G126" s="95" t="str">
        <f>IFERROR(IF(venta_a_mes5[[#This Row],[CUIT]]="","-",VLOOKUP(venta_a_mes5[[#This Row],[CUIT]],Lista_CUIT[#All],2,0)),"CUIT NO CARGADO")</f>
        <v>-</v>
      </c>
      <c r="H126" s="103"/>
      <c r="I126" s="104">
        <f>venta_a_mes5[[#This Row],[IMPORTE NETO]]*0.21</f>
        <v>0</v>
      </c>
      <c r="J126" s="68"/>
      <c r="K126" s="68"/>
      <c r="L126" s="68">
        <f>SUM(venta_a_mes5[[#This Row],[IMPORTE NETO]:[EXENTO]])</f>
        <v>0</v>
      </c>
      <c r="M126" s="59"/>
    </row>
    <row r="127" spans="2:13" x14ac:dyDescent="0.3">
      <c r="B127" s="105"/>
      <c r="C127" s="106"/>
      <c r="D127" s="107"/>
      <c r="E127" s="108"/>
      <c r="F127" s="109"/>
      <c r="G127" s="95" t="str">
        <f>IFERROR(IF(venta_a_mes5[[#This Row],[CUIT]]="","-",VLOOKUP(venta_a_mes5[[#This Row],[CUIT]],Lista_CUIT[#All],2,0)),"CUIT NO CARGADO")</f>
        <v>-</v>
      </c>
      <c r="H127" s="96"/>
      <c r="I127" s="97">
        <f>venta_a_mes5[[#This Row],[IMPORTE NETO]]*0.21</f>
        <v>0</v>
      </c>
      <c r="J127" s="61"/>
      <c r="K127" s="61"/>
      <c r="L127" s="61">
        <f>SUM(venta_a_mes5[[#This Row],[IMPORTE NETO]:[EXENTO]])</f>
        <v>0</v>
      </c>
      <c r="M127" s="55"/>
    </row>
    <row r="128" spans="2:13" x14ac:dyDescent="0.3">
      <c r="B128" s="62" t="s">
        <v>83</v>
      </c>
      <c r="C128" s="63"/>
      <c r="D128" s="63"/>
      <c r="E128" s="63"/>
      <c r="F128" s="63"/>
      <c r="G128" s="63"/>
      <c r="H128" s="65">
        <f>SUBTOTAL(109,venta_a_mes5[IMPORTE NETO])</f>
        <v>0</v>
      </c>
      <c r="I128" s="66">
        <f>SUBTOTAL(109,venta_a_mes5[IVA 21%])</f>
        <v>0</v>
      </c>
      <c r="J128" s="67">
        <f>SUBTOTAL(109,venta_a_mes5[IVA 10,5%])</f>
        <v>0</v>
      </c>
      <c r="K128" s="67">
        <f>SUBTOTAL(109,venta_a_mes5[EXENTO])</f>
        <v>0</v>
      </c>
      <c r="L128" s="67">
        <f>SUBTOTAL(109,venta_a_mes5[TOTAL])</f>
        <v>0</v>
      </c>
      <c r="M128" s="64">
        <f>SUBTOTAL(103,venta_a_mes5[Provincia])</f>
        <v>0</v>
      </c>
    </row>
    <row r="131" spans="2:13" ht="21" x14ac:dyDescent="0.3">
      <c r="B131" s="449" t="s">
        <v>31</v>
      </c>
      <c r="C131" s="449"/>
    </row>
    <row r="132" spans="2:13" ht="15.6" x14ac:dyDescent="0.3">
      <c r="B132" s="56" t="s">
        <v>0</v>
      </c>
      <c r="C132" s="57" t="s">
        <v>1</v>
      </c>
      <c r="D132" s="57" t="s">
        <v>21</v>
      </c>
      <c r="E132" s="57" t="s">
        <v>22</v>
      </c>
      <c r="F132" s="57" t="s">
        <v>3</v>
      </c>
      <c r="G132" s="57" t="s">
        <v>4</v>
      </c>
      <c r="H132" s="57" t="s">
        <v>23</v>
      </c>
      <c r="I132" s="57" t="s">
        <v>17</v>
      </c>
      <c r="J132" s="57" t="s">
        <v>7</v>
      </c>
      <c r="K132" s="57" t="s">
        <v>24</v>
      </c>
      <c r="L132" s="57" t="s">
        <v>10</v>
      </c>
      <c r="M132" s="58" t="s">
        <v>38</v>
      </c>
    </row>
    <row r="133" spans="2:13" x14ac:dyDescent="0.3">
      <c r="B133" s="36"/>
      <c r="C133" s="37"/>
      <c r="D133" s="38"/>
      <c r="E133" s="39"/>
      <c r="F133" s="40"/>
      <c r="G133" s="1" t="str">
        <f>IFERROR(IF(ventas_b_mes5[[#This Row],[CUIT]]="","-",VLOOKUP(ventas_b_mes5[[#This Row],[CUIT]],Lista_CUIT[#All],2,0)),"CUIT NO CARGADO")</f>
        <v>-</v>
      </c>
      <c r="H133" s="60"/>
      <c r="I133" s="60"/>
      <c r="J133" s="60"/>
      <c r="K133" s="60"/>
      <c r="L133" s="60">
        <f>SUM(ventas_b_mes5[[#This Row],[IMPORTE NETO]:[EXENTO]])</f>
        <v>0</v>
      </c>
      <c r="M133" s="55"/>
    </row>
    <row r="134" spans="2:13" x14ac:dyDescent="0.3">
      <c r="B134" s="36"/>
      <c r="C134" s="37"/>
      <c r="D134" s="38"/>
      <c r="E134" s="39"/>
      <c r="F134" s="40"/>
      <c r="G134" s="1"/>
      <c r="H134" s="60"/>
      <c r="I134" s="60"/>
      <c r="J134" s="60"/>
      <c r="K134" s="60"/>
      <c r="L134" s="60">
        <f>SUM(ventas_b_mes5[[#This Row],[IMPORTE NETO]:[EXENTO]])</f>
        <v>0</v>
      </c>
      <c r="M134" s="55"/>
    </row>
    <row r="135" spans="2:13" x14ac:dyDescent="0.3">
      <c r="B135" s="36"/>
      <c r="C135" s="37"/>
      <c r="D135" s="38"/>
      <c r="E135" s="39"/>
      <c r="F135" s="40"/>
      <c r="G135" s="1"/>
      <c r="H135" s="60"/>
      <c r="I135" s="60"/>
      <c r="J135" s="60"/>
      <c r="K135" s="60"/>
      <c r="L135" s="60">
        <f>SUM(ventas_b_mes5[[#This Row],[IMPORTE NETO]:[EXENTO]])</f>
        <v>0</v>
      </c>
      <c r="M135" s="55"/>
    </row>
    <row r="136" spans="2:13" x14ac:dyDescent="0.3">
      <c r="B136" s="36"/>
      <c r="C136" s="37"/>
      <c r="D136" s="38"/>
      <c r="E136" s="39"/>
      <c r="F136" s="40"/>
      <c r="G136" s="1"/>
      <c r="H136" s="60"/>
      <c r="I136" s="60"/>
      <c r="J136" s="60"/>
      <c r="K136" s="60"/>
      <c r="L136" s="60">
        <f>SUM(ventas_b_mes5[[#This Row],[IMPORTE NETO]:[EXENTO]])</f>
        <v>0</v>
      </c>
      <c r="M136" s="55"/>
    </row>
    <row r="137" spans="2:13" x14ac:dyDescent="0.3">
      <c r="B137" s="36"/>
      <c r="C137" s="37"/>
      <c r="D137" s="38"/>
      <c r="E137" s="39"/>
      <c r="F137" s="40"/>
      <c r="G137" s="1"/>
      <c r="H137" s="60"/>
      <c r="I137" s="60"/>
      <c r="J137" s="60"/>
      <c r="K137" s="60"/>
      <c r="L137" s="60">
        <f>SUM(ventas_b_mes5[[#This Row],[IMPORTE NETO]:[EXENTO]])</f>
        <v>0</v>
      </c>
      <c r="M137" s="55"/>
    </row>
    <row r="138" spans="2:13" x14ac:dyDescent="0.3">
      <c r="B138" s="36"/>
      <c r="C138" s="37"/>
      <c r="D138" s="38"/>
      <c r="E138" s="39"/>
      <c r="F138" s="40"/>
      <c r="G138" s="1"/>
      <c r="H138" s="60"/>
      <c r="I138" s="60"/>
      <c r="J138" s="60"/>
      <c r="K138" s="60"/>
      <c r="L138" s="60">
        <f>SUM(ventas_b_mes5[[#This Row],[IMPORTE NETO]:[EXENTO]])</f>
        <v>0</v>
      </c>
      <c r="M138" s="55"/>
    </row>
    <row r="139" spans="2:13" x14ac:dyDescent="0.3">
      <c r="B139" s="62" t="s">
        <v>83</v>
      </c>
      <c r="C139" s="63"/>
      <c r="D139" s="63"/>
      <c r="E139" s="63"/>
      <c r="F139" s="63"/>
      <c r="G139" s="63"/>
      <c r="H139" s="73">
        <f>SUBTOTAL(109,ventas_b_mes5[IMPORTE NETO])</f>
        <v>0</v>
      </c>
      <c r="I139" s="73">
        <f>SUBTOTAL(109,ventas_b_mes5[IVA 21%])</f>
        <v>0</v>
      </c>
      <c r="J139" s="74">
        <f>SUBTOTAL(109,ventas_b_mes5[IVA 10,5%])</f>
        <v>0</v>
      </c>
      <c r="K139" s="74">
        <f>SUBTOTAL(109,ventas_b_mes5[EXENTO])</f>
        <v>0</v>
      </c>
      <c r="L139" s="74">
        <f>SUBTOTAL(109,ventas_b_mes5[TOTAL])</f>
        <v>0</v>
      </c>
      <c r="M139" s="64">
        <f>SUBTOTAL(103,ventas_b_mes5[Provincia])</f>
        <v>0</v>
      </c>
    </row>
    <row r="146" spans="3:12" ht="15" thickBot="1" x14ac:dyDescent="0.35"/>
    <row r="147" spans="3:12" ht="15" thickTop="1" x14ac:dyDescent="0.3">
      <c r="C147" s="447" t="s">
        <v>48</v>
      </c>
      <c r="D147" s="447"/>
      <c r="E147" s="447"/>
      <c r="F147" s="447"/>
      <c r="G147" s="447"/>
      <c r="H147" s="29"/>
      <c r="I147" s="29"/>
      <c r="J147" s="29"/>
    </row>
    <row r="148" spans="3:12" ht="15.6" x14ac:dyDescent="0.3">
      <c r="C148" s="110" t="s">
        <v>49</v>
      </c>
      <c r="D148" s="111" t="s">
        <v>50</v>
      </c>
      <c r="E148" s="111" t="s">
        <v>85</v>
      </c>
      <c r="F148" s="111" t="s">
        <v>3</v>
      </c>
      <c r="G148" s="111" t="s">
        <v>4</v>
      </c>
      <c r="H148" s="112" t="s">
        <v>51</v>
      </c>
      <c r="I148" s="112" t="s">
        <v>52</v>
      </c>
      <c r="J148" s="112" t="s">
        <v>53</v>
      </c>
      <c r="K148" s="112" t="s">
        <v>54</v>
      </c>
      <c r="L148" s="112" t="s">
        <v>55</v>
      </c>
    </row>
    <row r="149" spans="3:12" x14ac:dyDescent="0.3">
      <c r="C149" s="113"/>
      <c r="D149" s="114"/>
      <c r="E149" s="114"/>
      <c r="F149" s="115"/>
      <c r="G149" s="49" t="str">
        <f>IFERROR(IF(Retenciones_mes5[[#This Row],[CUIT]]="","-",VLOOKUP(Retenciones_mes5[[#This Row],[CUIT]],Lista_CUIT[#All],2,0)),"CUIT NO CARGADO")</f>
        <v>-</v>
      </c>
      <c r="H149" s="116"/>
      <c r="I149" s="116"/>
      <c r="J149" s="116"/>
      <c r="K149" s="116"/>
      <c r="L149" s="116"/>
    </row>
    <row r="150" spans="3:12" x14ac:dyDescent="0.3">
      <c r="C150" s="113"/>
      <c r="D150" s="114"/>
      <c r="E150" s="114"/>
      <c r="F150" s="115"/>
      <c r="G150" s="49" t="str">
        <f>IFERROR(IF(Retenciones_mes5[[#This Row],[CUIT]]="","-",VLOOKUP(Retenciones_mes5[[#This Row],[CUIT]],Lista_CUIT[#All],2,0)),"CUIT NO CARGADO")</f>
        <v>-</v>
      </c>
      <c r="H150" s="116"/>
      <c r="I150" s="116"/>
      <c r="J150" s="116"/>
      <c r="K150" s="116"/>
      <c r="L150" s="116"/>
    </row>
    <row r="151" spans="3:12" x14ac:dyDescent="0.3">
      <c r="C151" s="113"/>
      <c r="D151" s="114"/>
      <c r="E151" s="114"/>
      <c r="F151" s="115"/>
      <c r="G151" s="49" t="str">
        <f>IFERROR(IF(Retenciones_mes5[[#This Row],[CUIT]]="","-",VLOOKUP(Retenciones_mes5[[#This Row],[CUIT]],Lista_CUIT[#All],2,0)),"CUIT NO CARGADO")</f>
        <v>-</v>
      </c>
      <c r="H151" s="116"/>
      <c r="I151" s="116"/>
      <c r="J151" s="116"/>
      <c r="K151" s="116"/>
      <c r="L151" s="116"/>
    </row>
    <row r="152" spans="3:12" x14ac:dyDescent="0.3">
      <c r="C152" s="113"/>
      <c r="D152" s="114"/>
      <c r="E152" s="114"/>
      <c r="F152" s="115"/>
      <c r="G152" s="49" t="str">
        <f>IFERROR(IF(Retenciones_mes5[[#This Row],[CUIT]]="","-",VLOOKUP(Retenciones_mes5[[#This Row],[CUIT]],Lista_CUIT[#All],2,0)),"CUIT NO CARGADO")</f>
        <v>-</v>
      </c>
      <c r="H152" s="116"/>
      <c r="I152" s="116"/>
      <c r="J152" s="116"/>
      <c r="K152" s="116"/>
      <c r="L152" s="116"/>
    </row>
    <row r="153" spans="3:12" x14ac:dyDescent="0.3">
      <c r="D153" s="114"/>
      <c r="E153" s="114"/>
      <c r="G153" s="49" t="str">
        <f>IFERROR(IF(Retenciones_mes5[[#This Row],[CUIT]]="","-",VLOOKUP(Retenciones_mes5[[#This Row],[CUIT]],Lista_CUIT[#All],2,0)),"CUIT NO CARGADO")</f>
        <v>-</v>
      </c>
    </row>
    <row r="154" spans="3:12" x14ac:dyDescent="0.3">
      <c r="C154" s="30"/>
    </row>
  </sheetData>
  <mergeCells count="20">
    <mergeCell ref="D86:M86"/>
    <mergeCell ref="C147:G147"/>
    <mergeCell ref="B4:E4"/>
    <mergeCell ref="G4:H4"/>
    <mergeCell ref="J4:K4"/>
    <mergeCell ref="M4:N4"/>
    <mergeCell ref="D103:K103"/>
    <mergeCell ref="B115:J115"/>
    <mergeCell ref="K115:M115"/>
    <mergeCell ref="B117:C117"/>
    <mergeCell ref="B131:C131"/>
    <mergeCell ref="P4:R4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133:L138">
      <formula1>IF($C133=8,H133&lt;0,H133&gt;=0)</formula1>
    </dataValidation>
    <dataValidation type="custom" allowBlank="1" showInputMessage="1" showErrorMessage="1" sqref="L121:L123">
      <formula1>IF($C13=3,L13&lt;0,L13&gt;=0)</formula1>
    </dataValidation>
    <dataValidation type="custom" allowBlank="1" showInputMessage="1" showErrorMessage="1" sqref="L119:L120">
      <formula1>IF($C9=3,L9&lt;0,L9&gt;=0)</formula1>
    </dataValidation>
    <dataValidation type="whole" allowBlank="1" showInputMessage="1" showErrorMessage="1" sqref="C133:C138">
      <formula1>6</formula1>
      <formula2>8</formula2>
    </dataValidation>
    <dataValidation type="custom" allowBlank="1" showInputMessage="1" showErrorMessage="1" sqref="H119:K119 H121:K121 H123:K123 H125:K125">
      <formula1>IF($C119=3,H119&lt;0,H119&gt;=0)</formula1>
    </dataValidation>
    <dataValidation type="whole" allowBlank="1" showInputMessage="1" showErrorMessage="1" sqref="C9:C80 C119:C127 C82:C85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80">
      <formula1>IF($C9=3,H9&lt;0,H9&gt;=0)</formula1>
    </dataValidation>
    <dataValidation type="date" allowBlank="1" showInputMessage="1" showErrorMessage="1" sqref="B9:B80 B119:B127 B133:B138 D105:D110 B82:B85 D88:D97">
      <formula1>40179</formula1>
      <formula2>TODAY()</formula2>
    </dataValidation>
    <dataValidation type="whole" allowBlank="1" showInputMessage="1" showErrorMessage="1" sqref="F9:F80 F133:F138 F119:F127 G105:G110">
      <formula1>20000000000</formula1>
      <formula2>33999999999</formula2>
    </dataValidation>
    <dataValidation type="whole" allowBlank="1" showInputMessage="1" showErrorMessage="1" sqref="E9:E80 E133:E138 E119:E127 F105:F110">
      <formula1>1</formula1>
      <formula2>99999999</formula2>
    </dataValidation>
    <dataValidation type="whole" allowBlank="1" showInputMessage="1" showErrorMessage="1" sqref="D9:D80 D133:D138 D119:D127 E105:E110">
      <formula1>1</formula1>
      <formula2>9999</formula2>
    </dataValidation>
    <dataValidation type="custom" allowBlank="1" showInputMessage="1" showErrorMessage="1" sqref="L124:L125">
      <formula1>IF($C81=3,L81&lt;0,L81&gt;=0)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0.79998168889431442"/>
  </sheetPr>
  <dimension ref="A1:Z158"/>
  <sheetViews>
    <sheetView showGridLines="0" topLeftCell="D74" zoomScale="80" zoomScaleNormal="80" workbookViewId="0">
      <selection activeCell="D89" sqref="A89:XFD103"/>
    </sheetView>
  </sheetViews>
  <sheetFormatPr baseColWidth="10" defaultRowHeight="14.4" x14ac:dyDescent="0.3"/>
  <cols>
    <col min="1" max="1" width="1.6640625" customWidth="1"/>
    <col min="2" max="2" width="10.33203125" customWidth="1"/>
    <col min="3" max="3" width="9.5546875" customWidth="1"/>
    <col min="4" max="4" width="14" customWidth="1"/>
    <col min="5" max="5" width="13.109375" customWidth="1"/>
    <col min="6" max="6" width="15.88671875" customWidth="1"/>
    <col min="7" max="7" width="27.33203125" customWidth="1"/>
    <col min="8" max="8" width="16" customWidth="1"/>
    <col min="9" max="9" width="15.33203125" customWidth="1"/>
    <col min="10" max="11" width="14" customWidth="1"/>
    <col min="12" max="12" width="17" bestFit="1" customWidth="1"/>
    <col min="13" max="13" width="12" customWidth="1"/>
    <col min="14" max="14" width="18.6640625" customWidth="1"/>
    <col min="15" max="15" width="18.5546875" customWidth="1"/>
    <col min="16" max="16" width="19" customWidth="1"/>
    <col min="17" max="17" width="22.8867187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</cols>
  <sheetData>
    <row r="1" spans="1:26" ht="34.950000000000003" customHeight="1" x14ac:dyDescent="0.3">
      <c r="A1" s="33"/>
      <c r="B1" s="450" t="s">
        <v>28</v>
      </c>
      <c r="C1" s="450"/>
      <c r="D1" s="450"/>
      <c r="E1" s="450"/>
      <c r="F1" s="450"/>
      <c r="G1" s="457" t="str">
        <f>'Ene-22'!G1:M1</f>
        <v>EUROARGENTINA</v>
      </c>
      <c r="H1" s="457"/>
      <c r="I1" s="457"/>
      <c r="J1" s="457"/>
      <c r="K1" s="457"/>
      <c r="L1" s="457"/>
      <c r="M1" s="457"/>
      <c r="N1" s="448">
        <f>EDATE('Ene-22'!N1,5)</f>
        <v>44713</v>
      </c>
      <c r="O1" s="448"/>
      <c r="P1" s="448"/>
      <c r="Q1" s="448"/>
      <c r="R1" s="448"/>
    </row>
    <row r="2" spans="1:26" ht="15" customHeight="1" x14ac:dyDescent="0.3"/>
    <row r="3" spans="1:26" ht="26.4" customHeight="1" x14ac:dyDescent="0.3">
      <c r="B3" s="453" t="s">
        <v>47</v>
      </c>
      <c r="C3" s="453"/>
      <c r="D3" s="453"/>
      <c r="E3" s="453"/>
      <c r="F3" s="34"/>
      <c r="G3" s="453" t="s">
        <v>37</v>
      </c>
      <c r="H3" s="453"/>
      <c r="I3" s="34"/>
      <c r="J3" s="445" t="s">
        <v>14</v>
      </c>
      <c r="K3" s="445"/>
      <c r="L3" s="34"/>
      <c r="M3" s="445" t="s">
        <v>12</v>
      </c>
      <c r="N3" s="445"/>
      <c r="O3" s="34"/>
      <c r="P3" s="444" t="s">
        <v>82</v>
      </c>
      <c r="Q3" s="444"/>
      <c r="R3" s="444"/>
    </row>
    <row r="4" spans="1:26" ht="25.2" customHeight="1" x14ac:dyDescent="0.4">
      <c r="B4" s="454">
        <f>SUM(compras_mes6[[#Totals],[NETO GRAVADO]])+extracto_banco_mes155161719[[#Totals],[NETO]]</f>
        <v>7948712.0999999996</v>
      </c>
      <c r="C4" s="454"/>
      <c r="D4" s="454"/>
      <c r="E4" s="454"/>
      <c r="F4" s="35"/>
      <c r="G4" s="455">
        <f>compras_mes6[[#Totals],[IVA 21 %]]+compras_mes6[[#Totals],[IVA 27%]]+compras_mes6[[#Totals],[IVA 10,5%]]+extracto_banco_mes155161719[[#Totals],[IVA 21%]]+extracto_banco_mes155161719[[#Totals],[IVA 10,5%]]</f>
        <v>1648062.5899999996</v>
      </c>
      <c r="H4" s="455"/>
      <c r="I4" s="35"/>
      <c r="J4" s="446">
        <f>venta_a_mes6[[#Totals],[IMPORTE NETO]]+ventas_b_mes6[[#Totals],[IMPORTE NETO]]</f>
        <v>0</v>
      </c>
      <c r="K4" s="446"/>
      <c r="L4" s="35"/>
      <c r="M4" s="446">
        <f>venta_a_mes6[[#Totals],[IVA 21%]]+venta_a_mes6[[#Totals],[IVA 10,5%]]+ventas_b_mes6[[#Totals],[IVA 21%]]+ventas_b_mes6[[#Totals],[IVA 10,5%]]</f>
        <v>0</v>
      </c>
      <c r="N4" s="446"/>
      <c r="O4" s="35"/>
      <c r="P4" s="442">
        <f>G4-M4</f>
        <v>1648062.5899999996</v>
      </c>
      <c r="Q4" s="443"/>
      <c r="R4" s="44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36"/>
      <c r="C7" s="37"/>
      <c r="D7" s="38"/>
      <c r="E7" s="39"/>
      <c r="F7" s="40"/>
      <c r="G7" s="41"/>
      <c r="H7" s="42"/>
      <c r="I7" s="43"/>
      <c r="J7" s="43"/>
      <c r="K7" s="43"/>
      <c r="L7" s="43"/>
      <c r="M7" s="43"/>
      <c r="N7" s="43"/>
      <c r="O7" s="43"/>
      <c r="P7" s="44"/>
      <c r="Q7" s="45"/>
      <c r="R7" s="45"/>
      <c r="T7"/>
      <c r="U7"/>
      <c r="V7"/>
      <c r="W7"/>
      <c r="X7"/>
      <c r="Y7"/>
      <c r="Z7"/>
    </row>
    <row r="8" spans="1:26" ht="38.4" customHeight="1" x14ac:dyDescent="0.3">
      <c r="B8" s="80" t="s">
        <v>0</v>
      </c>
      <c r="C8" s="80" t="s">
        <v>1</v>
      </c>
      <c r="D8" s="80" t="s">
        <v>2</v>
      </c>
      <c r="E8" s="80" t="s">
        <v>27</v>
      </c>
      <c r="F8" s="80" t="s">
        <v>3</v>
      </c>
      <c r="G8" s="80" t="s">
        <v>4</v>
      </c>
      <c r="H8" s="80" t="s">
        <v>34</v>
      </c>
      <c r="I8" s="80" t="s">
        <v>35</v>
      </c>
      <c r="J8" s="80" t="s">
        <v>6</v>
      </c>
      <c r="K8" s="80" t="s">
        <v>7</v>
      </c>
      <c r="L8" s="80" t="s">
        <v>8</v>
      </c>
      <c r="M8" s="80" t="s">
        <v>33</v>
      </c>
      <c r="N8" s="80" t="s">
        <v>9</v>
      </c>
      <c r="O8" s="80" t="s">
        <v>36</v>
      </c>
      <c r="P8" s="80" t="s">
        <v>10</v>
      </c>
      <c r="Q8" s="80" t="s">
        <v>11</v>
      </c>
      <c r="R8" s="80" t="s">
        <v>38</v>
      </c>
    </row>
    <row r="9" spans="1:26" x14ac:dyDescent="0.3">
      <c r="B9" s="36">
        <v>44714</v>
      </c>
      <c r="C9" s="37">
        <v>1</v>
      </c>
      <c r="D9" s="38">
        <v>1</v>
      </c>
      <c r="E9" s="39">
        <v>258</v>
      </c>
      <c r="F9" s="40">
        <v>20131206144</v>
      </c>
      <c r="G9" s="41" t="str">
        <f>IFERROR(IF(compras_mes6[[#This Row],[CUIT]]="","-",VLOOKUP(compras_mes6[[#This Row],[CUIT]],Lista_CUIT[#All],2,0)),"CUIT NO CARGADO")</f>
        <v>CHAMORRO MANUEL</v>
      </c>
      <c r="H9" s="42">
        <v>18000</v>
      </c>
      <c r="I9" s="81">
        <v>3780</v>
      </c>
      <c r="J9" s="81"/>
      <c r="K9" s="81"/>
      <c r="L9" s="81"/>
      <c r="M9" s="81"/>
      <c r="N9" s="81"/>
      <c r="O9" s="81"/>
      <c r="P9" s="44">
        <v>21780</v>
      </c>
      <c r="Q9" s="45" t="str">
        <f>IFERROR(IF(compras_mes6[[#This Row],[CUIT]]="","-",VLOOKUP(compras_mes6[[#This Row],[CUIT]],Lista_CUIT[#All],3,0)),"CUIT NO CARGADO")</f>
        <v>Alquiler</v>
      </c>
      <c r="R9" s="45">
        <f>IFERROR(IF(compras_mes6[[#This Row],[CUIT]]="","-",VLOOKUP(compras_mes6[[#This Row],[CUIT]],Lista_CUIT[#All],4,0)),"CUIT NO CARGADO")</f>
        <v>0</v>
      </c>
    </row>
    <row r="10" spans="1:26" x14ac:dyDescent="0.3">
      <c r="B10" s="36">
        <v>44715</v>
      </c>
      <c r="C10" s="37">
        <v>1</v>
      </c>
      <c r="D10" s="38">
        <v>1</v>
      </c>
      <c r="E10" s="39">
        <v>37</v>
      </c>
      <c r="F10" s="40">
        <v>30716010313</v>
      </c>
      <c r="G10" s="41" t="str">
        <f>IFERROR(IF(compras_mes6[[#This Row],[CUIT]]="","-",VLOOKUP(compras_mes6[[#This Row],[CUIT]],Lista_CUIT[#All],2,0)),"CUIT NO CARGADO")</f>
        <v>H UNO 1469 S.A.</v>
      </c>
      <c r="H10" s="42">
        <v>32000</v>
      </c>
      <c r="I10" s="81">
        <v>6720</v>
      </c>
      <c r="J10" s="81"/>
      <c r="K10" s="81"/>
      <c r="L10" s="81"/>
      <c r="M10" s="81"/>
      <c r="N10" s="81"/>
      <c r="O10" s="81"/>
      <c r="P10" s="44">
        <v>38720</v>
      </c>
      <c r="Q10" s="45" t="str">
        <f>IFERROR(IF(compras_mes6[[#This Row],[CUIT]]="","-",VLOOKUP(compras_mes6[[#This Row],[CUIT]],Lista_CUIT[#All],3,0)),"CUIT NO CARGADO")</f>
        <v>Alquiler</v>
      </c>
      <c r="R10" s="45">
        <f>IFERROR(IF(compras_mes6[[#This Row],[CUIT]]="","-",VLOOKUP(compras_mes6[[#This Row],[CUIT]],Lista_CUIT[#All],4,0)),"CUIT NO CARGADO")</f>
        <v>0</v>
      </c>
    </row>
    <row r="11" spans="1:26" x14ac:dyDescent="0.3">
      <c r="B11" s="36">
        <v>44732</v>
      </c>
      <c r="C11" s="37">
        <v>1</v>
      </c>
      <c r="D11" s="38">
        <v>18</v>
      </c>
      <c r="E11" s="39">
        <v>1777</v>
      </c>
      <c r="F11" s="40">
        <v>30701367193</v>
      </c>
      <c r="G11" s="41" t="str">
        <f>IFERROR(IF(compras_mes6[[#This Row],[CUIT]]="","-",VLOOKUP(compras_mes6[[#This Row],[CUIT]],Lista_CUIT[#All],2,0)),"CUIT NO CARGADO")</f>
        <v>CUATRO  BOCAS  S.R.L.</v>
      </c>
      <c r="H11" s="91">
        <v>7245.85</v>
      </c>
      <c r="I11" s="82">
        <v>1521.63</v>
      </c>
      <c r="J11" s="82"/>
      <c r="K11" s="82"/>
      <c r="L11" s="82"/>
      <c r="M11" s="82"/>
      <c r="N11" s="82"/>
      <c r="O11" s="82">
        <v>833.33</v>
      </c>
      <c r="P11" s="83">
        <v>9600.81</v>
      </c>
      <c r="Q11" s="84" t="str">
        <f>IFERROR(IF(compras_mes6[[#This Row],[CUIT]]="","-",VLOOKUP(compras_mes6[[#This Row],[CUIT]],Lista_CUIT[#All],3,0)),"CUIT NO CARGADO")</f>
        <v>Combustible</v>
      </c>
      <c r="R11" s="84">
        <f>IFERROR(IF(compras_mes6[[#This Row],[CUIT]]="","-",VLOOKUP(compras_mes6[[#This Row],[CUIT]],Lista_CUIT[#All],4,0)),"CUIT NO CARGADO")</f>
        <v>0</v>
      </c>
    </row>
    <row r="12" spans="1:26" x14ac:dyDescent="0.3">
      <c r="B12" s="36">
        <v>44742</v>
      </c>
      <c r="C12" s="37">
        <v>1</v>
      </c>
      <c r="D12" s="38">
        <v>13</v>
      </c>
      <c r="E12" s="39">
        <v>2134</v>
      </c>
      <c r="F12" s="40">
        <v>30697289433</v>
      </c>
      <c r="G12" s="41" t="str">
        <f>IFERROR(IF(compras_mes6[[#This Row],[CUIT]]="","-",VLOOKUP(compras_mes6[[#This Row],[CUIT]],Lista_CUIT[#All],2,0)),"CUIT NO CARGADO")</f>
        <v>SOLACON  S. A.</v>
      </c>
      <c r="H12" s="91">
        <v>17772.599999999999</v>
      </c>
      <c r="I12" s="82">
        <v>3732.25</v>
      </c>
      <c r="J12" s="82"/>
      <c r="K12" s="82"/>
      <c r="L12" s="82"/>
      <c r="M12" s="82"/>
      <c r="N12" s="82">
        <v>2799.83</v>
      </c>
      <c r="O12" s="82">
        <v>51.34</v>
      </c>
      <c r="P12" s="83">
        <v>24356.02</v>
      </c>
      <c r="Q12" s="84" t="str">
        <f>IFERROR(IF(compras_mes6[[#This Row],[CUIT]]="","-",VLOOKUP(compras_mes6[[#This Row],[CUIT]],Lista_CUIT[#All],3,0)),"CUIT NO CARGADO")</f>
        <v>Combustible</v>
      </c>
      <c r="R12" s="84">
        <f>IFERROR(IF(compras_mes6[[#This Row],[CUIT]]="","-",VLOOKUP(compras_mes6[[#This Row],[CUIT]],Lista_CUIT[#All],4,0)),"CUIT NO CARGADO")</f>
        <v>0</v>
      </c>
    </row>
    <row r="13" spans="1:26" x14ac:dyDescent="0.3">
      <c r="B13" s="36">
        <v>44729</v>
      </c>
      <c r="C13" s="37">
        <v>1</v>
      </c>
      <c r="D13" s="38">
        <v>11</v>
      </c>
      <c r="E13" s="39">
        <v>52506</v>
      </c>
      <c r="F13" s="40">
        <v>30708391685</v>
      </c>
      <c r="G13" s="41" t="str">
        <f>IFERROR(IF(compras_mes6[[#This Row],[CUIT]]="","-",VLOOKUP(compras_mes6[[#This Row],[CUIT]],Lista_CUIT[#All],2,0)),"CUIT NO CARGADO")</f>
        <v>YPF  KN  248  S  R. L.</v>
      </c>
      <c r="H13" s="42">
        <v>4427.67</v>
      </c>
      <c r="I13" s="81">
        <v>929.81</v>
      </c>
      <c r="J13" s="81"/>
      <c r="K13" s="81"/>
      <c r="L13" s="81"/>
      <c r="M13" s="81"/>
      <c r="N13" s="81"/>
      <c r="O13" s="81">
        <v>942.88</v>
      </c>
      <c r="P13" s="44">
        <v>6300.36</v>
      </c>
      <c r="Q13" s="45" t="str">
        <f>IFERROR(IF(compras_mes6[[#This Row],[CUIT]]="","-",VLOOKUP(compras_mes6[[#This Row],[CUIT]],Lista_CUIT[#All],3,0)),"CUIT NO CARGADO")</f>
        <v>Combustible</v>
      </c>
      <c r="R13" s="45">
        <f>IFERROR(IF(compras_mes6[[#This Row],[CUIT]]="","-",VLOOKUP(compras_mes6[[#This Row],[CUIT]],Lista_CUIT[#All],4,0)),"CUIT NO CARGADO")</f>
        <v>0</v>
      </c>
    </row>
    <row r="14" spans="1:26" x14ac:dyDescent="0.3">
      <c r="B14" s="36">
        <v>44731</v>
      </c>
      <c r="C14" s="37">
        <v>1</v>
      </c>
      <c r="D14" s="38">
        <v>6862</v>
      </c>
      <c r="E14" s="39">
        <v>12154</v>
      </c>
      <c r="F14" s="40">
        <v>30678774495</v>
      </c>
      <c r="G14" s="41" t="str">
        <f>IFERROR(IF(compras_mes6[[#This Row],[CUIT]]="","-",VLOOKUP(compras_mes6[[#This Row],[CUIT]],Lista_CUIT[#All],2,0)),"CUIT NO CARGADO")</f>
        <v>OPER. DE EST. DE SERV. SA</v>
      </c>
      <c r="H14" s="42">
        <v>21040.9</v>
      </c>
      <c r="I14" s="81">
        <v>4418.59</v>
      </c>
      <c r="J14" s="81"/>
      <c r="K14" s="81"/>
      <c r="L14" s="81"/>
      <c r="M14" s="81"/>
      <c r="N14" s="81"/>
      <c r="O14" s="81">
        <v>4671.8</v>
      </c>
      <c r="P14" s="44">
        <v>30131.29</v>
      </c>
      <c r="Q14" s="45" t="str">
        <f>IFERROR(IF(compras_mes6[[#This Row],[CUIT]]="","-",VLOOKUP(compras_mes6[[#This Row],[CUIT]],Lista_CUIT[#All],3,0)),"CUIT NO CARGADO")</f>
        <v>Combustible</v>
      </c>
      <c r="R14" s="45">
        <f>IFERROR(IF(compras_mes6[[#This Row],[CUIT]]="","-",VLOOKUP(compras_mes6[[#This Row],[CUIT]],Lista_CUIT[#All],4,0)),"CUIT NO CARGADO")</f>
        <v>0</v>
      </c>
    </row>
    <row r="15" spans="1:26" x14ac:dyDescent="0.3">
      <c r="B15" s="36">
        <v>44732</v>
      </c>
      <c r="C15" s="37">
        <v>1</v>
      </c>
      <c r="D15" s="38">
        <v>21</v>
      </c>
      <c r="E15" s="39">
        <v>4557</v>
      </c>
      <c r="F15" s="40">
        <v>20130138005</v>
      </c>
      <c r="G15" s="41" t="str">
        <f>IFERROR(IF(compras_mes6[[#This Row],[CUIT]]="","-",VLOOKUP(compras_mes6[[#This Row],[CUIT]],Lista_CUIT[#All],2,0)),"CUIT NO CARGADO")</f>
        <v>YPF  KM  296</v>
      </c>
      <c r="H15" s="42">
        <v>4287.32</v>
      </c>
      <c r="I15" s="81">
        <v>900.34</v>
      </c>
      <c r="J15" s="81"/>
      <c r="K15" s="81"/>
      <c r="L15" s="81"/>
      <c r="M15" s="81"/>
      <c r="N15" s="81"/>
      <c r="O15" s="81">
        <v>912.99</v>
      </c>
      <c r="P15" s="44">
        <v>6100.65</v>
      </c>
      <c r="Q15" s="45" t="str">
        <f>IFERROR(IF(compras_mes6[[#This Row],[CUIT]]="","-",VLOOKUP(compras_mes6[[#This Row],[CUIT]],Lista_CUIT[#All],3,0)),"CUIT NO CARGADO")</f>
        <v>Combustible</v>
      </c>
      <c r="R15" s="45">
        <f>IFERROR(IF(compras_mes6[[#This Row],[CUIT]]="","-",VLOOKUP(compras_mes6[[#This Row],[CUIT]],Lista_CUIT[#All],4,0)),"CUIT NO CARGADO")</f>
        <v>0</v>
      </c>
    </row>
    <row r="16" spans="1:26" s="52" customFormat="1" ht="18.600000000000001" customHeight="1" x14ac:dyDescent="0.3">
      <c r="B16" s="36">
        <v>44737</v>
      </c>
      <c r="C16" s="37">
        <v>1</v>
      </c>
      <c r="D16" s="38">
        <v>12</v>
      </c>
      <c r="E16" s="39">
        <v>4448</v>
      </c>
      <c r="F16" s="40">
        <v>30696131003</v>
      </c>
      <c r="G16" s="41" t="str">
        <f>IFERROR(IF(compras_mes6[[#This Row],[CUIT]]="","-",VLOOKUP(compras_mes6[[#This Row],[CUIT]],Lista_CUIT[#All],2,0)),"CUIT NO CARGADO")</f>
        <v>PETROLFE  S.A.</v>
      </c>
      <c r="H16" s="91">
        <v>56277.27</v>
      </c>
      <c r="I16" s="82">
        <v>11818.23</v>
      </c>
      <c r="J16" s="82"/>
      <c r="K16" s="82"/>
      <c r="L16" s="82"/>
      <c r="M16" s="82"/>
      <c r="N16" s="82"/>
      <c r="O16" s="82">
        <v>12037.07</v>
      </c>
      <c r="P16" s="83">
        <v>80132.570000000007</v>
      </c>
      <c r="Q16" s="84" t="str">
        <f>IFERROR(IF(compras_mes6[[#This Row],[CUIT]]="","-",VLOOKUP(compras_mes6[[#This Row],[CUIT]],Lista_CUIT[#All],3,0)),"CUIT NO CARGADO")</f>
        <v>Combustible</v>
      </c>
      <c r="R16" s="84">
        <f>IFERROR(IF(compras_mes6[[#This Row],[CUIT]]="","-",VLOOKUP(compras_mes6[[#This Row],[CUIT]],Lista_CUIT[#All],4,0)),"CUIT NO CARGADO")</f>
        <v>0</v>
      </c>
    </row>
    <row r="17" spans="2:18" x14ac:dyDescent="0.3">
      <c r="B17" s="36">
        <v>44741</v>
      </c>
      <c r="C17" s="37">
        <v>1</v>
      </c>
      <c r="D17" s="38">
        <v>5056</v>
      </c>
      <c r="E17" s="39">
        <v>8634</v>
      </c>
      <c r="F17" s="40">
        <v>30695542476</v>
      </c>
      <c r="G17" s="41" t="str">
        <f>IFERROR(IF(compras_mes6[[#This Row],[CUIT]]="","-",VLOOKUP(compras_mes6[[#This Row],[CUIT]],Lista_CUIT[#All],2,0)),"CUIT NO CARGADO")</f>
        <v>PAN  AMERICAN  ENERGY  SL  S.AR</v>
      </c>
      <c r="H17" s="377">
        <v>1709.09</v>
      </c>
      <c r="I17">
        <v>358.91</v>
      </c>
      <c r="P17" s="377">
        <v>2068</v>
      </c>
      <c r="Q17" s="45" t="str">
        <f>IFERROR(IF(compras_mes6[[#This Row],[CUIT]]="","-",VLOOKUP(compras_mes6[[#This Row],[CUIT]],Lista_CUIT[#All],3,0)),"CUIT NO CARGADO")</f>
        <v>Combustible</v>
      </c>
      <c r="R17" s="45">
        <f>IFERROR(IF(compras_mes6[[#This Row],[CUIT]]="","-",VLOOKUP(compras_mes6[[#This Row],[CUIT]],Lista_CUIT[#All],4,0)),"CUIT NO CARGADO")</f>
        <v>0</v>
      </c>
    </row>
    <row r="18" spans="2:18" x14ac:dyDescent="0.3">
      <c r="B18" s="36">
        <v>44742</v>
      </c>
      <c r="C18" s="37">
        <v>1</v>
      </c>
      <c r="D18" s="38">
        <v>20</v>
      </c>
      <c r="E18" s="39">
        <v>3745</v>
      </c>
      <c r="F18" s="40">
        <v>30515800219</v>
      </c>
      <c r="G18" s="41" t="str">
        <f>IFERROR(IF(compras_mes6[[#This Row],[CUIT]]="","-",VLOOKUP(compras_mes6[[#This Row],[CUIT]],Lista_CUIT[#All],2,0)),"CUIT NO CARGADO")</f>
        <v>INCAT SRL</v>
      </c>
      <c r="H18" s="94">
        <v>8670.36</v>
      </c>
      <c r="I18" s="94">
        <v>1820.78</v>
      </c>
      <c r="J18" s="94"/>
      <c r="K18" s="94"/>
      <c r="L18" s="94"/>
      <c r="M18" s="94"/>
      <c r="N18" s="94"/>
      <c r="O18" s="94" t="s">
        <v>2886</v>
      </c>
      <c r="P18" s="94">
        <v>10491.14</v>
      </c>
      <c r="Q18" s="45" t="str">
        <f>IFERROR(IF(compras_mes6[[#This Row],[CUIT]]="","-",VLOOKUP(compras_mes6[[#This Row],[CUIT]],Lista_CUIT[#All],3,0)),"CUIT NO CARGADO")</f>
        <v>Combustible</v>
      </c>
      <c r="R18" s="45">
        <f>IFERROR(IF(compras_mes6[[#This Row],[CUIT]]="","-",VLOOKUP(compras_mes6[[#This Row],[CUIT]],Lista_CUIT[#All],4,0)),"CUIT NO CARGADO")</f>
        <v>0</v>
      </c>
    </row>
    <row r="19" spans="2:18" x14ac:dyDescent="0.3">
      <c r="B19" s="36">
        <v>44720</v>
      </c>
      <c r="C19" s="37">
        <v>1</v>
      </c>
      <c r="D19" s="38">
        <v>5</v>
      </c>
      <c r="E19" s="39">
        <v>2970</v>
      </c>
      <c r="F19" s="40">
        <v>30714734446</v>
      </c>
      <c r="G19" s="41" t="str">
        <f>IFERROR(IF(compras_mes6[[#This Row],[CUIT]]="","-",VLOOKUP(compras_mes6[[#This Row],[CUIT]],Lista_CUIT[#All],2,0)),"CUIT NO CARGADO")</f>
        <v>GANADERA EL 13 S.R.L</v>
      </c>
      <c r="H19" s="94">
        <v>4080.49</v>
      </c>
      <c r="I19" s="94">
        <v>856.9</v>
      </c>
      <c r="J19" s="94"/>
      <c r="K19" s="94"/>
      <c r="L19" s="94"/>
      <c r="M19" s="94"/>
      <c r="N19" s="94"/>
      <c r="O19" s="94"/>
      <c r="P19" s="94">
        <v>4937.3900000000003</v>
      </c>
      <c r="Q19" s="45" t="str">
        <f>IFERROR(IF(compras_mes6[[#This Row],[CUIT]]="","-",VLOOKUP(compras_mes6[[#This Row],[CUIT]],Lista_CUIT[#All],3,0)),"CUIT NO CARGADO")</f>
        <v>Comida</v>
      </c>
      <c r="R19" s="45">
        <f>IFERROR(IF(compras_mes6[[#This Row],[CUIT]]="","-",VLOOKUP(compras_mes6[[#This Row],[CUIT]],Lista_CUIT[#All],4,0)),"CUIT NO CARGADO")</f>
        <v>0</v>
      </c>
    </row>
    <row r="20" spans="2:18" ht="14.4" customHeight="1" x14ac:dyDescent="0.3">
      <c r="B20" s="36">
        <v>44733</v>
      </c>
      <c r="C20" s="37">
        <v>1</v>
      </c>
      <c r="D20" s="38">
        <v>5</v>
      </c>
      <c r="E20" s="39">
        <v>2984</v>
      </c>
      <c r="F20" s="40">
        <v>30714734446</v>
      </c>
      <c r="G20" s="41" t="str">
        <f>IFERROR(IF(compras_mes6[[#This Row],[CUIT]]="","-",VLOOKUP(compras_mes6[[#This Row],[CUIT]],Lista_CUIT[#All],2,0)),"CUIT NO CARGADO")</f>
        <v>GANADERA EL 13 S.R.L</v>
      </c>
      <c r="H20" s="94">
        <v>1932.03</v>
      </c>
      <c r="I20" s="94">
        <v>405.73</v>
      </c>
      <c r="J20" s="94"/>
      <c r="K20" s="94"/>
      <c r="L20" s="94"/>
      <c r="M20" s="94"/>
      <c r="N20" s="94"/>
      <c r="O20" s="94"/>
      <c r="P20" s="94">
        <v>2337.7600000000002</v>
      </c>
      <c r="Q20" s="45" t="str">
        <f>IFERROR(IF(compras_mes6[[#This Row],[CUIT]]="","-",VLOOKUP(compras_mes6[[#This Row],[CUIT]],Lista_CUIT[#All],3,0)),"CUIT NO CARGADO")</f>
        <v>Comida</v>
      </c>
      <c r="R20" s="45">
        <f>IFERROR(IF(compras_mes6[[#This Row],[CUIT]]="","-",VLOOKUP(compras_mes6[[#This Row],[CUIT]],Lista_CUIT[#All],4,0)),"CUIT NO CARGADO")</f>
        <v>0</v>
      </c>
    </row>
    <row r="21" spans="2:18" x14ac:dyDescent="0.3">
      <c r="B21" s="36">
        <v>44719</v>
      </c>
      <c r="C21" s="37">
        <v>1</v>
      </c>
      <c r="D21" s="38">
        <v>1667</v>
      </c>
      <c r="E21" s="39">
        <v>17535</v>
      </c>
      <c r="F21" s="40">
        <v>30589621499</v>
      </c>
      <c r="G21" s="41" t="str">
        <f>IFERROR(IF(compras_mes6[[#This Row],[CUIT]]="","-",VLOOKUP(compras_mes6[[#This Row],[CUIT]],Lista_CUIT[#All],2,0)),"CUIT NO CARGADO")</f>
        <v>MAKRO SA</v>
      </c>
      <c r="H21" s="94">
        <v>13204.68</v>
      </c>
      <c r="I21" s="94">
        <v>2772.98</v>
      </c>
      <c r="J21" s="94"/>
      <c r="K21" s="94"/>
      <c r="L21" s="94"/>
      <c r="M21" s="94"/>
      <c r="N21" s="94">
        <v>792.28</v>
      </c>
      <c r="O21" s="94">
        <v>392.89</v>
      </c>
      <c r="P21" s="94">
        <v>17162.830000000002</v>
      </c>
      <c r="Q21" s="45" t="str">
        <f>IFERROR(IF(compras_mes6[[#This Row],[CUIT]]="","-",VLOOKUP(compras_mes6[[#This Row],[CUIT]],Lista_CUIT[#All],3,0)),"CUIT NO CARGADO")</f>
        <v>Comida-Limpieza</v>
      </c>
      <c r="R21" s="45">
        <f>IFERROR(IF(compras_mes6[[#This Row],[CUIT]]="","-",VLOOKUP(compras_mes6[[#This Row],[CUIT]],Lista_CUIT[#All],4,0)),"CUIT NO CARGADO")</f>
        <v>0</v>
      </c>
    </row>
    <row r="22" spans="2:18" x14ac:dyDescent="0.3">
      <c r="B22" s="36">
        <v>44734</v>
      </c>
      <c r="C22" s="37">
        <v>1</v>
      </c>
      <c r="D22" s="38">
        <v>6</v>
      </c>
      <c r="E22" s="39">
        <v>2270</v>
      </c>
      <c r="F22" s="40">
        <v>20134664518</v>
      </c>
      <c r="G22" s="41" t="str">
        <f>IFERROR(IF(compras_mes6[[#This Row],[CUIT]]="","-",VLOOKUP(compras_mes6[[#This Row],[CUIT]],Lista_CUIT[#All],2,0)),"CUIT NO CARGADO")</f>
        <v>HOKAMA SERGIO ENRIQUE</v>
      </c>
      <c r="H22" s="94">
        <v>13480.13</v>
      </c>
      <c r="I22" s="94">
        <v>2830.83</v>
      </c>
      <c r="J22" s="94"/>
      <c r="K22" s="94"/>
      <c r="L22" s="94"/>
      <c r="M22" s="94"/>
      <c r="N22" s="94"/>
      <c r="O22" s="94"/>
      <c r="P22" s="94">
        <v>16310.96</v>
      </c>
      <c r="Q22" s="45" t="str">
        <f>IFERROR(IF(compras_mes6[[#This Row],[CUIT]]="","-",VLOOKUP(compras_mes6[[#This Row],[CUIT]],Lista_CUIT[#All],3,0)),"CUIT NO CARGADO")</f>
        <v>Comida-Limpieza</v>
      </c>
      <c r="R22" s="45">
        <f>IFERROR(IF(compras_mes6[[#This Row],[CUIT]]="","-",VLOOKUP(compras_mes6[[#This Row],[CUIT]],Lista_CUIT[#All],4,0)),"CUIT NO CARGADO")</f>
        <v>0</v>
      </c>
    </row>
    <row r="23" spans="2:18" ht="14.4" customHeight="1" x14ac:dyDescent="0.3">
      <c r="B23" s="36">
        <v>44728</v>
      </c>
      <c r="C23" s="37">
        <v>1</v>
      </c>
      <c r="D23" s="38">
        <v>5</v>
      </c>
      <c r="E23" s="39">
        <v>21625</v>
      </c>
      <c r="F23" s="40">
        <v>30715124919</v>
      </c>
      <c r="G23" s="41" t="str">
        <f>IFERROR(IF(compras_mes6[[#This Row],[CUIT]]="","-",VLOOKUP(compras_mes6[[#This Row],[CUIT]],Lista_CUIT[#All],2,0)),"CUIT NO CARGADO")</f>
        <v>CLEAN LAB SRL</v>
      </c>
      <c r="H23" s="94">
        <v>8755.7000000000007</v>
      </c>
      <c r="I23" s="94">
        <v>1838.7</v>
      </c>
      <c r="J23" s="94"/>
      <c r="K23" s="94"/>
      <c r="L23" s="94"/>
      <c r="M23" s="94"/>
      <c r="N23" s="94"/>
      <c r="O23" s="94"/>
      <c r="P23" s="94">
        <v>10594.4</v>
      </c>
      <c r="Q23" s="45" t="str">
        <f>IFERROR(IF(compras_mes6[[#This Row],[CUIT]]="","-",VLOOKUP(compras_mes6[[#This Row],[CUIT]],Lista_CUIT[#All],3,0)),"CUIT NO CARGADO")</f>
        <v>Comida-Limpieza</v>
      </c>
      <c r="R23" s="45">
        <f>IFERROR(IF(compras_mes6[[#This Row],[CUIT]]="","-",VLOOKUP(compras_mes6[[#This Row],[CUIT]],Lista_CUIT[#All],4,0)),"CUIT NO CARGADO")</f>
        <v>0</v>
      </c>
    </row>
    <row r="24" spans="2:18" ht="14.4" customHeight="1" x14ac:dyDescent="0.3">
      <c r="B24" s="36">
        <v>44739</v>
      </c>
      <c r="C24" s="37">
        <v>1</v>
      </c>
      <c r="D24" s="38">
        <v>7</v>
      </c>
      <c r="E24" s="39">
        <v>22644346</v>
      </c>
      <c r="F24" s="40">
        <v>30574816870</v>
      </c>
      <c r="G24" s="41" t="str">
        <f>IFERROR(IF(compras_mes6[[#This Row],[CUIT]]="","-",VLOOKUP(compras_mes6[[#This Row],[CUIT]],Lista_CUIT[#All],2,0)),"CUIT NO CARGADO")</f>
        <v>AMERICAN  EXPRES  S.A.</v>
      </c>
      <c r="H24" s="94">
        <v>7662.76</v>
      </c>
      <c r="I24" s="94">
        <v>1609.18</v>
      </c>
      <c r="J24" s="94"/>
      <c r="K24" s="94"/>
      <c r="L24" s="94"/>
      <c r="M24" s="94"/>
      <c r="N24" s="94" t="s">
        <v>2887</v>
      </c>
      <c r="O24" s="94">
        <v>6111.6</v>
      </c>
      <c r="P24" s="94">
        <v>15383.54</v>
      </c>
      <c r="Q24" s="45" t="str">
        <f>IFERROR(IF(compras_mes6[[#This Row],[CUIT]]="","-",VLOOKUP(compras_mes6[[#This Row],[CUIT]],Lista_CUIT[#All],3,0)),"CUIT NO CARGADO")</f>
        <v>Comisiones Bancarias</v>
      </c>
      <c r="R24" s="45">
        <f>IFERROR(IF(compras_mes6[[#This Row],[CUIT]]="","-",VLOOKUP(compras_mes6[[#This Row],[CUIT]],Lista_CUIT[#All],4,0)),"CUIT NO CARGADO")</f>
        <v>0</v>
      </c>
    </row>
    <row r="25" spans="2:18" ht="15" customHeight="1" x14ac:dyDescent="0.3">
      <c r="B25" s="36">
        <v>44720</v>
      </c>
      <c r="C25" s="37">
        <v>1</v>
      </c>
      <c r="D25" s="38">
        <v>6</v>
      </c>
      <c r="E25" s="39">
        <v>7902</v>
      </c>
      <c r="F25" s="40">
        <v>30707603123</v>
      </c>
      <c r="G25" s="41" t="str">
        <f>IFERROR(IF(compras_mes6[[#This Row],[CUIT]]="","-",VLOOKUP(compras_mes6[[#This Row],[CUIT]],Lista_CUIT[#All],2,0)),"CUIT NO CARGADO")</f>
        <v>BI  ORIENT  S.A.</v>
      </c>
      <c r="H25" s="94">
        <v>92780</v>
      </c>
      <c r="I25" s="94">
        <v>19483.8</v>
      </c>
      <c r="J25" s="94"/>
      <c r="K25" s="94"/>
      <c r="L25" s="94"/>
      <c r="M25" s="94"/>
      <c r="N25" s="94"/>
      <c r="O25" s="94"/>
      <c r="P25" s="94">
        <v>112263.8</v>
      </c>
      <c r="Q25" s="45" t="str">
        <f>IFERROR(IF(compras_mes6[[#This Row],[CUIT]]="","-",VLOOKUP(compras_mes6[[#This Row],[CUIT]],Lista_CUIT[#All],3,0)),"CUIT NO CARGADO")</f>
        <v>EMBALAJE</v>
      </c>
      <c r="R25" s="45">
        <f>IFERROR(IF(compras_mes6[[#This Row],[CUIT]]="","-",VLOOKUP(compras_mes6[[#This Row],[CUIT]],Lista_CUIT[#All],4,0)),"CUIT NO CARGADO")</f>
        <v>0</v>
      </c>
    </row>
    <row r="26" spans="2:18" ht="15" customHeight="1" x14ac:dyDescent="0.3">
      <c r="B26" s="36">
        <v>44733</v>
      </c>
      <c r="C26" s="37">
        <v>1</v>
      </c>
      <c r="D26" s="38">
        <v>3330</v>
      </c>
      <c r="E26" s="39">
        <v>4854</v>
      </c>
      <c r="F26" s="40">
        <v>30526874249</v>
      </c>
      <c r="G26" s="41" t="str">
        <f>IFERROR(IF(compras_mes6[[#This Row],[CUIT]]="","-",VLOOKUP(compras_mes6[[#This Row],[CUIT]],Lista_CUIT[#All],2,0)),"CUIT NO CARGADO")</f>
        <v>FRAVEGA S A C I E I</v>
      </c>
      <c r="H26" s="94">
        <v>49047.96</v>
      </c>
      <c r="I26" s="94"/>
      <c r="J26" s="94"/>
      <c r="K26" s="94">
        <v>5150.04</v>
      </c>
      <c r="L26" s="94"/>
      <c r="M26" s="94"/>
      <c r="N26" s="94"/>
      <c r="O26" s="94"/>
      <c r="P26" s="94">
        <v>54198</v>
      </c>
      <c r="Q26" s="45" t="str">
        <f>IFERROR(IF(compras_mes6[[#This Row],[CUIT]]="","-",VLOOKUP(compras_mes6[[#This Row],[CUIT]],Lista_CUIT[#All],3,0)),"CUIT NO CARGADO")</f>
        <v>Equipos de Informatica</v>
      </c>
      <c r="R26" s="45">
        <f>IFERROR(IF(compras_mes6[[#This Row],[CUIT]]="","-",VLOOKUP(compras_mes6[[#This Row],[CUIT]],Lista_CUIT[#All],4,0)),"CUIT NO CARGADO")</f>
        <v>0</v>
      </c>
    </row>
    <row r="27" spans="2:18" ht="15" customHeight="1" x14ac:dyDescent="0.3">
      <c r="B27" s="36">
        <v>44722</v>
      </c>
      <c r="C27" s="37">
        <v>1</v>
      </c>
      <c r="D27" s="38">
        <v>5</v>
      </c>
      <c r="E27" s="39">
        <v>629</v>
      </c>
      <c r="F27" s="40">
        <v>30711651779</v>
      </c>
      <c r="G27" s="41" t="str">
        <f>IFERROR(IF(compras_mes6[[#This Row],[CUIT]]="","-",VLOOKUP(compras_mes6[[#This Row],[CUIT]],Lista_CUIT[#All],2,0)),"CUIT NO CARGADO")</f>
        <v>INFOSOL BUENOS AIRES S.R.L.</v>
      </c>
      <c r="H27" s="94">
        <v>852.4</v>
      </c>
      <c r="I27" s="94">
        <v>179</v>
      </c>
      <c r="J27" s="94"/>
      <c r="K27" s="94"/>
      <c r="L27" s="94"/>
      <c r="M27" s="94"/>
      <c r="N27" s="94"/>
      <c r="O27" s="94"/>
      <c r="P27" s="94">
        <v>1031.4000000000001</v>
      </c>
      <c r="Q27" s="45" t="str">
        <f>IFERROR(IF(compras_mes6[[#This Row],[CUIT]]="","-",VLOOKUP(compras_mes6[[#This Row],[CUIT]],Lista_CUIT[#All],3,0)),"CUIT NO CARGADO")</f>
        <v>Equipos de Informatica</v>
      </c>
      <c r="R27" s="45">
        <f>IFERROR(IF(compras_mes6[[#This Row],[CUIT]]="","-",VLOOKUP(compras_mes6[[#This Row],[CUIT]],Lista_CUIT[#All],4,0)),"CUIT NO CARGADO")</f>
        <v>0</v>
      </c>
    </row>
    <row r="28" spans="2:18" ht="15" customHeight="1" x14ac:dyDescent="0.3">
      <c r="B28" s="36">
        <v>44728</v>
      </c>
      <c r="C28" s="37">
        <v>1</v>
      </c>
      <c r="D28" s="38">
        <v>99</v>
      </c>
      <c r="E28" s="39">
        <v>8213</v>
      </c>
      <c r="F28" s="40">
        <v>30711398992</v>
      </c>
      <c r="G28" s="41" t="str">
        <f>IFERROR(IF(compras_mes6[[#This Row],[CUIT]]="","-",VLOOKUP(compras_mes6[[#This Row],[CUIT]],Lista_CUIT[#All],2,0)),"CUIT NO CARGADO")</f>
        <v>COHPUFAN  S. R. L.</v>
      </c>
      <c r="H28" s="94">
        <v>47811.4</v>
      </c>
      <c r="I28" s="94"/>
      <c r="J28" s="94"/>
      <c r="K28" s="94">
        <v>5020.2</v>
      </c>
      <c r="L28" s="94"/>
      <c r="M28" s="94"/>
      <c r="N28" s="94"/>
      <c r="O28" s="94"/>
      <c r="P28" s="94">
        <v>52831.6</v>
      </c>
      <c r="Q28" s="45" t="str">
        <f>IFERROR(IF(compras_mes6[[#This Row],[CUIT]]="","-",VLOOKUP(compras_mes6[[#This Row],[CUIT]],Lista_CUIT[#All],3,0)),"CUIT NO CARGADO")</f>
        <v>Equipos de Informatica</v>
      </c>
      <c r="R28" s="45">
        <f>IFERROR(IF(compras_mes6[[#This Row],[CUIT]]="","-",VLOOKUP(compras_mes6[[#This Row],[CUIT]],Lista_CUIT[#All],4,0)),"CUIT NO CARGADO")</f>
        <v>0</v>
      </c>
    </row>
    <row r="29" spans="2:18" ht="15" customHeight="1" x14ac:dyDescent="0.3">
      <c r="B29" s="36">
        <v>44715</v>
      </c>
      <c r="C29" s="37">
        <v>1</v>
      </c>
      <c r="D29" s="38">
        <v>301</v>
      </c>
      <c r="E29" s="39">
        <v>16611</v>
      </c>
      <c r="F29" s="40">
        <v>30686978350</v>
      </c>
      <c r="G29" s="41" t="str">
        <f>IFERROR(IF(compras_mes6[[#This Row],[CUIT]]="","-",VLOOKUP(compras_mes6[[#This Row],[CUIT]],Lista_CUIT[#All],2,0)),"CUIT NO CARGADO")</f>
        <v>SPEED BUSINESS S. A.</v>
      </c>
      <c r="H29" s="94">
        <v>3314.05</v>
      </c>
      <c r="I29" s="94">
        <v>695.95</v>
      </c>
      <c r="J29" s="94"/>
      <c r="K29" s="94"/>
      <c r="L29" s="94"/>
      <c r="M29" s="94"/>
      <c r="N29" s="94"/>
      <c r="O29" s="94"/>
      <c r="P29" s="94">
        <v>4010</v>
      </c>
      <c r="Q29" s="45" t="str">
        <f>IFERROR(IF(compras_mes6[[#This Row],[CUIT]]="","-",VLOOKUP(compras_mes6[[#This Row],[CUIT]],Lista_CUIT[#All],3,0)),"CUIT NO CARGADO")</f>
        <v>Flete-Logistica</v>
      </c>
      <c r="R29" s="45">
        <f>IFERROR(IF(compras_mes6[[#This Row],[CUIT]]="","-",VLOOKUP(compras_mes6[[#This Row],[CUIT]],Lista_CUIT[#All],4,0)),"CUIT NO CARGADO")</f>
        <v>0</v>
      </c>
    </row>
    <row r="30" spans="2:18" x14ac:dyDescent="0.3">
      <c r="B30" s="36">
        <v>44713</v>
      </c>
      <c r="C30" s="37">
        <v>1</v>
      </c>
      <c r="D30" s="38">
        <v>2</v>
      </c>
      <c r="E30" s="39">
        <v>2188</v>
      </c>
      <c r="F30" s="40">
        <v>20236922880</v>
      </c>
      <c r="G30" s="41" t="str">
        <f>IFERROR(IF(compras_mes6[[#This Row],[CUIT]]="","-",VLOOKUP(compras_mes6[[#This Row],[CUIT]],Lista_CUIT[#All],2,0)),"CUIT NO CARGADO")</f>
        <v>MUINOS JUAN VICTOR</v>
      </c>
      <c r="H30" s="94">
        <v>14438.02</v>
      </c>
      <c r="I30" s="94">
        <v>3031.98</v>
      </c>
      <c r="J30" s="94"/>
      <c r="K30" s="94"/>
      <c r="L30" s="94"/>
      <c r="M30" s="94"/>
      <c r="N30" s="94"/>
      <c r="O30" s="94"/>
      <c r="P30" s="94">
        <v>17470</v>
      </c>
      <c r="Q30" s="45" t="str">
        <f>IFERROR(IF(compras_mes6[[#This Row],[CUIT]]="","-",VLOOKUP(compras_mes6[[#This Row],[CUIT]],Lista_CUIT[#All],3,0)),"CUIT NO CARGADO")</f>
        <v>Gastos Varios</v>
      </c>
      <c r="R30" s="45">
        <f>IFERROR(IF(compras_mes6[[#This Row],[CUIT]]="","-",VLOOKUP(compras_mes6[[#This Row],[CUIT]],Lista_CUIT[#All],4,0)),"CUIT NO CARGADO")</f>
        <v>0</v>
      </c>
    </row>
    <row r="31" spans="2:18" x14ac:dyDescent="0.3">
      <c r="B31" s="36">
        <v>44721</v>
      </c>
      <c r="C31" s="37">
        <v>1</v>
      </c>
      <c r="D31" s="38">
        <v>9</v>
      </c>
      <c r="E31" s="39">
        <v>463</v>
      </c>
      <c r="F31" s="40">
        <v>30709361682</v>
      </c>
      <c r="G31" s="41" t="str">
        <f>IFERROR(IF(compras_mes6[[#This Row],[CUIT]]="","-",VLOOKUP(compras_mes6[[#This Row],[CUIT]],Lista_CUIT[#All],2,0)),"CUIT NO CARGADO")</f>
        <v>NT  INKS  S.A.</v>
      </c>
      <c r="H31" s="94">
        <v>10858.83</v>
      </c>
      <c r="I31" s="94"/>
      <c r="J31" s="94"/>
      <c r="K31" s="94">
        <v>1140</v>
      </c>
      <c r="L31" s="94"/>
      <c r="M31" s="94"/>
      <c r="N31" s="94"/>
      <c r="O31" s="94"/>
      <c r="P31" s="94">
        <v>11998.83</v>
      </c>
      <c r="Q31" s="45" t="str">
        <f>IFERROR(IF(compras_mes6[[#This Row],[CUIT]]="","-",VLOOKUP(compras_mes6[[#This Row],[CUIT]],Lista_CUIT[#All],3,0)),"CUIT NO CARGADO")</f>
        <v>Gastos Varios</v>
      </c>
      <c r="R31" s="45">
        <f>IFERROR(IF(compras_mes6[[#This Row],[CUIT]]="","-",VLOOKUP(compras_mes6[[#This Row],[CUIT]],Lista_CUIT[#All],4,0)),"CUIT NO CARGADO")</f>
        <v>0</v>
      </c>
    </row>
    <row r="32" spans="2:18" x14ac:dyDescent="0.3">
      <c r="B32" s="36">
        <v>44727</v>
      </c>
      <c r="C32" s="37">
        <v>1</v>
      </c>
      <c r="D32" s="38">
        <v>5</v>
      </c>
      <c r="E32" s="39">
        <v>1384</v>
      </c>
      <c r="F32" s="40">
        <v>30710677227</v>
      </c>
      <c r="G32" s="41" t="str">
        <f>IFERROR(IF(compras_mes6[[#This Row],[CUIT]]="","-",VLOOKUP(compras_mes6[[#This Row],[CUIT]],Lista_CUIT[#All],2,0)),"CUIT NO CARGADO")</f>
        <v>CINE 24 S.R.L.</v>
      </c>
      <c r="H32" s="94">
        <v>3461.16</v>
      </c>
      <c r="I32" s="94">
        <v>726.84</v>
      </c>
      <c r="J32" s="94"/>
      <c r="K32" s="94"/>
      <c r="L32" s="94"/>
      <c r="M32" s="94"/>
      <c r="N32" s="94"/>
      <c r="O32" s="94"/>
      <c r="P32" s="94">
        <v>4188</v>
      </c>
      <c r="Q32" s="45" t="str">
        <f>IFERROR(IF(compras_mes6[[#This Row],[CUIT]]="","-",VLOOKUP(compras_mes6[[#This Row],[CUIT]],Lista_CUIT[#All],3,0)),"CUIT NO CARGADO")</f>
        <v>Gastos Varios</v>
      </c>
      <c r="R32" s="45">
        <f>IFERROR(IF(compras_mes6[[#This Row],[CUIT]]="","-",VLOOKUP(compras_mes6[[#This Row],[CUIT]],Lista_CUIT[#All],4,0)),"CUIT NO CARGADO")</f>
        <v>0</v>
      </c>
    </row>
    <row r="33" spans="2:18" x14ac:dyDescent="0.3">
      <c r="B33" s="36">
        <v>44714</v>
      </c>
      <c r="C33" s="37">
        <v>1</v>
      </c>
      <c r="D33" s="38">
        <v>1</v>
      </c>
      <c r="E33" s="39">
        <v>15980</v>
      </c>
      <c r="F33" s="40">
        <v>20173025557</v>
      </c>
      <c r="G33" s="41" t="str">
        <f>IFERROR(IF(compras_mes6[[#This Row],[CUIT]]="","-",VLOOKUP(compras_mes6[[#This Row],[CUIT]],Lista_CUIT[#All],2,0)),"CUIT NO CARGADO")</f>
        <v>MARAUDA HECTOR</v>
      </c>
      <c r="H33" s="94">
        <v>1157.02</v>
      </c>
      <c r="I33" s="94">
        <v>242.97</v>
      </c>
      <c r="J33" s="94"/>
      <c r="K33" s="94"/>
      <c r="L33" s="94"/>
      <c r="M33" s="94"/>
      <c r="N33" s="94"/>
      <c r="O33" s="94"/>
      <c r="P33" s="94">
        <v>1399.99</v>
      </c>
      <c r="Q33" s="45" t="str">
        <f>IFERROR(IF(compras_mes6[[#This Row],[CUIT]]="","-",VLOOKUP(compras_mes6[[#This Row],[CUIT]],Lista_CUIT[#All],3,0)),"CUIT NO CARGADO")</f>
        <v>Gastos Varios</v>
      </c>
      <c r="R33" s="45">
        <f>IFERROR(IF(compras_mes6[[#This Row],[CUIT]]="","-",VLOOKUP(compras_mes6[[#This Row],[CUIT]],Lista_CUIT[#All],4,0)),"CUIT NO CARGADO")</f>
        <v>0</v>
      </c>
    </row>
    <row r="34" spans="2:18" x14ac:dyDescent="0.3">
      <c r="B34" s="36">
        <v>44727</v>
      </c>
      <c r="C34" s="37">
        <v>1</v>
      </c>
      <c r="D34" s="38">
        <v>5</v>
      </c>
      <c r="E34" s="39">
        <v>18563</v>
      </c>
      <c r="F34" s="40">
        <v>30616146447</v>
      </c>
      <c r="G34" s="41" t="str">
        <f>IFERROR(IF(compras_mes6[[#This Row],[CUIT]]="","-",VLOOKUP(compras_mes6[[#This Row],[CUIT]],Lista_CUIT[#All],2,0)),"CUIT NO CARGADO")</f>
        <v>EGEO SOCIEDAD DE RESPONSABILIDAD LIMITADA</v>
      </c>
      <c r="H34" s="94">
        <v>106650</v>
      </c>
      <c r="I34" s="94">
        <v>22396.5</v>
      </c>
      <c r="J34" s="94"/>
      <c r="K34" s="94"/>
      <c r="L34" s="94"/>
      <c r="M34" s="94"/>
      <c r="N34" s="94"/>
      <c r="O34" s="94"/>
      <c r="P34" s="94">
        <v>129046.5</v>
      </c>
      <c r="Q34" s="45" t="str">
        <f>IFERROR(IF(compras_mes6[[#This Row],[CUIT]]="","-",VLOOKUP(compras_mes6[[#This Row],[CUIT]],Lista_CUIT[#All],3,0)),"CUIT NO CARGADO")</f>
        <v>Gastos Varios</v>
      </c>
      <c r="R34" s="45">
        <f>IFERROR(IF(compras_mes6[[#This Row],[CUIT]]="","-",VLOOKUP(compras_mes6[[#This Row],[CUIT]],Lista_CUIT[#All],4,0)),"CUIT NO CARGADO")</f>
        <v>0</v>
      </c>
    </row>
    <row r="35" spans="2:18" x14ac:dyDescent="0.3">
      <c r="B35" s="36">
        <v>44733</v>
      </c>
      <c r="C35" s="37">
        <v>1</v>
      </c>
      <c r="D35" s="38">
        <v>4</v>
      </c>
      <c r="E35" s="39">
        <v>54444</v>
      </c>
      <c r="F35" s="40">
        <v>30714749206</v>
      </c>
      <c r="G35" s="41" t="str">
        <f>IFERROR(IF(compras_mes6[[#This Row],[CUIT]]="","-",VLOOKUP(compras_mes6[[#This Row],[CUIT]],Lista_CUIT[#All],2,0)),"CUIT NO CARGADO")</f>
        <v>EBOX  S.A.</v>
      </c>
      <c r="H35" s="94">
        <v>21910.52</v>
      </c>
      <c r="I35" s="94">
        <v>4601.21</v>
      </c>
      <c r="J35" s="94"/>
      <c r="K35" s="94"/>
      <c r="L35" s="94"/>
      <c r="M35" s="94"/>
      <c r="N35" s="94"/>
      <c r="O35" s="94">
        <v>4487.2700000000004</v>
      </c>
      <c r="P35" s="94">
        <v>30999</v>
      </c>
      <c r="Q35" s="45" t="str">
        <f>IFERROR(IF(compras_mes6[[#This Row],[CUIT]]="","-",VLOOKUP(compras_mes6[[#This Row],[CUIT]],Lista_CUIT[#All],3,0)),"CUIT NO CARGADO")</f>
        <v>Gastos Varios</v>
      </c>
      <c r="R35" s="45">
        <f>IFERROR(IF(compras_mes6[[#This Row],[CUIT]]="","-",VLOOKUP(compras_mes6[[#This Row],[CUIT]],Lista_CUIT[#All],4,0)),"CUIT NO CARGADO")</f>
        <v>0</v>
      </c>
    </row>
    <row r="36" spans="2:18" x14ac:dyDescent="0.3">
      <c r="B36" s="36">
        <v>44738</v>
      </c>
      <c r="C36" s="37">
        <v>1</v>
      </c>
      <c r="D36" s="38">
        <v>2199</v>
      </c>
      <c r="E36" s="39">
        <v>16658</v>
      </c>
      <c r="F36" s="40">
        <v>30548083156</v>
      </c>
      <c r="G36" s="41" t="str">
        <f>IFERROR(IF(compras_mes6[[#This Row],[CUIT]]="","-",VLOOKUP(compras_mes6[[#This Row],[CUIT]],Lista_CUIT[#All],2,0)),"CUIT NO CARGADO")</f>
        <v>COTO  S.A.</v>
      </c>
      <c r="H36" s="94">
        <v>51764.49</v>
      </c>
      <c r="I36" s="94">
        <v>10181.969999999999</v>
      </c>
      <c r="J36" s="94"/>
      <c r="K36" s="94"/>
      <c r="L36" s="94"/>
      <c r="M36" s="94"/>
      <c r="N36" s="94">
        <v>1363.33</v>
      </c>
      <c r="O36" s="94">
        <v>1621.39</v>
      </c>
      <c r="P36" s="94">
        <v>64931.18</v>
      </c>
      <c r="Q36" s="45" t="str">
        <f>IFERROR(IF(compras_mes6[[#This Row],[CUIT]]="","-",VLOOKUP(compras_mes6[[#This Row],[CUIT]],Lista_CUIT[#All],3,0)),"CUIT NO CARGADO")</f>
        <v>Gastos Varios</v>
      </c>
      <c r="R36" s="45">
        <f>IFERROR(IF(compras_mes6[[#This Row],[CUIT]]="","-",VLOOKUP(compras_mes6[[#This Row],[CUIT]],Lista_CUIT[#All],4,0)),"CUIT NO CARGADO")</f>
        <v>0</v>
      </c>
    </row>
    <row r="37" spans="2:18" s="52" customFormat="1" ht="18.600000000000001" customHeight="1" x14ac:dyDescent="0.3">
      <c r="B37" s="36">
        <v>44741</v>
      </c>
      <c r="C37" s="37">
        <v>1</v>
      </c>
      <c r="D37" s="38">
        <v>27</v>
      </c>
      <c r="E37" s="39">
        <v>430174</v>
      </c>
      <c r="F37" s="40">
        <v>30703088534</v>
      </c>
      <c r="G37" s="41" t="str">
        <f>IFERROR(IF(compras_mes6[[#This Row],[CUIT]]="","-",VLOOKUP(compras_mes6[[#This Row],[CUIT]],Lista_CUIT[#All],2,0)),"CUIT NO CARGADO")</f>
        <v>MERCADO LIBRE SRL</v>
      </c>
      <c r="H37" s="94">
        <v>129215.86</v>
      </c>
      <c r="I37" s="94">
        <v>27135.33</v>
      </c>
      <c r="J37" s="94"/>
      <c r="K37" s="94"/>
      <c r="L37" s="94"/>
      <c r="M37" s="94"/>
      <c r="N37" s="94">
        <v>7752.95</v>
      </c>
      <c r="O37" s="94">
        <v>3876.47</v>
      </c>
      <c r="P37" s="94">
        <v>167980.61</v>
      </c>
      <c r="Q37" s="45" t="str">
        <f>IFERROR(IF(compras_mes6[[#This Row],[CUIT]]="","-",VLOOKUP(compras_mes6[[#This Row],[CUIT]],Lista_CUIT[#All],3,0)),"CUIT NO CARGADO")</f>
        <v>Gtos Comercializacion</v>
      </c>
      <c r="R37" s="45">
        <f>IFERROR(IF(compras_mes6[[#This Row],[CUIT]]="","-",VLOOKUP(compras_mes6[[#This Row],[CUIT]],Lista_CUIT[#All],4,0)),"CUIT NO CARGADO")</f>
        <v>0</v>
      </c>
    </row>
    <row r="38" spans="2:18" x14ac:dyDescent="0.3">
      <c r="B38" s="36">
        <v>44725</v>
      </c>
      <c r="C38" s="37">
        <v>1</v>
      </c>
      <c r="D38" s="38">
        <v>9</v>
      </c>
      <c r="E38" s="39">
        <v>18107</v>
      </c>
      <c r="F38" s="40">
        <v>23366871349</v>
      </c>
      <c r="G38" s="41" t="str">
        <f>IFERROR(IF(compras_mes6[[#This Row],[CUIT]]="","-",VLOOKUP(compras_mes6[[#This Row],[CUIT]],Lista_CUIT[#All],2,0)),"CUIT NO CARGADO")</f>
        <v>STENDEL  JULIAN  RODOLFO</v>
      </c>
      <c r="H38" s="94">
        <v>9148.76</v>
      </c>
      <c r="I38" s="94">
        <v>1921.24</v>
      </c>
      <c r="J38" s="94"/>
      <c r="K38" s="94"/>
      <c r="L38" s="94"/>
      <c r="M38" s="94"/>
      <c r="N38" s="94"/>
      <c r="O38" s="94"/>
      <c r="P38" s="94">
        <v>11070</v>
      </c>
      <c r="Q38" s="45" t="str">
        <f>IFERROR(IF(compras_mes6[[#This Row],[CUIT]]="","-",VLOOKUP(compras_mes6[[#This Row],[CUIT]],Lista_CUIT[#All],3,0)),"CUIT NO CARGADO")</f>
        <v>Librería</v>
      </c>
      <c r="R38" s="45">
        <f>IFERROR(IF(compras_mes6[[#This Row],[CUIT]]="","-",VLOOKUP(compras_mes6[[#This Row],[CUIT]],Lista_CUIT[#All],4,0)),"CUIT NO CARGADO")</f>
        <v>0</v>
      </c>
    </row>
    <row r="39" spans="2:18" x14ac:dyDescent="0.3">
      <c r="B39" s="36">
        <v>44726</v>
      </c>
      <c r="C39" s="37">
        <v>1</v>
      </c>
      <c r="D39" s="38">
        <v>5</v>
      </c>
      <c r="E39" s="39">
        <v>14109</v>
      </c>
      <c r="F39" s="40">
        <v>30709804274</v>
      </c>
      <c r="G39" s="41" t="str">
        <f>IFERROR(IF(compras_mes6[[#This Row],[CUIT]]="","-",VLOOKUP(compras_mes6[[#This Row],[CUIT]],Lista_CUIT[#All],2,0)),"CUIT NO CARGADO")</f>
        <v>GRAFICA  B612  S.R.L.</v>
      </c>
      <c r="H39" s="94">
        <v>8776.31</v>
      </c>
      <c r="I39" s="94">
        <v>1843.03</v>
      </c>
      <c r="J39" s="94"/>
      <c r="K39" s="94"/>
      <c r="L39" s="94"/>
      <c r="M39" s="94"/>
      <c r="N39" s="94"/>
      <c r="O39" s="94"/>
      <c r="P39" s="94">
        <v>10619.34</v>
      </c>
      <c r="Q39" s="45" t="str">
        <f>IFERROR(IF(compras_mes6[[#This Row],[CUIT]]="","-",VLOOKUP(compras_mes6[[#This Row],[CUIT]],Lista_CUIT[#All],3,0)),"CUIT NO CARGADO")</f>
        <v>Librería</v>
      </c>
      <c r="R39" s="45">
        <f>IFERROR(IF(compras_mes6[[#This Row],[CUIT]]="","-",VLOOKUP(compras_mes6[[#This Row],[CUIT]],Lista_CUIT[#All],4,0)),"CUIT NO CARGADO")</f>
        <v>0</v>
      </c>
    </row>
    <row r="40" spans="2:18" x14ac:dyDescent="0.3">
      <c r="B40" s="36">
        <v>44742</v>
      </c>
      <c r="C40" s="37">
        <v>1</v>
      </c>
      <c r="D40" s="38">
        <v>19</v>
      </c>
      <c r="E40" s="39">
        <v>2634</v>
      </c>
      <c r="F40" s="40">
        <v>20940147981</v>
      </c>
      <c r="G40" s="41" t="str">
        <f>IFERROR(IF(compras_mes6[[#This Row],[CUIT]]="","-",VLOOKUP(compras_mes6[[#This Row],[CUIT]],Lista_CUIT[#All],2,0)),"CUIT NO CARGADO")</f>
        <v>ELI0  IGNACIO  PEREZ  GIXENEZ</v>
      </c>
      <c r="H40" s="94">
        <v>4300.6400000000003</v>
      </c>
      <c r="I40" s="94">
        <v>903.13</v>
      </c>
      <c r="J40" s="94"/>
      <c r="K40" s="94"/>
      <c r="L40" s="94"/>
      <c r="M40" s="94"/>
      <c r="N40" s="94"/>
      <c r="O40" s="94">
        <v>0</v>
      </c>
      <c r="P40" s="94">
        <v>5203.7700000000004</v>
      </c>
      <c r="Q40" s="45" t="str">
        <f>IFERROR(IF(compras_mes6[[#This Row],[CUIT]]="","-",VLOOKUP(compras_mes6[[#This Row],[CUIT]],Lista_CUIT[#All],3,0)),"CUIT NO CARGADO")</f>
        <v>Librería</v>
      </c>
      <c r="R40" s="45">
        <f>IFERROR(IF(compras_mes6[[#This Row],[CUIT]]="","-",VLOOKUP(compras_mes6[[#This Row],[CUIT]],Lista_CUIT[#All],4,0)),"CUIT NO CARGADO")</f>
        <v>0</v>
      </c>
    </row>
    <row r="41" spans="2:18" x14ac:dyDescent="0.3">
      <c r="B41" s="36">
        <v>44726</v>
      </c>
      <c r="C41" s="37">
        <v>1</v>
      </c>
      <c r="D41" s="38">
        <v>24</v>
      </c>
      <c r="E41" s="39">
        <v>34950</v>
      </c>
      <c r="F41" s="40">
        <v>30707838260</v>
      </c>
      <c r="G41" s="41" t="str">
        <f>IFERROR(IF(compras_mes6[[#This Row],[CUIT]]="","-",VLOOKUP(compras_mes6[[#This Row],[CUIT]],Lista_CUIT[#All],2,0)),"CUIT NO CARGADO")</f>
        <v>EL INSUMO S.R.L.</v>
      </c>
      <c r="H41" s="94">
        <v>7756.36</v>
      </c>
      <c r="I41" s="94">
        <v>1628.84</v>
      </c>
      <c r="J41" s="94"/>
      <c r="K41" s="94"/>
      <c r="L41" s="94"/>
      <c r="M41" s="94"/>
      <c r="N41" s="94"/>
      <c r="O41" s="94"/>
      <c r="P41" s="94">
        <v>9385.2000000000007</v>
      </c>
      <c r="Q41" s="45" t="str">
        <f>IFERROR(IF(compras_mes6[[#This Row],[CUIT]]="","-",VLOOKUP(compras_mes6[[#This Row],[CUIT]],Lista_CUIT[#All],3,0)),"CUIT NO CARGADO")</f>
        <v>Librería</v>
      </c>
      <c r="R41" s="45">
        <f>IFERROR(IF(compras_mes6[[#This Row],[CUIT]]="","-",VLOOKUP(compras_mes6[[#This Row],[CUIT]],Lista_CUIT[#All],4,0)),"CUIT NO CARGADO")</f>
        <v>0</v>
      </c>
    </row>
    <row r="42" spans="2:18" x14ac:dyDescent="0.3">
      <c r="B42" s="36">
        <v>44735</v>
      </c>
      <c r="C42" s="37">
        <v>1</v>
      </c>
      <c r="D42" s="38">
        <v>3</v>
      </c>
      <c r="E42" s="39">
        <v>173725</v>
      </c>
      <c r="F42" s="40">
        <v>30693293754</v>
      </c>
      <c r="G42" s="41" t="str">
        <f>IFERROR(IF(compras_mes6[[#This Row],[CUIT]]="","-",VLOOKUP(compras_mes6[[#This Row],[CUIT]],Lista_CUIT[#All],2,0)),"CUIT NO CARGADO")</f>
        <v>CPT  INTEGRAL  S.A.</v>
      </c>
      <c r="H42" s="94">
        <v>8114.78</v>
      </c>
      <c r="I42" s="94">
        <v>1704.1</v>
      </c>
      <c r="J42" s="94"/>
      <c r="K42" s="94"/>
      <c r="L42" s="94"/>
      <c r="M42" s="94"/>
      <c r="N42" s="94"/>
      <c r="O42" s="94"/>
      <c r="P42" s="94">
        <v>9818.8799999999992</v>
      </c>
      <c r="Q42" s="45" t="str">
        <f>IFERROR(IF(compras_mes6[[#This Row],[CUIT]]="","-",VLOOKUP(compras_mes6[[#This Row],[CUIT]],Lista_CUIT[#All],3,0)),"CUIT NO CARGADO")</f>
        <v>Librería</v>
      </c>
      <c r="R42" s="45">
        <f>IFERROR(IF(compras_mes6[[#This Row],[CUIT]]="","-",VLOOKUP(compras_mes6[[#This Row],[CUIT]],Lista_CUIT[#All],4,0)),"CUIT NO CARGADO")</f>
        <v>0</v>
      </c>
    </row>
    <row r="43" spans="2:18" x14ac:dyDescent="0.3">
      <c r="B43" s="36">
        <v>44736</v>
      </c>
      <c r="C43" s="37">
        <v>1</v>
      </c>
      <c r="D43" s="38">
        <v>3</v>
      </c>
      <c r="E43" s="39">
        <v>173836</v>
      </c>
      <c r="F43" s="40">
        <v>30693293754</v>
      </c>
      <c r="G43" s="41" t="str">
        <f>IFERROR(IF(compras_mes6[[#This Row],[CUIT]]="","-",VLOOKUP(compras_mes6[[#This Row],[CUIT]],Lista_CUIT[#All],2,0)),"CUIT NO CARGADO")</f>
        <v>CPT  INTEGRAL  S.A.</v>
      </c>
      <c r="H43" s="94">
        <v>3846.94</v>
      </c>
      <c r="I43" s="94">
        <v>807.86</v>
      </c>
      <c r="J43" s="94"/>
      <c r="K43" s="94"/>
      <c r="L43" s="94"/>
      <c r="M43" s="94"/>
      <c r="N43" s="94"/>
      <c r="O43" s="94"/>
      <c r="P43" s="94">
        <v>4654.8</v>
      </c>
      <c r="Q43" s="45" t="str">
        <f>IFERROR(IF(compras_mes6[[#This Row],[CUIT]]="","-",VLOOKUP(compras_mes6[[#This Row],[CUIT]],Lista_CUIT[#All],3,0)),"CUIT NO CARGADO")</f>
        <v>Librería</v>
      </c>
      <c r="R43" s="45">
        <f>IFERROR(IF(compras_mes6[[#This Row],[CUIT]]="","-",VLOOKUP(compras_mes6[[#This Row],[CUIT]],Lista_CUIT[#All],4,0)),"CUIT NO CARGADO")</f>
        <v>0</v>
      </c>
    </row>
    <row r="44" spans="2:18" x14ac:dyDescent="0.3">
      <c r="B44" s="36">
        <v>44721</v>
      </c>
      <c r="C44" s="37">
        <v>1</v>
      </c>
      <c r="D44" s="38">
        <v>6</v>
      </c>
      <c r="E44" s="39">
        <v>26240</v>
      </c>
      <c r="F44" s="40">
        <v>30711526419</v>
      </c>
      <c r="G44" s="41" t="str">
        <f>IFERROR(IF(compras_mes6[[#This Row],[CUIT]]="","-",VLOOKUP(compras_mes6[[#This Row],[CUIT]],Lista_CUIT[#All],2,0)),"CUIT NO CARGADO")</f>
        <v>ZETABURGOS  S. R. L.</v>
      </c>
      <c r="H44" s="94">
        <v>1625.34</v>
      </c>
      <c r="I44" s="94"/>
      <c r="J44" s="94"/>
      <c r="K44" s="94">
        <v>170.66</v>
      </c>
      <c r="L44" s="94"/>
      <c r="M44" s="94"/>
      <c r="N44" s="94"/>
      <c r="O44" s="94"/>
      <c r="P44" s="94">
        <v>1796</v>
      </c>
      <c r="Q44" s="45" t="str">
        <f>IFERROR(IF(compras_mes6[[#This Row],[CUIT]]="","-",VLOOKUP(compras_mes6[[#This Row],[CUIT]],Lista_CUIT[#All],3,0)),"CUIT NO CARGADO")</f>
        <v>Mantenimiento</v>
      </c>
      <c r="R44" s="45">
        <f>IFERROR(IF(compras_mes6[[#This Row],[CUIT]]="","-",VLOOKUP(compras_mes6[[#This Row],[CUIT]],Lista_CUIT[#All],4,0)),"CUIT NO CARGADO")</f>
        <v>0</v>
      </c>
    </row>
    <row r="45" spans="2:18" x14ac:dyDescent="0.3">
      <c r="B45" s="36">
        <v>44721</v>
      </c>
      <c r="C45" s="37">
        <v>1</v>
      </c>
      <c r="D45" s="38">
        <v>6</v>
      </c>
      <c r="E45" s="39">
        <v>26241</v>
      </c>
      <c r="F45" s="40">
        <v>30711526419</v>
      </c>
      <c r="G45" s="41" t="str">
        <f>IFERROR(IF(compras_mes6[[#This Row],[CUIT]]="","-",VLOOKUP(compras_mes6[[#This Row],[CUIT]],Lista_CUIT[#All],2,0)),"CUIT NO CARGADO")</f>
        <v>ZETABURGOS  S. R. L.</v>
      </c>
      <c r="H45" s="94">
        <v>6024.46</v>
      </c>
      <c r="I45" s="94"/>
      <c r="J45" s="94"/>
      <c r="K45" s="94">
        <v>875.54</v>
      </c>
      <c r="L45" s="94"/>
      <c r="M45" s="94"/>
      <c r="N45" s="94"/>
      <c r="O45" s="94"/>
      <c r="P45" s="94">
        <v>6900</v>
      </c>
      <c r="Q45" s="45" t="str">
        <f>IFERROR(IF(compras_mes6[[#This Row],[CUIT]]="","-",VLOOKUP(compras_mes6[[#This Row],[CUIT]],Lista_CUIT[#All],3,0)),"CUIT NO CARGADO")</f>
        <v>Mantenimiento</v>
      </c>
      <c r="R45" s="45">
        <f>IFERROR(IF(compras_mes6[[#This Row],[CUIT]]="","-",VLOOKUP(compras_mes6[[#This Row],[CUIT]],Lista_CUIT[#All],4,0)),"CUIT NO CARGADO")</f>
        <v>0</v>
      </c>
    </row>
    <row r="46" spans="2:18" ht="18" customHeight="1" x14ac:dyDescent="0.3">
      <c r="B46" s="36">
        <v>44721</v>
      </c>
      <c r="C46" s="37">
        <v>3</v>
      </c>
      <c r="D46" s="38">
        <v>6</v>
      </c>
      <c r="E46" s="39">
        <v>1706</v>
      </c>
      <c r="F46" s="40">
        <v>30711526419</v>
      </c>
      <c r="G46" s="41" t="str">
        <f>IFERROR(IF(compras_mes6[[#This Row],[CUIT]]="","-",VLOOKUP(compras_mes6[[#This Row],[CUIT]],Lista_CUIT[#All],2,0)),"CUIT NO CARGADO")</f>
        <v>ZETABURGOS  S. R. L.</v>
      </c>
      <c r="H46" s="94">
        <v>-1625.34</v>
      </c>
      <c r="I46" s="94"/>
      <c r="J46" s="94"/>
      <c r="K46" s="94">
        <v>-170.66</v>
      </c>
      <c r="L46" s="94"/>
      <c r="M46" s="94"/>
      <c r="N46" s="94"/>
      <c r="O46" s="94"/>
      <c r="P46" s="94">
        <v>-1796</v>
      </c>
      <c r="Q46" s="45" t="str">
        <f>IFERROR(IF(compras_mes6[[#This Row],[CUIT]]="","-",VLOOKUP(compras_mes6[[#This Row],[CUIT]],Lista_CUIT[#All],3,0)),"CUIT NO CARGADO")</f>
        <v>Mantenimiento</v>
      </c>
      <c r="R46" s="45">
        <f>IFERROR(IF(compras_mes6[[#This Row],[CUIT]]="","-",VLOOKUP(compras_mes6[[#This Row],[CUIT]],Lista_CUIT[#All],4,0)),"CUIT NO CARGADO")</f>
        <v>0</v>
      </c>
    </row>
    <row r="47" spans="2:18" x14ac:dyDescent="0.3">
      <c r="B47" s="36">
        <v>44722</v>
      </c>
      <c r="C47" s="37">
        <v>1</v>
      </c>
      <c r="D47" s="38">
        <v>6</v>
      </c>
      <c r="E47" s="39">
        <v>26245</v>
      </c>
      <c r="F47" s="40">
        <v>30711526419</v>
      </c>
      <c r="G47" s="41" t="str">
        <f>IFERROR(IF(compras_mes6[[#This Row],[CUIT]]="","-",VLOOKUP(compras_mes6[[#This Row],[CUIT]],Lista_CUIT[#All],2,0)),"CUIT NO CARGADO")</f>
        <v>ZETABURGOS  S. R. L.</v>
      </c>
      <c r="H47" s="94">
        <v>19591.759999999998</v>
      </c>
      <c r="I47" s="94"/>
      <c r="J47" s="94"/>
      <c r="K47" s="94">
        <v>3453.61</v>
      </c>
      <c r="L47" s="94"/>
      <c r="M47" s="94"/>
      <c r="N47" s="94"/>
      <c r="O47" s="94"/>
      <c r="P47" s="94">
        <v>23045.37</v>
      </c>
      <c r="Q47" s="45" t="str">
        <f>IFERROR(IF(compras_mes6[[#This Row],[CUIT]]="","-",VLOOKUP(compras_mes6[[#This Row],[CUIT]],Lista_CUIT[#All],3,0)),"CUIT NO CARGADO")</f>
        <v>Mantenimiento</v>
      </c>
      <c r="R47" s="45">
        <f>IFERROR(IF(compras_mes6[[#This Row],[CUIT]]="","-",VLOOKUP(compras_mes6[[#This Row],[CUIT]],Lista_CUIT[#All],4,0)),"CUIT NO CARGADO")</f>
        <v>0</v>
      </c>
    </row>
    <row r="48" spans="2:18" x14ac:dyDescent="0.3">
      <c r="B48" s="36">
        <v>44725</v>
      </c>
      <c r="C48" s="37">
        <v>1</v>
      </c>
      <c r="D48" s="38">
        <v>3</v>
      </c>
      <c r="E48" s="39">
        <v>1673</v>
      </c>
      <c r="F48" s="40">
        <v>24109521716</v>
      </c>
      <c r="G48" s="41" t="str">
        <f>IFERROR(IF(compras_mes6[[#This Row],[CUIT]]="","-",VLOOKUP(compras_mes6[[#This Row],[CUIT]],Lista_CUIT[#All],2,0)),"CUIT NO CARGADO")</f>
        <v>BERON  RItARD0  HECTOR</v>
      </c>
      <c r="H48" s="94">
        <v>12545.67</v>
      </c>
      <c r="I48" s="94">
        <v>2634.59</v>
      </c>
      <c r="J48" s="94"/>
      <c r="K48" s="94"/>
      <c r="L48" s="94"/>
      <c r="M48" s="94"/>
      <c r="N48" s="94"/>
      <c r="O48" s="94"/>
      <c r="P48" s="94">
        <v>15180.26</v>
      </c>
      <c r="Q48" s="45" t="str">
        <f>IFERROR(IF(compras_mes6[[#This Row],[CUIT]]="","-",VLOOKUP(compras_mes6[[#This Row],[CUIT]],Lista_CUIT[#All],3,0)),"CUIT NO CARGADO")</f>
        <v>Mantenimiento</v>
      </c>
      <c r="R48" s="45">
        <f>IFERROR(IF(compras_mes6[[#This Row],[CUIT]]="","-",VLOOKUP(compras_mes6[[#This Row],[CUIT]],Lista_CUIT[#All],4,0)),"CUIT NO CARGADO")</f>
        <v>0</v>
      </c>
    </row>
    <row r="49" spans="2:18" x14ac:dyDescent="0.3">
      <c r="B49" s="36">
        <v>44723</v>
      </c>
      <c r="C49" s="37">
        <v>1</v>
      </c>
      <c r="D49" s="38">
        <v>16</v>
      </c>
      <c r="E49" s="39">
        <v>12779</v>
      </c>
      <c r="F49" s="40">
        <v>30553547942</v>
      </c>
      <c r="G49" s="41" t="str">
        <f>IFERROR(IF(compras_mes6[[#This Row],[CUIT]]="","-",VLOOKUP(compras_mes6[[#This Row],[CUIT]],Lista_CUIT[#All],2,0)),"CUIT NO CARGADO")</f>
        <v>PINTURERIAS  NAFER  S.A.</v>
      </c>
      <c r="H49" s="94">
        <v>8598.44</v>
      </c>
      <c r="I49" s="94">
        <v>1805.67</v>
      </c>
      <c r="J49" s="94"/>
      <c r="K49" s="94"/>
      <c r="L49" s="94"/>
      <c r="M49" s="94"/>
      <c r="N49" s="94"/>
      <c r="O49" s="94"/>
      <c r="P49" s="94">
        <v>10404.11</v>
      </c>
      <c r="Q49" s="45" t="str">
        <f>IFERROR(IF(compras_mes6[[#This Row],[CUIT]]="","-",VLOOKUP(compras_mes6[[#This Row],[CUIT]],Lista_CUIT[#All],3,0)),"CUIT NO CARGADO")</f>
        <v>Mantenimiento</v>
      </c>
      <c r="R49" s="45">
        <f>IFERROR(IF(compras_mes6[[#This Row],[CUIT]]="","-",VLOOKUP(compras_mes6[[#This Row],[CUIT]],Lista_CUIT[#All],4,0)),"CUIT NO CARGADO")</f>
        <v>0</v>
      </c>
    </row>
    <row r="50" spans="2:18" x14ac:dyDescent="0.3">
      <c r="B50" s="36">
        <v>44733</v>
      </c>
      <c r="C50" s="37">
        <v>1</v>
      </c>
      <c r="D50" s="38">
        <v>16</v>
      </c>
      <c r="E50" s="39">
        <v>12849</v>
      </c>
      <c r="F50" s="40">
        <v>30553547942</v>
      </c>
      <c r="G50" s="41" t="str">
        <f>IFERROR(IF(compras_mes6[[#This Row],[CUIT]]="","-",VLOOKUP(compras_mes6[[#This Row],[CUIT]],Lista_CUIT[#All],2,0)),"CUIT NO CARGADO")</f>
        <v>PINTURERIAS  NAFER  S.A.</v>
      </c>
      <c r="H50" s="94">
        <v>52932.24</v>
      </c>
      <c r="I50" s="94">
        <v>11115.77</v>
      </c>
      <c r="J50" s="94"/>
      <c r="K50" s="94"/>
      <c r="L50" s="94"/>
      <c r="M50" s="94"/>
      <c r="N50" s="94"/>
      <c r="O50" s="94"/>
      <c r="P50" s="94">
        <v>64048.01</v>
      </c>
      <c r="Q50" s="45" t="str">
        <f>IFERROR(IF(compras_mes6[[#This Row],[CUIT]]="","-",VLOOKUP(compras_mes6[[#This Row],[CUIT]],Lista_CUIT[#All],3,0)),"CUIT NO CARGADO")</f>
        <v>Mantenimiento</v>
      </c>
      <c r="R50" s="45">
        <f>IFERROR(IF(compras_mes6[[#This Row],[CUIT]]="","-",VLOOKUP(compras_mes6[[#This Row],[CUIT]],Lista_CUIT[#All],4,0)),"CUIT NO CARGADO")</f>
        <v>0</v>
      </c>
    </row>
    <row r="51" spans="2:18" x14ac:dyDescent="0.3">
      <c r="B51" s="36">
        <v>44741</v>
      </c>
      <c r="C51" s="37">
        <v>1</v>
      </c>
      <c r="D51" s="38">
        <v>35</v>
      </c>
      <c r="E51" s="39">
        <v>927</v>
      </c>
      <c r="F51" s="40">
        <v>30696106068</v>
      </c>
      <c r="G51" s="41" t="str">
        <f>IFERROR(IF(compras_mes6[[#This Row],[CUIT]]="","-",VLOOKUP(compras_mes6[[#This Row],[CUIT]],Lista_CUIT[#All],2,0)),"CUIT NO CARGADO")</f>
        <v>PINTURERIAS  LIBERATO  S.R. L .</v>
      </c>
      <c r="H51" s="94">
        <v>5144.4399999999996</v>
      </c>
      <c r="I51" s="94">
        <v>1080.33</v>
      </c>
      <c r="J51" s="94"/>
      <c r="K51" s="94"/>
      <c r="L51" s="94"/>
      <c r="M51" s="94"/>
      <c r="N51" s="94"/>
      <c r="O51" s="94">
        <v>0</v>
      </c>
      <c r="P51" s="94">
        <v>6224.77</v>
      </c>
      <c r="Q51" s="45" t="str">
        <f>IFERROR(IF(compras_mes6[[#This Row],[CUIT]]="","-",VLOOKUP(compras_mes6[[#This Row],[CUIT]],Lista_CUIT[#All],3,0)),"CUIT NO CARGADO")</f>
        <v>Mantenimiento</v>
      </c>
      <c r="R51" s="45">
        <f>IFERROR(IF(compras_mes6[[#This Row],[CUIT]]="","-",VLOOKUP(compras_mes6[[#This Row],[CUIT]],Lista_CUIT[#All],4,0)),"CUIT NO CARGADO")</f>
        <v>0</v>
      </c>
    </row>
    <row r="52" spans="2:18" x14ac:dyDescent="0.3">
      <c r="B52" s="36">
        <v>44742</v>
      </c>
      <c r="C52" s="37">
        <v>1</v>
      </c>
      <c r="D52" s="38">
        <v>11</v>
      </c>
      <c r="E52" s="39">
        <v>10519</v>
      </c>
      <c r="F52" s="40">
        <v>20359718765</v>
      </c>
      <c r="G52" s="41" t="str">
        <f>IFERROR(IF(compras_mes6[[#This Row],[CUIT]]="","-",VLOOKUP(compras_mes6[[#This Row],[CUIT]],Lista_CUIT[#All],2,0)),"CUIT NO CARGADO")</f>
        <v>ELECTRO  POINT</v>
      </c>
      <c r="H52" s="94">
        <v>691.74</v>
      </c>
      <c r="I52" s="94">
        <v>145.27000000000001</v>
      </c>
      <c r="J52" s="94"/>
      <c r="K52" s="94"/>
      <c r="L52" s="94"/>
      <c r="M52" s="94"/>
      <c r="N52" s="94"/>
      <c r="O52" s="94">
        <v>0</v>
      </c>
      <c r="P52" s="94">
        <v>837.01</v>
      </c>
      <c r="Q52" s="45" t="str">
        <f>IFERROR(IF(compras_mes6[[#This Row],[CUIT]]="","-",VLOOKUP(compras_mes6[[#This Row],[CUIT]],Lista_CUIT[#All],3,0)),"CUIT NO CARGADO")</f>
        <v>Mantenimiento</v>
      </c>
      <c r="R52" s="45">
        <f>IFERROR(IF(compras_mes6[[#This Row],[CUIT]]="","-",VLOOKUP(compras_mes6[[#This Row],[CUIT]],Lista_CUIT[#All],4,0)),"CUIT NO CARGADO")</f>
        <v>0</v>
      </c>
    </row>
    <row r="53" spans="2:18" x14ac:dyDescent="0.3">
      <c r="B53" s="36">
        <v>44716</v>
      </c>
      <c r="C53" s="37">
        <v>1</v>
      </c>
      <c r="D53" s="38">
        <v>7011</v>
      </c>
      <c r="E53" s="39">
        <v>8906</v>
      </c>
      <c r="F53" s="40">
        <v>30577428618</v>
      </c>
      <c r="G53" s="41" t="str">
        <f>IFERROR(IF(compras_mes6[[#This Row],[CUIT]]="","-",VLOOKUP(compras_mes6[[#This Row],[CUIT]],Lista_CUIT[#All],2,0)),"CUIT NO CARGADO")</f>
        <v>PINTURERIAS PRESTIGIO SA</v>
      </c>
      <c r="H53" s="94">
        <v>164555.56</v>
      </c>
      <c r="I53" s="94">
        <v>34556.67</v>
      </c>
      <c r="J53" s="94"/>
      <c r="K53" s="94"/>
      <c r="L53" s="94"/>
      <c r="M53" s="94">
        <v>9873.27</v>
      </c>
      <c r="N53" s="94"/>
      <c r="O53" s="94">
        <v>4936.63</v>
      </c>
      <c r="P53" s="94">
        <v>213922.13</v>
      </c>
      <c r="Q53" s="45" t="str">
        <f>IFERROR(IF(compras_mes6[[#This Row],[CUIT]]="","-",VLOOKUP(compras_mes6[[#This Row],[CUIT]],Lista_CUIT[#All],3,0)),"CUIT NO CARGADO")</f>
        <v>Mantenimiento</v>
      </c>
      <c r="R53" s="45">
        <f>IFERROR(IF(compras_mes6[[#This Row],[CUIT]]="","-",VLOOKUP(compras_mes6[[#This Row],[CUIT]],Lista_CUIT[#All],4,0)),"CUIT NO CARGADO")</f>
        <v>0</v>
      </c>
    </row>
    <row r="54" spans="2:18" x14ac:dyDescent="0.3">
      <c r="B54" s="36">
        <v>44716</v>
      </c>
      <c r="C54" s="37">
        <v>1</v>
      </c>
      <c r="D54" s="38">
        <v>7011</v>
      </c>
      <c r="E54" s="39">
        <v>8907</v>
      </c>
      <c r="F54" s="40">
        <v>30577428618</v>
      </c>
      <c r="G54" s="41" t="str">
        <f>IFERROR(IF(compras_mes6[[#This Row],[CUIT]]="","-",VLOOKUP(compras_mes6[[#This Row],[CUIT]],Lista_CUIT[#All],2,0)),"CUIT NO CARGADO")</f>
        <v>PINTURERIAS PRESTIGIO SA</v>
      </c>
      <c r="H54" s="94">
        <v>123139.52</v>
      </c>
      <c r="I54" s="94">
        <v>25859.3</v>
      </c>
      <c r="J54" s="94"/>
      <c r="K54" s="94"/>
      <c r="L54" s="94"/>
      <c r="M54" s="94">
        <v>7388.37</v>
      </c>
      <c r="N54" s="94"/>
      <c r="O54" s="94">
        <v>3694.19</v>
      </c>
      <c r="P54" s="94">
        <v>160081.38</v>
      </c>
      <c r="Q54" s="45" t="str">
        <f>IFERROR(IF(compras_mes6[[#This Row],[CUIT]]="","-",VLOOKUP(compras_mes6[[#This Row],[CUIT]],Lista_CUIT[#All],3,0)),"CUIT NO CARGADO")</f>
        <v>Mantenimiento</v>
      </c>
      <c r="R54" s="45">
        <f>IFERROR(IF(compras_mes6[[#This Row],[CUIT]]="","-",VLOOKUP(compras_mes6[[#This Row],[CUIT]],Lista_CUIT[#All],4,0)),"CUIT NO CARGADO")</f>
        <v>0</v>
      </c>
    </row>
    <row r="55" spans="2:18" x14ac:dyDescent="0.3">
      <c r="B55" s="36">
        <v>44720</v>
      </c>
      <c r="C55" s="37">
        <v>1</v>
      </c>
      <c r="D55" s="38">
        <v>2</v>
      </c>
      <c r="E55" s="39">
        <v>4413</v>
      </c>
      <c r="F55" s="40">
        <v>23180288899</v>
      </c>
      <c r="G55" s="41" t="str">
        <f>IFERROR(IF(compras_mes6[[#This Row],[CUIT]]="","-",VLOOKUP(compras_mes6[[#This Row],[CUIT]],Lista_CUIT[#All],2,0)),"CUIT NO CARGADO")</f>
        <v>ROMERO EMILIO</v>
      </c>
      <c r="H55" s="94">
        <v>115000</v>
      </c>
      <c r="I55" s="94">
        <v>24150</v>
      </c>
      <c r="J55" s="94"/>
      <c r="K55" s="94"/>
      <c r="L55" s="94"/>
      <c r="M55" s="94"/>
      <c r="N55" s="94"/>
      <c r="O55" s="94"/>
      <c r="P55" s="94">
        <v>139150</v>
      </c>
      <c r="Q55" s="45" t="str">
        <f>IFERROR(IF(compras_mes6[[#This Row],[CUIT]]="","-",VLOOKUP(compras_mes6[[#This Row],[CUIT]],Lista_CUIT[#All],3,0)),"CUIT NO CARGADO")</f>
        <v>Mercaderia</v>
      </c>
      <c r="R55" s="45" t="str">
        <f>IFERROR(IF(compras_mes6[[#This Row],[CUIT]]="","-",VLOOKUP(compras_mes6[[#This Row],[CUIT]],Lista_CUIT[#All],4,0)),"CUIT NO CARGADO")</f>
        <v>BUENOS AIRES</v>
      </c>
    </row>
    <row r="56" spans="2:18" x14ac:dyDescent="0.3">
      <c r="B56" s="36">
        <v>44712</v>
      </c>
      <c r="C56" s="37">
        <v>1</v>
      </c>
      <c r="D56" s="38">
        <v>2</v>
      </c>
      <c r="E56" s="39">
        <v>3068</v>
      </c>
      <c r="F56" s="40">
        <v>30629863571</v>
      </c>
      <c r="G56" s="41" t="str">
        <f>IFERROR(IF(compras_mes6[[#This Row],[CUIT]]="","-",VLOOKUP(compras_mes6[[#This Row],[CUIT]],Lista_CUIT[#All],2,0)),"CUIT NO CARGADO")</f>
        <v>TECNIMAR S R L</v>
      </c>
      <c r="H56" s="94">
        <v>192114.58</v>
      </c>
      <c r="I56" s="94">
        <v>40344.06</v>
      </c>
      <c r="J56" s="94"/>
      <c r="K56" s="94"/>
      <c r="L56" s="94"/>
      <c r="M56" s="94"/>
      <c r="N56" s="94"/>
      <c r="O56" s="94"/>
      <c r="P56" s="94">
        <v>232458.64</v>
      </c>
      <c r="Q56" s="45" t="str">
        <f>IFERROR(IF(compras_mes6[[#This Row],[CUIT]]="","-",VLOOKUP(compras_mes6[[#This Row],[CUIT]],Lista_CUIT[#All],3,0)),"CUIT NO CARGADO")</f>
        <v>Mercaderia</v>
      </c>
      <c r="R56" s="45">
        <f>IFERROR(IF(compras_mes6[[#This Row],[CUIT]]="","-",VLOOKUP(compras_mes6[[#This Row],[CUIT]],Lista_CUIT[#All],4,0)),"CUIT NO CARGADO")</f>
        <v>0</v>
      </c>
    </row>
    <row r="57" spans="2:18" x14ac:dyDescent="0.3">
      <c r="B57" s="36">
        <v>44713</v>
      </c>
      <c r="C57" s="37">
        <v>1</v>
      </c>
      <c r="D57" s="38">
        <v>2</v>
      </c>
      <c r="E57" s="39">
        <v>3070</v>
      </c>
      <c r="F57" s="40">
        <v>30629863571</v>
      </c>
      <c r="G57" s="41" t="str">
        <f>IFERROR(IF(compras_mes6[[#This Row],[CUIT]]="","-",VLOOKUP(compras_mes6[[#This Row],[CUIT]],Lista_CUIT[#All],2,0)),"CUIT NO CARGADO")</f>
        <v>TECNIMAR S R L</v>
      </c>
      <c r="H57" s="94">
        <v>123833.99</v>
      </c>
      <c r="I57" s="94">
        <v>26005.14</v>
      </c>
      <c r="J57" s="94"/>
      <c r="K57" s="94"/>
      <c r="L57" s="94"/>
      <c r="M57" s="94"/>
      <c r="N57" s="94"/>
      <c r="O57" s="94"/>
      <c r="P57" s="94">
        <v>149839.13</v>
      </c>
      <c r="Q57" s="45" t="str">
        <f>IFERROR(IF(compras_mes6[[#This Row],[CUIT]]="","-",VLOOKUP(compras_mes6[[#This Row],[CUIT]],Lista_CUIT[#All],3,0)),"CUIT NO CARGADO")</f>
        <v>Mercaderia</v>
      </c>
      <c r="R57" s="45">
        <f>IFERROR(IF(compras_mes6[[#This Row],[CUIT]]="","-",VLOOKUP(compras_mes6[[#This Row],[CUIT]],Lista_CUIT[#All],4,0)),"CUIT NO CARGADO")</f>
        <v>0</v>
      </c>
    </row>
    <row r="58" spans="2:18" ht="17.25" customHeight="1" x14ac:dyDescent="0.3">
      <c r="B58" s="36">
        <v>44713</v>
      </c>
      <c r="C58" s="37">
        <v>1</v>
      </c>
      <c r="D58" s="38">
        <v>6</v>
      </c>
      <c r="E58" s="39">
        <v>2072</v>
      </c>
      <c r="F58" s="40">
        <v>30574603788</v>
      </c>
      <c r="G58" s="41" t="str">
        <f>IFERROR(IF(compras_mes6[[#This Row],[CUIT]]="","-",VLOOKUP(compras_mes6[[#This Row],[CUIT]],Lista_CUIT[#All],2,0)),"CUIT NO CARGADO")</f>
        <v>Codac SRL</v>
      </c>
      <c r="H58" s="94">
        <v>1254190</v>
      </c>
      <c r="I58" s="94">
        <v>263379.90000000002</v>
      </c>
      <c r="J58" s="94"/>
      <c r="K58" s="94"/>
      <c r="L58" s="94"/>
      <c r="M58" s="94"/>
      <c r="N58" s="94"/>
      <c r="O58" s="94"/>
      <c r="P58" s="94">
        <v>1517569.9</v>
      </c>
      <c r="Q58" s="45" t="str">
        <f>IFERROR(IF(compras_mes6[[#This Row],[CUIT]]="","-",VLOOKUP(compras_mes6[[#This Row],[CUIT]],Lista_CUIT[#All],3,0)),"CUIT NO CARGADO")</f>
        <v>Mercaderia</v>
      </c>
      <c r="R58" s="45">
        <f>IFERROR(IF(compras_mes6[[#This Row],[CUIT]]="","-",VLOOKUP(compras_mes6[[#This Row],[CUIT]],Lista_CUIT[#All],4,0)),"CUIT NO CARGADO")</f>
        <v>0</v>
      </c>
    </row>
    <row r="59" spans="2:18" x14ac:dyDescent="0.3">
      <c r="B59" s="36">
        <v>44715</v>
      </c>
      <c r="C59" s="37">
        <v>1</v>
      </c>
      <c r="D59" s="38">
        <v>6</v>
      </c>
      <c r="E59" s="39">
        <v>2077</v>
      </c>
      <c r="F59" s="40">
        <v>30574603788</v>
      </c>
      <c r="G59" s="41" t="str">
        <f>IFERROR(IF(compras_mes6[[#This Row],[CUIT]]="","-",VLOOKUP(compras_mes6[[#This Row],[CUIT]],Lista_CUIT[#All],2,0)),"CUIT NO CARGADO")</f>
        <v>Codac SRL</v>
      </c>
      <c r="H59" s="94">
        <v>367929</v>
      </c>
      <c r="I59" s="94">
        <v>77265.09</v>
      </c>
      <c r="J59" s="94"/>
      <c r="K59" s="94"/>
      <c r="L59" s="94"/>
      <c r="M59" s="94"/>
      <c r="N59" s="94"/>
      <c r="O59" s="94"/>
      <c r="P59" s="94">
        <v>445194.09</v>
      </c>
      <c r="Q59" s="45" t="str">
        <f>IFERROR(IF(compras_mes6[[#This Row],[CUIT]]="","-",VLOOKUP(compras_mes6[[#This Row],[CUIT]],Lista_CUIT[#All],3,0)),"CUIT NO CARGADO")</f>
        <v>Mercaderia</v>
      </c>
      <c r="R59" s="45">
        <f>IFERROR(IF(compras_mes6[[#This Row],[CUIT]]="","-",VLOOKUP(compras_mes6[[#This Row],[CUIT]],Lista_CUIT[#All],4,0)),"CUIT NO CARGADO")</f>
        <v>0</v>
      </c>
    </row>
    <row r="60" spans="2:18" x14ac:dyDescent="0.3">
      <c r="B60" s="36">
        <v>44718</v>
      </c>
      <c r="C60" s="37">
        <v>1</v>
      </c>
      <c r="D60" s="38">
        <v>2</v>
      </c>
      <c r="E60" s="39">
        <v>3074</v>
      </c>
      <c r="F60" s="40">
        <v>30629863571</v>
      </c>
      <c r="G60" s="41" t="str">
        <f>IFERROR(IF(compras_mes6[[#This Row],[CUIT]]="","-",VLOOKUP(compras_mes6[[#This Row],[CUIT]],Lista_CUIT[#All],2,0)),"CUIT NO CARGADO")</f>
        <v>TECNIMAR S R L</v>
      </c>
      <c r="H60" s="94">
        <v>95525.14</v>
      </c>
      <c r="I60" s="94">
        <v>20060.28</v>
      </c>
      <c r="J60" s="94"/>
      <c r="K60" s="94"/>
      <c r="L60" s="94"/>
      <c r="M60" s="94"/>
      <c r="N60" s="94"/>
      <c r="O60" s="94"/>
      <c r="P60" s="94">
        <v>115585.42</v>
      </c>
      <c r="Q60" s="45" t="str">
        <f>IFERROR(IF(compras_mes6[[#This Row],[CUIT]]="","-",VLOOKUP(compras_mes6[[#This Row],[CUIT]],Lista_CUIT[#All],3,0)),"CUIT NO CARGADO")</f>
        <v>Mercaderia</v>
      </c>
      <c r="R60" s="45">
        <f>IFERROR(IF(compras_mes6[[#This Row],[CUIT]]="","-",VLOOKUP(compras_mes6[[#This Row],[CUIT]],Lista_CUIT[#All],4,0)),"CUIT NO CARGADO")</f>
        <v>0</v>
      </c>
    </row>
    <row r="61" spans="2:18" x14ac:dyDescent="0.3">
      <c r="B61" s="36">
        <v>44718</v>
      </c>
      <c r="C61" s="37">
        <v>1</v>
      </c>
      <c r="D61" s="38">
        <v>9</v>
      </c>
      <c r="E61" s="39">
        <v>22734</v>
      </c>
      <c r="F61" s="40">
        <v>30694592526</v>
      </c>
      <c r="G61" s="41" t="str">
        <f>IFERROR(IF(compras_mes6[[#This Row],[CUIT]]="","-",VLOOKUP(compras_mes6[[#This Row],[CUIT]],Lista_CUIT[#All],2,0)),"CUIT NO CARGADO")</f>
        <v>THAMES CLP SRL</v>
      </c>
      <c r="H61" s="94">
        <v>209088</v>
      </c>
      <c r="I61" s="94">
        <v>43908.480000000003</v>
      </c>
      <c r="J61" s="94"/>
      <c r="K61" s="94"/>
      <c r="L61" s="94"/>
      <c r="M61" s="94">
        <v>12545.28</v>
      </c>
      <c r="N61" s="94"/>
      <c r="O61" s="94"/>
      <c r="P61" s="94">
        <v>265541.76000000001</v>
      </c>
      <c r="Q61" s="45" t="str">
        <f>IFERROR(IF(compras_mes6[[#This Row],[CUIT]]="","-",VLOOKUP(compras_mes6[[#This Row],[CUIT]],Lista_CUIT[#All],3,0)),"CUIT NO CARGADO")</f>
        <v>Mercaderia</v>
      </c>
      <c r="R61" s="45">
        <f>IFERROR(IF(compras_mes6[[#This Row],[CUIT]]="","-",VLOOKUP(compras_mes6[[#This Row],[CUIT]],Lista_CUIT[#All],4,0)),"CUIT NO CARGADO")</f>
        <v>0</v>
      </c>
    </row>
    <row r="62" spans="2:18" x14ac:dyDescent="0.3">
      <c r="B62" s="36">
        <v>44719</v>
      </c>
      <c r="C62" s="37">
        <v>1</v>
      </c>
      <c r="D62" s="38">
        <v>1</v>
      </c>
      <c r="E62" s="39">
        <v>63</v>
      </c>
      <c r="F62" s="40">
        <v>20077604627</v>
      </c>
      <c r="G62" s="41" t="str">
        <f>IFERROR(IF(compras_mes6[[#This Row],[CUIT]]="","-",VLOOKUP(compras_mes6[[#This Row],[CUIT]],Lista_CUIT[#All],2,0)),"CUIT NO CARGADO")</f>
        <v>OCAÑO ENRIQUE</v>
      </c>
      <c r="H62" s="94">
        <v>110656</v>
      </c>
      <c r="I62" s="94">
        <v>23237.759999999998</v>
      </c>
      <c r="J62" s="94"/>
      <c r="K62" s="94"/>
      <c r="L62" s="94"/>
      <c r="M62" s="94"/>
      <c r="N62" s="94"/>
      <c r="O62" s="94"/>
      <c r="P62" s="94">
        <v>133893.76000000001</v>
      </c>
      <c r="Q62" s="45" t="str">
        <f>IFERROR(IF(compras_mes6[[#This Row],[CUIT]]="","-",VLOOKUP(compras_mes6[[#This Row],[CUIT]],Lista_CUIT[#All],3,0)),"CUIT NO CARGADO")</f>
        <v>Mercaderia</v>
      </c>
      <c r="R62" s="45">
        <f>IFERROR(IF(compras_mes6[[#This Row],[CUIT]]="","-",VLOOKUP(compras_mes6[[#This Row],[CUIT]],Lista_CUIT[#All],4,0)),"CUIT NO CARGADO")</f>
        <v>0</v>
      </c>
    </row>
    <row r="63" spans="2:18" x14ac:dyDescent="0.3">
      <c r="B63" s="36">
        <v>44720</v>
      </c>
      <c r="C63" s="37">
        <v>1</v>
      </c>
      <c r="D63" s="38">
        <v>2</v>
      </c>
      <c r="E63" s="39">
        <v>3076</v>
      </c>
      <c r="F63" s="40">
        <v>30629863571</v>
      </c>
      <c r="G63" s="41" t="str">
        <f>IFERROR(IF(compras_mes6[[#This Row],[CUIT]]="","-",VLOOKUP(compras_mes6[[#This Row],[CUIT]],Lista_CUIT[#All],2,0)),"CUIT NO CARGADO")</f>
        <v>TECNIMAR S R L</v>
      </c>
      <c r="H63" s="94">
        <v>171683.24</v>
      </c>
      <c r="I63" s="94">
        <v>36053.480000000003</v>
      </c>
      <c r="J63" s="94"/>
      <c r="K63" s="94"/>
      <c r="L63" s="94"/>
      <c r="M63" s="94"/>
      <c r="N63" s="94"/>
      <c r="O63" s="94"/>
      <c r="P63" s="94">
        <v>207736.72</v>
      </c>
      <c r="Q63" s="45" t="str">
        <f>IFERROR(IF(compras_mes6[[#This Row],[CUIT]]="","-",VLOOKUP(compras_mes6[[#This Row],[CUIT]],Lista_CUIT[#All],3,0)),"CUIT NO CARGADO")</f>
        <v>Mercaderia</v>
      </c>
      <c r="R63" s="45">
        <f>IFERROR(IF(compras_mes6[[#This Row],[CUIT]]="","-",VLOOKUP(compras_mes6[[#This Row],[CUIT]],Lista_CUIT[#All],4,0)),"CUIT NO CARGADO")</f>
        <v>0</v>
      </c>
    </row>
    <row r="64" spans="2:18" x14ac:dyDescent="0.3">
      <c r="B64" s="36">
        <v>44720</v>
      </c>
      <c r="C64" s="37">
        <v>1</v>
      </c>
      <c r="D64" s="38">
        <v>60</v>
      </c>
      <c r="E64" s="39">
        <v>54184</v>
      </c>
      <c r="F64" s="40">
        <v>30517345039</v>
      </c>
      <c r="G64" s="41" t="str">
        <f>IFERROR(IF(compras_mes6[[#This Row],[CUIT]]="","-",VLOOKUP(compras_mes6[[#This Row],[CUIT]],Lista_CUIT[#All],2,0)),"CUIT NO CARGADO")</f>
        <v>QUIMICA OESTE S.A.</v>
      </c>
      <c r="H64" s="94">
        <v>57235</v>
      </c>
      <c r="I64" s="94">
        <v>12019.35</v>
      </c>
      <c r="J64" s="94"/>
      <c r="K64" s="94"/>
      <c r="L64" s="94"/>
      <c r="M64" s="94"/>
      <c r="N64" s="94">
        <v>3434.1</v>
      </c>
      <c r="O64" s="94"/>
      <c r="P64" s="94">
        <v>72688.45</v>
      </c>
      <c r="Q64" s="45" t="str">
        <f>IFERROR(IF(compras_mes6[[#This Row],[CUIT]]="","-",VLOOKUP(compras_mes6[[#This Row],[CUIT]],Lista_CUIT[#All],3,0)),"CUIT NO CARGADO")</f>
        <v>Mercaderia</v>
      </c>
      <c r="R64" s="45">
        <f>IFERROR(IF(compras_mes6[[#This Row],[CUIT]]="","-",VLOOKUP(compras_mes6[[#This Row],[CUIT]],Lista_CUIT[#All],4,0)),"CUIT NO CARGADO")</f>
        <v>0</v>
      </c>
    </row>
    <row r="65" spans="2:18" x14ac:dyDescent="0.3">
      <c r="B65" s="36">
        <v>44721</v>
      </c>
      <c r="C65" s="37">
        <v>1</v>
      </c>
      <c r="D65" s="38">
        <v>1</v>
      </c>
      <c r="E65" s="39">
        <v>65</v>
      </c>
      <c r="F65" s="40">
        <v>20077604627</v>
      </c>
      <c r="G65" s="41" t="str">
        <f>IFERROR(IF(compras_mes6[[#This Row],[CUIT]]="","-",VLOOKUP(compras_mes6[[#This Row],[CUIT]],Lista_CUIT[#All],2,0)),"CUIT NO CARGADO")</f>
        <v>OCAÑO ENRIQUE</v>
      </c>
      <c r="H65" s="94">
        <v>202984.6</v>
      </c>
      <c r="I65" s="94">
        <v>42626.77</v>
      </c>
      <c r="J65" s="94"/>
      <c r="K65" s="94"/>
      <c r="L65" s="94"/>
      <c r="M65" s="94"/>
      <c r="N65" s="94"/>
      <c r="O65" s="94"/>
      <c r="P65" s="94">
        <v>245611.37</v>
      </c>
      <c r="Q65" s="45" t="str">
        <f>IFERROR(IF(compras_mes6[[#This Row],[CUIT]]="","-",VLOOKUP(compras_mes6[[#This Row],[CUIT]],Lista_CUIT[#All],3,0)),"CUIT NO CARGADO")</f>
        <v>Mercaderia</v>
      </c>
      <c r="R65" s="45">
        <f>IFERROR(IF(compras_mes6[[#This Row],[CUIT]]="","-",VLOOKUP(compras_mes6[[#This Row],[CUIT]],Lista_CUIT[#All],4,0)),"CUIT NO CARGADO")</f>
        <v>0</v>
      </c>
    </row>
    <row r="66" spans="2:18" x14ac:dyDescent="0.3">
      <c r="B66" s="36">
        <v>44721</v>
      </c>
      <c r="C66" s="37">
        <v>1</v>
      </c>
      <c r="D66" s="38">
        <v>6</v>
      </c>
      <c r="E66" s="39">
        <v>12311</v>
      </c>
      <c r="F66" s="40">
        <v>30701023494</v>
      </c>
      <c r="G66" s="41" t="str">
        <f>IFERROR(IF(compras_mes6[[#This Row],[CUIT]]="","-",VLOOKUP(compras_mes6[[#This Row],[CUIT]],Lista_CUIT[#All],2,0)),"CUIT NO CARGADO")</f>
        <v>VTG  SPECIALTY  CHEMICALS  S.A</v>
      </c>
      <c r="H66" s="94">
        <v>19398.07</v>
      </c>
      <c r="I66" s="94">
        <v>4073.59</v>
      </c>
      <c r="J66" s="94"/>
      <c r="K66" s="94"/>
      <c r="L66" s="94"/>
      <c r="M66" s="94"/>
      <c r="N66" s="94">
        <v>1163.8800000000001</v>
      </c>
      <c r="O66" s="94"/>
      <c r="P66" s="94">
        <v>24635.54</v>
      </c>
      <c r="Q66" s="45" t="str">
        <f>IFERROR(IF(compras_mes6[[#This Row],[CUIT]]="","-",VLOOKUP(compras_mes6[[#This Row],[CUIT]],Lista_CUIT[#All],3,0)),"CUIT NO CARGADO")</f>
        <v>Mercaderia</v>
      </c>
      <c r="R66" s="45">
        <f>IFERROR(IF(compras_mes6[[#This Row],[CUIT]]="","-",VLOOKUP(compras_mes6[[#This Row],[CUIT]],Lista_CUIT[#All],4,0)),"CUIT NO CARGADO")</f>
        <v>0</v>
      </c>
    </row>
    <row r="67" spans="2:18" x14ac:dyDescent="0.3">
      <c r="B67" s="36">
        <v>44722</v>
      </c>
      <c r="C67" s="37">
        <v>1</v>
      </c>
      <c r="D67" s="38">
        <v>2</v>
      </c>
      <c r="E67" s="39">
        <v>827</v>
      </c>
      <c r="F67" s="40">
        <v>20172319743</v>
      </c>
      <c r="G67" s="41" t="str">
        <f>IFERROR(IF(compras_mes6[[#This Row],[CUIT]]="","-",VLOOKUP(compras_mes6[[#This Row],[CUIT]],Lista_CUIT[#All],2,0)),"CUIT NO CARGADO")</f>
        <v>IACONIS SERGIO OMAR</v>
      </c>
      <c r="H67" s="94">
        <v>344206.8</v>
      </c>
      <c r="I67" s="94">
        <v>72283.429999999993</v>
      </c>
      <c r="J67" s="94"/>
      <c r="K67" s="94"/>
      <c r="L67" s="94"/>
      <c r="M67" s="94"/>
      <c r="N67" s="94"/>
      <c r="O67" s="94"/>
      <c r="P67" s="94">
        <v>416490.23</v>
      </c>
      <c r="Q67" s="45" t="str">
        <f>IFERROR(IF(compras_mes6[[#This Row],[CUIT]]="","-",VLOOKUP(compras_mes6[[#This Row],[CUIT]],Lista_CUIT[#All],3,0)),"CUIT NO CARGADO")</f>
        <v>Mercaderia</v>
      </c>
      <c r="R67" s="45" t="str">
        <f>IFERROR(IF(compras_mes6[[#This Row],[CUIT]]="","-",VLOOKUP(compras_mes6[[#This Row],[CUIT]],Lista_CUIT[#All],4,0)),"CUIT NO CARGADO")</f>
        <v>BS AS</v>
      </c>
    </row>
    <row r="68" spans="2:18" x14ac:dyDescent="0.3">
      <c r="B68" s="36">
        <v>44722</v>
      </c>
      <c r="C68" s="37">
        <v>1</v>
      </c>
      <c r="D68" s="38">
        <v>4</v>
      </c>
      <c r="E68" s="39">
        <v>33</v>
      </c>
      <c r="F68" s="40">
        <v>20946785300</v>
      </c>
      <c r="G68" s="41" t="str">
        <f>IFERROR(IF(compras_mes6[[#This Row],[CUIT]]="","-",VLOOKUP(compras_mes6[[#This Row],[CUIT]],Lista_CUIT[#All],2,0)),"CUIT NO CARGADO")</f>
        <v>FLORES HUAYRA MICHAEL MARTIN</v>
      </c>
      <c r="H68" s="94">
        <v>66500</v>
      </c>
      <c r="I68" s="94">
        <v>13965</v>
      </c>
      <c r="J68" s="94"/>
      <c r="K68" s="94"/>
      <c r="L68" s="94"/>
      <c r="M68" s="94"/>
      <c r="N68" s="94"/>
      <c r="O68" s="94"/>
      <c r="P68" s="94">
        <v>80465</v>
      </c>
      <c r="Q68" s="45" t="str">
        <f>IFERROR(IF(compras_mes6[[#This Row],[CUIT]]="","-",VLOOKUP(compras_mes6[[#This Row],[CUIT]],Lista_CUIT[#All],3,0)),"CUIT NO CARGADO")</f>
        <v>Mercaderia</v>
      </c>
      <c r="R68" s="45">
        <f>IFERROR(IF(compras_mes6[[#This Row],[CUIT]]="","-",VLOOKUP(compras_mes6[[#This Row],[CUIT]],Lista_CUIT[#All],4,0)),"CUIT NO CARGADO")</f>
        <v>0</v>
      </c>
    </row>
    <row r="69" spans="2:18" x14ac:dyDescent="0.3">
      <c r="B69" s="36">
        <v>44725</v>
      </c>
      <c r="C69" s="37">
        <v>1</v>
      </c>
      <c r="D69" s="38">
        <v>6</v>
      </c>
      <c r="E69" s="39">
        <v>2087</v>
      </c>
      <c r="F69" s="40">
        <v>30574603788</v>
      </c>
      <c r="G69" s="41" t="str">
        <f>IFERROR(IF(compras_mes6[[#This Row],[CUIT]]="","-",VLOOKUP(compras_mes6[[#This Row],[CUIT]],Lista_CUIT[#All],2,0)),"CUIT NO CARGADO")</f>
        <v>Codac SRL</v>
      </c>
      <c r="H69" s="94">
        <v>650834</v>
      </c>
      <c r="I69" s="94">
        <v>136675.14000000001</v>
      </c>
      <c r="J69" s="94"/>
      <c r="K69" s="94"/>
      <c r="L69" s="94"/>
      <c r="M69" s="94"/>
      <c r="N69" s="94"/>
      <c r="O69" s="94"/>
      <c r="P69" s="94">
        <v>787509.14</v>
      </c>
      <c r="Q69" s="45" t="str">
        <f>IFERROR(IF(compras_mes6[[#This Row],[CUIT]]="","-",VLOOKUP(compras_mes6[[#This Row],[CUIT]],Lista_CUIT[#All],3,0)),"CUIT NO CARGADO")</f>
        <v>Mercaderia</v>
      </c>
      <c r="R69" s="45">
        <f>IFERROR(IF(compras_mes6[[#This Row],[CUIT]]="","-",VLOOKUP(compras_mes6[[#This Row],[CUIT]],Lista_CUIT[#All],4,0)),"CUIT NO CARGADO")</f>
        <v>0</v>
      </c>
    </row>
    <row r="70" spans="2:18" x14ac:dyDescent="0.3">
      <c r="B70" s="36">
        <v>44726</v>
      </c>
      <c r="C70" s="37">
        <v>1</v>
      </c>
      <c r="D70" s="38">
        <v>2</v>
      </c>
      <c r="E70" s="39">
        <v>3080</v>
      </c>
      <c r="F70" s="40">
        <v>30629863571</v>
      </c>
      <c r="G70" s="41" t="str">
        <f>IFERROR(IF(compras_mes6[[#This Row],[CUIT]]="","-",VLOOKUP(compras_mes6[[#This Row],[CUIT]],Lista_CUIT[#All],2,0)),"CUIT NO CARGADO")</f>
        <v>TECNIMAR S R L</v>
      </c>
      <c r="H70" s="94">
        <v>244762.8</v>
      </c>
      <c r="I70" s="94">
        <v>51400.19</v>
      </c>
      <c r="J70" s="94"/>
      <c r="K70" s="94"/>
      <c r="L70" s="94"/>
      <c r="M70" s="94"/>
      <c r="N70" s="94"/>
      <c r="O70" s="94"/>
      <c r="P70" s="94">
        <v>296162.99</v>
      </c>
      <c r="Q70" s="45" t="str">
        <f>IFERROR(IF(compras_mes6[[#This Row],[CUIT]]="","-",VLOOKUP(compras_mes6[[#This Row],[CUIT]],Lista_CUIT[#All],3,0)),"CUIT NO CARGADO")</f>
        <v>Mercaderia</v>
      </c>
      <c r="R70" s="45">
        <f>IFERROR(IF(compras_mes6[[#This Row],[CUIT]]="","-",VLOOKUP(compras_mes6[[#This Row],[CUIT]],Lista_CUIT[#All],4,0)),"CUIT NO CARGADO")</f>
        <v>0</v>
      </c>
    </row>
    <row r="71" spans="2:18" x14ac:dyDescent="0.3">
      <c r="B71" s="36">
        <v>44729</v>
      </c>
      <c r="C71" s="37">
        <v>1</v>
      </c>
      <c r="D71" s="38">
        <v>2</v>
      </c>
      <c r="E71" s="39">
        <v>3083</v>
      </c>
      <c r="F71" s="40">
        <v>30629863571</v>
      </c>
      <c r="G71" s="41" t="str">
        <f>IFERROR(IF(compras_mes6[[#This Row],[CUIT]]="","-",VLOOKUP(compras_mes6[[#This Row],[CUIT]],Lista_CUIT[#All],2,0)),"CUIT NO CARGADO")</f>
        <v>TECNIMAR S R L</v>
      </c>
      <c r="H71" s="94">
        <v>177479.51</v>
      </c>
      <c r="I71" s="94">
        <v>37270.699999999997</v>
      </c>
      <c r="J71" s="94"/>
      <c r="K71" s="94"/>
      <c r="L71" s="94"/>
      <c r="M71" s="94"/>
      <c r="N71" s="94"/>
      <c r="O71" s="94"/>
      <c r="P71" s="94">
        <v>214750.21</v>
      </c>
      <c r="Q71" s="45" t="str">
        <f>IFERROR(IF(compras_mes6[[#This Row],[CUIT]]="","-",VLOOKUP(compras_mes6[[#This Row],[CUIT]],Lista_CUIT[#All],3,0)),"CUIT NO CARGADO")</f>
        <v>Mercaderia</v>
      </c>
      <c r="R71" s="45">
        <f>IFERROR(IF(compras_mes6[[#This Row],[CUIT]]="","-",VLOOKUP(compras_mes6[[#This Row],[CUIT]],Lista_CUIT[#All],4,0)),"CUIT NO CARGADO")</f>
        <v>0</v>
      </c>
    </row>
    <row r="72" spans="2:18" x14ac:dyDescent="0.3">
      <c r="B72" s="36">
        <v>44734</v>
      </c>
      <c r="C72" s="37">
        <v>1</v>
      </c>
      <c r="D72" s="38">
        <v>1</v>
      </c>
      <c r="E72" s="39">
        <v>66</v>
      </c>
      <c r="F72" s="40">
        <v>20077604627</v>
      </c>
      <c r="G72" s="41" t="str">
        <f>IFERROR(IF(compras_mes6[[#This Row],[CUIT]]="","-",VLOOKUP(compras_mes6[[#This Row],[CUIT]],Lista_CUIT[#All],2,0)),"CUIT NO CARGADO")</f>
        <v>OCAÑO ENRIQUE</v>
      </c>
      <c r="H72" s="94">
        <v>341756.8</v>
      </c>
      <c r="I72" s="94">
        <v>71768.929999999993</v>
      </c>
      <c r="J72" s="94"/>
      <c r="K72" s="94"/>
      <c r="L72" s="94"/>
      <c r="M72" s="94"/>
      <c r="N72" s="94"/>
      <c r="O72" s="94"/>
      <c r="P72" s="94">
        <v>413525.73</v>
      </c>
      <c r="Q72" s="45" t="str">
        <f>IFERROR(IF(compras_mes6[[#This Row],[CUIT]]="","-",VLOOKUP(compras_mes6[[#This Row],[CUIT]],Lista_CUIT[#All],3,0)),"CUIT NO CARGADO")</f>
        <v>Mercaderia</v>
      </c>
      <c r="R72" s="45">
        <f>IFERROR(IF(compras_mes6[[#This Row],[CUIT]]="","-",VLOOKUP(compras_mes6[[#This Row],[CUIT]],Lista_CUIT[#All],4,0)),"CUIT NO CARGADO")</f>
        <v>0</v>
      </c>
    </row>
    <row r="73" spans="2:18" x14ac:dyDescent="0.3">
      <c r="B73" s="36">
        <v>44734</v>
      </c>
      <c r="C73" s="37">
        <v>1</v>
      </c>
      <c r="D73" s="38">
        <v>2</v>
      </c>
      <c r="E73" s="39">
        <v>3086</v>
      </c>
      <c r="F73" s="40">
        <v>30629863571</v>
      </c>
      <c r="G73" s="41" t="str">
        <f>IFERROR(IF(compras_mes6[[#This Row],[CUIT]]="","-",VLOOKUP(compras_mes6[[#This Row],[CUIT]],Lista_CUIT[#All],2,0)),"CUIT NO CARGADO")</f>
        <v>TECNIMAR S R L</v>
      </c>
      <c r="H73" s="94">
        <v>299318.96999999997</v>
      </c>
      <c r="I73" s="94">
        <v>62856.98</v>
      </c>
      <c r="J73" s="94"/>
      <c r="K73" s="94"/>
      <c r="L73" s="94"/>
      <c r="M73" s="94"/>
      <c r="N73" s="94"/>
      <c r="O73" s="94"/>
      <c r="P73" s="94">
        <v>362175.95</v>
      </c>
      <c r="Q73" s="45" t="str">
        <f>IFERROR(IF(compras_mes6[[#This Row],[CUIT]]="","-",VLOOKUP(compras_mes6[[#This Row],[CUIT]],Lista_CUIT[#All],3,0)),"CUIT NO CARGADO")</f>
        <v>Mercaderia</v>
      </c>
      <c r="R73" s="45">
        <f>IFERROR(IF(compras_mes6[[#This Row],[CUIT]]="","-",VLOOKUP(compras_mes6[[#This Row],[CUIT]],Lista_CUIT[#All],4,0)),"CUIT NO CARGADO")</f>
        <v>0</v>
      </c>
    </row>
    <row r="74" spans="2:18" x14ac:dyDescent="0.3">
      <c r="B74" s="36">
        <v>44735</v>
      </c>
      <c r="C74" s="37">
        <v>1</v>
      </c>
      <c r="D74" s="38">
        <v>2</v>
      </c>
      <c r="E74" s="39">
        <v>3088</v>
      </c>
      <c r="F74" s="40">
        <v>30629863571</v>
      </c>
      <c r="G74" s="41" t="str">
        <f>IFERROR(IF(compras_mes6[[#This Row],[CUIT]]="","-",VLOOKUP(compras_mes6[[#This Row],[CUIT]],Lista_CUIT[#All],2,0)),"CUIT NO CARGADO")</f>
        <v>TECNIMAR S R L</v>
      </c>
      <c r="H74" s="94">
        <v>427419.63</v>
      </c>
      <c r="I74" s="94">
        <v>89758.12</v>
      </c>
      <c r="J74" s="94"/>
      <c r="K74" s="94"/>
      <c r="L74" s="94"/>
      <c r="M74" s="94"/>
      <c r="N74" s="94"/>
      <c r="O74" s="94"/>
      <c r="P74" s="94">
        <v>517177.75</v>
      </c>
      <c r="Q74" s="45" t="str">
        <f>IFERROR(IF(compras_mes6[[#This Row],[CUIT]]="","-",VLOOKUP(compras_mes6[[#This Row],[CUIT]],Lista_CUIT[#All],3,0)),"CUIT NO CARGADO")</f>
        <v>Mercaderia</v>
      </c>
      <c r="R74" s="45">
        <f>IFERROR(IF(compras_mes6[[#This Row],[CUIT]]="","-",VLOOKUP(compras_mes6[[#This Row],[CUIT]],Lista_CUIT[#All],4,0)),"CUIT NO CARGADO")</f>
        <v>0</v>
      </c>
    </row>
    <row r="75" spans="2:18" x14ac:dyDescent="0.3">
      <c r="B75" s="36">
        <v>44735</v>
      </c>
      <c r="C75" s="37">
        <v>3</v>
      </c>
      <c r="D75" s="38">
        <v>2</v>
      </c>
      <c r="E75" s="39">
        <v>74</v>
      </c>
      <c r="F75" s="40">
        <v>30629863571</v>
      </c>
      <c r="G75" s="41" t="str">
        <f>IFERROR(IF(compras_mes6[[#This Row],[CUIT]]="","-",VLOOKUP(compras_mes6[[#This Row],[CUIT]],Lista_CUIT[#All],2,0)),"CUIT NO CARGADO")</f>
        <v>TECNIMAR S R L</v>
      </c>
      <c r="H75" s="94">
        <v>-299318.96999999997</v>
      </c>
      <c r="I75" s="94">
        <v>-62856.98</v>
      </c>
      <c r="J75" s="94"/>
      <c r="K75" s="94"/>
      <c r="L75" s="94"/>
      <c r="M75" s="94"/>
      <c r="N75" s="94"/>
      <c r="O75" s="94"/>
      <c r="P75" s="94">
        <v>-362175.95</v>
      </c>
      <c r="Q75" s="45" t="str">
        <f>IFERROR(IF(compras_mes6[[#This Row],[CUIT]]="","-",VLOOKUP(compras_mes6[[#This Row],[CUIT]],Lista_CUIT[#All],3,0)),"CUIT NO CARGADO")</f>
        <v>Mercaderia</v>
      </c>
      <c r="R75" s="45">
        <f>IFERROR(IF(compras_mes6[[#This Row],[CUIT]]="","-",VLOOKUP(compras_mes6[[#This Row],[CUIT]],Lista_CUIT[#All],4,0)),"CUIT NO CARGADO")</f>
        <v>0</v>
      </c>
    </row>
    <row r="76" spans="2:18" x14ac:dyDescent="0.3">
      <c r="B76" s="36">
        <v>44736</v>
      </c>
      <c r="C76" s="37">
        <v>1</v>
      </c>
      <c r="D76" s="38">
        <v>60</v>
      </c>
      <c r="E76" s="39">
        <v>54404</v>
      </c>
      <c r="F76" s="40">
        <v>30517345039</v>
      </c>
      <c r="G76" s="41" t="str">
        <f>IFERROR(IF(compras_mes6[[#This Row],[CUIT]]="","-",VLOOKUP(compras_mes6[[#This Row],[CUIT]],Lista_CUIT[#All],2,0)),"CUIT NO CARGADO")</f>
        <v>QUIMICA OESTE S.A.</v>
      </c>
      <c r="H76" s="94">
        <v>17150</v>
      </c>
      <c r="I76" s="94">
        <v>3601.5</v>
      </c>
      <c r="J76" s="94"/>
      <c r="K76" s="94"/>
      <c r="L76" s="94"/>
      <c r="M76" s="94"/>
      <c r="N76" s="94"/>
      <c r="O76" s="94">
        <v>1029</v>
      </c>
      <c r="P76" s="94">
        <v>21780.5</v>
      </c>
      <c r="Q76" s="45" t="str">
        <f>IFERROR(IF(compras_mes6[[#This Row],[CUIT]]="","-",VLOOKUP(compras_mes6[[#This Row],[CUIT]],Lista_CUIT[#All],3,0)),"CUIT NO CARGADO")</f>
        <v>Mercaderia</v>
      </c>
      <c r="R76" s="45">
        <f>IFERROR(IF(compras_mes6[[#This Row],[CUIT]]="","-",VLOOKUP(compras_mes6[[#This Row],[CUIT]],Lista_CUIT[#All],4,0)),"CUIT NO CARGADO")</f>
        <v>0</v>
      </c>
    </row>
    <row r="77" spans="2:18" x14ac:dyDescent="0.3">
      <c r="B77" s="36">
        <v>44739</v>
      </c>
      <c r="C77" s="37">
        <v>1</v>
      </c>
      <c r="D77" s="38">
        <v>1</v>
      </c>
      <c r="E77" s="39">
        <v>67</v>
      </c>
      <c r="F77" s="40">
        <v>20077604627</v>
      </c>
      <c r="G77" s="41" t="str">
        <f>IFERROR(IF(compras_mes6[[#This Row],[CUIT]]="","-",VLOOKUP(compras_mes6[[#This Row],[CUIT]],Lista_CUIT[#All],2,0)),"CUIT NO CARGADO")</f>
        <v>OCAÑO ENRIQUE</v>
      </c>
      <c r="H77" s="94">
        <v>172953.2</v>
      </c>
      <c r="I77" s="94">
        <v>36320.17</v>
      </c>
      <c r="J77" s="94"/>
      <c r="K77" s="94"/>
      <c r="L77" s="94"/>
      <c r="M77" s="94"/>
      <c r="N77" s="94"/>
      <c r="O77" s="94"/>
      <c r="P77" s="94">
        <v>209273.37</v>
      </c>
      <c r="Q77" s="45" t="str">
        <f>IFERROR(IF(compras_mes6[[#This Row],[CUIT]]="","-",VLOOKUP(compras_mes6[[#This Row],[CUIT]],Lista_CUIT[#All],3,0)),"CUIT NO CARGADO")</f>
        <v>Mercaderia</v>
      </c>
      <c r="R77" s="45">
        <f>IFERROR(IF(compras_mes6[[#This Row],[CUIT]]="","-",VLOOKUP(compras_mes6[[#This Row],[CUIT]],Lista_CUIT[#All],4,0)),"CUIT NO CARGADO")</f>
        <v>0</v>
      </c>
    </row>
    <row r="78" spans="2:18" x14ac:dyDescent="0.3">
      <c r="B78" s="36">
        <v>44740</v>
      </c>
      <c r="C78" s="37">
        <v>1</v>
      </c>
      <c r="D78" s="38">
        <v>5</v>
      </c>
      <c r="E78" s="39">
        <v>5932</v>
      </c>
      <c r="F78" s="40">
        <v>30532905555</v>
      </c>
      <c r="G78" s="41" t="str">
        <f>IFERROR(IF(compras_mes6[[#This Row],[CUIT]]="","-",VLOOKUP(compras_mes6[[#This Row],[CUIT]],Lista_CUIT[#All],2,0)),"CUIT NO CARGADO")</f>
        <v>UNTECO  SAIC  E  I.</v>
      </c>
      <c r="H78" s="94">
        <v>98862.8</v>
      </c>
      <c r="I78" s="94">
        <v>20761.189999999999</v>
      </c>
      <c r="J78" s="94"/>
      <c r="K78" s="94"/>
      <c r="L78" s="94"/>
      <c r="M78" s="94"/>
      <c r="N78" s="94">
        <v>5931.77</v>
      </c>
      <c r="O78" s="94"/>
      <c r="P78" s="94">
        <v>125555.76</v>
      </c>
      <c r="Q78" s="45" t="str">
        <f>IFERROR(IF(compras_mes6[[#This Row],[CUIT]]="","-",VLOOKUP(compras_mes6[[#This Row],[CUIT]],Lista_CUIT[#All],3,0)),"CUIT NO CARGADO")</f>
        <v>Mercaderia</v>
      </c>
      <c r="R78" s="45">
        <f>IFERROR(IF(compras_mes6[[#This Row],[CUIT]]="","-",VLOOKUP(compras_mes6[[#This Row],[CUIT]],Lista_CUIT[#All],4,0)),"CUIT NO CARGADO")</f>
        <v>0</v>
      </c>
    </row>
    <row r="79" spans="2:18" x14ac:dyDescent="0.3">
      <c r="B79" s="36">
        <v>44741</v>
      </c>
      <c r="C79" s="37">
        <v>1</v>
      </c>
      <c r="D79" s="38">
        <v>1</v>
      </c>
      <c r="E79" s="39">
        <v>23</v>
      </c>
      <c r="F79" s="40">
        <v>30717305287</v>
      </c>
      <c r="G79" s="41" t="str">
        <f>IFERROR(IF(compras_mes6[[#This Row],[CUIT]]="","-",VLOOKUP(compras_mes6[[#This Row],[CUIT]],Lista_CUIT[#All],2,0)),"CUIT NO CARGADO")</f>
        <v>K.R. S. R. L.</v>
      </c>
      <c r="H79" s="94">
        <v>225000</v>
      </c>
      <c r="I79" s="94">
        <v>47250</v>
      </c>
      <c r="J79" s="94"/>
      <c r="K79" s="94"/>
      <c r="L79" s="94"/>
      <c r="M79" s="94"/>
      <c r="N79" s="94"/>
      <c r="O79" s="94">
        <v>0</v>
      </c>
      <c r="P79" s="94">
        <v>272250</v>
      </c>
      <c r="Q79" s="45" t="str">
        <f>IFERROR(IF(compras_mes6[[#This Row],[CUIT]]="","-",VLOOKUP(compras_mes6[[#This Row],[CUIT]],Lista_CUIT[#All],3,0)),"CUIT NO CARGADO")</f>
        <v>Mercaderia</v>
      </c>
      <c r="R79" s="45">
        <f>IFERROR(IF(compras_mes6[[#This Row],[CUIT]]="","-",VLOOKUP(compras_mes6[[#This Row],[CUIT]],Lista_CUIT[#All],4,0)),"CUIT NO CARGADO")</f>
        <v>0</v>
      </c>
    </row>
    <row r="80" spans="2:18" x14ac:dyDescent="0.3">
      <c r="B80" s="36">
        <v>44741</v>
      </c>
      <c r="C80" s="37">
        <v>1</v>
      </c>
      <c r="D80" s="38">
        <v>2</v>
      </c>
      <c r="E80" s="39">
        <v>3092</v>
      </c>
      <c r="F80" s="40">
        <v>30629863571</v>
      </c>
      <c r="G80" s="41" t="str">
        <f>IFERROR(IF(compras_mes6[[#This Row],[CUIT]]="","-",VLOOKUP(compras_mes6[[#This Row],[CUIT]],Lista_CUIT[#All],2,0)),"CUIT NO CARGADO")</f>
        <v>TECNIMAR S R L</v>
      </c>
      <c r="H80" s="94">
        <v>237349.75</v>
      </c>
      <c r="I80" s="94">
        <v>49843.45</v>
      </c>
      <c r="J80" s="94"/>
      <c r="K80" s="94"/>
      <c r="L80" s="94"/>
      <c r="M80" s="94"/>
      <c r="N80" s="94"/>
      <c r="O80" s="94">
        <v>0</v>
      </c>
      <c r="P80" s="94">
        <v>287193.2</v>
      </c>
      <c r="Q80" s="45" t="str">
        <f>IFERROR(IF(compras_mes6[[#This Row],[CUIT]]="","-",VLOOKUP(compras_mes6[[#This Row],[CUIT]],Lista_CUIT[#All],3,0)),"CUIT NO CARGADO")</f>
        <v>Mercaderia</v>
      </c>
      <c r="R80" s="45">
        <f>IFERROR(IF(compras_mes6[[#This Row],[CUIT]]="","-",VLOOKUP(compras_mes6[[#This Row],[CUIT]],Lista_CUIT[#All],4,0)),"CUIT NO CARGADO")</f>
        <v>0</v>
      </c>
    </row>
    <row r="81" spans="2:18" x14ac:dyDescent="0.3">
      <c r="B81" s="36">
        <v>44742</v>
      </c>
      <c r="C81" s="37">
        <v>1</v>
      </c>
      <c r="D81" s="38">
        <v>9</v>
      </c>
      <c r="E81" s="39">
        <v>3294</v>
      </c>
      <c r="F81" s="40">
        <v>30701023494</v>
      </c>
      <c r="G81" s="41" t="str">
        <f>IFERROR(IF(compras_mes6[[#This Row],[CUIT]]="","-",VLOOKUP(compras_mes6[[#This Row],[CUIT]],Lista_CUIT[#All],2,0)),"CUIT NO CARGADO")</f>
        <v>VTG  SPECIALTY  CHEMICALS  S.A</v>
      </c>
      <c r="H81" s="94">
        <v>335634.87</v>
      </c>
      <c r="I81" s="94">
        <v>70483.320000000007</v>
      </c>
      <c r="J81" s="94"/>
      <c r="K81" s="94"/>
      <c r="L81" s="94"/>
      <c r="M81" s="94"/>
      <c r="N81" s="94"/>
      <c r="O81" s="94">
        <v>20137.689999999999</v>
      </c>
      <c r="P81" s="94">
        <v>426255.88</v>
      </c>
      <c r="Q81" s="45" t="str">
        <f>IFERROR(IF(compras_mes6[[#This Row],[CUIT]]="","-",VLOOKUP(compras_mes6[[#This Row],[CUIT]],Lista_CUIT[#All],3,0)),"CUIT NO CARGADO")</f>
        <v>Mercaderia</v>
      </c>
      <c r="R81" s="45">
        <f>IFERROR(IF(compras_mes6[[#This Row],[CUIT]]="","-",VLOOKUP(compras_mes6[[#This Row],[CUIT]],Lista_CUIT[#All],4,0)),"CUIT NO CARGADO")</f>
        <v>0</v>
      </c>
    </row>
    <row r="82" spans="2:18" x14ac:dyDescent="0.3">
      <c r="B82" s="36">
        <v>44742</v>
      </c>
      <c r="C82" s="37">
        <v>1</v>
      </c>
      <c r="D82" s="38">
        <v>5</v>
      </c>
      <c r="E82" s="39">
        <v>2833</v>
      </c>
      <c r="F82" s="40">
        <v>30708041722</v>
      </c>
      <c r="G82" s="41" t="str">
        <f>IFERROR(IF(compras_mes6[[#This Row],[CUIT]]="","-",VLOOKUP(compras_mes6[[#This Row],[CUIT]],Lista_CUIT[#All],2,0)),"CUIT NO CARGADO")</f>
        <v>QUETZAL QUIMICA S R L</v>
      </c>
      <c r="H82" s="94">
        <v>7019.86</v>
      </c>
      <c r="I82" s="94">
        <v>1474.17</v>
      </c>
      <c r="J82" s="94"/>
      <c r="K82" s="94"/>
      <c r="L82" s="94"/>
      <c r="M82" s="94"/>
      <c r="N82" s="94"/>
      <c r="O82" s="94">
        <v>0</v>
      </c>
      <c r="P82" s="94">
        <v>8494.0300000000007</v>
      </c>
      <c r="Q82" s="45" t="str">
        <f>IFERROR(IF(compras_mes6[[#This Row],[CUIT]]="","-",VLOOKUP(compras_mes6[[#This Row],[CUIT]],Lista_CUIT[#All],3,0)),"CUIT NO CARGADO")</f>
        <v>Mercaderia</v>
      </c>
      <c r="R82" s="45">
        <f>IFERROR(IF(compras_mes6[[#This Row],[CUIT]]="","-",VLOOKUP(compras_mes6[[#This Row],[CUIT]],Lista_CUIT[#All],4,0)),"CUIT NO CARGADO")</f>
        <v>0</v>
      </c>
    </row>
    <row r="83" spans="2:18" x14ac:dyDescent="0.3">
      <c r="B83" s="36">
        <v>44719</v>
      </c>
      <c r="C83" s="37">
        <v>1</v>
      </c>
      <c r="D83" s="38">
        <v>10</v>
      </c>
      <c r="E83" s="39">
        <v>12093</v>
      </c>
      <c r="F83" s="40">
        <v>20188640428</v>
      </c>
      <c r="G83" s="41" t="str">
        <f>IFERROR(IF(compras_mes6[[#This Row],[CUIT]]="","-",VLOOKUP(compras_mes6[[#This Row],[CUIT]],Lista_CUIT[#All],2,0)),"CUIT NO CARGADO")</f>
        <v>CELEX   UNO ENRIQUE MOSSE</v>
      </c>
      <c r="H83" s="94">
        <v>280665</v>
      </c>
      <c r="I83" s="94">
        <v>58939.65</v>
      </c>
      <c r="J83" s="94"/>
      <c r="K83" s="94"/>
      <c r="L83" s="94"/>
      <c r="M83" s="94"/>
      <c r="N83" s="94"/>
      <c r="O83" s="94"/>
      <c r="P83" s="94">
        <v>339604.65</v>
      </c>
      <c r="Q83" s="45" t="str">
        <f>IFERROR(IF(compras_mes6[[#This Row],[CUIT]]="","-",VLOOKUP(compras_mes6[[#This Row],[CUIT]],Lista_CUIT[#All],3,0)),"CUIT NO CARGADO")</f>
        <v>Mercaderia</v>
      </c>
      <c r="R83" s="45">
        <f>IFERROR(IF(compras_mes6[[#This Row],[CUIT]]="","-",VLOOKUP(compras_mes6[[#This Row],[CUIT]],Lista_CUIT[#All],4,0)),"CUIT NO CARGADO")</f>
        <v>0</v>
      </c>
    </row>
    <row r="84" spans="2:18" x14ac:dyDescent="0.3">
      <c r="B84" s="92" t="s">
        <v>83</v>
      </c>
      <c r="C84" s="92"/>
      <c r="D84" s="92"/>
      <c r="E84" s="92"/>
      <c r="F84" s="92"/>
      <c r="G84" s="93"/>
      <c r="H84" s="94">
        <f>SUBTOTAL(109,compras_mes6[NETO GRAVADO])</f>
        <v>7736208.8199999994</v>
      </c>
      <c r="I84" s="94">
        <f>SUBTOTAL(109,compras_mes6[IVA 21 %])</f>
        <v>1595915.0699999998</v>
      </c>
      <c r="J84" s="94">
        <f>SUBTOTAL(109,compras_mes6[IVA 27%])</f>
        <v>0</v>
      </c>
      <c r="K84" s="94">
        <f>SUBTOTAL(109,compras_mes6[IVA 10,5%])</f>
        <v>15639.39</v>
      </c>
      <c r="L84" s="94">
        <f>SUBTOTAL(109,compras_mes6[PERC. IVA])</f>
        <v>0</v>
      </c>
      <c r="M84" s="94">
        <f>SUBTOTAL(109,compras_mes6[PERC IIBB 
BS AS])</f>
        <v>29806.92</v>
      </c>
      <c r="N84" s="94">
        <f>SUBTOTAL(109,compras_mes6[PERC. IIBB CABA])</f>
        <v>23238.14</v>
      </c>
      <c r="O84" s="94">
        <f>SUBTOTAL(109,compras_mes6[Otros / No Grav.])</f>
        <v>65736.539999999994</v>
      </c>
      <c r="P84" s="94">
        <f>SUBTOTAL(109,compras_mes6[TOTAL])</f>
        <v>9466544.8800000008</v>
      </c>
      <c r="Q84" s="92"/>
      <c r="R84" s="92"/>
    </row>
    <row r="85" spans="2:18" x14ac:dyDescent="0.3">
      <c r="B85" s="36"/>
      <c r="C85" s="37"/>
      <c r="D85" s="38"/>
      <c r="E85" s="39"/>
      <c r="F85" s="40"/>
      <c r="G85" s="41"/>
      <c r="H85" s="42"/>
      <c r="I85" s="43"/>
      <c r="J85" s="43"/>
      <c r="K85" s="43"/>
      <c r="L85" s="43"/>
      <c r="M85" s="43"/>
      <c r="N85" s="43"/>
      <c r="O85" s="43"/>
      <c r="P85" s="44"/>
      <c r="Q85" s="45"/>
      <c r="R85" s="45"/>
    </row>
    <row r="86" spans="2:18" x14ac:dyDescent="0.3">
      <c r="B86" s="36"/>
      <c r="C86" s="37"/>
      <c r="D86" s="38"/>
      <c r="E86" s="39"/>
      <c r="F86" s="40"/>
      <c r="G86" s="41"/>
      <c r="H86" s="42"/>
      <c r="I86" s="43"/>
      <c r="J86" s="43"/>
      <c r="K86" s="43"/>
      <c r="L86" s="43"/>
      <c r="M86" s="43"/>
      <c r="N86" s="43"/>
      <c r="O86" s="43"/>
      <c r="P86" s="44"/>
      <c r="Q86" s="45"/>
      <c r="R86" s="45"/>
    </row>
    <row r="87" spans="2:18" x14ac:dyDescent="0.3">
      <c r="B87" s="36"/>
      <c r="C87" s="37"/>
      <c r="D87" s="38"/>
      <c r="E87" s="39"/>
      <c r="F87" s="40"/>
      <c r="G87" s="41"/>
      <c r="H87" s="42"/>
      <c r="I87" s="43"/>
      <c r="J87" s="43"/>
      <c r="K87" s="43"/>
      <c r="L87" s="43"/>
      <c r="M87" s="43"/>
      <c r="N87" s="43"/>
      <c r="O87" s="43"/>
      <c r="P87" s="44"/>
      <c r="Q87" s="45"/>
      <c r="R87" s="45"/>
    </row>
    <row r="88" spans="2:18" x14ac:dyDescent="0.3">
      <c r="B88" s="36"/>
      <c r="C88" s="37"/>
      <c r="D88" s="38"/>
      <c r="E88" s="39"/>
      <c r="F88" s="40"/>
      <c r="G88" s="41"/>
      <c r="H88" s="42"/>
      <c r="I88" s="43"/>
      <c r="J88" s="43"/>
      <c r="K88" s="43"/>
      <c r="L88" s="43"/>
    </row>
    <row r="89" spans="2:18" ht="25.95" customHeight="1" x14ac:dyDescent="0.3">
      <c r="D89" s="441" t="s">
        <v>15</v>
      </c>
      <c r="E89" s="441"/>
      <c r="F89" s="441"/>
      <c r="G89" s="441"/>
      <c r="H89" s="441"/>
      <c r="I89" s="441"/>
      <c r="J89" s="441"/>
      <c r="K89" s="441"/>
      <c r="L89" s="441"/>
      <c r="M89" s="441"/>
      <c r="N89" s="364"/>
      <c r="P89" s="365"/>
      <c r="Q89" s="365"/>
      <c r="R89" s="365"/>
    </row>
    <row r="90" spans="2:18" ht="15.6" x14ac:dyDescent="0.3">
      <c r="D90" s="69" t="s">
        <v>0</v>
      </c>
      <c r="E90" s="70" t="s">
        <v>26</v>
      </c>
      <c r="F90" s="70" t="s">
        <v>16</v>
      </c>
      <c r="G90" s="70" t="s">
        <v>5</v>
      </c>
      <c r="H90" s="70" t="s">
        <v>17</v>
      </c>
      <c r="I90" s="70" t="s">
        <v>7</v>
      </c>
      <c r="J90" s="71" t="s">
        <v>18</v>
      </c>
      <c r="K90" s="71" t="s">
        <v>19</v>
      </c>
      <c r="L90" s="72" t="s">
        <v>20</v>
      </c>
      <c r="M90" s="363" t="s">
        <v>2649</v>
      </c>
      <c r="N90" s="363" t="s">
        <v>2650</v>
      </c>
      <c r="P90" s="158"/>
      <c r="Q90" s="158"/>
      <c r="R90" s="158"/>
    </row>
    <row r="91" spans="2:18" ht="17.25" customHeight="1" x14ac:dyDescent="0.3">
      <c r="D91" s="46">
        <v>44739</v>
      </c>
      <c r="E91" s="76">
        <v>22644346</v>
      </c>
      <c r="F91" s="76" t="s">
        <v>101</v>
      </c>
      <c r="G91" s="77">
        <v>7662.76</v>
      </c>
      <c r="H91" s="77">
        <v>1609.18</v>
      </c>
      <c r="I91" s="77"/>
      <c r="J91" s="77">
        <v>6111.6</v>
      </c>
      <c r="K91" s="77">
        <v>161.99</v>
      </c>
      <c r="L91" s="77"/>
      <c r="M91" s="77"/>
      <c r="N91" s="77"/>
    </row>
    <row r="92" spans="2:18" x14ac:dyDescent="0.3">
      <c r="D92" s="46">
        <v>44742</v>
      </c>
      <c r="E92" s="76">
        <v>51388</v>
      </c>
      <c r="F92" s="76" t="s">
        <v>96</v>
      </c>
      <c r="G92" s="77">
        <v>218.6</v>
      </c>
      <c r="H92" s="77">
        <v>45.91</v>
      </c>
      <c r="I92" s="77"/>
      <c r="J92" s="429">
        <v>1048.42</v>
      </c>
      <c r="K92" s="77">
        <v>187.5</v>
      </c>
      <c r="L92" s="77"/>
      <c r="M92" s="77"/>
      <c r="N92" s="77"/>
    </row>
    <row r="93" spans="2:18" x14ac:dyDescent="0.3">
      <c r="D93" s="46">
        <v>44742</v>
      </c>
      <c r="E93" s="76">
        <v>430695</v>
      </c>
      <c r="F93" s="76" t="s">
        <v>2949</v>
      </c>
      <c r="G93" s="77">
        <v>320</v>
      </c>
      <c r="H93" s="77">
        <v>67.2</v>
      </c>
      <c r="I93" s="77"/>
      <c r="J93" s="429"/>
      <c r="K93" s="77"/>
      <c r="L93" s="77"/>
      <c r="M93" s="77">
        <v>10.14</v>
      </c>
      <c r="N93" s="77"/>
    </row>
    <row r="94" spans="2:18" x14ac:dyDescent="0.3">
      <c r="D94" s="46">
        <v>44742</v>
      </c>
      <c r="E94" s="76">
        <v>11108585</v>
      </c>
      <c r="F94" s="76" t="s">
        <v>99</v>
      </c>
      <c r="G94" s="77">
        <v>10495</v>
      </c>
      <c r="H94" s="77">
        <v>2203.9499999999998</v>
      </c>
      <c r="I94" s="77"/>
      <c r="J94" s="77"/>
      <c r="K94" s="77">
        <v>314.85000000000002</v>
      </c>
      <c r="L94" s="77"/>
      <c r="M94" s="77"/>
      <c r="N94" s="77"/>
    </row>
    <row r="95" spans="2:18" x14ac:dyDescent="0.3">
      <c r="D95" s="46">
        <v>44742</v>
      </c>
      <c r="E95" s="76">
        <v>2022</v>
      </c>
      <c r="F95" s="76" t="s">
        <v>2956</v>
      </c>
      <c r="G95" s="77">
        <v>48680</v>
      </c>
      <c r="H95" s="77">
        <v>10222.799999999999</v>
      </c>
      <c r="I95" s="77"/>
      <c r="J95" s="77">
        <v>2812.2</v>
      </c>
      <c r="K95" s="77">
        <v>1406.1</v>
      </c>
      <c r="L95" s="77"/>
      <c r="M95" s="77">
        <v>120472.02</v>
      </c>
      <c r="N95" s="77">
        <v>59336.97</v>
      </c>
    </row>
    <row r="96" spans="2:18" x14ac:dyDescent="0.3">
      <c r="D96" s="46">
        <v>44742</v>
      </c>
      <c r="E96" s="76">
        <v>2022</v>
      </c>
      <c r="F96" s="76" t="s">
        <v>2951</v>
      </c>
      <c r="G96" s="77">
        <v>3000</v>
      </c>
      <c r="H96" s="77">
        <v>630</v>
      </c>
      <c r="I96" s="77"/>
      <c r="J96" s="77">
        <v>180</v>
      </c>
      <c r="K96" s="77">
        <v>90</v>
      </c>
      <c r="L96" s="77"/>
      <c r="M96" s="77">
        <v>3910.74</v>
      </c>
      <c r="N96" s="77">
        <v>1926.19</v>
      </c>
    </row>
    <row r="97" spans="4:14" x14ac:dyDescent="0.3">
      <c r="D97" s="46">
        <v>44742</v>
      </c>
      <c r="E97" s="76">
        <v>2022</v>
      </c>
      <c r="F97" s="76" t="s">
        <v>97</v>
      </c>
      <c r="G97" s="77">
        <v>984.79</v>
      </c>
      <c r="H97" s="77">
        <v>206.81</v>
      </c>
      <c r="I97" s="77"/>
      <c r="J97" s="77">
        <v>5495.12</v>
      </c>
      <c r="K97" s="77"/>
      <c r="L97" s="77"/>
      <c r="M97" s="77"/>
      <c r="N97" s="77"/>
    </row>
    <row r="98" spans="4:14" x14ac:dyDescent="0.3">
      <c r="D98" s="46">
        <v>44742</v>
      </c>
      <c r="E98" s="76">
        <v>62022</v>
      </c>
      <c r="F98" s="76" t="s">
        <v>98</v>
      </c>
      <c r="G98" s="77">
        <v>140786.76</v>
      </c>
      <c r="H98" s="77">
        <v>21447.65</v>
      </c>
      <c r="I98" s="77"/>
      <c r="J98" s="77">
        <v>173265.73</v>
      </c>
      <c r="K98" s="77">
        <v>1548.06</v>
      </c>
      <c r="L98" s="77"/>
      <c r="M98" s="77"/>
      <c r="N98" s="77"/>
    </row>
    <row r="99" spans="4:14" x14ac:dyDescent="0.3">
      <c r="D99" s="46">
        <v>44742</v>
      </c>
      <c r="E99" s="76">
        <v>6</v>
      </c>
      <c r="F99" s="76" t="s">
        <v>99</v>
      </c>
      <c r="G99" s="77">
        <v>355.37</v>
      </c>
      <c r="H99" s="77">
        <v>74.63</v>
      </c>
      <c r="I99" s="77"/>
      <c r="J99" s="77">
        <v>1003.06</v>
      </c>
      <c r="K99" s="77"/>
      <c r="L99" s="77"/>
      <c r="M99" s="77">
        <v>8969.91</v>
      </c>
      <c r="N99" s="77">
        <v>20531.04</v>
      </c>
    </row>
    <row r="100" spans="4:14" x14ac:dyDescent="0.3">
      <c r="D100" s="46"/>
      <c r="E100" s="76"/>
      <c r="F100" s="76"/>
      <c r="G100" s="77"/>
      <c r="H100" s="77"/>
      <c r="I100" s="77"/>
      <c r="J100" s="77"/>
      <c r="K100" s="77"/>
      <c r="L100" s="77"/>
      <c r="M100" s="77"/>
      <c r="N100" s="77"/>
    </row>
    <row r="101" spans="4:14" x14ac:dyDescent="0.3">
      <c r="D101" s="46"/>
      <c r="E101" s="76"/>
      <c r="F101" s="76"/>
      <c r="G101" s="77"/>
      <c r="H101" s="77"/>
      <c r="I101" s="77"/>
      <c r="J101" s="77"/>
      <c r="K101" s="77"/>
      <c r="L101" s="77"/>
      <c r="M101" s="77"/>
      <c r="N101" s="77"/>
    </row>
    <row r="102" spans="4:14" ht="19.2" customHeight="1" x14ac:dyDescent="0.3">
      <c r="D102" s="46"/>
      <c r="E102" s="76"/>
      <c r="F102" s="76"/>
      <c r="G102" s="77"/>
      <c r="H102" s="77"/>
      <c r="I102" s="77"/>
      <c r="J102" s="77"/>
      <c r="K102" s="77"/>
      <c r="L102" s="77"/>
      <c r="M102" s="77"/>
      <c r="N102" s="77"/>
    </row>
    <row r="103" spans="4:14" ht="28.95" customHeight="1" x14ac:dyDescent="0.3">
      <c r="D103" s="430" t="s">
        <v>83</v>
      </c>
      <c r="E103" s="431"/>
      <c r="F103" s="431"/>
      <c r="G103" s="432">
        <f>SUBTOTAL(109,extracto_banco_mes155161719[NETO])</f>
        <v>212503.28</v>
      </c>
      <c r="H103" s="432">
        <f>SUBTOTAL(109,extracto_banco_mes155161719[IVA 21%])</f>
        <v>36508.129999999997</v>
      </c>
      <c r="I103" s="432">
        <f>SUBTOTAL(109,extracto_banco_mes155161719[IVA 10,5%])</f>
        <v>0</v>
      </c>
      <c r="J103" s="432">
        <f>SUBTOTAL(109,extracto_banco_mes155161719[RET IIBB CABA])</f>
        <v>189916.13</v>
      </c>
      <c r="K103" s="432">
        <f>SUBTOTAL(109,extracto_banco_mes155161719[PERC IVA])</f>
        <v>3708.5</v>
      </c>
      <c r="L103" s="432">
        <f>SUBTOTAL(109,extracto_banco_mes155161719[PERC IIBB])</f>
        <v>0</v>
      </c>
      <c r="M103" s="432">
        <f>SUM(extracto_banco_mes155161719[No grav.])</f>
        <v>133362.81</v>
      </c>
      <c r="N103" s="433">
        <f>SUM(extracto_banco_mes155161719[RET. GAN])</f>
        <v>81794.200000000012</v>
      </c>
    </row>
    <row r="107" spans="4:14" ht="21" x14ac:dyDescent="0.3">
      <c r="D107" s="441" t="s">
        <v>25</v>
      </c>
      <c r="E107" s="441"/>
      <c r="F107" s="441"/>
      <c r="G107" s="441"/>
      <c r="H107" s="441"/>
      <c r="I107" s="441"/>
      <c r="J107" s="441"/>
      <c r="K107" s="441"/>
    </row>
    <row r="108" spans="4:14" x14ac:dyDescent="0.3">
      <c r="D108" s="47" t="s">
        <v>0</v>
      </c>
      <c r="E108" s="47" t="s">
        <v>2</v>
      </c>
      <c r="F108" s="47" t="s">
        <v>56</v>
      </c>
      <c r="G108" s="47" t="s">
        <v>3</v>
      </c>
      <c r="H108" s="47" t="s">
        <v>4</v>
      </c>
      <c r="I108" s="48" t="s">
        <v>10</v>
      </c>
      <c r="J108" s="47" t="s">
        <v>13</v>
      </c>
      <c r="K108" s="47" t="s">
        <v>38</v>
      </c>
    </row>
    <row r="109" spans="4:14" x14ac:dyDescent="0.3">
      <c r="D109" s="46">
        <v>44720</v>
      </c>
      <c r="E109" s="38">
        <v>2</v>
      </c>
      <c r="F109" s="39">
        <v>165</v>
      </c>
      <c r="G109" s="40">
        <v>23319210954</v>
      </c>
      <c r="H109" s="49" t="str">
        <f>IFERROR(IF(factura_c_mes6[[#This Row],[CUIT]]="","-",VLOOKUP(factura_c_mes6[[#This Row],[CUIT]],Lista_CUIT[#All],2,0)),"CUIT NO CARGADO")</f>
        <v>CAFFARATTI ROMINA PAOLA</v>
      </c>
      <c r="I109" s="77">
        <v>6100</v>
      </c>
      <c r="J109" s="50" t="str">
        <f>IFERROR(IF(factura_c_mes6[[#This Row],[CUIT]]="","-",VLOOKUP(factura_c_mes6[[#This Row],[CUIT]],Lista_CUIT[#All],3,0)),"CUIT NO CARGADO")</f>
        <v>Honorarios Contables</v>
      </c>
      <c r="K109" s="50">
        <f>IFERROR(IF(factura_c_mes6[[#This Row],[CUIT]]="","-",VLOOKUP(factura_c_mes6[[#This Row],[CUIT]],Lista_CUIT[#All],4,0)),"CUIT NO CARGADO")</f>
        <v>0</v>
      </c>
    </row>
    <row r="110" spans="4:14" x14ac:dyDescent="0.3">
      <c r="D110" s="46">
        <v>44721</v>
      </c>
      <c r="E110" s="38">
        <v>3</v>
      </c>
      <c r="F110" s="39">
        <v>331</v>
      </c>
      <c r="G110" s="40">
        <v>20210551574</v>
      </c>
      <c r="H110" s="49" t="str">
        <f>IFERROR(IF(factura_c_mes6[[#This Row],[CUIT]]="","-",VLOOKUP(factura_c_mes6[[#This Row],[CUIT]],Lista_CUIT[#All],2,0)),"CUIT NO CARGADO")</f>
        <v>REUS JORGE DIEGO</v>
      </c>
      <c r="I110" s="77">
        <v>30000</v>
      </c>
      <c r="J110" s="50" t="str">
        <f>IFERROR(IF(factura_c_mes6[[#This Row],[CUIT]]="","-",VLOOKUP(factura_c_mes6[[#This Row],[CUIT]],Lista_CUIT[#All],3,0)),"CUIT NO CARGADO")</f>
        <v>Honorarios Juridicos</v>
      </c>
      <c r="K110" s="50">
        <f>IFERROR(IF(factura_c_mes6[[#This Row],[CUIT]]="","-",VLOOKUP(factura_c_mes6[[#This Row],[CUIT]],Lista_CUIT[#All],4,0)),"CUIT NO CARGADO")</f>
        <v>0</v>
      </c>
    </row>
    <row r="111" spans="4:14" x14ac:dyDescent="0.3">
      <c r="D111" s="46"/>
      <c r="E111" s="38"/>
      <c r="F111" s="39"/>
      <c r="G111" s="40"/>
      <c r="H111" s="49" t="str">
        <f>IFERROR(IF(factura_c_mes6[[#This Row],[CUIT]]="","-",VLOOKUP(factura_c_mes6[[#This Row],[CUIT]],Lista_CUIT[#All],2,0)),"CUIT NO CARGADO")</f>
        <v>-</v>
      </c>
      <c r="I111" s="77"/>
      <c r="J111" s="50" t="str">
        <f>IFERROR(IF(factura_c_mes6[[#This Row],[CUIT]]="","-",VLOOKUP(factura_c_mes6[[#This Row],[CUIT]],Lista_CUIT[#All],3,0)),"CUIT NO CARGADO")</f>
        <v>-</v>
      </c>
      <c r="K111" s="50" t="str">
        <f>IFERROR(IF(factura_c_mes6[[#This Row],[CUIT]]="","-",VLOOKUP(factura_c_mes6[[#This Row],[CUIT]],Lista_CUIT[#All],4,0)),"CUIT NO CARGADO")</f>
        <v>-</v>
      </c>
    </row>
    <row r="112" spans="4:14" x14ac:dyDescent="0.3">
      <c r="D112" s="46"/>
      <c r="E112" s="38"/>
      <c r="F112" s="39"/>
      <c r="G112" s="40"/>
      <c r="H112" s="49" t="str">
        <f>IFERROR(IF(factura_c_mes6[[#This Row],[CUIT]]="","-",VLOOKUP(factura_c_mes6[[#This Row],[CUIT]],Lista_CUIT[#All],2,0)),"CUIT NO CARGADO")</f>
        <v>-</v>
      </c>
      <c r="I112" s="77"/>
      <c r="J112" s="50" t="str">
        <f>IFERROR(IF(factura_c_mes6[[#This Row],[CUIT]]="","-",VLOOKUP(factura_c_mes6[[#This Row],[CUIT]],Lista_CUIT[#All],3,0)),"CUIT NO CARGADO")</f>
        <v>-</v>
      </c>
      <c r="K112" s="50" t="str">
        <f>IFERROR(IF(factura_c_mes6[[#This Row],[CUIT]]="","-",VLOOKUP(factura_c_mes6[[#This Row],[CUIT]],Lista_CUIT[#All],4,0)),"CUIT NO CARGADO")</f>
        <v>-</v>
      </c>
    </row>
    <row r="113" spans="2:18" x14ac:dyDescent="0.3">
      <c r="D113" s="51" t="s">
        <v>83</v>
      </c>
      <c r="E113" s="51"/>
      <c r="F113" s="51"/>
      <c r="G113" s="51"/>
      <c r="H113" s="53"/>
      <c r="I113" s="54">
        <f>SUBTOTAL(109,factura_c_mes6[TOTAL])</f>
        <v>36100</v>
      </c>
      <c r="J113" s="51"/>
      <c r="K113" s="51"/>
    </row>
    <row r="114" spans="2:18" x14ac:dyDescent="0.3">
      <c r="B114" s="52"/>
      <c r="C114" s="52"/>
      <c r="L114" s="52"/>
      <c r="M114" s="52"/>
      <c r="N114" s="52"/>
      <c r="O114" s="52"/>
      <c r="P114" s="52"/>
      <c r="Q114" s="52"/>
      <c r="R114" s="52"/>
    </row>
    <row r="119" spans="2:18" ht="25.8" x14ac:dyDescent="0.3">
      <c r="B119" s="456" t="s">
        <v>29</v>
      </c>
      <c r="C119" s="456"/>
      <c r="D119" s="456"/>
      <c r="E119" s="456"/>
      <c r="F119" s="456"/>
      <c r="G119" s="456"/>
      <c r="H119" s="456"/>
      <c r="I119" s="456"/>
      <c r="J119" s="456"/>
      <c r="K119" s="452">
        <f>N1</f>
        <v>44713</v>
      </c>
      <c r="L119" s="452"/>
      <c r="M119" s="452"/>
    </row>
    <row r="121" spans="2:18" ht="21" x14ac:dyDescent="0.3">
      <c r="B121" s="449" t="s">
        <v>30</v>
      </c>
      <c r="C121" s="449"/>
    </row>
    <row r="122" spans="2:18" ht="15.6" x14ac:dyDescent="0.3">
      <c r="B122" s="56" t="s">
        <v>0</v>
      </c>
      <c r="C122" s="57" t="s">
        <v>1</v>
      </c>
      <c r="D122" s="57" t="s">
        <v>21</v>
      </c>
      <c r="E122" s="57" t="s">
        <v>22</v>
      </c>
      <c r="F122" s="57" t="s">
        <v>3</v>
      </c>
      <c r="G122" s="57" t="s">
        <v>4</v>
      </c>
      <c r="H122" s="57" t="s">
        <v>23</v>
      </c>
      <c r="I122" s="57" t="s">
        <v>17</v>
      </c>
      <c r="J122" s="57" t="s">
        <v>7</v>
      </c>
      <c r="K122" s="57" t="s">
        <v>24</v>
      </c>
      <c r="L122" s="57" t="s">
        <v>10</v>
      </c>
      <c r="M122" s="58" t="s">
        <v>38</v>
      </c>
    </row>
    <row r="123" spans="2:18" x14ac:dyDescent="0.3">
      <c r="B123" s="36"/>
      <c r="C123" s="37"/>
      <c r="D123" s="38"/>
      <c r="E123" s="39"/>
      <c r="F123" s="40"/>
      <c r="G123" s="95" t="str">
        <f>IFERROR(IF(venta_a_mes6[[#This Row],[CUIT]]="","-",VLOOKUP(venta_a_mes6[[#This Row],[CUIT]],Lista_CUIT[#All],2,0)),"CUIT NO CARGADO")</f>
        <v>-</v>
      </c>
      <c r="H123" s="96"/>
      <c r="I123" s="97">
        <f>venta_a_mes6[[#This Row],[IMPORTE NETO]]*0.21</f>
        <v>0</v>
      </c>
      <c r="J123" s="61"/>
      <c r="K123" s="61"/>
      <c r="L123" s="61">
        <f>SUM(venta_a_mes6[[#This Row],[IMPORTE NETO]:[EXENTO]])</f>
        <v>0</v>
      </c>
      <c r="M123" s="55"/>
    </row>
    <row r="124" spans="2:18" x14ac:dyDescent="0.3">
      <c r="B124" s="36"/>
      <c r="C124" s="37"/>
      <c r="D124" s="38"/>
      <c r="E124" s="39"/>
      <c r="F124" s="40"/>
      <c r="G124" s="95" t="str">
        <f>IFERROR(IF(venta_a_mes6[[#This Row],[CUIT]]="","-",VLOOKUP(venta_a_mes6[[#This Row],[CUIT]],Lista_CUIT[#All],2,0)),"CUIT NO CARGADO")</f>
        <v>-</v>
      </c>
      <c r="H124" s="96"/>
      <c r="I124" s="97">
        <f>venta_a_mes6[[#This Row],[IMPORTE NETO]]*0.21</f>
        <v>0</v>
      </c>
      <c r="J124" s="61"/>
      <c r="K124" s="61"/>
      <c r="L124" s="61">
        <f>SUM(venta_a_mes6[[#This Row],[IMPORTE NETO]:[EXENTO]])</f>
        <v>0</v>
      </c>
      <c r="M124" s="55"/>
    </row>
    <row r="125" spans="2:18" x14ac:dyDescent="0.3">
      <c r="B125" s="36"/>
      <c r="C125" s="37"/>
      <c r="D125" s="38"/>
      <c r="E125" s="39"/>
      <c r="F125" s="40"/>
      <c r="G125" s="95" t="str">
        <f>IFERROR(IF(venta_a_mes6[[#This Row],[CUIT]]="","-",VLOOKUP(venta_a_mes6[[#This Row],[CUIT]],Lista_CUIT[#All],2,0)),"CUIT NO CARGADO")</f>
        <v>-</v>
      </c>
      <c r="H125" s="96"/>
      <c r="I125" s="97">
        <f>venta_a_mes6[[#This Row],[IMPORTE NETO]]*0.21</f>
        <v>0</v>
      </c>
      <c r="J125" s="61"/>
      <c r="K125" s="61"/>
      <c r="L125" s="61">
        <f>SUM(venta_a_mes6[[#This Row],[IMPORTE NETO]:[EXENTO]])</f>
        <v>0</v>
      </c>
      <c r="M125" s="55"/>
    </row>
    <row r="126" spans="2:18" x14ac:dyDescent="0.3">
      <c r="B126" s="36"/>
      <c r="C126" s="37"/>
      <c r="D126" s="38"/>
      <c r="E126" s="39"/>
      <c r="F126" s="40"/>
      <c r="G126" s="95" t="str">
        <f>IFERROR(IF(venta_a_mes6[[#This Row],[CUIT]]="","-",VLOOKUP(venta_a_mes6[[#This Row],[CUIT]],Lista_CUIT[#All],2,0)),"CUIT NO CARGADO")</f>
        <v>-</v>
      </c>
      <c r="H126" s="96"/>
      <c r="I126" s="97">
        <f>venta_a_mes6[[#This Row],[IMPORTE NETO]]*0.21</f>
        <v>0</v>
      </c>
      <c r="J126" s="61"/>
      <c r="K126" s="61"/>
      <c r="L126" s="61">
        <f>SUM(venta_a_mes6[[#This Row],[IMPORTE NETO]:[EXENTO]])</f>
        <v>0</v>
      </c>
      <c r="M126" s="55"/>
    </row>
    <row r="127" spans="2:18" x14ac:dyDescent="0.3">
      <c r="B127" s="36"/>
      <c r="C127" s="37"/>
      <c r="D127" s="38"/>
      <c r="E127" s="39"/>
      <c r="F127" s="40"/>
      <c r="G127" s="95" t="str">
        <f>IFERROR(IF(venta_a_mes6[[#This Row],[CUIT]]="","-",VLOOKUP(venta_a_mes6[[#This Row],[CUIT]],Lista_CUIT[#All],2,0)),"CUIT NO CARGADO")</f>
        <v>-</v>
      </c>
      <c r="H127" s="96"/>
      <c r="I127" s="97">
        <f>venta_a_mes6[[#This Row],[IMPORTE NETO]]*0.21</f>
        <v>0</v>
      </c>
      <c r="J127" s="61"/>
      <c r="K127" s="61"/>
      <c r="L127" s="61">
        <f>SUM(venta_a_mes6[[#This Row],[IMPORTE NETO]:[EXENTO]])</f>
        <v>0</v>
      </c>
      <c r="M127" s="55"/>
    </row>
    <row r="128" spans="2:18" x14ac:dyDescent="0.3">
      <c r="B128" s="36"/>
      <c r="C128" s="37"/>
      <c r="D128" s="38"/>
      <c r="E128" s="39"/>
      <c r="F128" s="40"/>
      <c r="G128" s="95" t="str">
        <f>IFERROR(IF(venta_a_mes6[[#This Row],[CUIT]]="","-",VLOOKUP(venta_a_mes6[[#This Row],[CUIT]],Lista_CUIT[#All],2,0)),"CUIT NO CARGADO")</f>
        <v>-</v>
      </c>
      <c r="H128" s="96"/>
      <c r="I128" s="97">
        <f>venta_a_mes6[[#This Row],[IMPORTE NETO]]*0.21</f>
        <v>0</v>
      </c>
      <c r="J128" s="61"/>
      <c r="K128" s="61"/>
      <c r="L128" s="61">
        <f>SUM(venta_a_mes6[[#This Row],[IMPORTE NETO]:[EXENTO]])</f>
        <v>0</v>
      </c>
      <c r="M128" s="55"/>
    </row>
    <row r="129" spans="2:13" x14ac:dyDescent="0.3">
      <c r="B129" s="36"/>
      <c r="C129" s="37"/>
      <c r="D129" s="38"/>
      <c r="E129" s="39"/>
      <c r="F129" s="40"/>
      <c r="G129" s="95" t="str">
        <f>IFERROR(IF(venta_a_mes6[[#This Row],[CUIT]]="","-",VLOOKUP(venta_a_mes6[[#This Row],[CUIT]],Lista_CUIT[#All],2,0)),"CUIT NO CARGADO")</f>
        <v>-</v>
      </c>
      <c r="H129" s="96"/>
      <c r="I129" s="97">
        <f>venta_a_mes6[[#This Row],[IMPORTE NETO]]*0.21</f>
        <v>0</v>
      </c>
      <c r="J129" s="61"/>
      <c r="K129" s="61"/>
      <c r="L129" s="61">
        <f>SUM(venta_a_mes6[[#This Row],[IMPORTE NETO]:[EXENTO]])</f>
        <v>0</v>
      </c>
      <c r="M129" s="59"/>
    </row>
    <row r="130" spans="2:13" x14ac:dyDescent="0.3">
      <c r="B130" s="98"/>
      <c r="C130" s="99"/>
      <c r="D130" s="100"/>
      <c r="E130" s="101"/>
      <c r="F130" s="102"/>
      <c r="G130" s="95" t="str">
        <f>IFERROR(IF(venta_a_mes6[[#This Row],[CUIT]]="","-",VLOOKUP(venta_a_mes6[[#This Row],[CUIT]],Lista_CUIT[#All],2,0)),"CUIT NO CARGADO")</f>
        <v>-</v>
      </c>
      <c r="H130" s="103"/>
      <c r="I130" s="104">
        <f>venta_a_mes6[[#This Row],[IMPORTE NETO]]*0.21</f>
        <v>0</v>
      </c>
      <c r="J130" s="68"/>
      <c r="K130" s="68"/>
      <c r="L130" s="68">
        <f>SUM(venta_a_mes6[[#This Row],[IMPORTE NETO]:[EXENTO]])</f>
        <v>0</v>
      </c>
      <c r="M130" s="59"/>
    </row>
    <row r="131" spans="2:13" x14ac:dyDescent="0.3">
      <c r="B131" s="105"/>
      <c r="C131" s="106"/>
      <c r="D131" s="107"/>
      <c r="E131" s="108"/>
      <c r="F131" s="109"/>
      <c r="G131" s="95" t="str">
        <f>IFERROR(IF(venta_a_mes6[[#This Row],[CUIT]]="","-",VLOOKUP(venta_a_mes6[[#This Row],[CUIT]],Lista_CUIT[#All],2,0)),"CUIT NO CARGADO")</f>
        <v>-</v>
      </c>
      <c r="H131" s="96"/>
      <c r="I131" s="97">
        <f>venta_a_mes6[[#This Row],[IMPORTE NETO]]*0.21</f>
        <v>0</v>
      </c>
      <c r="J131" s="61"/>
      <c r="K131" s="61"/>
      <c r="L131" s="61">
        <f>SUM(venta_a_mes6[[#This Row],[IMPORTE NETO]:[EXENTO]])</f>
        <v>0</v>
      </c>
      <c r="M131" s="55"/>
    </row>
    <row r="132" spans="2:13" x14ac:dyDescent="0.3">
      <c r="B132" s="62" t="s">
        <v>83</v>
      </c>
      <c r="C132" s="63"/>
      <c r="D132" s="63"/>
      <c r="E132" s="63"/>
      <c r="F132" s="63"/>
      <c r="G132" s="63"/>
      <c r="H132" s="65">
        <f>SUBTOTAL(109,venta_a_mes6[IMPORTE NETO])</f>
        <v>0</v>
      </c>
      <c r="I132" s="66">
        <f>SUBTOTAL(109,venta_a_mes6[IVA 21%])</f>
        <v>0</v>
      </c>
      <c r="J132" s="67">
        <f>SUBTOTAL(109,venta_a_mes6[IVA 10,5%])</f>
        <v>0</v>
      </c>
      <c r="K132" s="67">
        <f>SUBTOTAL(109,venta_a_mes6[EXENTO])</f>
        <v>0</v>
      </c>
      <c r="L132" s="67">
        <f>SUBTOTAL(109,venta_a_mes6[TOTAL])</f>
        <v>0</v>
      </c>
      <c r="M132" s="64">
        <f>SUBTOTAL(103,venta_a_mes6[Provincia])</f>
        <v>0</v>
      </c>
    </row>
    <row r="135" spans="2:13" ht="21" x14ac:dyDescent="0.3">
      <c r="B135" s="449" t="s">
        <v>31</v>
      </c>
      <c r="C135" s="449"/>
    </row>
    <row r="136" spans="2:13" ht="15.6" x14ac:dyDescent="0.3">
      <c r="B136" s="56" t="s">
        <v>0</v>
      </c>
      <c r="C136" s="57" t="s">
        <v>1</v>
      </c>
      <c r="D136" s="57" t="s">
        <v>21</v>
      </c>
      <c r="E136" s="57" t="s">
        <v>22</v>
      </c>
      <c r="F136" s="57" t="s">
        <v>3</v>
      </c>
      <c r="G136" s="57" t="s">
        <v>4</v>
      </c>
      <c r="H136" s="57" t="s">
        <v>23</v>
      </c>
      <c r="I136" s="57" t="s">
        <v>17</v>
      </c>
      <c r="J136" s="57" t="s">
        <v>7</v>
      </c>
      <c r="K136" s="57" t="s">
        <v>24</v>
      </c>
      <c r="L136" s="57" t="s">
        <v>10</v>
      </c>
      <c r="M136" s="58" t="s">
        <v>38</v>
      </c>
    </row>
    <row r="137" spans="2:13" x14ac:dyDescent="0.3">
      <c r="B137" s="36"/>
      <c r="C137" s="37"/>
      <c r="D137" s="38"/>
      <c r="E137" s="39"/>
      <c r="F137" s="40"/>
      <c r="G137" s="1" t="str">
        <f>IFERROR(IF(ventas_b_mes6[[#This Row],[CUIT]]="","-",VLOOKUP(ventas_b_mes6[[#This Row],[CUIT]],Lista_CUIT[#All],2,0)),"CUIT NO CARGADO")</f>
        <v>-</v>
      </c>
      <c r="H137" s="60"/>
      <c r="I137" s="60"/>
      <c r="J137" s="60"/>
      <c r="K137" s="60"/>
      <c r="L137" s="60">
        <f>SUM(ventas_b_mes6[[#This Row],[IMPORTE NETO]:[EXENTO]])</f>
        <v>0</v>
      </c>
      <c r="M137" s="55"/>
    </row>
    <row r="138" spans="2:13" x14ac:dyDescent="0.3">
      <c r="B138" s="36"/>
      <c r="C138" s="37"/>
      <c r="D138" s="38"/>
      <c r="E138" s="39"/>
      <c r="F138" s="40"/>
      <c r="G138" s="1"/>
      <c r="H138" s="60"/>
      <c r="I138" s="60"/>
      <c r="J138" s="60"/>
      <c r="K138" s="60"/>
      <c r="L138" s="60">
        <f>SUM(ventas_b_mes6[[#This Row],[IMPORTE NETO]:[EXENTO]])</f>
        <v>0</v>
      </c>
      <c r="M138" s="55"/>
    </row>
    <row r="139" spans="2:13" x14ac:dyDescent="0.3">
      <c r="B139" s="36"/>
      <c r="C139" s="37"/>
      <c r="D139" s="38"/>
      <c r="E139" s="39"/>
      <c r="F139" s="40"/>
      <c r="G139" s="1"/>
      <c r="H139" s="60"/>
      <c r="I139" s="60"/>
      <c r="J139" s="60"/>
      <c r="K139" s="60"/>
      <c r="L139" s="60">
        <f>SUM(ventas_b_mes6[[#This Row],[IMPORTE NETO]:[EXENTO]])</f>
        <v>0</v>
      </c>
      <c r="M139" s="55"/>
    </row>
    <row r="140" spans="2:13" x14ac:dyDescent="0.3">
      <c r="B140" s="36"/>
      <c r="C140" s="37"/>
      <c r="D140" s="38"/>
      <c r="E140" s="39"/>
      <c r="F140" s="40"/>
      <c r="G140" s="1"/>
      <c r="H140" s="60"/>
      <c r="I140" s="60"/>
      <c r="J140" s="60"/>
      <c r="K140" s="60"/>
      <c r="L140" s="60">
        <f>SUM(ventas_b_mes6[[#This Row],[IMPORTE NETO]:[EXENTO]])</f>
        <v>0</v>
      </c>
      <c r="M140" s="55"/>
    </row>
    <row r="141" spans="2:13" x14ac:dyDescent="0.3">
      <c r="B141" s="36"/>
      <c r="C141" s="37"/>
      <c r="D141" s="38"/>
      <c r="E141" s="39"/>
      <c r="F141" s="40"/>
      <c r="G141" s="1"/>
      <c r="H141" s="60"/>
      <c r="I141" s="60"/>
      <c r="J141" s="60"/>
      <c r="K141" s="60"/>
      <c r="L141" s="60">
        <f>SUM(ventas_b_mes6[[#This Row],[IMPORTE NETO]:[EXENTO]])</f>
        <v>0</v>
      </c>
      <c r="M141" s="55"/>
    </row>
    <row r="142" spans="2:13" x14ac:dyDescent="0.3">
      <c r="B142" s="36"/>
      <c r="C142" s="37"/>
      <c r="D142" s="38"/>
      <c r="E142" s="39"/>
      <c r="F142" s="40"/>
      <c r="G142" s="1"/>
      <c r="H142" s="60"/>
      <c r="I142" s="60"/>
      <c r="J142" s="60"/>
      <c r="K142" s="60"/>
      <c r="L142" s="60">
        <f>SUM(ventas_b_mes6[[#This Row],[IMPORTE NETO]:[EXENTO]])</f>
        <v>0</v>
      </c>
      <c r="M142" s="55"/>
    </row>
    <row r="143" spans="2:13" x14ac:dyDescent="0.3">
      <c r="B143" s="62" t="s">
        <v>83</v>
      </c>
      <c r="C143" s="63"/>
      <c r="D143" s="63"/>
      <c r="E143" s="63"/>
      <c r="F143" s="63"/>
      <c r="G143" s="63"/>
      <c r="H143" s="73">
        <f>SUBTOTAL(109,ventas_b_mes6[IMPORTE NETO])</f>
        <v>0</v>
      </c>
      <c r="I143" s="73">
        <f>SUBTOTAL(109,ventas_b_mes6[IVA 21%])</f>
        <v>0</v>
      </c>
      <c r="J143" s="74">
        <f>SUBTOTAL(109,ventas_b_mes6[IVA 10,5%])</f>
        <v>0</v>
      </c>
      <c r="K143" s="74">
        <f>SUBTOTAL(109,ventas_b_mes6[EXENTO])</f>
        <v>0</v>
      </c>
      <c r="L143" s="74">
        <f>SUBTOTAL(109,ventas_b_mes6[TOTAL])</f>
        <v>0</v>
      </c>
      <c r="M143" s="64">
        <f>SUBTOTAL(103,ventas_b_mes6[Provincia])</f>
        <v>0</v>
      </c>
    </row>
    <row r="150" spans="3:12" ht="15" thickBot="1" x14ac:dyDescent="0.35"/>
    <row r="151" spans="3:12" ht="15" thickTop="1" x14ac:dyDescent="0.3">
      <c r="C151" s="447" t="s">
        <v>48</v>
      </c>
      <c r="D151" s="447"/>
      <c r="E151" s="447"/>
      <c r="F151" s="447"/>
      <c r="G151" s="447"/>
      <c r="H151" s="29"/>
      <c r="I151" s="29"/>
      <c r="J151" s="29"/>
    </row>
    <row r="152" spans="3:12" ht="15.6" x14ac:dyDescent="0.3">
      <c r="C152" s="110" t="s">
        <v>49</v>
      </c>
      <c r="D152" s="111" t="s">
        <v>50</v>
      </c>
      <c r="E152" s="111" t="s">
        <v>85</v>
      </c>
      <c r="F152" s="111" t="s">
        <v>3</v>
      </c>
      <c r="G152" s="111" t="s">
        <v>4</v>
      </c>
      <c r="H152" s="112" t="s">
        <v>51</v>
      </c>
      <c r="I152" s="112" t="s">
        <v>52</v>
      </c>
      <c r="J152" s="112" t="s">
        <v>53</v>
      </c>
      <c r="K152" s="112" t="s">
        <v>54</v>
      </c>
      <c r="L152" s="112" t="s">
        <v>55</v>
      </c>
    </row>
    <row r="153" spans="3:12" x14ac:dyDescent="0.3">
      <c r="C153" s="113"/>
      <c r="D153" s="114"/>
      <c r="E153" s="114"/>
      <c r="F153" s="115"/>
      <c r="G153" s="49" t="str">
        <f>IFERROR(IF(Retenciones_mes6[[#This Row],[CUIT]]="","-",VLOOKUP(Retenciones_mes6[[#This Row],[CUIT]],Lista_CUIT[#All],2,0)),"CUIT NO CARGADO")</f>
        <v>-</v>
      </c>
      <c r="H153" s="116"/>
      <c r="I153" s="116"/>
      <c r="J153" s="116"/>
      <c r="K153" s="116"/>
      <c r="L153" s="116"/>
    </row>
    <row r="154" spans="3:12" x14ac:dyDescent="0.3">
      <c r="C154" s="113"/>
      <c r="D154" s="114"/>
      <c r="E154" s="114"/>
      <c r="F154" s="115"/>
      <c r="G154" s="49" t="str">
        <f>IFERROR(IF(Retenciones_mes6[[#This Row],[CUIT]]="","-",VLOOKUP(Retenciones_mes6[[#This Row],[CUIT]],Lista_CUIT[#All],2,0)),"CUIT NO CARGADO")</f>
        <v>-</v>
      </c>
      <c r="H154" s="116"/>
      <c r="I154" s="116"/>
      <c r="J154" s="116"/>
      <c r="K154" s="116"/>
      <c r="L154" s="116"/>
    </row>
    <row r="155" spans="3:12" x14ac:dyDescent="0.3">
      <c r="C155" s="113"/>
      <c r="D155" s="114"/>
      <c r="E155" s="114"/>
      <c r="F155" s="115"/>
      <c r="G155" s="49" t="str">
        <f>IFERROR(IF(Retenciones_mes6[[#This Row],[CUIT]]="","-",VLOOKUP(Retenciones_mes6[[#This Row],[CUIT]],Lista_CUIT[#All],2,0)),"CUIT NO CARGADO")</f>
        <v>-</v>
      </c>
      <c r="H155" s="116"/>
      <c r="I155" s="116"/>
      <c r="J155" s="116"/>
      <c r="K155" s="116"/>
      <c r="L155" s="116"/>
    </row>
    <row r="156" spans="3:12" x14ac:dyDescent="0.3">
      <c r="C156" s="113"/>
      <c r="D156" s="114"/>
      <c r="E156" s="114"/>
      <c r="F156" s="115"/>
      <c r="G156" s="49" t="str">
        <f>IFERROR(IF(Retenciones_mes6[[#This Row],[CUIT]]="","-",VLOOKUP(Retenciones_mes6[[#This Row],[CUIT]],Lista_CUIT[#All],2,0)),"CUIT NO CARGADO")</f>
        <v>-</v>
      </c>
      <c r="H156" s="116"/>
      <c r="I156" s="116"/>
      <c r="J156" s="116"/>
      <c r="K156" s="116"/>
      <c r="L156" s="116"/>
    </row>
    <row r="157" spans="3:12" x14ac:dyDescent="0.3">
      <c r="D157" s="114"/>
      <c r="E157" s="114"/>
      <c r="G157" s="49" t="str">
        <f>IFERROR(IF(Retenciones_mes6[[#This Row],[CUIT]]="","-",VLOOKUP(Retenciones_mes6[[#This Row],[CUIT]],Lista_CUIT[#All],2,0)),"CUIT NO CARGADO")</f>
        <v>-</v>
      </c>
    </row>
    <row r="158" spans="3:12" x14ac:dyDescent="0.3">
      <c r="C158" s="30"/>
    </row>
  </sheetData>
  <mergeCells count="20">
    <mergeCell ref="D89:M89"/>
    <mergeCell ref="C151:G151"/>
    <mergeCell ref="B4:E4"/>
    <mergeCell ref="G4:H4"/>
    <mergeCell ref="J4:K4"/>
    <mergeCell ref="M4:N4"/>
    <mergeCell ref="D107:K107"/>
    <mergeCell ref="B119:J119"/>
    <mergeCell ref="K119:M119"/>
    <mergeCell ref="B121:C121"/>
    <mergeCell ref="B135:C135"/>
    <mergeCell ref="P4:R4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whole" allowBlank="1" showInputMessage="1" showErrorMessage="1" sqref="D9:D83 E109:E112 D123:D131 D137:D142">
      <formula1>1</formula1>
      <formula2>9999</formula2>
    </dataValidation>
    <dataValidation type="whole" allowBlank="1" showInputMessage="1" showErrorMessage="1" sqref="E9:E83 F109:F112 E123:E131 E137:E142">
      <formula1>1</formula1>
      <formula2>99999999</formula2>
    </dataValidation>
    <dataValidation type="whole" allowBlank="1" showInputMessage="1" showErrorMessage="1" sqref="F9:F83 G109:G112 F123:F131 F137:F142">
      <formula1>20000000000</formula1>
      <formula2>33999999999</formula2>
    </dataValidation>
    <dataValidation type="date" allowBlank="1" showInputMessage="1" showErrorMessage="1" sqref="B9:B83 B123:B131 D109:D112 B137:B142 B85:B88 D91:D100">
      <formula1>40179</formula1>
      <formula2>TODAY()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83">
      <formula1>IF($C9=3,H9&lt;0,H9&gt;=0)</formula1>
    </dataValidation>
    <dataValidation type="whole" allowBlank="1" showInputMessage="1" showErrorMessage="1" sqref="C9:C83 C123:C131 C85:C88">
      <formula1>1</formula1>
      <formula2>3</formula2>
    </dataValidation>
    <dataValidation type="custom" allowBlank="1" showInputMessage="1" showErrorMessage="1" sqref="H123:K123 H125:K125 H127:K127 H129:K129">
      <formula1>IF($C123=3,H123&lt;0,H123&gt;=0)</formula1>
    </dataValidation>
    <dataValidation type="whole" allowBlank="1" showInputMessage="1" showErrorMessage="1" sqref="C137:C142">
      <formula1>6</formula1>
      <formula2>8</formula2>
    </dataValidation>
    <dataValidation type="custom" allowBlank="1" showInputMessage="1" showErrorMessage="1" sqref="L123:L124">
      <formula1>IF($C9=3,L9&lt;0,L9&gt;=0)</formula1>
    </dataValidation>
    <dataValidation type="custom" allowBlank="1" showInputMessage="1" showErrorMessage="1" sqref="L125:L127">
      <formula1>IF($C13=3,L13&lt;0,L13&gt;=0)</formula1>
    </dataValidation>
    <dataValidation type="custom" allowBlank="1" showInputMessage="1" showErrorMessage="1" sqref="H137:L142">
      <formula1>IF($C137=8,H137&lt;0,H137&gt;=0)</formula1>
    </dataValidation>
    <dataValidation type="custom" allowBlank="1" showInputMessage="1" showErrorMessage="1" sqref="L128:L129">
      <formula1>IF($C84=3,L84&lt;0,L84&gt;=0)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theme="9" tint="0.79998168889431442"/>
  </sheetPr>
  <dimension ref="A1:Z178"/>
  <sheetViews>
    <sheetView showGridLines="0" topLeftCell="D85" zoomScale="70" zoomScaleNormal="70" workbookViewId="0">
      <selection activeCell="D109" sqref="A109:XFD123"/>
    </sheetView>
  </sheetViews>
  <sheetFormatPr baseColWidth="1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9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</cols>
  <sheetData>
    <row r="1" spans="1:26" ht="34.950000000000003" customHeight="1" x14ac:dyDescent="0.3">
      <c r="A1" s="33"/>
      <c r="B1" s="450" t="s">
        <v>28</v>
      </c>
      <c r="C1" s="450"/>
      <c r="D1" s="450"/>
      <c r="E1" s="450"/>
      <c r="F1" s="450"/>
      <c r="G1" s="457" t="str">
        <f>'Ene-22'!G1:M1</f>
        <v>EUROARGENTINA</v>
      </c>
      <c r="H1" s="457"/>
      <c r="I1" s="457"/>
      <c r="J1" s="457"/>
      <c r="K1" s="457"/>
      <c r="L1" s="457"/>
      <c r="M1" s="457"/>
      <c r="N1" s="448">
        <f>EDATE('Ene-22'!N1,6)</f>
        <v>44743</v>
      </c>
      <c r="O1" s="448"/>
      <c r="P1" s="448"/>
      <c r="Q1" s="448"/>
      <c r="R1" s="448"/>
    </row>
    <row r="2" spans="1:26" ht="15" customHeight="1" x14ac:dyDescent="0.3"/>
    <row r="3" spans="1:26" ht="26.4" customHeight="1" x14ac:dyDescent="0.3">
      <c r="B3" s="453" t="s">
        <v>47</v>
      </c>
      <c r="C3" s="453"/>
      <c r="D3" s="453"/>
      <c r="E3" s="453"/>
      <c r="F3" s="34"/>
      <c r="G3" s="453" t="s">
        <v>37</v>
      </c>
      <c r="H3" s="453"/>
      <c r="I3" s="34"/>
      <c r="J3" s="445" t="s">
        <v>14</v>
      </c>
      <c r="K3" s="445"/>
      <c r="L3" s="34"/>
      <c r="M3" s="445" t="s">
        <v>12</v>
      </c>
      <c r="N3" s="445"/>
      <c r="O3" s="34"/>
      <c r="P3" s="444" t="s">
        <v>82</v>
      </c>
      <c r="Q3" s="444"/>
      <c r="R3" s="444"/>
    </row>
    <row r="4" spans="1:26" ht="25.2" customHeight="1" x14ac:dyDescent="0.4">
      <c r="B4" s="454">
        <f>SUM(compras_mes7[[#Totals],[NETO GRAVADO]])+extracto_banco_mes155161718[[#Totals],[NETO]]</f>
        <v>9078484.3599999994</v>
      </c>
      <c r="C4" s="454"/>
      <c r="D4" s="454"/>
      <c r="E4" s="454"/>
      <c r="F4" s="35"/>
      <c r="G4" s="455">
        <f>compras_mes7[[#Totals],[IVA 21 %]]+compras_mes7[[#Totals],[IVA 27%]]+compras_mes7[[#Totals],[IVA 10,5%]]+extracto_banco_mes155161718[[#Totals],[IVA 21%]]</f>
        <v>1796465.9335999996</v>
      </c>
      <c r="H4" s="455"/>
      <c r="I4" s="35"/>
      <c r="J4" s="446">
        <f>venta_a_mes7[[#Totals],[IMPORTE NETO]]+ventas_b_mes7[[#Totals],[IMPORTE NETO]]</f>
        <v>0</v>
      </c>
      <c r="K4" s="446"/>
      <c r="L4" s="35"/>
      <c r="M4" s="446">
        <f>venta_a_mes7[[#Totals],[IVA 21%]]+venta_a_mes7[[#Totals],[IVA 10,5%]]+ventas_b_mes7[[#Totals],[IVA 21%]]+ventas_b_mes7[[#Totals],[IVA 10,5%]]</f>
        <v>0</v>
      </c>
      <c r="N4" s="446"/>
      <c r="O4" s="35"/>
      <c r="P4" s="442">
        <f>G4-M4</f>
        <v>1796465.9335999996</v>
      </c>
      <c r="Q4" s="443"/>
      <c r="R4" s="44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36"/>
      <c r="C7" s="37"/>
      <c r="D7" s="38"/>
      <c r="E7" s="39"/>
      <c r="F7" s="40"/>
      <c r="G7" s="41"/>
      <c r="H7" s="42"/>
      <c r="I7" s="43"/>
      <c r="J7" s="43"/>
      <c r="K7" s="43"/>
      <c r="L7" s="43"/>
      <c r="M7" s="43"/>
      <c r="N7" s="43"/>
      <c r="O7" s="43"/>
      <c r="P7" s="44"/>
      <c r="Q7" s="45"/>
      <c r="R7" s="45"/>
      <c r="T7"/>
      <c r="U7"/>
      <c r="V7"/>
      <c r="W7"/>
      <c r="X7"/>
      <c r="Y7"/>
      <c r="Z7"/>
    </row>
    <row r="8" spans="1:26" ht="38.4" customHeight="1" x14ac:dyDescent="0.3">
      <c r="B8" s="80" t="s">
        <v>0</v>
      </c>
      <c r="C8" s="80" t="s">
        <v>1</v>
      </c>
      <c r="D8" s="80" t="s">
        <v>2</v>
      </c>
      <c r="E8" s="80" t="s">
        <v>27</v>
      </c>
      <c r="F8" s="80" t="s">
        <v>3</v>
      </c>
      <c r="G8" s="80" t="s">
        <v>4</v>
      </c>
      <c r="H8" s="80" t="s">
        <v>34</v>
      </c>
      <c r="I8" s="80" t="s">
        <v>35</v>
      </c>
      <c r="J8" s="80" t="s">
        <v>6</v>
      </c>
      <c r="K8" s="80" t="s">
        <v>7</v>
      </c>
      <c r="L8" s="80" t="s">
        <v>8</v>
      </c>
      <c r="M8" s="80" t="s">
        <v>33</v>
      </c>
      <c r="N8" s="80" t="s">
        <v>9</v>
      </c>
      <c r="O8" s="80" t="s">
        <v>36</v>
      </c>
      <c r="P8" s="80" t="s">
        <v>10</v>
      </c>
      <c r="Q8" s="80" t="s">
        <v>11</v>
      </c>
      <c r="R8" s="80" t="s">
        <v>38</v>
      </c>
    </row>
    <row r="9" spans="1:26" x14ac:dyDescent="0.3">
      <c r="B9" s="36">
        <v>44743</v>
      </c>
      <c r="C9" s="37">
        <v>1</v>
      </c>
      <c r="D9" s="38">
        <v>1</v>
      </c>
      <c r="E9" s="39">
        <v>268</v>
      </c>
      <c r="F9" s="40">
        <v>20131206144</v>
      </c>
      <c r="G9" s="41" t="str">
        <f>IFERROR(IF(compras_mes7[[#This Row],[CUIT]]="","-",VLOOKUP(compras_mes7[[#This Row],[CUIT]],Lista_CUIT[#All],2,0)),"CUIT NO CARGADO")</f>
        <v>CHAMORRO MANUEL</v>
      </c>
      <c r="H9" s="42">
        <v>18000</v>
      </c>
      <c r="I9" s="81">
        <v>3780</v>
      </c>
      <c r="J9" s="81"/>
      <c r="K9" s="81"/>
      <c r="L9" s="81"/>
      <c r="M9" s="81"/>
      <c r="N9" s="81"/>
      <c r="O9" s="81"/>
      <c r="P9" s="44">
        <v>21780</v>
      </c>
      <c r="Q9" s="45" t="str">
        <f>IFERROR(IF(compras_mes7[[#This Row],[CUIT]]="","-",VLOOKUP(compras_mes7[[#This Row],[CUIT]],Lista_CUIT[#All],3,0)),"CUIT NO CARGADO")</f>
        <v>Alquiler</v>
      </c>
      <c r="R9" s="45">
        <f>IFERROR(IF(compras_mes7[[#This Row],[CUIT]]="","-",VLOOKUP(compras_mes7[[#This Row],[CUIT]],Lista_CUIT[#All],4,0)),"CUIT NO CARGADO")</f>
        <v>0</v>
      </c>
    </row>
    <row r="10" spans="1:26" x14ac:dyDescent="0.3">
      <c r="B10" s="36">
        <v>44744</v>
      </c>
      <c r="C10" s="37">
        <v>1</v>
      </c>
      <c r="D10" s="38">
        <v>2</v>
      </c>
      <c r="E10" s="39">
        <v>168</v>
      </c>
      <c r="F10" s="40">
        <v>27309896063</v>
      </c>
      <c r="G10" s="41" t="str">
        <f>IFERROR(IF(compras_mes7[[#This Row],[CUIT]]="","-",VLOOKUP(compras_mes7[[#This Row],[CUIT]],Lista_CUIT[#All],2,0)),"CUIT NO CARGADO")</f>
        <v>BATTELLINI MARIA SOLEDAD</v>
      </c>
      <c r="H10" s="42">
        <v>18000</v>
      </c>
      <c r="I10" s="81">
        <v>3780</v>
      </c>
      <c r="J10" s="81"/>
      <c r="K10" s="81"/>
      <c r="L10" s="81"/>
      <c r="M10" s="81"/>
      <c r="N10" s="81"/>
      <c r="O10" s="81"/>
      <c r="P10" s="44">
        <v>21780</v>
      </c>
      <c r="Q10" s="45" t="str">
        <f>IFERROR(IF(compras_mes7[[#This Row],[CUIT]]="","-",VLOOKUP(compras_mes7[[#This Row],[CUIT]],Lista_CUIT[#All],3,0)),"CUIT NO CARGADO")</f>
        <v>Alquiler</v>
      </c>
      <c r="R10" s="45">
        <f>IFERROR(IF(compras_mes7[[#This Row],[CUIT]]="","-",VLOOKUP(compras_mes7[[#This Row],[CUIT]],Lista_CUIT[#All],4,0)),"CUIT NO CARGADO")</f>
        <v>0</v>
      </c>
    </row>
    <row r="11" spans="1:26" x14ac:dyDescent="0.3">
      <c r="B11" s="36">
        <v>44746</v>
      </c>
      <c r="C11" s="37">
        <v>1</v>
      </c>
      <c r="D11" s="38">
        <v>1</v>
      </c>
      <c r="E11" s="39">
        <v>39</v>
      </c>
      <c r="F11" s="40">
        <v>30716010313</v>
      </c>
      <c r="G11" s="41" t="str">
        <f>IFERROR(IF(compras_mes7[[#This Row],[CUIT]]="","-",VLOOKUP(compras_mes7[[#This Row],[CUIT]],Lista_CUIT[#All],2,0)),"CUIT NO CARGADO")</f>
        <v>H UNO 1469 S.A.</v>
      </c>
      <c r="H11" s="42">
        <v>32000</v>
      </c>
      <c r="I11" s="81">
        <v>6720</v>
      </c>
      <c r="J11" s="81"/>
      <c r="K11" s="81"/>
      <c r="L11" s="81"/>
      <c r="M11" s="81"/>
      <c r="N11" s="81"/>
      <c r="O11" s="81"/>
      <c r="P11" s="44">
        <v>38720</v>
      </c>
      <c r="Q11" s="84" t="str">
        <f>IFERROR(IF(compras_mes7[[#This Row],[CUIT]]="","-",VLOOKUP(compras_mes7[[#This Row],[CUIT]],Lista_CUIT[#All],3,0)),"CUIT NO CARGADO")</f>
        <v>Alquiler</v>
      </c>
      <c r="R11" s="84">
        <f>IFERROR(IF(compras_mes7[[#This Row],[CUIT]]="","-",VLOOKUP(compras_mes7[[#This Row],[CUIT]],Lista_CUIT[#All],4,0)),"CUIT NO CARGADO")</f>
        <v>0</v>
      </c>
    </row>
    <row r="12" spans="1:26" x14ac:dyDescent="0.3">
      <c r="B12" s="36">
        <v>44736</v>
      </c>
      <c r="C12" s="37">
        <v>1</v>
      </c>
      <c r="D12" s="38">
        <v>28</v>
      </c>
      <c r="E12" s="39">
        <v>22257</v>
      </c>
      <c r="F12" s="40">
        <v>30685433296</v>
      </c>
      <c r="G12" s="41" t="str">
        <f>IFERROR(IF(compras_mes7[[#This Row],[CUIT]]="","-",VLOOKUP(compras_mes7[[#This Row],[CUIT]],Lista_CUIT[#All],2,0)),"CUIT NO CARGADO")</f>
        <v>ALT.  ALBERTO  RAFAEL  Y  ALT  H</v>
      </c>
      <c r="H12" s="42">
        <v>4234.28</v>
      </c>
      <c r="I12" s="81">
        <v>889.19879999999989</v>
      </c>
      <c r="J12" s="81"/>
      <c r="K12" s="81"/>
      <c r="L12" s="81"/>
      <c r="M12" s="81"/>
      <c r="N12" s="81">
        <v>876.96</v>
      </c>
      <c r="O12" s="81"/>
      <c r="P12" s="44">
        <v>6000.4387999999999</v>
      </c>
      <c r="Q12" s="84" t="str">
        <f>IFERROR(IF(compras_mes7[[#This Row],[CUIT]]="","-",VLOOKUP(compras_mes7[[#This Row],[CUIT]],Lista_CUIT[#All],3,0)),"CUIT NO CARGADO")</f>
        <v>Combustible</v>
      </c>
      <c r="R12" s="84">
        <f>IFERROR(IF(compras_mes7[[#This Row],[CUIT]]="","-",VLOOKUP(compras_mes7[[#This Row],[CUIT]],Lista_CUIT[#All],4,0)),"CUIT NO CARGADO")</f>
        <v>0</v>
      </c>
    </row>
    <row r="13" spans="1:26" x14ac:dyDescent="0.3">
      <c r="B13" s="36">
        <v>44750</v>
      </c>
      <c r="C13" s="37">
        <v>1</v>
      </c>
      <c r="D13" s="38">
        <v>5056</v>
      </c>
      <c r="E13" s="39">
        <v>8849</v>
      </c>
      <c r="F13" s="40">
        <v>30695542476</v>
      </c>
      <c r="G13" s="41" t="str">
        <f>IFERROR(IF(compras_mes7[[#This Row],[CUIT]]="","-",VLOOKUP(compras_mes7[[#This Row],[CUIT]],Lista_CUIT[#All],2,0)),"CUIT NO CARGADO")</f>
        <v>PAN  AMERICAN  ENERGY  SL  S.AR</v>
      </c>
      <c r="H13" s="42">
        <v>3679.08</v>
      </c>
      <c r="I13" s="81">
        <v>772.60679999999991</v>
      </c>
      <c r="J13" s="81"/>
      <c r="K13" s="81"/>
      <c r="L13" s="81"/>
      <c r="M13" s="81"/>
      <c r="N13" s="81">
        <v>542.30999999999995</v>
      </c>
      <c r="O13" s="81"/>
      <c r="P13" s="44">
        <v>4993.996799999999</v>
      </c>
      <c r="Q13" s="45" t="str">
        <f>IFERROR(IF(compras_mes7[[#This Row],[CUIT]]="","-",VLOOKUP(compras_mes7[[#This Row],[CUIT]],Lista_CUIT[#All],3,0)),"CUIT NO CARGADO")</f>
        <v>Combustible</v>
      </c>
      <c r="R13" s="45">
        <f>IFERROR(IF(compras_mes7[[#This Row],[CUIT]]="","-",VLOOKUP(compras_mes7[[#This Row],[CUIT]],Lista_CUIT[#All],4,0)),"CUIT NO CARGADO")</f>
        <v>0</v>
      </c>
    </row>
    <row r="14" spans="1:26" x14ac:dyDescent="0.3">
      <c r="B14" s="36">
        <v>44754</v>
      </c>
      <c r="C14" s="37">
        <v>1</v>
      </c>
      <c r="D14" s="38">
        <v>13</v>
      </c>
      <c r="E14" s="39">
        <v>32849</v>
      </c>
      <c r="F14" s="40">
        <v>30707841105</v>
      </c>
      <c r="G14" s="41" t="str">
        <f>IFERROR(IF(compras_mes7[[#This Row],[CUIT]]="","-",VLOOKUP(compras_mes7[[#This Row],[CUIT]],Lista_CUIT[#All],2,0)),"CUIT NO CARGADO")</f>
        <v>PETRO ARG SRL</v>
      </c>
      <c r="H14" s="42">
        <v>9907.35</v>
      </c>
      <c r="I14" s="81">
        <v>2080.5435000000002</v>
      </c>
      <c r="J14" s="81"/>
      <c r="K14" s="81"/>
      <c r="L14" s="81"/>
      <c r="M14" s="81"/>
      <c r="N14" s="81">
        <v>1214.1400000000001</v>
      </c>
      <c r="O14" s="81"/>
      <c r="P14" s="44">
        <v>13202.0335</v>
      </c>
      <c r="Q14" s="45" t="str">
        <f>IFERROR(IF(compras_mes7[[#This Row],[CUIT]]="","-",VLOOKUP(compras_mes7[[#This Row],[CUIT]],Lista_CUIT[#All],3,0)),"CUIT NO CARGADO")</f>
        <v>Combustible</v>
      </c>
      <c r="R14" s="45">
        <f>IFERROR(IF(compras_mes7[[#This Row],[CUIT]]="","-",VLOOKUP(compras_mes7[[#This Row],[CUIT]],Lista_CUIT[#All],4,0)),"CUIT NO CARGADO")</f>
        <v>0</v>
      </c>
    </row>
    <row r="15" spans="1:26" x14ac:dyDescent="0.3">
      <c r="B15" s="36">
        <v>44764</v>
      </c>
      <c r="C15" s="37">
        <v>1</v>
      </c>
      <c r="D15" s="38">
        <v>39</v>
      </c>
      <c r="E15" s="39">
        <v>3258</v>
      </c>
      <c r="F15" s="40">
        <v>30708251697</v>
      </c>
      <c r="G15" s="41" t="str">
        <f>IFERROR(IF(compras_mes7[[#This Row],[CUIT]]="","-",VLOOKUP(compras_mes7[[#This Row],[CUIT]],Lista_CUIT[#All],2,0)),"CUIT NO CARGADO")</f>
        <v>COMBUSTIBLES  RUTA  26  S.A</v>
      </c>
      <c r="H15" s="42">
        <v>615.66999999999996</v>
      </c>
      <c r="I15" s="81">
        <v>129.29069999999999</v>
      </c>
      <c r="J15" s="81"/>
      <c r="K15" s="81"/>
      <c r="L15" s="81"/>
      <c r="M15" s="81"/>
      <c r="N15" s="81"/>
      <c r="O15" s="81"/>
      <c r="P15" s="44">
        <v>744.96069999999997</v>
      </c>
      <c r="Q15" s="45" t="str">
        <f>IFERROR(IF(compras_mes7[[#This Row],[CUIT]]="","-",VLOOKUP(compras_mes7[[#This Row],[CUIT]],Lista_CUIT[#All],3,0)),"CUIT NO CARGADO")</f>
        <v>Combustible</v>
      </c>
      <c r="R15" s="45">
        <f>IFERROR(IF(compras_mes7[[#This Row],[CUIT]]="","-",VLOOKUP(compras_mes7[[#This Row],[CUIT]],Lista_CUIT[#All],4,0)),"CUIT NO CARGADO")</f>
        <v>0</v>
      </c>
    </row>
    <row r="16" spans="1:26" s="52" customFormat="1" ht="18.600000000000001" customHeight="1" x14ac:dyDescent="0.3">
      <c r="B16" s="36">
        <v>44770</v>
      </c>
      <c r="C16" s="37">
        <v>1</v>
      </c>
      <c r="D16" s="38">
        <v>6854</v>
      </c>
      <c r="E16" s="39">
        <v>6610</v>
      </c>
      <c r="F16" s="40">
        <v>30678774495</v>
      </c>
      <c r="G16" s="41" t="str">
        <f>IFERROR(IF(compras_mes7[[#This Row],[CUIT]]="","-",VLOOKUP(compras_mes7[[#This Row],[CUIT]],Lista_CUIT[#All],2,0)),"CUIT NO CARGADO")</f>
        <v>OPER. DE EST. DE SERV. SA</v>
      </c>
      <c r="H16" s="42">
        <v>19750.46</v>
      </c>
      <c r="I16" s="81">
        <v>4147.5965999999999</v>
      </c>
      <c r="J16" s="81"/>
      <c r="K16" s="81"/>
      <c r="L16" s="81"/>
      <c r="M16" s="81"/>
      <c r="N16" s="81">
        <v>4017.14</v>
      </c>
      <c r="O16" s="81"/>
      <c r="P16" s="44">
        <v>27915.196599999999</v>
      </c>
      <c r="Q16" s="84" t="str">
        <f>IFERROR(IF(compras_mes7[[#This Row],[CUIT]]="","-",VLOOKUP(compras_mes7[[#This Row],[CUIT]],Lista_CUIT[#All],3,0)),"CUIT NO CARGADO")</f>
        <v>Combustible</v>
      </c>
      <c r="R16" s="84">
        <f>IFERROR(IF(compras_mes7[[#This Row],[CUIT]]="","-",VLOOKUP(compras_mes7[[#This Row],[CUIT]],Lista_CUIT[#All],4,0)),"CUIT NO CARGADO")</f>
        <v>0</v>
      </c>
    </row>
    <row r="17" spans="2:18" x14ac:dyDescent="0.3">
      <c r="B17" s="36">
        <v>44771</v>
      </c>
      <c r="C17" s="37">
        <v>1</v>
      </c>
      <c r="D17" s="38">
        <v>12</v>
      </c>
      <c r="E17" s="39">
        <v>7828</v>
      </c>
      <c r="F17" s="40">
        <v>30715482653</v>
      </c>
      <c r="G17" s="41" t="str">
        <f>IFERROR(IF(compras_mes7[[#This Row],[CUIT]]="","-",VLOOKUP(compras_mes7[[#This Row],[CUIT]],Lista_CUIT[#All],2,0)),"CUIT NO CARGADO")</f>
        <v>KALPA  GROUP  S.A</v>
      </c>
      <c r="H17" s="42">
        <v>12382.3</v>
      </c>
      <c r="I17" s="81">
        <v>2600.2829999999999</v>
      </c>
      <c r="J17" s="81"/>
      <c r="K17" s="81"/>
      <c r="L17" s="81"/>
      <c r="M17" s="81"/>
      <c r="N17" s="81"/>
      <c r="O17" s="81">
        <v>263.52</v>
      </c>
      <c r="P17" s="44">
        <v>15246.102999999999</v>
      </c>
      <c r="Q17" s="45" t="str">
        <f>IFERROR(IF(compras_mes7[[#This Row],[CUIT]]="","-",VLOOKUP(compras_mes7[[#This Row],[CUIT]],Lista_CUIT[#All],3,0)),"CUIT NO CARGADO")</f>
        <v>Combustible</v>
      </c>
      <c r="R17" s="45">
        <f>IFERROR(IF(compras_mes7[[#This Row],[CUIT]]="","-",VLOOKUP(compras_mes7[[#This Row],[CUIT]],Lista_CUIT[#All],4,0)),"CUIT NO CARGADO")</f>
        <v>0</v>
      </c>
    </row>
    <row r="18" spans="2:18" x14ac:dyDescent="0.3">
      <c r="B18" s="36">
        <v>44771</v>
      </c>
      <c r="C18" s="37">
        <v>1</v>
      </c>
      <c r="D18" s="38">
        <v>20</v>
      </c>
      <c r="E18" s="39">
        <v>4200</v>
      </c>
      <c r="F18" s="40">
        <v>30515800219</v>
      </c>
      <c r="G18" s="41" t="str">
        <f>IFERROR(IF(compras_mes7[[#This Row],[CUIT]]="","-",VLOOKUP(compras_mes7[[#This Row],[CUIT]],Lista_CUIT[#All],2,0)),"CUIT NO CARGADO")</f>
        <v>INCAT SRL</v>
      </c>
      <c r="H18" s="42">
        <v>8632.9699999999993</v>
      </c>
      <c r="I18" s="81">
        <v>1812.9236999999998</v>
      </c>
      <c r="J18" s="81"/>
      <c r="K18" s="81"/>
      <c r="L18" s="81"/>
      <c r="M18" s="81"/>
      <c r="N18" s="81"/>
      <c r="O18" s="81">
        <v>1042.6099999999999</v>
      </c>
      <c r="P18" s="44">
        <v>11488.503699999999</v>
      </c>
      <c r="Q18" s="45" t="str">
        <f>IFERROR(IF(compras_mes7[[#This Row],[CUIT]]="","-",VLOOKUP(compras_mes7[[#This Row],[CUIT]],Lista_CUIT[#All],3,0)),"CUIT NO CARGADO")</f>
        <v>Combustible</v>
      </c>
      <c r="R18" s="45">
        <f>IFERROR(IF(compras_mes7[[#This Row],[CUIT]]="","-",VLOOKUP(compras_mes7[[#This Row],[CUIT]],Lista_CUIT[#All],4,0)),"CUIT NO CARGADO")</f>
        <v>0</v>
      </c>
    </row>
    <row r="19" spans="2:18" x14ac:dyDescent="0.3">
      <c r="B19" s="36">
        <v>44772</v>
      </c>
      <c r="C19" s="37">
        <v>1</v>
      </c>
      <c r="D19" s="38">
        <v>12</v>
      </c>
      <c r="E19" s="39">
        <v>6621</v>
      </c>
      <c r="F19" s="40">
        <v>30696131003</v>
      </c>
      <c r="G19" s="41" t="str">
        <f>IFERROR(IF(compras_mes7[[#This Row],[CUIT]]="","-",VLOOKUP(compras_mes7[[#This Row],[CUIT]],Lista_CUIT[#All],2,0)),"CUIT NO CARGADO")</f>
        <v>PETROLFE  S.A.</v>
      </c>
      <c r="H19" s="42">
        <v>58476.29</v>
      </c>
      <c r="I19" s="81">
        <v>12280.0209</v>
      </c>
      <c r="J19" s="81"/>
      <c r="K19" s="81"/>
      <c r="L19" s="81"/>
      <c r="M19" s="81"/>
      <c r="N19" s="81"/>
      <c r="O19" s="81">
        <v>13256.98</v>
      </c>
      <c r="P19" s="44">
        <v>84013.290899999993</v>
      </c>
      <c r="Q19" s="45" t="str">
        <f>IFERROR(IF(compras_mes7[[#This Row],[CUIT]]="","-",VLOOKUP(compras_mes7[[#This Row],[CUIT]],Lista_CUIT[#All],3,0)),"CUIT NO CARGADO")</f>
        <v>Combustible</v>
      </c>
      <c r="R19" s="45">
        <f>IFERROR(IF(compras_mes7[[#This Row],[CUIT]]="","-",VLOOKUP(compras_mes7[[#This Row],[CUIT]],Lista_CUIT[#All],4,0)),"CUIT NO CARGADO")</f>
        <v>0</v>
      </c>
    </row>
    <row r="20" spans="2:18" ht="14.4" customHeight="1" x14ac:dyDescent="0.3">
      <c r="B20" s="36">
        <v>44761</v>
      </c>
      <c r="C20" s="37">
        <v>1</v>
      </c>
      <c r="D20" s="38">
        <v>5</v>
      </c>
      <c r="E20" s="39">
        <v>3039</v>
      </c>
      <c r="F20" s="40">
        <v>30714734446</v>
      </c>
      <c r="G20" s="41" t="str">
        <f>IFERROR(IF(compras_mes7[[#This Row],[CUIT]]="","-",VLOOKUP(compras_mes7[[#This Row],[CUIT]],Lista_CUIT[#All],2,0)),"CUIT NO CARGADO")</f>
        <v>GANADERA EL 13 S.R.L</v>
      </c>
      <c r="H20" s="42">
        <v>2419.0100000000002</v>
      </c>
      <c r="I20" s="81"/>
      <c r="J20" s="81"/>
      <c r="K20" s="81">
        <v>254</v>
      </c>
      <c r="L20" s="81"/>
      <c r="M20" s="81"/>
      <c r="N20" s="81"/>
      <c r="O20" s="81"/>
      <c r="P20" s="44">
        <v>2673.01</v>
      </c>
      <c r="Q20" s="45" t="str">
        <f>IFERROR(IF(compras_mes7[[#This Row],[CUIT]]="","-",VLOOKUP(compras_mes7[[#This Row],[CUIT]],Lista_CUIT[#All],3,0)),"CUIT NO CARGADO")</f>
        <v>Comida</v>
      </c>
      <c r="R20" s="45">
        <f>IFERROR(IF(compras_mes7[[#This Row],[CUIT]]="","-",VLOOKUP(compras_mes7[[#This Row],[CUIT]],Lista_CUIT[#All],4,0)),"CUIT NO CARGADO")</f>
        <v>0</v>
      </c>
    </row>
    <row r="21" spans="2:18" x14ac:dyDescent="0.3">
      <c r="B21" s="36">
        <v>44761</v>
      </c>
      <c r="C21" s="37">
        <v>1</v>
      </c>
      <c r="D21" s="38">
        <v>1676</v>
      </c>
      <c r="E21" s="39">
        <v>4906</v>
      </c>
      <c r="F21" s="40">
        <v>30589621499</v>
      </c>
      <c r="G21" s="41" t="str">
        <f>IFERROR(IF(compras_mes7[[#This Row],[CUIT]]="","-",VLOOKUP(compras_mes7[[#This Row],[CUIT]],Lista_CUIT[#All],2,0)),"CUIT NO CARGADO")</f>
        <v>MAKRO SA</v>
      </c>
      <c r="H21" s="42">
        <v>6515.91</v>
      </c>
      <c r="I21" s="81">
        <v>1313.04</v>
      </c>
      <c r="J21" s="81"/>
      <c r="K21" s="81"/>
      <c r="L21" s="81"/>
      <c r="M21" s="81"/>
      <c r="N21" s="81">
        <v>187.64</v>
      </c>
      <c r="O21" s="81">
        <v>390.95</v>
      </c>
      <c r="P21" s="44">
        <v>8407.5400000000009</v>
      </c>
      <c r="Q21" s="45" t="str">
        <f>IFERROR(IF(compras_mes7[[#This Row],[CUIT]]="","-",VLOOKUP(compras_mes7[[#This Row],[CUIT]],Lista_CUIT[#All],3,0)),"CUIT NO CARGADO")</f>
        <v>Comida-Limpieza</v>
      </c>
      <c r="R21" s="45">
        <f>IFERROR(IF(compras_mes7[[#This Row],[CUIT]]="","-",VLOOKUP(compras_mes7[[#This Row],[CUIT]],Lista_CUIT[#All],4,0)),"CUIT NO CARGADO")</f>
        <v>0</v>
      </c>
    </row>
    <row r="22" spans="2:18" x14ac:dyDescent="0.3">
      <c r="B22" s="36">
        <v>44771</v>
      </c>
      <c r="C22" s="37">
        <v>1</v>
      </c>
      <c r="D22" s="38">
        <v>6</v>
      </c>
      <c r="E22" s="39">
        <v>2457</v>
      </c>
      <c r="F22" s="40">
        <v>20134664518</v>
      </c>
      <c r="G22" s="41" t="str">
        <f>IFERROR(IF(compras_mes7[[#This Row],[CUIT]]="","-",VLOOKUP(compras_mes7[[#This Row],[CUIT]],Lista_CUIT[#All],2,0)),"CUIT NO CARGADO")</f>
        <v>HOKAMA SERGIO ENRIQUE</v>
      </c>
      <c r="H22" s="42">
        <v>30329.040000000001</v>
      </c>
      <c r="I22" s="81">
        <v>6369.0983999999999</v>
      </c>
      <c r="J22" s="81"/>
      <c r="K22" s="81"/>
      <c r="L22" s="81"/>
      <c r="M22" s="81"/>
      <c r="N22" s="81"/>
      <c r="O22" s="81"/>
      <c r="P22" s="44">
        <v>36698.138400000003</v>
      </c>
      <c r="Q22" s="45" t="str">
        <f>IFERROR(IF(compras_mes7[[#This Row],[CUIT]]="","-",VLOOKUP(compras_mes7[[#This Row],[CUIT]],Lista_CUIT[#All],3,0)),"CUIT NO CARGADO")</f>
        <v>Comida-Limpieza</v>
      </c>
      <c r="R22" s="45">
        <f>IFERROR(IF(compras_mes7[[#This Row],[CUIT]]="","-",VLOOKUP(compras_mes7[[#This Row],[CUIT]],Lista_CUIT[#All],4,0)),"CUIT NO CARGADO")</f>
        <v>0</v>
      </c>
    </row>
    <row r="23" spans="2:18" ht="14.4" customHeight="1" x14ac:dyDescent="0.3">
      <c r="B23" s="36">
        <v>44756</v>
      </c>
      <c r="C23" s="37">
        <v>1</v>
      </c>
      <c r="D23" s="38">
        <v>1</v>
      </c>
      <c r="E23" s="39">
        <v>2354967</v>
      </c>
      <c r="F23" s="40">
        <v>30500003193</v>
      </c>
      <c r="G23" s="41" t="str">
        <f>IFERROR(IF(compras_mes7[[#This Row],[CUIT]]="","-",VLOOKUP(compras_mes7[[#This Row],[CUIT]],Lista_CUIT[#All],2,0)),"CUIT NO CARGADO")</f>
        <v>BBVA  FRANCES</v>
      </c>
      <c r="H23" s="42">
        <v>0</v>
      </c>
      <c r="I23" s="81">
        <v>0</v>
      </c>
      <c r="J23" s="81"/>
      <c r="K23" s="81"/>
      <c r="L23" s="81"/>
      <c r="M23" s="81"/>
      <c r="N23" s="81"/>
      <c r="O23" s="81">
        <v>15457.57</v>
      </c>
      <c r="P23" s="44">
        <v>15457.57</v>
      </c>
      <c r="Q23" s="45" t="str">
        <f>IFERROR(IF(compras_mes7[[#This Row],[CUIT]]="","-",VLOOKUP(compras_mes7[[#This Row],[CUIT]],Lista_CUIT[#All],3,0)),"CUIT NO CARGADO")</f>
        <v>Comisiones Bancarias</v>
      </c>
      <c r="R23" s="45">
        <f>IFERROR(IF(compras_mes7[[#This Row],[CUIT]]="","-",VLOOKUP(compras_mes7[[#This Row],[CUIT]],Lista_CUIT[#All],4,0)),"CUIT NO CARGADO")</f>
        <v>0</v>
      </c>
    </row>
    <row r="24" spans="2:18" ht="14.4" customHeight="1" x14ac:dyDescent="0.3">
      <c r="B24" s="36">
        <v>44768</v>
      </c>
      <c r="C24" s="37">
        <v>1</v>
      </c>
      <c r="D24" s="38">
        <v>7</v>
      </c>
      <c r="E24" s="39">
        <v>22709814</v>
      </c>
      <c r="F24" s="40">
        <v>30574816870</v>
      </c>
      <c r="G24" s="41" t="str">
        <f>IFERROR(IF(compras_mes7[[#This Row],[CUIT]]="","-",VLOOKUP(compras_mes7[[#This Row],[CUIT]],Lista_CUIT[#All],2,0)),"CUIT NO CARGADO")</f>
        <v>AMERICAN  EXPRES  S.A.</v>
      </c>
      <c r="H24" s="42">
        <v>3536.84</v>
      </c>
      <c r="I24" s="81">
        <v>742.7364</v>
      </c>
      <c r="J24" s="81"/>
      <c r="K24" s="81"/>
      <c r="L24" s="81">
        <v>78.5</v>
      </c>
      <c r="M24" s="81"/>
      <c r="N24" s="81">
        <v>3491.07</v>
      </c>
      <c r="O24" s="81"/>
      <c r="P24" s="44">
        <v>7849.1463999999996</v>
      </c>
      <c r="Q24" s="45" t="str">
        <f>IFERROR(IF(compras_mes7[[#This Row],[CUIT]]="","-",VLOOKUP(compras_mes7[[#This Row],[CUIT]],Lista_CUIT[#All],3,0)),"CUIT NO CARGADO")</f>
        <v>Comisiones Bancarias</v>
      </c>
      <c r="R24" s="45">
        <f>IFERROR(IF(compras_mes7[[#This Row],[CUIT]]="","-",VLOOKUP(compras_mes7[[#This Row],[CUIT]],Lista_CUIT[#All],4,0)),"CUIT NO CARGADO")</f>
        <v>0</v>
      </c>
    </row>
    <row r="25" spans="2:18" ht="15" customHeight="1" x14ac:dyDescent="0.3">
      <c r="B25" s="36">
        <v>44743</v>
      </c>
      <c r="C25" s="37">
        <v>1</v>
      </c>
      <c r="D25" s="38">
        <v>6</v>
      </c>
      <c r="E25" s="39">
        <v>7978</v>
      </c>
      <c r="F25" s="40">
        <v>30707603123</v>
      </c>
      <c r="G25" s="41" t="str">
        <f>IFERROR(IF(compras_mes7[[#This Row],[CUIT]]="","-",VLOOKUP(compras_mes7[[#This Row],[CUIT]],Lista_CUIT[#All],2,0)),"CUIT NO CARGADO")</f>
        <v>BI  ORIENT  S.A.</v>
      </c>
      <c r="H25" s="42">
        <v>91800</v>
      </c>
      <c r="I25" s="81">
        <v>19278</v>
      </c>
      <c r="J25" s="81"/>
      <c r="K25" s="81"/>
      <c r="L25" s="81"/>
      <c r="M25" s="81"/>
      <c r="N25" s="81"/>
      <c r="O25" s="81"/>
      <c r="P25" s="44">
        <v>111078</v>
      </c>
      <c r="Q25" s="45" t="str">
        <f>IFERROR(IF(compras_mes7[[#This Row],[CUIT]]="","-",VLOOKUP(compras_mes7[[#This Row],[CUIT]],Lista_CUIT[#All],3,0)),"CUIT NO CARGADO")</f>
        <v>EMBALAJE</v>
      </c>
      <c r="R25" s="45">
        <f>IFERROR(IF(compras_mes7[[#This Row],[CUIT]]="","-",VLOOKUP(compras_mes7[[#This Row],[CUIT]],Lista_CUIT[#All],4,0)),"CUIT NO CARGADO")</f>
        <v>0</v>
      </c>
    </row>
    <row r="26" spans="2:18" ht="15" customHeight="1" x14ac:dyDescent="0.3">
      <c r="B26" s="36">
        <v>44748</v>
      </c>
      <c r="C26" s="37">
        <v>1</v>
      </c>
      <c r="D26" s="38">
        <v>9</v>
      </c>
      <c r="E26" s="39">
        <v>1302</v>
      </c>
      <c r="F26" s="40">
        <v>30709710881</v>
      </c>
      <c r="G26" s="41" t="str">
        <f>IFERROR(IF(compras_mes7[[#This Row],[CUIT]]="","-",VLOOKUP(compras_mes7[[#This Row],[CUIT]],Lista_CUIT[#All],2,0)),"CUIT NO CARGADO")</f>
        <v>GES  ELECTRONICS  SRL</v>
      </c>
      <c r="H26" s="42">
        <v>29669.42</v>
      </c>
      <c r="I26" s="81">
        <v>6230.578199999999</v>
      </c>
      <c r="J26" s="81"/>
      <c r="K26" s="81"/>
      <c r="L26" s="81"/>
      <c r="M26" s="81"/>
      <c r="N26" s="81"/>
      <c r="O26" s="81"/>
      <c r="P26" s="44">
        <v>35899.998199999995</v>
      </c>
      <c r="Q26" s="45" t="str">
        <f>IFERROR(IF(compras_mes7[[#This Row],[CUIT]]="","-",VLOOKUP(compras_mes7[[#This Row],[CUIT]],Lista_CUIT[#All],3,0)),"CUIT NO CARGADO")</f>
        <v>Equipos de Informatica</v>
      </c>
      <c r="R26" s="45">
        <f>IFERROR(IF(compras_mes7[[#This Row],[CUIT]]="","-",VLOOKUP(compras_mes7[[#This Row],[CUIT]],Lista_CUIT[#All],4,0)),"CUIT NO CARGADO")</f>
        <v>0</v>
      </c>
    </row>
    <row r="27" spans="2:18" ht="15" customHeight="1" x14ac:dyDescent="0.3">
      <c r="B27" s="36">
        <v>44769</v>
      </c>
      <c r="C27" s="37">
        <v>1</v>
      </c>
      <c r="D27" s="38">
        <v>3</v>
      </c>
      <c r="E27" s="39">
        <v>5378</v>
      </c>
      <c r="F27" s="40">
        <v>20078694255</v>
      </c>
      <c r="G27" s="41" t="str">
        <f>IFERROR(IF(compras_mes7[[#This Row],[CUIT]]="","-",VLOOKUP(compras_mes7[[#This Row],[CUIT]],Lista_CUIT[#All],2,0)),"CUIT NO CARGADO")</f>
        <v>CURA  JORGE  HORACIO</v>
      </c>
      <c r="H27" s="42">
        <v>54152.9</v>
      </c>
      <c r="I27" s="81">
        <v>11372.109</v>
      </c>
      <c r="J27" s="81"/>
      <c r="K27" s="81"/>
      <c r="L27" s="81"/>
      <c r="M27" s="81"/>
      <c r="N27" s="81"/>
      <c r="O27" s="81"/>
      <c r="P27" s="44">
        <v>65525.009000000005</v>
      </c>
      <c r="Q27" s="45" t="str">
        <f>IFERROR(IF(compras_mes7[[#This Row],[CUIT]]="","-",VLOOKUP(compras_mes7[[#This Row],[CUIT]],Lista_CUIT[#All],3,0)),"CUIT NO CARGADO")</f>
        <v>Equipos de Informatica</v>
      </c>
      <c r="R27" s="45">
        <f>IFERROR(IF(compras_mes7[[#This Row],[CUIT]]="","-",VLOOKUP(compras_mes7[[#This Row],[CUIT]],Lista_CUIT[#All],4,0)),"CUIT NO CARGADO")</f>
        <v>0</v>
      </c>
    </row>
    <row r="28" spans="2:18" ht="15" customHeight="1" x14ac:dyDescent="0.3">
      <c r="B28" s="36">
        <v>44773</v>
      </c>
      <c r="C28" s="37">
        <v>1</v>
      </c>
      <c r="D28" s="38">
        <v>10</v>
      </c>
      <c r="E28" s="39">
        <v>63634</v>
      </c>
      <c r="F28" s="40">
        <v>30711069360</v>
      </c>
      <c r="G28" s="41" t="str">
        <f>IFERROR(IF(compras_mes7[[#This Row],[CUIT]]="","-",VLOOKUP(compras_mes7[[#This Row],[CUIT]],Lista_CUIT[#All],2,0)),"CUIT NO CARGADO")</f>
        <v>BIDCOM  S.R.L.</v>
      </c>
      <c r="H28" s="42">
        <v>367533.59</v>
      </c>
      <c r="I28" s="81"/>
      <c r="J28" s="81"/>
      <c r="K28" s="81">
        <v>38634.42</v>
      </c>
      <c r="L28" s="81"/>
      <c r="M28" s="81"/>
      <c r="N28" s="81">
        <v>22052.02</v>
      </c>
      <c r="O28" s="81"/>
      <c r="P28" s="44">
        <v>428220.03</v>
      </c>
      <c r="Q28" s="45" t="str">
        <f>IFERROR(IF(compras_mes7[[#This Row],[CUIT]]="","-",VLOOKUP(compras_mes7[[#This Row],[CUIT]],Lista_CUIT[#All],3,0)),"CUIT NO CARGADO")</f>
        <v>Equipos de Informatica</v>
      </c>
      <c r="R28" s="45">
        <f>IFERROR(IF(compras_mes7[[#This Row],[CUIT]]="","-",VLOOKUP(compras_mes7[[#This Row],[CUIT]],Lista_CUIT[#All],4,0)),"CUIT NO CARGADO")</f>
        <v>0</v>
      </c>
    </row>
    <row r="29" spans="2:18" ht="15" customHeight="1" x14ac:dyDescent="0.3">
      <c r="B29" s="36">
        <v>44773</v>
      </c>
      <c r="C29" s="37">
        <v>1</v>
      </c>
      <c r="D29" s="38">
        <v>10</v>
      </c>
      <c r="E29" s="39">
        <v>63635</v>
      </c>
      <c r="F29" s="40">
        <v>30711069360</v>
      </c>
      <c r="G29" s="41" t="str">
        <f>IFERROR(IF(compras_mes7[[#This Row],[CUIT]]="","-",VLOOKUP(compras_mes7[[#This Row],[CUIT]],Lista_CUIT[#All],2,0)),"CUIT NO CARGADO")</f>
        <v>BIDCOM  S.R.L.</v>
      </c>
      <c r="H29" s="42">
        <v>540445.80000000005</v>
      </c>
      <c r="I29" s="81"/>
      <c r="J29" s="81"/>
      <c r="K29" s="81">
        <v>56790.2</v>
      </c>
      <c r="L29" s="81"/>
      <c r="M29" s="81"/>
      <c r="N29" s="81"/>
      <c r="O29" s="81">
        <v>32426.75</v>
      </c>
      <c r="P29" s="44">
        <v>629662.75</v>
      </c>
      <c r="Q29" s="45" t="str">
        <f>IFERROR(IF(compras_mes7[[#This Row],[CUIT]]="","-",VLOOKUP(compras_mes7[[#This Row],[CUIT]],Lista_CUIT[#All],3,0)),"CUIT NO CARGADO")</f>
        <v>Equipos de Informatica</v>
      </c>
      <c r="R29" s="45">
        <f>IFERROR(IF(compras_mes7[[#This Row],[CUIT]]="","-",VLOOKUP(compras_mes7[[#This Row],[CUIT]],Lista_CUIT[#All],4,0)),"CUIT NO CARGADO")</f>
        <v>0</v>
      </c>
    </row>
    <row r="30" spans="2:18" x14ac:dyDescent="0.3">
      <c r="B30" s="36">
        <v>44746</v>
      </c>
      <c r="C30" s="37">
        <v>1</v>
      </c>
      <c r="D30" s="38">
        <v>4</v>
      </c>
      <c r="E30" s="39">
        <v>3443</v>
      </c>
      <c r="F30" s="40">
        <v>33716633379</v>
      </c>
      <c r="G30" s="41" t="str">
        <f>IFERROR(IF(compras_mes7[[#This Row],[CUIT]]="","-",VLOOKUP(compras_mes7[[#This Row],[CUIT]],Lista_CUIT[#All],2,0)),"CUIT NO CARGADO")</f>
        <v>GRUPO  SMH  SRL</v>
      </c>
      <c r="H30" s="42">
        <v>6922.31</v>
      </c>
      <c r="I30" s="81">
        <v>1453.6850999999999</v>
      </c>
      <c r="J30" s="81"/>
      <c r="K30" s="81"/>
      <c r="L30" s="81"/>
      <c r="M30" s="81"/>
      <c r="N30" s="81"/>
      <c r="O30" s="81"/>
      <c r="P30" s="44">
        <v>8375.9951000000001</v>
      </c>
      <c r="Q30" s="45" t="str">
        <f>IFERROR(IF(compras_mes7[[#This Row],[CUIT]]="","-",VLOOKUP(compras_mes7[[#This Row],[CUIT]],Lista_CUIT[#All],3,0)),"CUIT NO CARGADO")</f>
        <v>Ferreteria</v>
      </c>
      <c r="R30" s="45">
        <f>IFERROR(IF(compras_mes7[[#This Row],[CUIT]]="","-",VLOOKUP(compras_mes7[[#This Row],[CUIT]],Lista_CUIT[#All],4,0)),"CUIT NO CARGADO")</f>
        <v>0</v>
      </c>
    </row>
    <row r="31" spans="2:18" x14ac:dyDescent="0.3">
      <c r="B31" s="36">
        <v>44755</v>
      </c>
      <c r="C31" s="37">
        <v>1</v>
      </c>
      <c r="D31" s="38">
        <v>2406</v>
      </c>
      <c r="E31" s="39">
        <v>81117</v>
      </c>
      <c r="F31" s="40">
        <v>30692296377</v>
      </c>
      <c r="G31" s="41" t="str">
        <f>IFERROR(IF(compras_mes7[[#This Row],[CUIT]]="","-",VLOOKUP(compras_mes7[[#This Row],[CUIT]],Lista_CUIT[#All],2,0)),"CUIT NO CARGADO")</f>
        <v>CORREO ARGENTINO S.A.</v>
      </c>
      <c r="H31" s="42">
        <v>4.13</v>
      </c>
      <c r="I31" s="81">
        <v>0.86729999999999996</v>
      </c>
      <c r="J31" s="81"/>
      <c r="K31" s="81"/>
      <c r="L31" s="81"/>
      <c r="M31" s="81"/>
      <c r="N31" s="81"/>
      <c r="O31" s="81">
        <v>985</v>
      </c>
      <c r="P31" s="44">
        <v>989.9973</v>
      </c>
      <c r="Q31" s="45" t="str">
        <f>IFERROR(IF(compras_mes7[[#This Row],[CUIT]]="","-",VLOOKUP(compras_mes7[[#This Row],[CUIT]],Lista_CUIT[#All],3,0)),"CUIT NO CARGADO")</f>
        <v>Flete-Logistica</v>
      </c>
      <c r="R31" s="45">
        <f>IFERROR(IF(compras_mes7[[#This Row],[CUIT]]="","-",VLOOKUP(compras_mes7[[#This Row],[CUIT]],Lista_CUIT[#All],4,0)),"CUIT NO CARGADO")</f>
        <v>0</v>
      </c>
    </row>
    <row r="32" spans="2:18" x14ac:dyDescent="0.3">
      <c r="B32" s="36">
        <v>44746</v>
      </c>
      <c r="C32" s="37">
        <v>1</v>
      </c>
      <c r="D32" s="38">
        <v>1</v>
      </c>
      <c r="E32" s="39">
        <v>1845</v>
      </c>
      <c r="F32" s="40">
        <v>30716154102</v>
      </c>
      <c r="G32" s="41" t="str">
        <f>IFERROR(IF(compras_mes7[[#This Row],[CUIT]]="","-",VLOOKUP(compras_mes7[[#This Row],[CUIT]],Lista_CUIT[#All],2,0)),"CUIT NO CARGADO")</f>
        <v>IDZONE  SRL</v>
      </c>
      <c r="H32" s="42">
        <v>29250</v>
      </c>
      <c r="I32" s="81">
        <v>6142.5</v>
      </c>
      <c r="J32" s="81"/>
      <c r="K32" s="81"/>
      <c r="L32" s="81"/>
      <c r="M32" s="81"/>
      <c r="N32" s="81"/>
      <c r="O32" s="81"/>
      <c r="P32" s="44">
        <v>35392.5</v>
      </c>
      <c r="Q32" s="45" t="str">
        <f>IFERROR(IF(compras_mes7[[#This Row],[CUIT]]="","-",VLOOKUP(compras_mes7[[#This Row],[CUIT]],Lista_CUIT[#All],3,0)),"CUIT NO CARGADO")</f>
        <v>Gastos Varios</v>
      </c>
      <c r="R32" s="45">
        <f>IFERROR(IF(compras_mes7[[#This Row],[CUIT]]="","-",VLOOKUP(compras_mes7[[#This Row],[CUIT]],Lista_CUIT[#All],4,0)),"CUIT NO CARGADO")</f>
        <v>0</v>
      </c>
    </row>
    <row r="33" spans="2:18" x14ac:dyDescent="0.3">
      <c r="B33" s="36">
        <v>44749</v>
      </c>
      <c r="C33" s="37">
        <v>1</v>
      </c>
      <c r="D33" s="38">
        <v>2</v>
      </c>
      <c r="E33" s="39">
        <v>2413</v>
      </c>
      <c r="F33" s="40">
        <v>30716250071</v>
      </c>
      <c r="G33" s="41" t="str">
        <f>IFERROR(IF(compras_mes7[[#This Row],[CUIT]]="","-",VLOOKUP(compras_mes7[[#This Row],[CUIT]],Lista_CUIT[#All],2,0)),"CUIT NO CARGADO")</f>
        <v>PLASTIC  TRENDS  SRL</v>
      </c>
      <c r="H33" s="42">
        <v>17735.54</v>
      </c>
      <c r="I33" s="81">
        <v>3724.4634000000001</v>
      </c>
      <c r="J33" s="81"/>
      <c r="K33" s="81"/>
      <c r="L33" s="81"/>
      <c r="M33" s="81"/>
      <c r="N33" s="81"/>
      <c r="O33" s="81"/>
      <c r="P33" s="44">
        <v>21460.003400000001</v>
      </c>
      <c r="Q33" s="45" t="str">
        <f>IFERROR(IF(compras_mes7[[#This Row],[CUIT]]="","-",VLOOKUP(compras_mes7[[#This Row],[CUIT]],Lista_CUIT[#All],3,0)),"CUIT NO CARGADO")</f>
        <v>Gastos Varios</v>
      </c>
      <c r="R33" s="45">
        <f>IFERROR(IF(compras_mes7[[#This Row],[CUIT]]="","-",VLOOKUP(compras_mes7[[#This Row],[CUIT]],Lista_CUIT[#All],4,0)),"CUIT NO CARGADO")</f>
        <v>0</v>
      </c>
    </row>
    <row r="34" spans="2:18" x14ac:dyDescent="0.3">
      <c r="B34" s="36">
        <v>44750</v>
      </c>
      <c r="C34" s="37">
        <v>1</v>
      </c>
      <c r="D34" s="38">
        <v>9</v>
      </c>
      <c r="E34" s="39">
        <v>858</v>
      </c>
      <c r="F34" s="40">
        <v>30648230326</v>
      </c>
      <c r="G34" s="41" t="str">
        <f>IFERROR(IF(compras_mes7[[#This Row],[CUIT]]="","-",VLOOKUP(compras_mes7[[#This Row],[CUIT]],Lista_CUIT[#All],2,0)),"CUIT NO CARGADO")</f>
        <v>ILUMINIACION  BONALUCE  SRL</v>
      </c>
      <c r="H34" s="42">
        <v>6570.24</v>
      </c>
      <c r="I34" s="81">
        <v>1379.7503999999999</v>
      </c>
      <c r="J34" s="81"/>
      <c r="K34" s="81"/>
      <c r="L34" s="81"/>
      <c r="M34" s="81"/>
      <c r="N34" s="81"/>
      <c r="O34" s="81"/>
      <c r="P34" s="44">
        <v>7949.9903999999997</v>
      </c>
      <c r="Q34" s="45" t="str">
        <f>IFERROR(IF(compras_mes7[[#This Row],[CUIT]]="","-",VLOOKUP(compras_mes7[[#This Row],[CUIT]],Lista_CUIT[#All],3,0)),"CUIT NO CARGADO")</f>
        <v>Gastos Varios</v>
      </c>
      <c r="R34" s="45">
        <f>IFERROR(IF(compras_mes7[[#This Row],[CUIT]]="","-",VLOOKUP(compras_mes7[[#This Row],[CUIT]],Lista_CUIT[#All],4,0)),"CUIT NO CARGADO")</f>
        <v>0</v>
      </c>
    </row>
    <row r="35" spans="2:18" x14ac:dyDescent="0.3">
      <c r="B35" s="36">
        <v>44753</v>
      </c>
      <c r="C35" s="37">
        <v>1</v>
      </c>
      <c r="D35" s="38">
        <v>4</v>
      </c>
      <c r="E35" s="39">
        <v>2231</v>
      </c>
      <c r="F35" s="40">
        <v>33707954839</v>
      </c>
      <c r="G35" s="41" t="str">
        <f>IFERROR(IF(compras_mes7[[#This Row],[CUIT]]="","-",VLOOKUP(compras_mes7[[#This Row],[CUIT]],Lista_CUIT[#All],2,0)),"CUIT NO CARGADO")</f>
        <v>LE  MERIDIAN  SRL</v>
      </c>
      <c r="H35" s="42">
        <v>9774.35</v>
      </c>
      <c r="I35" s="81">
        <v>2052.6134999999999</v>
      </c>
      <c r="J35" s="81"/>
      <c r="K35" s="81"/>
      <c r="L35" s="81"/>
      <c r="M35" s="81"/>
      <c r="N35" s="81"/>
      <c r="O35" s="81"/>
      <c r="P35" s="44">
        <v>11826.9635</v>
      </c>
      <c r="Q35" s="45" t="str">
        <f>IFERROR(IF(compras_mes7[[#This Row],[CUIT]]="","-",VLOOKUP(compras_mes7[[#This Row],[CUIT]],Lista_CUIT[#All],3,0)),"CUIT NO CARGADO")</f>
        <v>Gastos Varios</v>
      </c>
      <c r="R35" s="45">
        <f>IFERROR(IF(compras_mes7[[#This Row],[CUIT]]="","-",VLOOKUP(compras_mes7[[#This Row],[CUIT]],Lista_CUIT[#All],4,0)),"CUIT NO CARGADO")</f>
        <v>0</v>
      </c>
    </row>
    <row r="36" spans="2:18" x14ac:dyDescent="0.3">
      <c r="B36" s="36">
        <v>44760</v>
      </c>
      <c r="C36" s="37">
        <v>1</v>
      </c>
      <c r="D36" s="38">
        <v>1</v>
      </c>
      <c r="E36" s="39">
        <v>1892</v>
      </c>
      <c r="F36" s="40">
        <v>30716154102</v>
      </c>
      <c r="G36" s="41" t="str">
        <f>IFERROR(IF(compras_mes7[[#This Row],[CUIT]]="","-",VLOOKUP(compras_mes7[[#This Row],[CUIT]],Lista_CUIT[#All],2,0)),"CUIT NO CARGADO")</f>
        <v>IDZONE  SRL</v>
      </c>
      <c r="H36" s="42">
        <v>31893.75</v>
      </c>
      <c r="I36" s="81">
        <v>6697.6875</v>
      </c>
      <c r="J36" s="81"/>
      <c r="K36" s="81"/>
      <c r="L36" s="81"/>
      <c r="M36" s="81"/>
      <c r="N36" s="81"/>
      <c r="O36" s="81"/>
      <c r="P36" s="44">
        <v>38591.4375</v>
      </c>
      <c r="Q36" s="45" t="str">
        <f>IFERROR(IF(compras_mes7[[#This Row],[CUIT]]="","-",VLOOKUP(compras_mes7[[#This Row],[CUIT]],Lista_CUIT[#All],3,0)),"CUIT NO CARGADO")</f>
        <v>Gastos Varios</v>
      </c>
      <c r="R36" s="45">
        <f>IFERROR(IF(compras_mes7[[#This Row],[CUIT]]="","-",VLOOKUP(compras_mes7[[#This Row],[CUIT]],Lista_CUIT[#All],4,0)),"CUIT NO CARGADO")</f>
        <v>0</v>
      </c>
    </row>
    <row r="37" spans="2:18" s="52" customFormat="1" ht="18.600000000000001" customHeight="1" x14ac:dyDescent="0.3">
      <c r="B37" s="36">
        <v>44760</v>
      </c>
      <c r="C37" s="37">
        <v>1</v>
      </c>
      <c r="D37" s="38">
        <v>9</v>
      </c>
      <c r="E37" s="39">
        <v>421</v>
      </c>
      <c r="F37" s="40">
        <v>20381564224</v>
      </c>
      <c r="G37" s="41" t="str">
        <f>IFERROR(IF(compras_mes7[[#This Row],[CUIT]]="","-",VLOOKUP(compras_mes7[[#This Row],[CUIT]],Lista_CUIT[#All],2,0)),"CUIT NO CARGADO")</f>
        <v>NICEFORO RODRIGUEZ NICOLAS EUGENIO</v>
      </c>
      <c r="H37" s="42">
        <v>44880</v>
      </c>
      <c r="I37" s="81">
        <v>9424.7999999999993</v>
      </c>
      <c r="J37" s="81"/>
      <c r="K37" s="81"/>
      <c r="L37" s="81"/>
      <c r="M37" s="81"/>
      <c r="N37" s="81"/>
      <c r="O37" s="81"/>
      <c r="P37" s="44">
        <v>54304.800000000003</v>
      </c>
      <c r="Q37" s="45" t="str">
        <f>IFERROR(IF(compras_mes7[[#This Row],[CUIT]]="","-",VLOOKUP(compras_mes7[[#This Row],[CUIT]],Lista_CUIT[#All],3,0)),"CUIT NO CARGADO")</f>
        <v>Gastos Varios</v>
      </c>
      <c r="R37" s="45">
        <f>IFERROR(IF(compras_mes7[[#This Row],[CUIT]]="","-",VLOOKUP(compras_mes7[[#This Row],[CUIT]],Lista_CUIT[#All],4,0)),"CUIT NO CARGADO")</f>
        <v>0</v>
      </c>
    </row>
    <row r="38" spans="2:18" x14ac:dyDescent="0.3">
      <c r="B38" s="36">
        <v>44769</v>
      </c>
      <c r="C38" s="37">
        <v>1</v>
      </c>
      <c r="D38" s="38">
        <v>2</v>
      </c>
      <c r="E38" s="39">
        <v>2264</v>
      </c>
      <c r="F38" s="40">
        <v>30716595648</v>
      </c>
      <c r="G38" s="41" t="str">
        <f>IFERROR(IF(compras_mes7[[#This Row],[CUIT]]="","-",VLOOKUP(compras_mes7[[#This Row],[CUIT]],Lista_CUIT[#All],2,0)),"CUIT NO CARGADO")</f>
        <v>MIDEME  S.A</v>
      </c>
      <c r="H38" s="42">
        <v>8669.42</v>
      </c>
      <c r="I38" s="81">
        <v>1820.5781999999999</v>
      </c>
      <c r="J38" s="81"/>
      <c r="K38" s="81"/>
      <c r="L38" s="81"/>
      <c r="M38" s="81"/>
      <c r="N38" s="81"/>
      <c r="O38" s="81"/>
      <c r="P38" s="44">
        <v>10489.9982</v>
      </c>
      <c r="Q38" s="45" t="str">
        <f>IFERROR(IF(compras_mes7[[#This Row],[CUIT]]="","-",VLOOKUP(compras_mes7[[#This Row],[CUIT]],Lista_CUIT[#All],3,0)),"CUIT NO CARGADO")</f>
        <v>Gastos Varios</v>
      </c>
      <c r="R38" s="45">
        <f>IFERROR(IF(compras_mes7[[#This Row],[CUIT]]="","-",VLOOKUP(compras_mes7[[#This Row],[CUIT]],Lista_CUIT[#All],4,0)),"CUIT NO CARGADO")</f>
        <v>0</v>
      </c>
    </row>
    <row r="39" spans="2:18" x14ac:dyDescent="0.3">
      <c r="B39" s="36">
        <v>44769</v>
      </c>
      <c r="C39" s="37">
        <v>1</v>
      </c>
      <c r="D39" s="38">
        <v>2</v>
      </c>
      <c r="E39" s="39">
        <v>15398</v>
      </c>
      <c r="F39" s="40">
        <v>33714351309</v>
      </c>
      <c r="G39" s="41" t="str">
        <f>IFERROR(IF(compras_mes7[[#This Row],[CUIT]]="","-",VLOOKUP(compras_mes7[[#This Row],[CUIT]],Lista_CUIT[#All],2,0)),"CUIT NO CARGADO")</f>
        <v>FERNANDEZ MANUSAQUI PATRICIA Y FERNANDEZ MANUSA</v>
      </c>
      <c r="H39" s="42">
        <v>34318.75</v>
      </c>
      <c r="I39" s="81">
        <v>7206.9375</v>
      </c>
      <c r="J39" s="81"/>
      <c r="K39" s="81"/>
      <c r="L39" s="81"/>
      <c r="M39" s="81"/>
      <c r="N39" s="81"/>
      <c r="O39" s="81"/>
      <c r="P39" s="44">
        <v>41525.6875</v>
      </c>
      <c r="Q39" s="45" t="str">
        <f>IFERROR(IF(compras_mes7[[#This Row],[CUIT]]="","-",VLOOKUP(compras_mes7[[#This Row],[CUIT]],Lista_CUIT[#All],3,0)),"CUIT NO CARGADO")</f>
        <v>Gastos Varios</v>
      </c>
      <c r="R39" s="45">
        <f>IFERROR(IF(compras_mes7[[#This Row],[CUIT]]="","-",VLOOKUP(compras_mes7[[#This Row],[CUIT]],Lista_CUIT[#All],4,0)),"CUIT NO CARGADO")</f>
        <v>0</v>
      </c>
    </row>
    <row r="40" spans="2:18" x14ac:dyDescent="0.3">
      <c r="B40" s="36">
        <v>44744</v>
      </c>
      <c r="C40" s="37">
        <v>1</v>
      </c>
      <c r="D40" s="38">
        <v>5</v>
      </c>
      <c r="E40" s="39">
        <v>9062</v>
      </c>
      <c r="F40" s="40">
        <v>20936626549</v>
      </c>
      <c r="G40" s="41" t="str">
        <f>IFERROR(IF(compras_mes7[[#This Row],[CUIT]]="","-",VLOOKUP(compras_mes7[[#This Row],[CUIT]],Lista_CUIT[#All],2,0)),"CUIT NO CARGADO")</f>
        <v>TROTTA  SALVADOR</v>
      </c>
      <c r="H40" s="42">
        <v>1730.55</v>
      </c>
      <c r="I40" s="81">
        <v>363.41549999999995</v>
      </c>
      <c r="J40" s="81"/>
      <c r="K40" s="81"/>
      <c r="L40" s="81"/>
      <c r="M40" s="81"/>
      <c r="N40" s="81"/>
      <c r="O40" s="81"/>
      <c r="P40" s="44">
        <v>2093.9654999999998</v>
      </c>
      <c r="Q40" s="45" t="str">
        <f>IFERROR(IF(compras_mes7[[#This Row],[CUIT]]="","-",VLOOKUP(compras_mes7[[#This Row],[CUIT]],Lista_CUIT[#All],3,0)),"CUIT NO CARGADO")</f>
        <v>Gastos Varios</v>
      </c>
      <c r="R40" s="45" t="str">
        <f>IFERROR(IF(compras_mes7[[#This Row],[CUIT]]="","-",VLOOKUP(compras_mes7[[#This Row],[CUIT]],Lista_CUIT[#All],4,0)),"CUIT NO CARGADO")</f>
        <v>BS AS</v>
      </c>
    </row>
    <row r="41" spans="2:18" x14ac:dyDescent="0.3">
      <c r="B41" s="36">
        <v>44746</v>
      </c>
      <c r="C41" s="37">
        <v>1</v>
      </c>
      <c r="D41" s="38">
        <v>1</v>
      </c>
      <c r="E41" s="39">
        <v>16030</v>
      </c>
      <c r="F41" s="40">
        <v>20173025557</v>
      </c>
      <c r="G41" s="41" t="str">
        <f>IFERROR(IF(compras_mes7[[#This Row],[CUIT]]="","-",VLOOKUP(compras_mes7[[#This Row],[CUIT]],Lista_CUIT[#All],2,0)),"CUIT NO CARGADO")</f>
        <v>MARAUDA HECTOR</v>
      </c>
      <c r="H41" s="42">
        <v>661.16</v>
      </c>
      <c r="I41" s="81">
        <v>138.84359999999998</v>
      </c>
      <c r="J41" s="81"/>
      <c r="K41" s="81"/>
      <c r="L41" s="81"/>
      <c r="M41" s="81"/>
      <c r="N41" s="81"/>
      <c r="O41" s="81"/>
      <c r="P41" s="44">
        <v>800.00360000000001</v>
      </c>
      <c r="Q41" s="45" t="str">
        <f>IFERROR(IF(compras_mes7[[#This Row],[CUIT]]="","-",VLOOKUP(compras_mes7[[#This Row],[CUIT]],Lista_CUIT[#All],3,0)),"CUIT NO CARGADO")</f>
        <v>Gastos Varios</v>
      </c>
      <c r="R41" s="45">
        <f>IFERROR(IF(compras_mes7[[#This Row],[CUIT]]="","-",VLOOKUP(compras_mes7[[#This Row],[CUIT]],Lista_CUIT[#All],4,0)),"CUIT NO CARGADO")</f>
        <v>0</v>
      </c>
    </row>
    <row r="42" spans="2:18" x14ac:dyDescent="0.3">
      <c r="B42" s="36">
        <v>44749</v>
      </c>
      <c r="C42" s="37">
        <v>1</v>
      </c>
      <c r="D42" s="38">
        <v>2</v>
      </c>
      <c r="E42" s="39">
        <v>4533</v>
      </c>
      <c r="F42" s="40">
        <v>23180288899</v>
      </c>
      <c r="G42" s="41" t="str">
        <f>IFERROR(IF(compras_mes7[[#This Row],[CUIT]]="","-",VLOOKUP(compras_mes7[[#This Row],[CUIT]],Lista_CUIT[#All],2,0)),"CUIT NO CARGADO")</f>
        <v>ROMERO EMILIO</v>
      </c>
      <c r="H42" s="42">
        <v>80500</v>
      </c>
      <c r="I42" s="81">
        <v>16905</v>
      </c>
      <c r="J42" s="81"/>
      <c r="K42" s="81"/>
      <c r="L42" s="81"/>
      <c r="M42" s="81"/>
      <c r="N42" s="81"/>
      <c r="O42" s="81"/>
      <c r="P42" s="44">
        <v>97405</v>
      </c>
      <c r="Q42" s="45" t="str">
        <f>IFERROR(IF(compras_mes7[[#This Row],[CUIT]]="","-",VLOOKUP(compras_mes7[[#This Row],[CUIT]],Lista_CUIT[#All],3,0)),"CUIT NO CARGADO")</f>
        <v>Mercaderia</v>
      </c>
      <c r="R42" s="45" t="str">
        <f>IFERROR(IF(compras_mes7[[#This Row],[CUIT]]="","-",VLOOKUP(compras_mes7[[#This Row],[CUIT]],Lista_CUIT[#All],4,0)),"CUIT NO CARGADO")</f>
        <v>BUENOS AIRES</v>
      </c>
    </row>
    <row r="43" spans="2:18" x14ac:dyDescent="0.3">
      <c r="B43" s="36">
        <v>44770</v>
      </c>
      <c r="C43" s="37">
        <v>1</v>
      </c>
      <c r="D43" s="38">
        <v>8</v>
      </c>
      <c r="E43" s="39">
        <v>706</v>
      </c>
      <c r="F43" s="40">
        <v>20388915413</v>
      </c>
      <c r="G43" s="41" t="str">
        <f>IFERROR(IF(compras_mes7[[#This Row],[CUIT]]="","-",VLOOKUP(compras_mes7[[#This Row],[CUIT]],Lista_CUIT[#All],2,0)),"CUIT NO CARGADO")</f>
        <v>GONZALO  MARTIN  GUENZANI</v>
      </c>
      <c r="H43" s="42">
        <v>7491.74</v>
      </c>
      <c r="I43" s="81">
        <v>1573.2654</v>
      </c>
      <c r="J43" s="81"/>
      <c r="K43" s="81"/>
      <c r="L43" s="81"/>
      <c r="M43" s="81"/>
      <c r="N43" s="81"/>
      <c r="O43" s="81"/>
      <c r="P43" s="44">
        <v>9065.0054</v>
      </c>
      <c r="Q43" s="45" t="str">
        <f>IFERROR(IF(compras_mes7[[#This Row],[CUIT]]="","-",VLOOKUP(compras_mes7[[#This Row],[CUIT]],Lista_CUIT[#All],3,0)),"CUIT NO CARGADO")</f>
        <v>Gastos Varios</v>
      </c>
      <c r="R43" s="45" t="str">
        <f>IFERROR(IF(compras_mes7[[#This Row],[CUIT]]="","-",VLOOKUP(compras_mes7[[#This Row],[CUIT]],Lista_CUIT[#All],4,0)),"CUIT NO CARGADO")</f>
        <v>BUENOS AIRES</v>
      </c>
    </row>
    <row r="44" spans="2:18" x14ac:dyDescent="0.3">
      <c r="B44" s="36">
        <v>44771</v>
      </c>
      <c r="C44" s="37">
        <v>1</v>
      </c>
      <c r="D44" s="38">
        <v>88</v>
      </c>
      <c r="E44" s="39">
        <v>69900</v>
      </c>
      <c r="F44" s="40">
        <v>30548083156</v>
      </c>
      <c r="G44" s="41" t="str">
        <f>IFERROR(IF(compras_mes7[[#This Row],[CUIT]]="","-",VLOOKUP(compras_mes7[[#This Row],[CUIT]],Lista_CUIT[#All],2,0)),"CUIT NO CARGADO")</f>
        <v>COTO  S.A.</v>
      </c>
      <c r="H44" s="42">
        <v>63552.87</v>
      </c>
      <c r="I44" s="81">
        <v>12672.66</v>
      </c>
      <c r="J44" s="81"/>
      <c r="K44" s="81"/>
      <c r="L44" s="81"/>
      <c r="M44" s="81"/>
      <c r="N44" s="81">
        <v>2615.5500000000002</v>
      </c>
      <c r="O44" s="81">
        <v>1720.09</v>
      </c>
      <c r="P44" s="44">
        <v>80561.17</v>
      </c>
      <c r="Q44" s="45" t="str">
        <f>IFERROR(IF(compras_mes7[[#This Row],[CUIT]]="","-",VLOOKUP(compras_mes7[[#This Row],[CUIT]],Lista_CUIT[#All],3,0)),"CUIT NO CARGADO")</f>
        <v>Gastos Varios</v>
      </c>
      <c r="R44" s="45">
        <f>IFERROR(IF(compras_mes7[[#This Row],[CUIT]]="","-",VLOOKUP(compras_mes7[[#This Row],[CUIT]],Lista_CUIT[#All],4,0)),"CUIT NO CARGADO")</f>
        <v>0</v>
      </c>
    </row>
    <row r="45" spans="2:18" x14ac:dyDescent="0.3">
      <c r="B45" s="36">
        <v>44773</v>
      </c>
      <c r="C45" s="37">
        <v>1</v>
      </c>
      <c r="D45" s="38">
        <v>1045</v>
      </c>
      <c r="E45" s="39">
        <v>195</v>
      </c>
      <c r="F45" s="40">
        <v>30590360763</v>
      </c>
      <c r="G45" s="41" t="str">
        <f>IFERROR(IF(compras_mes7[[#This Row],[CUIT]]="","-",VLOOKUP(compras_mes7[[#This Row],[CUIT]],Lista_CUIT[#All],2,0)),"CUIT NO CARGADO")</f>
        <v>CENCOSUD S.A</v>
      </c>
      <c r="H45" s="42">
        <v>5411.3</v>
      </c>
      <c r="I45" s="81">
        <v>1113.75</v>
      </c>
      <c r="J45" s="81"/>
      <c r="K45" s="81"/>
      <c r="L45" s="81"/>
      <c r="M45" s="81"/>
      <c r="N45" s="81">
        <v>324.68</v>
      </c>
      <c r="O45" s="81">
        <v>88.31</v>
      </c>
      <c r="P45" s="44">
        <v>6938.0400000000009</v>
      </c>
      <c r="Q45" s="45" t="str">
        <f>IFERROR(IF(compras_mes7[[#This Row],[CUIT]]="","-",VLOOKUP(compras_mes7[[#This Row],[CUIT]],Lista_CUIT[#All],3,0)),"CUIT NO CARGADO")</f>
        <v>Gastos Varios</v>
      </c>
      <c r="R45" s="45">
        <f>IFERROR(IF(compras_mes7[[#This Row],[CUIT]]="","-",VLOOKUP(compras_mes7[[#This Row],[CUIT]],Lista_CUIT[#All],4,0)),"CUIT NO CARGADO")</f>
        <v>0</v>
      </c>
    </row>
    <row r="46" spans="2:18" ht="18" customHeight="1" x14ac:dyDescent="0.3">
      <c r="B46" s="36">
        <v>44771</v>
      </c>
      <c r="C46" s="37">
        <v>1</v>
      </c>
      <c r="D46" s="38">
        <v>27</v>
      </c>
      <c r="E46" s="39">
        <v>496689</v>
      </c>
      <c r="F46" s="40">
        <v>30703088534</v>
      </c>
      <c r="G46" s="41" t="str">
        <f>IFERROR(IF(compras_mes7[[#This Row],[CUIT]]="","-",VLOOKUP(compras_mes7[[#This Row],[CUIT]],Lista_CUIT[#All],2,0)),"CUIT NO CARGADO")</f>
        <v>MERCADO LIBRE SRL</v>
      </c>
      <c r="H46" s="42">
        <v>138600.25</v>
      </c>
      <c r="I46" s="81">
        <v>29106.052499999998</v>
      </c>
      <c r="J46" s="81"/>
      <c r="K46" s="81"/>
      <c r="L46" s="81"/>
      <c r="M46" s="81"/>
      <c r="N46" s="81">
        <v>8316</v>
      </c>
      <c r="O46" s="81">
        <v>4158</v>
      </c>
      <c r="P46" s="44">
        <v>180180.30249999999</v>
      </c>
      <c r="Q46" s="45" t="str">
        <f>IFERROR(IF(compras_mes7[[#This Row],[CUIT]]="","-",VLOOKUP(compras_mes7[[#This Row],[CUIT]],Lista_CUIT[#All],3,0)),"CUIT NO CARGADO")</f>
        <v>Gtos Comercializacion</v>
      </c>
      <c r="R46" s="45">
        <f>IFERROR(IF(compras_mes7[[#This Row],[CUIT]]="","-",VLOOKUP(compras_mes7[[#This Row],[CUIT]],Lista_CUIT[#All],4,0)),"CUIT NO CARGADO")</f>
        <v>0</v>
      </c>
    </row>
    <row r="47" spans="2:18" x14ac:dyDescent="0.3">
      <c r="B47" s="36">
        <v>44742</v>
      </c>
      <c r="C47" s="37">
        <v>1</v>
      </c>
      <c r="D47" s="38">
        <v>5</v>
      </c>
      <c r="E47" s="39">
        <v>54209</v>
      </c>
      <c r="F47" s="40">
        <v>30660981736</v>
      </c>
      <c r="G47" s="41" t="str">
        <f>IFERROR(IF(compras_mes7[[#This Row],[CUIT]]="","-",VLOOKUP(compras_mes7[[#This Row],[CUIT]],Lista_CUIT[#All],2,0)),"CUIT NO CARGADO")</f>
        <v>R.A.  DURAN  &amp;  ASOC.  S.R.L</v>
      </c>
      <c r="H47" s="42">
        <v>5630</v>
      </c>
      <c r="I47" s="81">
        <v>1182.3</v>
      </c>
      <c r="J47" s="81"/>
      <c r="K47" s="81"/>
      <c r="L47" s="81"/>
      <c r="M47" s="81"/>
      <c r="N47" s="81">
        <v>1000</v>
      </c>
      <c r="O47" s="81"/>
      <c r="P47" s="44">
        <v>7812.3</v>
      </c>
      <c r="Q47" s="45" t="str">
        <f>IFERROR(IF(compras_mes7[[#This Row],[CUIT]]="","-",VLOOKUP(compras_mes7[[#This Row],[CUIT]],Lista_CUIT[#All],3,0)),"CUIT NO CARGADO")</f>
        <v>Honorarios</v>
      </c>
      <c r="R47" s="45">
        <f>IFERROR(IF(compras_mes7[[#This Row],[CUIT]]="","-",VLOOKUP(compras_mes7[[#This Row],[CUIT]],Lista_CUIT[#All],4,0)),"CUIT NO CARGADO")</f>
        <v>0</v>
      </c>
    </row>
    <row r="48" spans="2:18" x14ac:dyDescent="0.3">
      <c r="B48" s="36">
        <v>44753</v>
      </c>
      <c r="C48" s="37">
        <v>1</v>
      </c>
      <c r="D48" s="38">
        <v>3</v>
      </c>
      <c r="E48" s="39">
        <v>335</v>
      </c>
      <c r="F48" s="40">
        <v>20210551574</v>
      </c>
      <c r="G48" s="41" t="str">
        <f>IFERROR(IF(compras_mes7[[#This Row],[CUIT]]="","-",VLOOKUP(compras_mes7[[#This Row],[CUIT]],Lista_CUIT[#All],2,0)),"CUIT NO CARGADO")</f>
        <v>REUS JORGE DIEGO</v>
      </c>
      <c r="H48" s="42">
        <v>0</v>
      </c>
      <c r="I48" s="81">
        <v>0</v>
      </c>
      <c r="J48" s="81"/>
      <c r="K48" s="81"/>
      <c r="L48" s="81"/>
      <c r="M48" s="81"/>
      <c r="N48" s="81">
        <v>30000</v>
      </c>
      <c r="O48" s="81"/>
      <c r="P48" s="44">
        <v>30000</v>
      </c>
      <c r="Q48" s="45" t="str">
        <f>IFERROR(IF(compras_mes7[[#This Row],[CUIT]]="","-",VLOOKUP(compras_mes7[[#This Row],[CUIT]],Lista_CUIT[#All],3,0)),"CUIT NO CARGADO")</f>
        <v>Honorarios Juridicos</v>
      </c>
      <c r="R48" s="45">
        <f>IFERROR(IF(compras_mes7[[#This Row],[CUIT]]="","-",VLOOKUP(compras_mes7[[#This Row],[CUIT]],Lista_CUIT[#All],4,0)),"CUIT NO CARGADO")</f>
        <v>0</v>
      </c>
    </row>
    <row r="49" spans="2:18" x14ac:dyDescent="0.3">
      <c r="B49" s="36">
        <v>44742</v>
      </c>
      <c r="C49" s="37">
        <v>1</v>
      </c>
      <c r="D49" s="38">
        <v>1</v>
      </c>
      <c r="E49" s="39">
        <v>2221</v>
      </c>
      <c r="F49" s="40">
        <v>20103906149</v>
      </c>
      <c r="G49" s="41" t="str">
        <f>IFERROR(IF(compras_mes7[[#This Row],[CUIT]]="","-",VLOOKUP(compras_mes7[[#This Row],[CUIT]],Lista_CUIT[#All],2,0)),"CUIT NO CARGADO")</f>
        <v>MC LEAN ROBERTO</v>
      </c>
      <c r="H49" s="42">
        <v>45000</v>
      </c>
      <c r="I49" s="81">
        <v>9450</v>
      </c>
      <c r="J49" s="81"/>
      <c r="K49" s="81"/>
      <c r="L49" s="81"/>
      <c r="M49" s="81"/>
      <c r="N49" s="81"/>
      <c r="O49" s="81"/>
      <c r="P49" s="44">
        <v>54450</v>
      </c>
      <c r="Q49" s="45" t="str">
        <f>IFERROR(IF(compras_mes7[[#This Row],[CUIT]]="","-",VLOOKUP(compras_mes7[[#This Row],[CUIT]],Lista_CUIT[#All],3,0)),"CUIT NO CARGADO")</f>
        <v>Honorarios Contables</v>
      </c>
      <c r="R49" s="45">
        <f>IFERROR(IF(compras_mes7[[#This Row],[CUIT]]="","-",VLOOKUP(compras_mes7[[#This Row],[CUIT]],Lista_CUIT[#All],4,0)),"CUIT NO CARGADO")</f>
        <v>0</v>
      </c>
    </row>
    <row r="50" spans="2:18" x14ac:dyDescent="0.3">
      <c r="B50" s="36">
        <v>44771</v>
      </c>
      <c r="C50" s="37">
        <v>1</v>
      </c>
      <c r="D50" s="38">
        <v>1</v>
      </c>
      <c r="E50" s="39">
        <v>2230</v>
      </c>
      <c r="F50" s="40">
        <v>20103906149</v>
      </c>
      <c r="G50" s="41" t="str">
        <f>IFERROR(IF(compras_mes7[[#This Row],[CUIT]]="","-",VLOOKUP(compras_mes7[[#This Row],[CUIT]],Lista_CUIT[#All],2,0)),"CUIT NO CARGADO")</f>
        <v>MC LEAN ROBERTO</v>
      </c>
      <c r="H50" s="42">
        <v>61300</v>
      </c>
      <c r="I50" s="81">
        <v>12873</v>
      </c>
      <c r="J50" s="81"/>
      <c r="K50" s="81"/>
      <c r="L50" s="81"/>
      <c r="M50" s="81"/>
      <c r="N50" s="81"/>
      <c r="O50" s="81"/>
      <c r="P50" s="44">
        <v>74173</v>
      </c>
      <c r="Q50" s="45" t="str">
        <f>IFERROR(IF(compras_mes7[[#This Row],[CUIT]]="","-",VLOOKUP(compras_mes7[[#This Row],[CUIT]],Lista_CUIT[#All],3,0)),"CUIT NO CARGADO")</f>
        <v>Honorarios Contables</v>
      </c>
      <c r="R50" s="45">
        <f>IFERROR(IF(compras_mes7[[#This Row],[CUIT]]="","-",VLOOKUP(compras_mes7[[#This Row],[CUIT]],Lista_CUIT[#All],4,0)),"CUIT NO CARGADO")</f>
        <v>0</v>
      </c>
    </row>
    <row r="51" spans="2:18" x14ac:dyDescent="0.3">
      <c r="B51" s="36">
        <v>44769</v>
      </c>
      <c r="C51" s="37">
        <v>1</v>
      </c>
      <c r="D51" s="38">
        <v>9</v>
      </c>
      <c r="E51" s="39">
        <v>676</v>
      </c>
      <c r="F51" s="40">
        <v>30710446047</v>
      </c>
      <c r="G51" s="41" t="str">
        <f>IFERROR(IF(compras_mes7[[#This Row],[CUIT]]="","-",VLOOKUP(compras_mes7[[#This Row],[CUIT]],Lista_CUIT[#All],2,0)),"CUIT NO CARGADO")</f>
        <v>ENSAMBLE GRAFICO S.H.</v>
      </c>
      <c r="H51" s="42">
        <v>422385</v>
      </c>
      <c r="I51" s="81">
        <v>88700.849999999991</v>
      </c>
      <c r="J51" s="81"/>
      <c r="K51" s="81"/>
      <c r="L51" s="81"/>
      <c r="M51" s="81"/>
      <c r="N51" s="81"/>
      <c r="O51" s="81"/>
      <c r="P51" s="44">
        <v>511085.85</v>
      </c>
      <c r="Q51" s="45" t="str">
        <f>IFERROR(IF(compras_mes7[[#This Row],[CUIT]]="","-",VLOOKUP(compras_mes7[[#This Row],[CUIT]],Lista_CUIT[#All],3,0)),"CUIT NO CARGADO")</f>
        <v>Mercaderia</v>
      </c>
      <c r="R51" s="45">
        <f>IFERROR(IF(compras_mes7[[#This Row],[CUIT]]="","-",VLOOKUP(compras_mes7[[#This Row],[CUIT]],Lista_CUIT[#All],4,0)),"CUIT NO CARGADO")</f>
        <v>0</v>
      </c>
    </row>
    <row r="52" spans="2:18" x14ac:dyDescent="0.3">
      <c r="B52" s="36">
        <v>44750</v>
      </c>
      <c r="C52" s="37">
        <v>1</v>
      </c>
      <c r="D52" s="38">
        <v>3</v>
      </c>
      <c r="E52" s="39">
        <v>175371</v>
      </c>
      <c r="F52" s="40">
        <v>30693293754</v>
      </c>
      <c r="G52" s="41" t="str">
        <f>IFERROR(IF(compras_mes7[[#This Row],[CUIT]]="","-",VLOOKUP(compras_mes7[[#This Row],[CUIT]],Lista_CUIT[#All],2,0)),"CUIT NO CARGADO")</f>
        <v>CPT  INTEGRAL  S.A.</v>
      </c>
      <c r="H52" s="42">
        <v>8917.36</v>
      </c>
      <c r="I52" s="81">
        <v>1872.6456000000001</v>
      </c>
      <c r="J52" s="81"/>
      <c r="K52" s="81"/>
      <c r="L52" s="81"/>
      <c r="M52" s="81"/>
      <c r="N52" s="81"/>
      <c r="O52" s="81"/>
      <c r="P52" s="44">
        <v>10790.0056</v>
      </c>
      <c r="Q52" s="45" t="str">
        <f>IFERROR(IF(compras_mes7[[#This Row],[CUIT]]="","-",VLOOKUP(compras_mes7[[#This Row],[CUIT]],Lista_CUIT[#All],3,0)),"CUIT NO CARGADO")</f>
        <v>Librería</v>
      </c>
      <c r="R52" s="45">
        <f>IFERROR(IF(compras_mes7[[#This Row],[CUIT]]="","-",VLOOKUP(compras_mes7[[#This Row],[CUIT]],Lista_CUIT[#All],4,0)),"CUIT NO CARGADO")</f>
        <v>0</v>
      </c>
    </row>
    <row r="53" spans="2:18" x14ac:dyDescent="0.3">
      <c r="B53" s="36">
        <v>44750</v>
      </c>
      <c r="C53" s="37">
        <v>1</v>
      </c>
      <c r="D53" s="38">
        <v>3</v>
      </c>
      <c r="E53" s="39">
        <v>175372</v>
      </c>
      <c r="F53" s="40">
        <v>30693293754</v>
      </c>
      <c r="G53" s="41" t="str">
        <f>IFERROR(IF(compras_mes7[[#This Row],[CUIT]]="","-",VLOOKUP(compras_mes7[[#This Row],[CUIT]],Lista_CUIT[#All],2,0)),"CUIT NO CARGADO")</f>
        <v>CPT  INTEGRAL  S.A.</v>
      </c>
      <c r="H53" s="42">
        <v>4801.6499999999996</v>
      </c>
      <c r="I53" s="81">
        <v>1008.3464999999999</v>
      </c>
      <c r="J53" s="81"/>
      <c r="K53" s="81"/>
      <c r="L53" s="81"/>
      <c r="M53" s="81"/>
      <c r="N53" s="81"/>
      <c r="O53" s="81"/>
      <c r="P53" s="44">
        <v>5809.9964999999993</v>
      </c>
      <c r="Q53" s="45" t="str">
        <f>IFERROR(IF(compras_mes7[[#This Row],[CUIT]]="","-",VLOOKUP(compras_mes7[[#This Row],[CUIT]],Lista_CUIT[#All],3,0)),"CUIT NO CARGADO")</f>
        <v>Librería</v>
      </c>
      <c r="R53" s="45">
        <f>IFERROR(IF(compras_mes7[[#This Row],[CUIT]]="","-",VLOOKUP(compras_mes7[[#This Row],[CUIT]],Lista_CUIT[#All],4,0)),"CUIT NO CARGADO")</f>
        <v>0</v>
      </c>
    </row>
    <row r="54" spans="2:18" x14ac:dyDescent="0.3">
      <c r="B54" s="36">
        <v>44771</v>
      </c>
      <c r="C54" s="37">
        <v>1</v>
      </c>
      <c r="D54" s="38">
        <v>10</v>
      </c>
      <c r="E54" s="39">
        <v>1456</v>
      </c>
      <c r="F54" s="40">
        <v>23127284369</v>
      </c>
      <c r="G54" s="41" t="str">
        <f>IFERROR(IF(compras_mes7[[#This Row],[CUIT]]="","-",VLOOKUP(compras_mes7[[#This Row],[CUIT]],Lista_CUIT[#All],2,0)),"CUIT NO CARGADO")</f>
        <v>DEALER  FX  -  MONTORRO  D.</v>
      </c>
      <c r="H54" s="42">
        <v>6270.44</v>
      </c>
      <c r="I54" s="81">
        <v>1316.7923999999998</v>
      </c>
      <c r="J54" s="81"/>
      <c r="K54" s="81"/>
      <c r="L54" s="81"/>
      <c r="M54" s="81"/>
      <c r="N54" s="81"/>
      <c r="O54" s="81"/>
      <c r="P54" s="44">
        <v>7587.232399999999</v>
      </c>
      <c r="Q54" s="45" t="str">
        <f>IFERROR(IF(compras_mes7[[#This Row],[CUIT]]="","-",VLOOKUP(compras_mes7[[#This Row],[CUIT]],Lista_CUIT[#All],3,0)),"CUIT NO CARGADO")</f>
        <v>Librería</v>
      </c>
      <c r="R54" s="45">
        <f>IFERROR(IF(compras_mes7[[#This Row],[CUIT]]="","-",VLOOKUP(compras_mes7[[#This Row],[CUIT]],Lista_CUIT[#All],4,0)),"CUIT NO CARGADO")</f>
        <v>0</v>
      </c>
    </row>
    <row r="55" spans="2:18" x14ac:dyDescent="0.3">
      <c r="B55" s="36">
        <v>44749</v>
      </c>
      <c r="C55" s="37">
        <v>1</v>
      </c>
      <c r="D55" s="38">
        <v>3</v>
      </c>
      <c r="E55" s="39">
        <v>1040</v>
      </c>
      <c r="F55" s="40">
        <v>20101797180</v>
      </c>
      <c r="G55" s="41" t="str">
        <f>IFERROR(IF(compras_mes7[[#This Row],[CUIT]]="","-",VLOOKUP(compras_mes7[[#This Row],[CUIT]],Lista_CUIT[#All],2,0)),"CUIT NO CARGADO")</f>
        <v>MORENO  MIGUEL  ANGEL</v>
      </c>
      <c r="H55" s="42">
        <v>44628.09</v>
      </c>
      <c r="I55" s="81">
        <v>9371.8988999999983</v>
      </c>
      <c r="J55" s="81"/>
      <c r="K55" s="81"/>
      <c r="L55" s="81"/>
      <c r="M55" s="81"/>
      <c r="N55" s="81"/>
      <c r="O55" s="81"/>
      <c r="P55" s="44">
        <v>53999.988899999997</v>
      </c>
      <c r="Q55" s="45" t="str">
        <f>IFERROR(IF(compras_mes7[[#This Row],[CUIT]]="","-",VLOOKUP(compras_mes7[[#This Row],[CUIT]],Lista_CUIT[#All],3,0)),"CUIT NO CARGADO")</f>
        <v>Mantenimiento</v>
      </c>
      <c r="R55" s="45">
        <f>IFERROR(IF(compras_mes7[[#This Row],[CUIT]]="","-",VLOOKUP(compras_mes7[[#This Row],[CUIT]],Lista_CUIT[#All],4,0)),"CUIT NO CARGADO")</f>
        <v>0</v>
      </c>
    </row>
    <row r="56" spans="2:18" x14ac:dyDescent="0.3">
      <c r="B56" s="36">
        <v>44760</v>
      </c>
      <c r="C56" s="37">
        <v>1</v>
      </c>
      <c r="D56" s="38">
        <v>6</v>
      </c>
      <c r="E56" s="39">
        <v>35573</v>
      </c>
      <c r="F56" s="40">
        <v>30707174788</v>
      </c>
      <c r="G56" s="41" t="str">
        <f>IFERROR(IF(compras_mes7[[#This Row],[CUIT]]="","-",VLOOKUP(compras_mes7[[#This Row],[CUIT]],Lista_CUIT[#All],2,0)),"CUIT NO CARGADO")</f>
        <v>RENEW  HOUSE  SH</v>
      </c>
      <c r="H56" s="42">
        <v>5098.3500000000004</v>
      </c>
      <c r="I56" s="81">
        <v>1070.6535000000001</v>
      </c>
      <c r="J56" s="81"/>
      <c r="K56" s="81"/>
      <c r="L56" s="81"/>
      <c r="M56" s="81"/>
      <c r="N56" s="81"/>
      <c r="O56" s="81"/>
      <c r="P56" s="44">
        <v>6169.0035000000007</v>
      </c>
      <c r="Q56" s="45" t="str">
        <f>IFERROR(IF(compras_mes7[[#This Row],[CUIT]]="","-",VLOOKUP(compras_mes7[[#This Row],[CUIT]],Lista_CUIT[#All],3,0)),"CUIT NO CARGADO")</f>
        <v>Mantenimiento</v>
      </c>
      <c r="R56" s="45">
        <f>IFERROR(IF(compras_mes7[[#This Row],[CUIT]]="","-",VLOOKUP(compras_mes7[[#This Row],[CUIT]],Lista_CUIT[#All],4,0)),"CUIT NO CARGADO")</f>
        <v>0</v>
      </c>
    </row>
    <row r="57" spans="2:18" x14ac:dyDescent="0.3">
      <c r="B57" s="36">
        <v>44764</v>
      </c>
      <c r="C57" s="37">
        <v>1</v>
      </c>
      <c r="D57" s="38">
        <v>1</v>
      </c>
      <c r="E57" s="39">
        <v>4342</v>
      </c>
      <c r="F57" s="40">
        <v>30716623110</v>
      </c>
      <c r="G57" s="41" t="str">
        <f>IFERROR(IF(compras_mes7[[#This Row],[CUIT]]="","-",VLOOKUP(compras_mes7[[#This Row],[CUIT]],Lista_CUIT[#All],2,0)),"CUIT NO CARGADO")</f>
        <v>CASTELVECCHIO  S.A</v>
      </c>
      <c r="H57" s="42">
        <v>42593.48</v>
      </c>
      <c r="I57" s="81">
        <v>8892.19</v>
      </c>
      <c r="J57" s="81"/>
      <c r="K57" s="81"/>
      <c r="L57" s="81"/>
      <c r="M57" s="81"/>
      <c r="N57" s="81"/>
      <c r="O57" s="81"/>
      <c r="P57" s="44">
        <v>51485.670000000006</v>
      </c>
      <c r="Q57" s="45" t="str">
        <f>IFERROR(IF(compras_mes7[[#This Row],[CUIT]]="","-",VLOOKUP(compras_mes7[[#This Row],[CUIT]],Lista_CUIT[#All],3,0)),"CUIT NO CARGADO")</f>
        <v>Mantenimiento</v>
      </c>
      <c r="R57" s="45">
        <f>IFERROR(IF(compras_mes7[[#This Row],[CUIT]]="","-",VLOOKUP(compras_mes7[[#This Row],[CUIT]],Lista_CUIT[#All],4,0)),"CUIT NO CARGADO")</f>
        <v>0</v>
      </c>
    </row>
    <row r="58" spans="2:18" ht="17.25" customHeight="1" x14ac:dyDescent="0.3">
      <c r="B58" s="36">
        <v>44768</v>
      </c>
      <c r="C58" s="37">
        <v>1</v>
      </c>
      <c r="D58" s="38">
        <v>1</v>
      </c>
      <c r="E58" s="39">
        <v>4353</v>
      </c>
      <c r="F58" s="40">
        <v>30716623110</v>
      </c>
      <c r="G58" s="41" t="str">
        <f>IFERROR(IF(compras_mes7[[#This Row],[CUIT]]="","-",VLOOKUP(compras_mes7[[#This Row],[CUIT]],Lista_CUIT[#All],2,0)),"CUIT NO CARGADO")</f>
        <v>CASTELVECCHIO  S.A</v>
      </c>
      <c r="H58" s="42">
        <v>27691.83</v>
      </c>
      <c r="I58" s="81">
        <v>5789.97</v>
      </c>
      <c r="J58" s="81"/>
      <c r="K58" s="81"/>
      <c r="L58" s="81"/>
      <c r="M58" s="81"/>
      <c r="N58" s="81"/>
      <c r="O58" s="81"/>
      <c r="P58" s="44">
        <v>33481.800000000003</v>
      </c>
      <c r="Q58" s="45" t="str">
        <f>IFERROR(IF(compras_mes7[[#This Row],[CUIT]]="","-",VLOOKUP(compras_mes7[[#This Row],[CUIT]],Lista_CUIT[#All],3,0)),"CUIT NO CARGADO")</f>
        <v>Mantenimiento</v>
      </c>
      <c r="R58" s="45">
        <f>IFERROR(IF(compras_mes7[[#This Row],[CUIT]]="","-",VLOOKUP(compras_mes7[[#This Row],[CUIT]],Lista_CUIT[#All],4,0)),"CUIT NO CARGADO")</f>
        <v>0</v>
      </c>
    </row>
    <row r="59" spans="2:18" x14ac:dyDescent="0.3">
      <c r="B59" s="36">
        <v>44768</v>
      </c>
      <c r="C59" s="37">
        <v>3</v>
      </c>
      <c r="D59" s="38">
        <v>1</v>
      </c>
      <c r="E59" s="39">
        <v>447</v>
      </c>
      <c r="F59" s="40">
        <v>30716623110</v>
      </c>
      <c r="G59" s="41" t="str">
        <f>IFERROR(IF(compras_mes7[[#This Row],[CUIT]]="","-",VLOOKUP(compras_mes7[[#This Row],[CUIT]],Lista_CUIT[#All],2,0)),"CUIT NO CARGADO")</f>
        <v>CASTELVECCHIO  S.A</v>
      </c>
      <c r="H59" s="42">
        <v>-23846.400000000001</v>
      </c>
      <c r="I59" s="81">
        <v>-5007.7439999999997</v>
      </c>
      <c r="J59" s="81"/>
      <c r="K59" s="81"/>
      <c r="L59" s="81"/>
      <c r="M59" s="81"/>
      <c r="N59" s="81"/>
      <c r="O59" s="81"/>
      <c r="P59" s="44">
        <v>-28854.144</v>
      </c>
      <c r="Q59" s="45" t="str">
        <f>IFERROR(IF(compras_mes7[[#This Row],[CUIT]]="","-",VLOOKUP(compras_mes7[[#This Row],[CUIT]],Lista_CUIT[#All],3,0)),"CUIT NO CARGADO")</f>
        <v>Mantenimiento</v>
      </c>
      <c r="R59" s="45">
        <f>IFERROR(IF(compras_mes7[[#This Row],[CUIT]]="","-",VLOOKUP(compras_mes7[[#This Row],[CUIT]],Lista_CUIT[#All],4,0)),"CUIT NO CARGADO")</f>
        <v>0</v>
      </c>
    </row>
    <row r="60" spans="2:18" x14ac:dyDescent="0.3">
      <c r="B60" s="36">
        <v>44743</v>
      </c>
      <c r="C60" s="37">
        <v>1</v>
      </c>
      <c r="D60" s="38">
        <v>5</v>
      </c>
      <c r="E60" s="39">
        <v>688</v>
      </c>
      <c r="F60" s="40">
        <v>30711651779</v>
      </c>
      <c r="G60" s="41" t="str">
        <f>IFERROR(IF(compras_mes7[[#This Row],[CUIT]]="","-",VLOOKUP(compras_mes7[[#This Row],[CUIT]],Lista_CUIT[#All],2,0)),"CUIT NO CARGADO")</f>
        <v>INFOSOL BUENOS AIRES S.R.L.</v>
      </c>
      <c r="H60" s="42">
        <v>34710.74</v>
      </c>
      <c r="I60" s="81">
        <v>7289.2553999999991</v>
      </c>
      <c r="J60" s="81"/>
      <c r="K60" s="81"/>
      <c r="L60" s="81"/>
      <c r="M60" s="81"/>
      <c r="N60" s="81"/>
      <c r="O60" s="81"/>
      <c r="P60" s="44">
        <v>41999.9954</v>
      </c>
      <c r="Q60" s="45" t="str">
        <f>IFERROR(IF(compras_mes7[[#This Row],[CUIT]]="","-",VLOOKUP(compras_mes7[[#This Row],[CUIT]],Lista_CUIT[#All],3,0)),"CUIT NO CARGADO")</f>
        <v>Equipos de Informatica</v>
      </c>
      <c r="R60" s="45">
        <f>IFERROR(IF(compras_mes7[[#This Row],[CUIT]]="","-",VLOOKUP(compras_mes7[[#This Row],[CUIT]],Lista_CUIT[#All],4,0)),"CUIT NO CARGADO")</f>
        <v>0</v>
      </c>
    </row>
    <row r="61" spans="2:18" x14ac:dyDescent="0.3">
      <c r="B61" s="36">
        <v>44744</v>
      </c>
      <c r="C61" s="37">
        <v>1</v>
      </c>
      <c r="D61" s="38">
        <v>3</v>
      </c>
      <c r="E61" s="39">
        <v>1682</v>
      </c>
      <c r="F61" s="40">
        <v>24109521716</v>
      </c>
      <c r="G61" s="41" t="str">
        <f>IFERROR(IF(compras_mes7[[#This Row],[CUIT]]="","-",VLOOKUP(compras_mes7[[#This Row],[CUIT]],Lista_CUIT[#All],2,0)),"CUIT NO CARGADO")</f>
        <v>BERON  RItARD0  HECTOR</v>
      </c>
      <c r="H61" s="42">
        <v>11256.24</v>
      </c>
      <c r="I61" s="81">
        <v>2363.8103999999998</v>
      </c>
      <c r="J61" s="81"/>
      <c r="K61" s="81"/>
      <c r="L61" s="81"/>
      <c r="M61" s="81"/>
      <c r="N61" s="81"/>
      <c r="O61" s="81"/>
      <c r="P61" s="44">
        <v>13620.0504</v>
      </c>
      <c r="Q61" s="45" t="str">
        <f>IFERROR(IF(compras_mes7[[#This Row],[CUIT]]="","-",VLOOKUP(compras_mes7[[#This Row],[CUIT]],Lista_CUIT[#All],3,0)),"CUIT NO CARGADO")</f>
        <v>Mantenimiento</v>
      </c>
      <c r="R61" s="45">
        <f>IFERROR(IF(compras_mes7[[#This Row],[CUIT]]="","-",VLOOKUP(compras_mes7[[#This Row],[CUIT]],Lista_CUIT[#All],4,0)),"CUIT NO CARGADO")</f>
        <v>0</v>
      </c>
    </row>
    <row r="62" spans="2:18" x14ac:dyDescent="0.3">
      <c r="B62" s="36">
        <v>44747</v>
      </c>
      <c r="C62" s="37">
        <v>1</v>
      </c>
      <c r="D62" s="38">
        <v>16</v>
      </c>
      <c r="E62" s="39">
        <v>13040</v>
      </c>
      <c r="F62" s="40">
        <v>30553547942</v>
      </c>
      <c r="G62" s="41" t="str">
        <f>IFERROR(IF(compras_mes7[[#This Row],[CUIT]]="","-",VLOOKUP(compras_mes7[[#This Row],[CUIT]],Lista_CUIT[#All],2,0)),"CUIT NO CARGADO")</f>
        <v>PINTURERIAS  NAFER  S.A.</v>
      </c>
      <c r="H62" s="42">
        <v>13514.07</v>
      </c>
      <c r="I62" s="81">
        <v>2837.9546999999998</v>
      </c>
      <c r="J62" s="81"/>
      <c r="K62" s="81"/>
      <c r="L62" s="81"/>
      <c r="M62" s="81"/>
      <c r="N62" s="81"/>
      <c r="O62" s="81"/>
      <c r="P62" s="44">
        <v>16352.0247</v>
      </c>
      <c r="Q62" s="45" t="str">
        <f>IFERROR(IF(compras_mes7[[#This Row],[CUIT]]="","-",VLOOKUP(compras_mes7[[#This Row],[CUIT]],Lista_CUIT[#All],3,0)),"CUIT NO CARGADO")</f>
        <v>Mantenimiento</v>
      </c>
      <c r="R62" s="45">
        <f>IFERROR(IF(compras_mes7[[#This Row],[CUIT]]="","-",VLOOKUP(compras_mes7[[#This Row],[CUIT]],Lista_CUIT[#All],4,0)),"CUIT NO CARGADO")</f>
        <v>0</v>
      </c>
    </row>
    <row r="63" spans="2:18" x14ac:dyDescent="0.3">
      <c r="B63" s="36">
        <v>44750</v>
      </c>
      <c r="C63" s="37">
        <v>1</v>
      </c>
      <c r="D63" s="38">
        <v>3</v>
      </c>
      <c r="E63" s="39">
        <v>1687</v>
      </c>
      <c r="F63" s="40">
        <v>24109521716</v>
      </c>
      <c r="G63" s="41" t="str">
        <f>IFERROR(IF(compras_mes7[[#This Row],[CUIT]]="","-",VLOOKUP(compras_mes7[[#This Row],[CUIT]],Lista_CUIT[#All],2,0)),"CUIT NO CARGADO")</f>
        <v>BERON  RItARD0  HECTOR</v>
      </c>
      <c r="H63" s="42">
        <v>12603.51</v>
      </c>
      <c r="I63" s="81">
        <v>2646.7370999999998</v>
      </c>
      <c r="J63" s="81"/>
      <c r="K63" s="81"/>
      <c r="L63" s="81"/>
      <c r="M63" s="81"/>
      <c r="N63" s="81"/>
      <c r="O63" s="81"/>
      <c r="P63" s="44">
        <v>15250.247100000001</v>
      </c>
      <c r="Q63" s="45" t="str">
        <f>IFERROR(IF(compras_mes7[[#This Row],[CUIT]]="","-",VLOOKUP(compras_mes7[[#This Row],[CUIT]],Lista_CUIT[#All],3,0)),"CUIT NO CARGADO")</f>
        <v>Mantenimiento</v>
      </c>
      <c r="R63" s="45">
        <f>IFERROR(IF(compras_mes7[[#This Row],[CUIT]]="","-",VLOOKUP(compras_mes7[[#This Row],[CUIT]],Lista_CUIT[#All],4,0)),"CUIT NO CARGADO")</f>
        <v>0</v>
      </c>
    </row>
    <row r="64" spans="2:18" x14ac:dyDescent="0.3">
      <c r="B64" s="36">
        <v>44756</v>
      </c>
      <c r="C64" s="37">
        <v>1</v>
      </c>
      <c r="D64" s="38">
        <v>16</v>
      </c>
      <c r="E64" s="39">
        <v>13169</v>
      </c>
      <c r="F64" s="40">
        <v>30553547942</v>
      </c>
      <c r="G64" s="41" t="str">
        <f>IFERROR(IF(compras_mes7[[#This Row],[CUIT]]="","-",VLOOKUP(compras_mes7[[#This Row],[CUIT]],Lista_CUIT[#All],2,0)),"CUIT NO CARGADO")</f>
        <v>PINTURERIAS  NAFER  S.A.</v>
      </c>
      <c r="H64" s="42">
        <v>4617.87</v>
      </c>
      <c r="I64" s="81">
        <v>969.75269999999989</v>
      </c>
      <c r="J64" s="81"/>
      <c r="K64" s="81"/>
      <c r="L64" s="81"/>
      <c r="M64" s="81"/>
      <c r="N64" s="81"/>
      <c r="O64" s="81"/>
      <c r="P64" s="44">
        <v>5587.6226999999999</v>
      </c>
      <c r="Q64" s="45" t="str">
        <f>IFERROR(IF(compras_mes7[[#This Row],[CUIT]]="","-",VLOOKUP(compras_mes7[[#This Row],[CUIT]],Lista_CUIT[#All],3,0)),"CUIT NO CARGADO")</f>
        <v>Mantenimiento</v>
      </c>
      <c r="R64" s="45">
        <f>IFERROR(IF(compras_mes7[[#This Row],[CUIT]]="","-",VLOOKUP(compras_mes7[[#This Row],[CUIT]],Lista_CUIT[#All],4,0)),"CUIT NO CARGADO")</f>
        <v>0</v>
      </c>
    </row>
    <row r="65" spans="2:18" x14ac:dyDescent="0.3">
      <c r="B65" s="36">
        <v>44758</v>
      </c>
      <c r="C65" s="37">
        <v>1</v>
      </c>
      <c r="D65" s="38">
        <v>3</v>
      </c>
      <c r="E65" s="39">
        <v>1693</v>
      </c>
      <c r="F65" s="40">
        <v>24109521716</v>
      </c>
      <c r="G65" s="41" t="str">
        <f>IFERROR(IF(compras_mes7[[#This Row],[CUIT]]="","-",VLOOKUP(compras_mes7[[#This Row],[CUIT]],Lista_CUIT[#All],2,0)),"CUIT NO CARGADO")</f>
        <v>BERON  RItARD0  HECTOR</v>
      </c>
      <c r="H65" s="42">
        <v>10607.46</v>
      </c>
      <c r="I65" s="81">
        <v>2227.5665999999997</v>
      </c>
      <c r="J65" s="81"/>
      <c r="K65" s="81"/>
      <c r="L65" s="81"/>
      <c r="M65" s="81"/>
      <c r="N65" s="81"/>
      <c r="O65" s="81"/>
      <c r="P65" s="44">
        <v>12835.026599999999</v>
      </c>
      <c r="Q65" s="45" t="str">
        <f>IFERROR(IF(compras_mes7[[#This Row],[CUIT]]="","-",VLOOKUP(compras_mes7[[#This Row],[CUIT]],Lista_CUIT[#All],3,0)),"CUIT NO CARGADO")</f>
        <v>Mantenimiento</v>
      </c>
      <c r="R65" s="45">
        <f>IFERROR(IF(compras_mes7[[#This Row],[CUIT]]="","-",VLOOKUP(compras_mes7[[#This Row],[CUIT]],Lista_CUIT[#All],4,0)),"CUIT NO CARGADO")</f>
        <v>0</v>
      </c>
    </row>
    <row r="66" spans="2:18" x14ac:dyDescent="0.3">
      <c r="B66" s="36">
        <v>44761</v>
      </c>
      <c r="C66" s="37">
        <v>1</v>
      </c>
      <c r="D66" s="38">
        <v>16</v>
      </c>
      <c r="E66" s="39">
        <v>13219</v>
      </c>
      <c r="F66" s="40">
        <v>30553547942</v>
      </c>
      <c r="G66" s="41" t="str">
        <f>IFERROR(IF(compras_mes7[[#This Row],[CUIT]]="","-",VLOOKUP(compras_mes7[[#This Row],[CUIT]],Lista_CUIT[#All],2,0)),"CUIT NO CARGADO")</f>
        <v>PINTURERIAS  NAFER  S.A.</v>
      </c>
      <c r="H66" s="42">
        <v>22381.29</v>
      </c>
      <c r="I66" s="81">
        <v>4700.0708999999997</v>
      </c>
      <c r="J66" s="81"/>
      <c r="K66" s="81"/>
      <c r="L66" s="81"/>
      <c r="M66" s="81"/>
      <c r="N66" s="81"/>
      <c r="O66" s="81"/>
      <c r="P66" s="44">
        <v>27081.3609</v>
      </c>
      <c r="Q66" s="45" t="str">
        <f>IFERROR(IF(compras_mes7[[#This Row],[CUIT]]="","-",VLOOKUP(compras_mes7[[#This Row],[CUIT]],Lista_CUIT[#All],3,0)),"CUIT NO CARGADO")</f>
        <v>Mantenimiento</v>
      </c>
      <c r="R66" s="45">
        <f>IFERROR(IF(compras_mes7[[#This Row],[CUIT]]="","-",VLOOKUP(compras_mes7[[#This Row],[CUIT]],Lista_CUIT[#All],4,0)),"CUIT NO CARGADO")</f>
        <v>0</v>
      </c>
    </row>
    <row r="67" spans="2:18" x14ac:dyDescent="0.3">
      <c r="B67" s="36">
        <v>44749</v>
      </c>
      <c r="C67" s="37">
        <v>1</v>
      </c>
      <c r="D67" s="38">
        <v>10</v>
      </c>
      <c r="E67" s="39">
        <v>11834</v>
      </c>
      <c r="F67" s="40">
        <v>30696186932</v>
      </c>
      <c r="G67" s="41" t="str">
        <f>IFERROR(IF(compras_mes7[[#This Row],[CUIT]]="","-",VLOOKUP(compras_mes7[[#This Row],[CUIT]],Lista_CUIT[#All],2,0)),"CUIT NO CARGADO")</f>
        <v>NORDESTNOVA  S.A.</v>
      </c>
      <c r="H67" s="42">
        <v>166059.96</v>
      </c>
      <c r="I67" s="81">
        <v>34872.5916</v>
      </c>
      <c r="J67" s="81"/>
      <c r="K67" s="81"/>
      <c r="L67" s="81"/>
      <c r="M67" s="81"/>
      <c r="N67" s="81"/>
      <c r="O67" s="81"/>
      <c r="P67" s="44">
        <v>200932.55160000001</v>
      </c>
      <c r="Q67" s="45" t="str">
        <f>IFERROR(IF(compras_mes7[[#This Row],[CUIT]]="","-",VLOOKUP(compras_mes7[[#This Row],[CUIT]],Lista_CUIT[#All],3,0)),"CUIT NO CARGADO")</f>
        <v>Materia Prima</v>
      </c>
      <c r="R67" s="45">
        <f>IFERROR(IF(compras_mes7[[#This Row],[CUIT]]="","-",VLOOKUP(compras_mes7[[#This Row],[CUIT]],Lista_CUIT[#All],4,0)),"CUIT NO CARGADO")</f>
        <v>0</v>
      </c>
    </row>
    <row r="68" spans="2:18" x14ac:dyDescent="0.3">
      <c r="B68" s="36">
        <v>44753</v>
      </c>
      <c r="C68" s="37">
        <v>1</v>
      </c>
      <c r="D68" s="38">
        <v>10</v>
      </c>
      <c r="E68" s="39">
        <v>8746</v>
      </c>
      <c r="F68" s="40">
        <v>30708157755</v>
      </c>
      <c r="G68" s="41" t="str">
        <f>IFERROR(IF(compras_mes7[[#This Row],[CUIT]]="","-",VLOOKUP(compras_mes7[[#This Row],[CUIT]],Lista_CUIT[#All],2,0)),"CUIT NO CARGADO")</f>
        <v>EXPOENVASE  S.R.L.</v>
      </c>
      <c r="H68" s="42">
        <v>108818.34</v>
      </c>
      <c r="I68" s="81">
        <v>22851.8514</v>
      </c>
      <c r="J68" s="81"/>
      <c r="K68" s="81"/>
      <c r="L68" s="81"/>
      <c r="M68" s="81"/>
      <c r="N68" s="81"/>
      <c r="O68" s="81"/>
      <c r="P68" s="44">
        <v>131670.19140000001</v>
      </c>
      <c r="Q68" s="45" t="str">
        <f>IFERROR(IF(compras_mes7[[#This Row],[CUIT]]="","-",VLOOKUP(compras_mes7[[#This Row],[CUIT]],Lista_CUIT[#All],3,0)),"CUIT NO CARGADO")</f>
        <v>Mercaderia</v>
      </c>
      <c r="R68" s="45">
        <f>IFERROR(IF(compras_mes7[[#This Row],[CUIT]]="","-",VLOOKUP(compras_mes7[[#This Row],[CUIT]],Lista_CUIT[#All],4,0)),"CUIT NO CARGADO")</f>
        <v>0</v>
      </c>
    </row>
    <row r="69" spans="2:18" ht="19.2" customHeight="1" x14ac:dyDescent="0.3">
      <c r="B69" s="36">
        <v>44743</v>
      </c>
      <c r="C69" s="37">
        <v>1</v>
      </c>
      <c r="D69" s="38">
        <v>2</v>
      </c>
      <c r="E69" s="39">
        <v>3095</v>
      </c>
      <c r="F69" s="40">
        <v>30629863571</v>
      </c>
      <c r="G69" s="41" t="str">
        <f>IFERROR(IF(compras_mes7[[#This Row],[CUIT]]="","-",VLOOKUP(compras_mes7[[#This Row],[CUIT]],Lista_CUIT[#All],2,0)),"CUIT NO CARGADO")</f>
        <v>TECNIMAR S R L</v>
      </c>
      <c r="H69" s="42">
        <v>151845.68</v>
      </c>
      <c r="I69" s="81">
        <v>31887.592799999999</v>
      </c>
      <c r="J69" s="81"/>
      <c r="K69" s="81"/>
      <c r="L69" s="81"/>
      <c r="M69" s="81"/>
      <c r="N69" s="81"/>
      <c r="O69" s="81"/>
      <c r="P69" s="44">
        <v>183733.27279999998</v>
      </c>
      <c r="Q69" s="45" t="str">
        <f>IFERROR(IF(compras_mes7[[#This Row],[CUIT]]="","-",VLOOKUP(compras_mes7[[#This Row],[CUIT]],Lista_CUIT[#All],3,0)),"CUIT NO CARGADO")</f>
        <v>Mercaderia</v>
      </c>
      <c r="R69" s="45">
        <f>IFERROR(IF(compras_mes7[[#This Row],[CUIT]]="","-",VLOOKUP(compras_mes7[[#This Row],[CUIT]],Lista_CUIT[#All],4,0)),"CUIT NO CARGADO")</f>
        <v>0</v>
      </c>
    </row>
    <row r="70" spans="2:18" x14ac:dyDescent="0.3">
      <c r="B70" s="36">
        <v>44743</v>
      </c>
      <c r="C70" s="37">
        <v>1</v>
      </c>
      <c r="D70" s="38">
        <v>6</v>
      </c>
      <c r="E70" s="39">
        <v>2118</v>
      </c>
      <c r="F70" s="40">
        <v>30574603788</v>
      </c>
      <c r="G70" s="41" t="str">
        <f>IFERROR(IF(compras_mes7[[#This Row],[CUIT]]="","-",VLOOKUP(compras_mes7[[#This Row],[CUIT]],Lista_CUIT[#All],2,0)),"CUIT NO CARGADO")</f>
        <v>Codac SRL</v>
      </c>
      <c r="H70" s="42">
        <v>659608</v>
      </c>
      <c r="I70" s="81">
        <v>138517.68</v>
      </c>
      <c r="J70" s="81"/>
      <c r="K70" s="81"/>
      <c r="L70" s="81"/>
      <c r="M70" s="81"/>
      <c r="N70" s="81"/>
      <c r="O70" s="81"/>
      <c r="P70" s="44">
        <v>798125.67999999993</v>
      </c>
      <c r="Q70" s="45" t="str">
        <f>IFERROR(IF(compras_mes7[[#This Row],[CUIT]]="","-",VLOOKUP(compras_mes7[[#This Row],[CUIT]],Lista_CUIT[#All],3,0)),"CUIT NO CARGADO")</f>
        <v>Mercaderia</v>
      </c>
      <c r="R70" s="45">
        <f>IFERROR(IF(compras_mes7[[#This Row],[CUIT]]="","-",VLOOKUP(compras_mes7[[#This Row],[CUIT]],Lista_CUIT[#All],4,0)),"CUIT NO CARGADO")</f>
        <v>0</v>
      </c>
    </row>
    <row r="71" spans="2:18" x14ac:dyDescent="0.3">
      <c r="B71" s="36">
        <v>44743</v>
      </c>
      <c r="C71" s="37">
        <v>1</v>
      </c>
      <c r="D71" s="38">
        <v>7</v>
      </c>
      <c r="E71" s="39">
        <v>6744</v>
      </c>
      <c r="F71" s="40">
        <v>30708017759</v>
      </c>
      <c r="G71" s="41" t="str">
        <f>IFERROR(IF(compras_mes7[[#This Row],[CUIT]]="","-",VLOOKUP(compras_mes7[[#This Row],[CUIT]],Lista_CUIT[#All],2,0)),"CUIT NO CARGADO")</f>
        <v>NEW  HIGH PACK  SA</v>
      </c>
      <c r="H71" s="42">
        <v>500500</v>
      </c>
      <c r="I71" s="81">
        <v>105105</v>
      </c>
      <c r="J71" s="81"/>
      <c r="K71" s="81"/>
      <c r="L71" s="81"/>
      <c r="M71" s="81"/>
      <c r="N71" s="81">
        <v>30030</v>
      </c>
      <c r="O71" s="81"/>
      <c r="P71" s="44">
        <v>635635</v>
      </c>
      <c r="Q71" s="45" t="str">
        <f>IFERROR(IF(compras_mes7[[#This Row],[CUIT]]="","-",VLOOKUP(compras_mes7[[#This Row],[CUIT]],Lista_CUIT[#All],3,0)),"CUIT NO CARGADO")</f>
        <v>Mercaderia</v>
      </c>
      <c r="R71" s="45">
        <f>IFERROR(IF(compras_mes7[[#This Row],[CUIT]]="","-",VLOOKUP(compras_mes7[[#This Row],[CUIT]],Lista_CUIT[#All],4,0)),"CUIT NO CARGADO")</f>
        <v>0</v>
      </c>
    </row>
    <row r="72" spans="2:18" x14ac:dyDescent="0.3">
      <c r="B72" s="36">
        <v>44746</v>
      </c>
      <c r="C72" s="37">
        <v>1</v>
      </c>
      <c r="D72" s="38">
        <v>1</v>
      </c>
      <c r="E72" s="39">
        <v>68</v>
      </c>
      <c r="F72" s="40">
        <v>20077604627</v>
      </c>
      <c r="G72" s="41" t="str">
        <f>IFERROR(IF(compras_mes7[[#This Row],[CUIT]]="","-",VLOOKUP(compras_mes7[[#This Row],[CUIT]],Lista_CUIT[#All],2,0)),"CUIT NO CARGADO")</f>
        <v>OCAÑO ENRIQUE</v>
      </c>
      <c r="H72" s="42">
        <v>228387.6</v>
      </c>
      <c r="I72" s="81">
        <v>47961.396000000001</v>
      </c>
      <c r="J72" s="81"/>
      <c r="K72" s="81"/>
      <c r="L72" s="81"/>
      <c r="M72" s="81"/>
      <c r="N72" s="81"/>
      <c r="O72" s="81"/>
      <c r="P72" s="44">
        <v>276348.99599999998</v>
      </c>
      <c r="Q72" s="45" t="str">
        <f>IFERROR(IF(compras_mes7[[#This Row],[CUIT]]="","-",VLOOKUP(compras_mes7[[#This Row],[CUIT]],Lista_CUIT[#All],3,0)),"CUIT NO CARGADO")</f>
        <v>Mercaderia</v>
      </c>
      <c r="R72" s="45">
        <f>IFERROR(IF(compras_mes7[[#This Row],[CUIT]]="","-",VLOOKUP(compras_mes7[[#This Row],[CUIT]],Lista_CUIT[#All],4,0)),"CUIT NO CARGADO")</f>
        <v>0</v>
      </c>
    </row>
    <row r="73" spans="2:18" x14ac:dyDescent="0.3">
      <c r="B73" s="36">
        <v>44746</v>
      </c>
      <c r="C73" s="37">
        <v>3</v>
      </c>
      <c r="D73" s="38">
        <v>7</v>
      </c>
      <c r="E73" s="39">
        <v>660</v>
      </c>
      <c r="F73" s="40">
        <v>30708017759</v>
      </c>
      <c r="G73" s="41" t="str">
        <f>IFERROR(IF(compras_mes7[[#This Row],[CUIT]]="","-",VLOOKUP(compras_mes7[[#This Row],[CUIT]],Lista_CUIT[#All],2,0)),"CUIT NO CARGADO")</f>
        <v>NEW  HIGH PACK  SA</v>
      </c>
      <c r="H73" s="42">
        <v>-500500</v>
      </c>
      <c r="I73" s="81">
        <v>-105105</v>
      </c>
      <c r="J73" s="81"/>
      <c r="K73" s="81"/>
      <c r="L73" s="81"/>
      <c r="M73" s="81"/>
      <c r="N73" s="81">
        <v>-30030</v>
      </c>
      <c r="O73" s="81"/>
      <c r="P73" s="44">
        <v>-635635</v>
      </c>
      <c r="Q73" s="45" t="str">
        <f>IFERROR(IF(compras_mes7[[#This Row],[CUIT]]="","-",VLOOKUP(compras_mes7[[#This Row],[CUIT]],Lista_CUIT[#All],3,0)),"CUIT NO CARGADO")</f>
        <v>Mercaderia</v>
      </c>
      <c r="R73" s="45">
        <f>IFERROR(IF(compras_mes7[[#This Row],[CUIT]]="","-",VLOOKUP(compras_mes7[[#This Row],[CUIT]],Lista_CUIT[#All],4,0)),"CUIT NO CARGADO")</f>
        <v>0</v>
      </c>
    </row>
    <row r="74" spans="2:18" x14ac:dyDescent="0.3">
      <c r="B74" s="36">
        <v>44747</v>
      </c>
      <c r="C74" s="37">
        <v>1</v>
      </c>
      <c r="D74" s="38">
        <v>1</v>
      </c>
      <c r="E74" s="39">
        <v>69</v>
      </c>
      <c r="F74" s="40">
        <v>20077604627</v>
      </c>
      <c r="G74" s="41" t="str">
        <f>IFERROR(IF(compras_mes7[[#This Row],[CUIT]]="","-",VLOOKUP(compras_mes7[[#This Row],[CUIT]],Lista_CUIT[#All],2,0)),"CUIT NO CARGADO")</f>
        <v>OCAÑO ENRIQUE</v>
      </c>
      <c r="H74" s="42">
        <v>34686.400000000001</v>
      </c>
      <c r="I74" s="81">
        <v>7284.1440000000002</v>
      </c>
      <c r="J74" s="81"/>
      <c r="K74" s="81"/>
      <c r="L74" s="81"/>
      <c r="M74" s="81"/>
      <c r="N74" s="81"/>
      <c r="O74" s="81"/>
      <c r="P74" s="44">
        <v>41970.544000000002</v>
      </c>
      <c r="Q74" s="45" t="str">
        <f>IFERROR(IF(compras_mes7[[#This Row],[CUIT]]="","-",VLOOKUP(compras_mes7[[#This Row],[CUIT]],Lista_CUIT[#All],3,0)),"CUIT NO CARGADO")</f>
        <v>Mercaderia</v>
      </c>
      <c r="R74" s="45">
        <f>IFERROR(IF(compras_mes7[[#This Row],[CUIT]]="","-",VLOOKUP(compras_mes7[[#This Row],[CUIT]],Lista_CUIT[#All],4,0)),"CUIT NO CARGADO")</f>
        <v>0</v>
      </c>
    </row>
    <row r="75" spans="2:18" x14ac:dyDescent="0.3">
      <c r="B75" s="36">
        <v>44747</v>
      </c>
      <c r="C75" s="37">
        <v>1</v>
      </c>
      <c r="D75" s="38">
        <v>2</v>
      </c>
      <c r="E75" s="39">
        <v>1877</v>
      </c>
      <c r="F75" s="40">
        <v>30715811622</v>
      </c>
      <c r="G75" s="41" t="str">
        <f>IFERROR(IF(compras_mes7[[#This Row],[CUIT]]="","-",VLOOKUP(compras_mes7[[#This Row],[CUIT]],Lista_CUIT[#All],2,0)),"CUIT NO CARGADO")</f>
        <v>VTEC  S.R.L.</v>
      </c>
      <c r="H75" s="42">
        <v>134628.1</v>
      </c>
      <c r="I75" s="81">
        <v>28271.901000000002</v>
      </c>
      <c r="J75" s="81"/>
      <c r="K75" s="81"/>
      <c r="L75" s="81"/>
      <c r="M75" s="81"/>
      <c r="N75" s="81"/>
      <c r="O75" s="81"/>
      <c r="P75" s="44">
        <v>162900.00100000002</v>
      </c>
      <c r="Q75" s="45" t="str">
        <f>IFERROR(IF(compras_mes7[[#This Row],[CUIT]]="","-",VLOOKUP(compras_mes7[[#This Row],[CUIT]],Lista_CUIT[#All],3,0)),"CUIT NO CARGADO")</f>
        <v>Mercaderia</v>
      </c>
      <c r="R75" s="45">
        <f>IFERROR(IF(compras_mes7[[#This Row],[CUIT]]="","-",VLOOKUP(compras_mes7[[#This Row],[CUIT]],Lista_CUIT[#All],4,0)),"CUIT NO CARGADO")</f>
        <v>0</v>
      </c>
    </row>
    <row r="76" spans="2:18" x14ac:dyDescent="0.3">
      <c r="B76" s="36">
        <v>44747</v>
      </c>
      <c r="C76" s="37">
        <v>1</v>
      </c>
      <c r="D76" s="38">
        <v>2</v>
      </c>
      <c r="E76" s="39">
        <v>3098</v>
      </c>
      <c r="F76" s="40">
        <v>30629863571</v>
      </c>
      <c r="G76" s="41" t="str">
        <f>IFERROR(IF(compras_mes7[[#This Row],[CUIT]]="","-",VLOOKUP(compras_mes7[[#This Row],[CUIT]],Lista_CUIT[#All],2,0)),"CUIT NO CARGADO")</f>
        <v>TECNIMAR S R L</v>
      </c>
      <c r="H76" s="42">
        <v>279710.15000000002</v>
      </c>
      <c r="I76" s="81">
        <v>58739.131500000003</v>
      </c>
      <c r="J76" s="81"/>
      <c r="K76" s="81"/>
      <c r="L76" s="81"/>
      <c r="M76" s="81"/>
      <c r="N76" s="81"/>
      <c r="O76" s="81"/>
      <c r="P76" s="44">
        <v>338449.28150000004</v>
      </c>
      <c r="Q76" s="45" t="str">
        <f>IFERROR(IF(compras_mes7[[#This Row],[CUIT]]="","-",VLOOKUP(compras_mes7[[#This Row],[CUIT]],Lista_CUIT[#All],3,0)),"CUIT NO CARGADO")</f>
        <v>Mercaderia</v>
      </c>
      <c r="R76" s="45">
        <f>IFERROR(IF(compras_mes7[[#This Row],[CUIT]]="","-",VLOOKUP(compras_mes7[[#This Row],[CUIT]],Lista_CUIT[#All],4,0)),"CUIT NO CARGADO")</f>
        <v>0</v>
      </c>
    </row>
    <row r="77" spans="2:18" x14ac:dyDescent="0.3">
      <c r="B77" s="36">
        <v>44747</v>
      </c>
      <c r="C77" s="37">
        <v>1</v>
      </c>
      <c r="D77" s="38">
        <v>7</v>
      </c>
      <c r="E77" s="39">
        <v>6755</v>
      </c>
      <c r="F77" s="40">
        <v>30708017759</v>
      </c>
      <c r="G77" s="41" t="str">
        <f>IFERROR(IF(compras_mes7[[#This Row],[CUIT]]="","-",VLOOKUP(compras_mes7[[#This Row],[CUIT]],Lista_CUIT[#All],2,0)),"CUIT NO CARGADO")</f>
        <v>NEW  HIGH PACK  SA</v>
      </c>
      <c r="H77" s="42">
        <v>202860</v>
      </c>
      <c r="I77" s="81">
        <v>42600.6</v>
      </c>
      <c r="J77" s="81"/>
      <c r="K77" s="81"/>
      <c r="L77" s="81"/>
      <c r="M77" s="81"/>
      <c r="N77" s="81">
        <v>12171.6</v>
      </c>
      <c r="O77" s="81"/>
      <c r="P77" s="44">
        <v>257632.2</v>
      </c>
      <c r="Q77" s="45" t="str">
        <f>IFERROR(IF(compras_mes7[[#This Row],[CUIT]]="","-",VLOOKUP(compras_mes7[[#This Row],[CUIT]],Lista_CUIT[#All],3,0)),"CUIT NO CARGADO")</f>
        <v>Mercaderia</v>
      </c>
      <c r="R77" s="45">
        <f>IFERROR(IF(compras_mes7[[#This Row],[CUIT]]="","-",VLOOKUP(compras_mes7[[#This Row],[CUIT]],Lista_CUIT[#All],4,0)),"CUIT NO CARGADO")</f>
        <v>0</v>
      </c>
    </row>
    <row r="78" spans="2:18" x14ac:dyDescent="0.3">
      <c r="B78" s="36">
        <v>44747</v>
      </c>
      <c r="C78" s="37">
        <v>1</v>
      </c>
      <c r="D78" s="38">
        <v>7</v>
      </c>
      <c r="E78" s="39">
        <v>6756</v>
      </c>
      <c r="F78" s="40">
        <v>30708017759</v>
      </c>
      <c r="G78" s="41" t="str">
        <f>IFERROR(IF(compras_mes7[[#This Row],[CUIT]]="","-",VLOOKUP(compras_mes7[[#This Row],[CUIT]],Lista_CUIT[#All],2,0)),"CUIT NO CARGADO")</f>
        <v>NEW  HIGH PACK  SA</v>
      </c>
      <c r="H78" s="42">
        <v>368900</v>
      </c>
      <c r="I78" s="81">
        <v>77469</v>
      </c>
      <c r="J78" s="81"/>
      <c r="K78" s="81"/>
      <c r="L78" s="81"/>
      <c r="M78" s="81"/>
      <c r="N78" s="81">
        <v>22134</v>
      </c>
      <c r="O78" s="81"/>
      <c r="P78" s="44">
        <v>468503</v>
      </c>
      <c r="Q78" s="45" t="str">
        <f>IFERROR(IF(compras_mes7[[#This Row],[CUIT]]="","-",VLOOKUP(compras_mes7[[#This Row],[CUIT]],Lista_CUIT[#All],3,0)),"CUIT NO CARGADO")</f>
        <v>Mercaderia</v>
      </c>
      <c r="R78" s="45">
        <f>IFERROR(IF(compras_mes7[[#This Row],[CUIT]]="","-",VLOOKUP(compras_mes7[[#This Row],[CUIT]],Lista_CUIT[#All],4,0)),"CUIT NO CARGADO")</f>
        <v>0</v>
      </c>
    </row>
    <row r="79" spans="2:18" x14ac:dyDescent="0.3">
      <c r="B79" s="36">
        <v>44748</v>
      </c>
      <c r="C79" s="37">
        <v>1</v>
      </c>
      <c r="D79" s="38">
        <v>2</v>
      </c>
      <c r="E79" s="39">
        <v>1879</v>
      </c>
      <c r="F79" s="40">
        <v>30715811622</v>
      </c>
      <c r="G79" s="41" t="str">
        <f>IFERROR(IF(compras_mes7[[#This Row],[CUIT]]="","-",VLOOKUP(compras_mes7[[#This Row],[CUIT]],Lista_CUIT[#All],2,0)),"CUIT NO CARGADO")</f>
        <v>VTEC  S.R.L.</v>
      </c>
      <c r="H79" s="42">
        <v>4132.2299999999996</v>
      </c>
      <c r="I79" s="81">
        <v>867.76829999999984</v>
      </c>
      <c r="J79" s="81"/>
      <c r="K79" s="81"/>
      <c r="L79" s="81"/>
      <c r="M79" s="81"/>
      <c r="N79" s="81"/>
      <c r="O79" s="81"/>
      <c r="P79" s="44">
        <v>4999.9982999999993</v>
      </c>
      <c r="Q79" s="45" t="str">
        <f>IFERROR(IF(compras_mes7[[#This Row],[CUIT]]="","-",VLOOKUP(compras_mes7[[#This Row],[CUIT]],Lista_CUIT[#All],3,0)),"CUIT NO CARGADO")</f>
        <v>Mercaderia</v>
      </c>
      <c r="R79" s="45">
        <f>IFERROR(IF(compras_mes7[[#This Row],[CUIT]]="","-",VLOOKUP(compras_mes7[[#This Row],[CUIT]],Lista_CUIT[#All],4,0)),"CUIT NO CARGADO")</f>
        <v>0</v>
      </c>
    </row>
    <row r="80" spans="2:18" x14ac:dyDescent="0.3">
      <c r="B80" s="36">
        <v>44748</v>
      </c>
      <c r="C80" s="37">
        <v>1</v>
      </c>
      <c r="D80" s="38">
        <v>6</v>
      </c>
      <c r="E80" s="39">
        <v>21517</v>
      </c>
      <c r="F80" s="40">
        <v>33640878679</v>
      </c>
      <c r="G80" s="41" t="str">
        <f>IFERROR(IF(compras_mes7[[#This Row],[CUIT]]="","-",VLOOKUP(compras_mes7[[#This Row],[CUIT]],Lista_CUIT[#All],2,0)),"CUIT NO CARGADO")</f>
        <v>DHACAM  S.R.L.</v>
      </c>
      <c r="H80" s="42">
        <v>337775</v>
      </c>
      <c r="I80" s="81">
        <v>70932.75</v>
      </c>
      <c r="J80" s="81"/>
      <c r="K80" s="81"/>
      <c r="L80" s="81"/>
      <c r="M80" s="81"/>
      <c r="N80" s="81"/>
      <c r="O80" s="81"/>
      <c r="P80" s="44">
        <v>408707.75</v>
      </c>
      <c r="Q80" s="45" t="str">
        <f>IFERROR(IF(compras_mes7[[#This Row],[CUIT]]="","-",VLOOKUP(compras_mes7[[#This Row],[CUIT]],Lista_CUIT[#All],3,0)),"CUIT NO CARGADO")</f>
        <v>Mercaderia</v>
      </c>
      <c r="R80" s="45">
        <f>IFERROR(IF(compras_mes7[[#This Row],[CUIT]]="","-",VLOOKUP(compras_mes7[[#This Row],[CUIT]],Lista_CUIT[#All],4,0)),"CUIT NO CARGADO")</f>
        <v>0</v>
      </c>
    </row>
    <row r="81" spans="2:18" x14ac:dyDescent="0.3">
      <c r="B81" s="36">
        <v>44748</v>
      </c>
      <c r="C81" s="37">
        <v>1</v>
      </c>
      <c r="D81" s="38">
        <v>6</v>
      </c>
      <c r="E81" s="39">
        <v>21518</v>
      </c>
      <c r="F81" s="40">
        <v>33640878679</v>
      </c>
      <c r="G81" s="41" t="str">
        <f>IFERROR(IF(compras_mes7[[#This Row],[CUIT]]="","-",VLOOKUP(compras_mes7[[#This Row],[CUIT]],Lista_CUIT[#All],2,0)),"CUIT NO CARGADO")</f>
        <v>DHACAM  S.R.L.</v>
      </c>
      <c r="H81" s="42">
        <v>194100</v>
      </c>
      <c r="I81" s="81">
        <v>40761</v>
      </c>
      <c r="J81" s="81"/>
      <c r="K81" s="81"/>
      <c r="L81" s="81"/>
      <c r="M81" s="81"/>
      <c r="N81" s="81"/>
      <c r="O81" s="81"/>
      <c r="P81" s="44">
        <v>234861</v>
      </c>
      <c r="Q81" s="45" t="str">
        <f>IFERROR(IF(compras_mes7[[#This Row],[CUIT]]="","-",VLOOKUP(compras_mes7[[#This Row],[CUIT]],Lista_CUIT[#All],3,0)),"CUIT NO CARGADO")</f>
        <v>Mercaderia</v>
      </c>
      <c r="R81" s="45">
        <f>IFERROR(IF(compras_mes7[[#This Row],[CUIT]]="","-",VLOOKUP(compras_mes7[[#This Row],[CUIT]],Lista_CUIT[#All],4,0)),"CUIT NO CARGADO")</f>
        <v>0</v>
      </c>
    </row>
    <row r="82" spans="2:18" x14ac:dyDescent="0.3">
      <c r="B82" s="36">
        <v>44749</v>
      </c>
      <c r="C82" s="37">
        <v>1</v>
      </c>
      <c r="D82" s="38">
        <v>3</v>
      </c>
      <c r="E82" s="39">
        <v>18124</v>
      </c>
      <c r="F82" s="40">
        <v>30707463143</v>
      </c>
      <c r="G82" s="41" t="str">
        <f>IFERROR(IF(compras_mes7[[#This Row],[CUIT]]="","-",VLOOKUP(compras_mes7[[#This Row],[CUIT]],Lista_CUIT[#All],2,0)),"CUIT NO CARGADO")</f>
        <v>AROMATICA S.A.</v>
      </c>
      <c r="H82" s="42">
        <v>134672.5</v>
      </c>
      <c r="I82" s="81">
        <v>28281.224999999999</v>
      </c>
      <c r="J82" s="81"/>
      <c r="K82" s="81"/>
      <c r="L82" s="81"/>
      <c r="M82" s="81"/>
      <c r="N82" s="81"/>
      <c r="O82" s="81"/>
      <c r="P82" s="44">
        <v>162953.72500000001</v>
      </c>
      <c r="Q82" s="45" t="str">
        <f>IFERROR(IF(compras_mes7[[#This Row],[CUIT]]="","-",VLOOKUP(compras_mes7[[#This Row],[CUIT]],Lista_CUIT[#All],3,0)),"CUIT NO CARGADO")</f>
        <v>Mercaderia</v>
      </c>
      <c r="R82" s="45">
        <f>IFERROR(IF(compras_mes7[[#This Row],[CUIT]]="","-",VLOOKUP(compras_mes7[[#This Row],[CUIT]],Lista_CUIT[#All],4,0)),"CUIT NO CARGADO")</f>
        <v>0</v>
      </c>
    </row>
    <row r="83" spans="2:18" x14ac:dyDescent="0.3">
      <c r="B83" s="36">
        <v>44750</v>
      </c>
      <c r="C83" s="37">
        <v>1</v>
      </c>
      <c r="D83" s="38">
        <v>5</v>
      </c>
      <c r="E83" s="39">
        <v>19558</v>
      </c>
      <c r="F83" s="40">
        <v>30708041722</v>
      </c>
      <c r="G83" s="41" t="str">
        <f>IFERROR(IF(compras_mes7[[#This Row],[CUIT]]="","-",VLOOKUP(compras_mes7[[#This Row],[CUIT]],Lista_CUIT[#All],2,0)),"CUIT NO CARGADO")</f>
        <v>QUETZAL QUIMICA S R L</v>
      </c>
      <c r="H83" s="42">
        <v>77140</v>
      </c>
      <c r="I83" s="81">
        <v>16199.4</v>
      </c>
      <c r="J83" s="81"/>
      <c r="K83" s="81"/>
      <c r="L83" s="81"/>
      <c r="M83" s="81"/>
      <c r="N83" s="81"/>
      <c r="O83" s="81"/>
      <c r="P83" s="44">
        <v>93339.4</v>
      </c>
      <c r="Q83" s="45" t="str">
        <f>IFERROR(IF(compras_mes7[[#This Row],[CUIT]]="","-",VLOOKUP(compras_mes7[[#This Row],[CUIT]],Lista_CUIT[#All],3,0)),"CUIT NO CARGADO")</f>
        <v>Mercaderia</v>
      </c>
      <c r="R83" s="45">
        <f>IFERROR(IF(compras_mes7[[#This Row],[CUIT]]="","-",VLOOKUP(compras_mes7[[#This Row],[CUIT]],Lista_CUIT[#All],4,0)),"CUIT NO CARGADO")</f>
        <v>0</v>
      </c>
    </row>
    <row r="84" spans="2:18" x14ac:dyDescent="0.3">
      <c r="B84" s="36">
        <v>44755</v>
      </c>
      <c r="C84" s="37">
        <v>1</v>
      </c>
      <c r="D84" s="38">
        <v>6</v>
      </c>
      <c r="E84" s="39">
        <v>2133</v>
      </c>
      <c r="F84" s="40">
        <v>30574603788</v>
      </c>
      <c r="G84" s="41" t="str">
        <f>IFERROR(IF(compras_mes7[[#This Row],[CUIT]]="","-",VLOOKUP(compras_mes7[[#This Row],[CUIT]],Lista_CUIT[#All],2,0)),"CUIT NO CARGADO")</f>
        <v>Codac SRL</v>
      </c>
      <c r="H84" s="42">
        <v>987248</v>
      </c>
      <c r="I84" s="81">
        <v>207322.08</v>
      </c>
      <c r="J84" s="81"/>
      <c r="K84" s="81"/>
      <c r="L84" s="81"/>
      <c r="M84" s="81"/>
      <c r="N84" s="81"/>
      <c r="O84" s="81"/>
      <c r="P84" s="44">
        <v>1194570.08</v>
      </c>
      <c r="Q84" s="45" t="str">
        <f>IFERROR(IF(compras_mes7[[#This Row],[CUIT]]="","-",VLOOKUP(compras_mes7[[#This Row],[CUIT]],Lista_CUIT[#All],3,0)),"CUIT NO CARGADO")</f>
        <v>Mercaderia</v>
      </c>
      <c r="R84" s="45">
        <f>IFERROR(IF(compras_mes7[[#This Row],[CUIT]]="","-",VLOOKUP(compras_mes7[[#This Row],[CUIT]],Lista_CUIT[#All],4,0)),"CUIT NO CARGADO")</f>
        <v>0</v>
      </c>
    </row>
    <row r="85" spans="2:18" x14ac:dyDescent="0.3">
      <c r="B85" s="36">
        <v>44756</v>
      </c>
      <c r="C85" s="37">
        <v>1</v>
      </c>
      <c r="D85" s="38">
        <v>2</v>
      </c>
      <c r="E85" s="39">
        <v>3102</v>
      </c>
      <c r="F85" s="40">
        <v>30629863571</v>
      </c>
      <c r="G85" s="41" t="str">
        <f>IFERROR(IF(compras_mes7[[#This Row],[CUIT]]="","-",VLOOKUP(compras_mes7[[#This Row],[CUIT]],Lista_CUIT[#All],2,0)),"CUIT NO CARGADO")</f>
        <v>TECNIMAR S R L</v>
      </c>
      <c r="H85" s="42">
        <v>74514.53</v>
      </c>
      <c r="I85" s="81">
        <v>15648.051299999999</v>
      </c>
      <c r="J85" s="81"/>
      <c r="K85" s="81"/>
      <c r="L85" s="81"/>
      <c r="M85" s="81"/>
      <c r="N85" s="81"/>
      <c r="O85" s="81"/>
      <c r="P85" s="44">
        <v>90162.581299999991</v>
      </c>
      <c r="Q85" s="45" t="str">
        <f>IFERROR(IF(compras_mes7[[#This Row],[CUIT]]="","-",VLOOKUP(compras_mes7[[#This Row],[CUIT]],Lista_CUIT[#All],3,0)),"CUIT NO CARGADO")</f>
        <v>Mercaderia</v>
      </c>
      <c r="R85" s="45">
        <f>IFERROR(IF(compras_mes7[[#This Row],[CUIT]]="","-",VLOOKUP(compras_mes7[[#This Row],[CUIT]],Lista_CUIT[#All],4,0)),"CUIT NO CARGADO")</f>
        <v>0</v>
      </c>
    </row>
    <row r="86" spans="2:18" x14ac:dyDescent="0.3">
      <c r="B86" s="36">
        <v>44756</v>
      </c>
      <c r="C86" s="37">
        <v>1</v>
      </c>
      <c r="D86" s="38">
        <v>4</v>
      </c>
      <c r="E86" s="39">
        <v>2435</v>
      </c>
      <c r="F86" s="40">
        <v>30708669306</v>
      </c>
      <c r="G86" s="41" t="str">
        <f>IFERROR(IF(compras_mes7[[#This Row],[CUIT]]="","-",VLOOKUP(compras_mes7[[#This Row],[CUIT]],Lista_CUIT[#All],2,0)),"CUIT NO CARGADO")</f>
        <v>MAYOLAS S.R.L.</v>
      </c>
      <c r="H86" s="42">
        <v>168750</v>
      </c>
      <c r="I86" s="81">
        <v>35437.5</v>
      </c>
      <c r="J86" s="81"/>
      <c r="K86" s="81"/>
      <c r="L86" s="81"/>
      <c r="M86" s="81"/>
      <c r="N86" s="81"/>
      <c r="O86" s="81"/>
      <c r="P86" s="44">
        <v>204187.5</v>
      </c>
      <c r="Q86" s="45" t="str">
        <f>IFERROR(IF(compras_mes7[[#This Row],[CUIT]]="","-",VLOOKUP(compras_mes7[[#This Row],[CUIT]],Lista_CUIT[#All],3,0)),"CUIT NO CARGADO")</f>
        <v>Mercaderia</v>
      </c>
      <c r="R86" s="45">
        <f>IFERROR(IF(compras_mes7[[#This Row],[CUIT]]="","-",VLOOKUP(compras_mes7[[#This Row],[CUIT]],Lista_CUIT[#All],4,0)),"CUIT NO CARGADO")</f>
        <v>0</v>
      </c>
    </row>
    <row r="87" spans="2:18" x14ac:dyDescent="0.3">
      <c r="B87" s="36">
        <v>44761</v>
      </c>
      <c r="C87" s="37">
        <v>1</v>
      </c>
      <c r="D87" s="38">
        <v>2</v>
      </c>
      <c r="E87" s="39">
        <v>3105</v>
      </c>
      <c r="F87" s="40">
        <v>30629863571</v>
      </c>
      <c r="G87" s="41" t="str">
        <f>IFERROR(IF(compras_mes7[[#This Row],[CUIT]]="","-",VLOOKUP(compras_mes7[[#This Row],[CUIT]],Lista_CUIT[#All],2,0)),"CUIT NO CARGADO")</f>
        <v>TECNIMAR S R L</v>
      </c>
      <c r="H87" s="42">
        <v>302963.8</v>
      </c>
      <c r="I87" s="81">
        <v>63622.397999999994</v>
      </c>
      <c r="J87" s="81"/>
      <c r="K87" s="81"/>
      <c r="L87" s="81"/>
      <c r="M87" s="81"/>
      <c r="N87" s="81"/>
      <c r="O87" s="81"/>
      <c r="P87" s="44">
        <v>366586.19799999997</v>
      </c>
      <c r="Q87" s="45" t="str">
        <f>IFERROR(IF(compras_mes7[[#This Row],[CUIT]]="","-",VLOOKUP(compras_mes7[[#This Row],[CUIT]],Lista_CUIT[#All],3,0)),"CUIT NO CARGADO")</f>
        <v>Mercaderia</v>
      </c>
      <c r="R87" s="45">
        <f>IFERROR(IF(compras_mes7[[#This Row],[CUIT]]="","-",VLOOKUP(compras_mes7[[#This Row],[CUIT]],Lista_CUIT[#All],4,0)),"CUIT NO CARGADO")</f>
        <v>0</v>
      </c>
    </row>
    <row r="88" spans="2:18" x14ac:dyDescent="0.3">
      <c r="B88" s="36">
        <v>44763</v>
      </c>
      <c r="C88" s="37">
        <v>1</v>
      </c>
      <c r="D88" s="38">
        <v>4</v>
      </c>
      <c r="E88" s="39">
        <v>17579</v>
      </c>
      <c r="F88" s="40">
        <v>30709664235</v>
      </c>
      <c r="G88" s="41" t="str">
        <f>IFERROR(IF(compras_mes7[[#This Row],[CUIT]]="","-",VLOOKUP(compras_mes7[[#This Row],[CUIT]],Lista_CUIT[#All],2,0)),"CUIT NO CARGADO")</f>
        <v>EUROSTIL  ARGENTINA  S.A</v>
      </c>
      <c r="H88" s="42">
        <v>22545.599999999999</v>
      </c>
      <c r="I88" s="81">
        <v>4734.5759999999991</v>
      </c>
      <c r="J88" s="81"/>
      <c r="K88" s="81"/>
      <c r="L88" s="81"/>
      <c r="M88" s="81"/>
      <c r="N88" s="81"/>
      <c r="O88" s="81"/>
      <c r="P88" s="44">
        <v>27280.175999999999</v>
      </c>
      <c r="Q88" s="45" t="str">
        <f>IFERROR(IF(compras_mes7[[#This Row],[CUIT]]="","-",VLOOKUP(compras_mes7[[#This Row],[CUIT]],Lista_CUIT[#All],3,0)),"CUIT NO CARGADO")</f>
        <v>Mercaderia</v>
      </c>
      <c r="R88" s="45">
        <f>IFERROR(IF(compras_mes7[[#This Row],[CUIT]]="","-",VLOOKUP(compras_mes7[[#This Row],[CUIT]],Lista_CUIT[#All],4,0)),"CUIT NO CARGADO")</f>
        <v>0</v>
      </c>
    </row>
    <row r="89" spans="2:18" x14ac:dyDescent="0.3">
      <c r="B89" s="36">
        <v>44763</v>
      </c>
      <c r="C89" s="37">
        <v>1</v>
      </c>
      <c r="D89" s="38">
        <v>6</v>
      </c>
      <c r="E89" s="39">
        <v>12489</v>
      </c>
      <c r="F89" s="40">
        <v>30701023494</v>
      </c>
      <c r="G89" s="41" t="str">
        <f>IFERROR(IF(compras_mes7[[#This Row],[CUIT]]="","-",VLOOKUP(compras_mes7[[#This Row],[CUIT]],Lista_CUIT[#All],2,0)),"CUIT NO CARGADO")</f>
        <v>VTG  SPECIALTY  CHEMICALS  S.A</v>
      </c>
      <c r="H89" s="42">
        <v>3543.17</v>
      </c>
      <c r="I89" s="81">
        <v>744.06569999999999</v>
      </c>
      <c r="J89" s="81"/>
      <c r="K89" s="81"/>
      <c r="L89" s="81"/>
      <c r="M89" s="81"/>
      <c r="N89" s="81"/>
      <c r="O89" s="81">
        <v>212.59</v>
      </c>
      <c r="P89" s="44">
        <v>4499.8257000000003</v>
      </c>
      <c r="Q89" s="45" t="str">
        <f>IFERROR(IF(compras_mes7[[#This Row],[CUIT]]="","-",VLOOKUP(compras_mes7[[#This Row],[CUIT]],Lista_CUIT[#All],3,0)),"CUIT NO CARGADO")</f>
        <v>Mercaderia</v>
      </c>
      <c r="R89" s="45">
        <f>IFERROR(IF(compras_mes7[[#This Row],[CUIT]]="","-",VLOOKUP(compras_mes7[[#This Row],[CUIT]],Lista_CUIT[#All],4,0)),"CUIT NO CARGADO")</f>
        <v>0</v>
      </c>
    </row>
    <row r="90" spans="2:18" x14ac:dyDescent="0.3">
      <c r="B90" s="36">
        <v>44764</v>
      </c>
      <c r="C90" s="37">
        <v>1</v>
      </c>
      <c r="D90" s="38">
        <v>2</v>
      </c>
      <c r="E90" s="39">
        <v>3107</v>
      </c>
      <c r="F90" s="40">
        <v>30629863571</v>
      </c>
      <c r="G90" s="41" t="str">
        <f>IFERROR(IF(compras_mes7[[#This Row],[CUIT]]="","-",VLOOKUP(compras_mes7[[#This Row],[CUIT]],Lista_CUIT[#All],2,0)),"CUIT NO CARGADO")</f>
        <v>TECNIMAR S R L</v>
      </c>
      <c r="H90" s="42">
        <v>163902.34</v>
      </c>
      <c r="I90" s="81">
        <v>34419.491399999999</v>
      </c>
      <c r="J90" s="81"/>
      <c r="K90" s="81"/>
      <c r="L90" s="81"/>
      <c r="M90" s="81"/>
      <c r="N90" s="81"/>
      <c r="O90" s="81"/>
      <c r="P90" s="44">
        <v>198321.8314</v>
      </c>
      <c r="Q90" s="45" t="str">
        <f>IFERROR(IF(compras_mes7[[#This Row],[CUIT]]="","-",VLOOKUP(compras_mes7[[#This Row],[CUIT]],Lista_CUIT[#All],3,0)),"CUIT NO CARGADO")</f>
        <v>Mercaderia</v>
      </c>
      <c r="R90" s="45">
        <f>IFERROR(IF(compras_mes7[[#This Row],[CUIT]]="","-",VLOOKUP(compras_mes7[[#This Row],[CUIT]],Lista_CUIT[#All],4,0)),"CUIT NO CARGADO")</f>
        <v>0</v>
      </c>
    </row>
    <row r="91" spans="2:18" x14ac:dyDescent="0.3">
      <c r="B91" s="36">
        <v>44767</v>
      </c>
      <c r="C91" s="37">
        <v>1</v>
      </c>
      <c r="D91" s="38">
        <v>2</v>
      </c>
      <c r="E91" s="39">
        <v>3110</v>
      </c>
      <c r="F91" s="40">
        <v>30629863571</v>
      </c>
      <c r="G91" s="41" t="str">
        <f>IFERROR(IF(compras_mes7[[#This Row],[CUIT]]="","-",VLOOKUP(compras_mes7[[#This Row],[CUIT]],Lista_CUIT[#All],2,0)),"CUIT NO CARGADO")</f>
        <v>TECNIMAR S R L</v>
      </c>
      <c r="H91" s="42">
        <v>137874.23999999999</v>
      </c>
      <c r="I91" s="81">
        <v>28953.590399999997</v>
      </c>
      <c r="J91" s="81"/>
      <c r="K91" s="81"/>
      <c r="L91" s="81"/>
      <c r="M91" s="81"/>
      <c r="N91" s="81"/>
      <c r="O91" s="81"/>
      <c r="P91" s="44">
        <v>166827.83039999998</v>
      </c>
      <c r="Q91" s="45" t="str">
        <f>IFERROR(IF(compras_mes7[[#This Row],[CUIT]]="","-",VLOOKUP(compras_mes7[[#This Row],[CUIT]],Lista_CUIT[#All],3,0)),"CUIT NO CARGADO")</f>
        <v>Mercaderia</v>
      </c>
      <c r="R91" s="45">
        <f>IFERROR(IF(compras_mes7[[#This Row],[CUIT]]="","-",VLOOKUP(compras_mes7[[#This Row],[CUIT]],Lista_CUIT[#All],4,0)),"CUIT NO CARGADO")</f>
        <v>0</v>
      </c>
    </row>
    <row r="92" spans="2:18" x14ac:dyDescent="0.3">
      <c r="B92" s="36">
        <v>44768</v>
      </c>
      <c r="C92" s="37">
        <v>1</v>
      </c>
      <c r="D92" s="38">
        <v>1</v>
      </c>
      <c r="E92" s="39">
        <v>24</v>
      </c>
      <c r="F92" s="40">
        <v>30717305287</v>
      </c>
      <c r="G92" s="41" t="str">
        <f>IFERROR(IF(compras_mes7[[#This Row],[CUIT]]="","-",VLOOKUP(compras_mes7[[#This Row],[CUIT]],Lista_CUIT[#All],2,0)),"CUIT NO CARGADO")</f>
        <v>K.R. S. R. L.</v>
      </c>
      <c r="H92" s="42">
        <v>144000</v>
      </c>
      <c r="I92" s="81">
        <v>30240</v>
      </c>
      <c r="J92" s="81"/>
      <c r="K92" s="81"/>
      <c r="L92" s="81"/>
      <c r="M92" s="81"/>
      <c r="N92" s="81"/>
      <c r="O92" s="81"/>
      <c r="P92" s="44">
        <v>174240</v>
      </c>
      <c r="Q92" s="45" t="str">
        <f>IFERROR(IF(compras_mes7[[#This Row],[CUIT]]="","-",VLOOKUP(compras_mes7[[#This Row],[CUIT]],Lista_CUIT[#All],3,0)),"CUIT NO CARGADO")</f>
        <v>Mercaderia</v>
      </c>
      <c r="R92" s="45">
        <f>IFERROR(IF(compras_mes7[[#This Row],[CUIT]]="","-",VLOOKUP(compras_mes7[[#This Row],[CUIT]],Lista_CUIT[#All],4,0)),"CUIT NO CARGADO")</f>
        <v>0</v>
      </c>
    </row>
    <row r="93" spans="2:18" x14ac:dyDescent="0.3">
      <c r="B93" s="36">
        <v>44770</v>
      </c>
      <c r="C93" s="37">
        <v>1</v>
      </c>
      <c r="D93" s="38">
        <v>3</v>
      </c>
      <c r="E93" s="39">
        <v>9484</v>
      </c>
      <c r="F93" s="40">
        <v>30658667374</v>
      </c>
      <c r="G93" s="41" t="str">
        <f>IFERROR(IF(compras_mes7[[#This Row],[CUIT]]="","-",VLOOKUP(compras_mes7[[#This Row],[CUIT]],Lista_CUIT[#All],2,0)),"CUIT NO CARGADO")</f>
        <v>SASUAR  S.R.L.</v>
      </c>
      <c r="H93" s="42">
        <v>449425.13</v>
      </c>
      <c r="I93" s="81">
        <v>94379.277300000002</v>
      </c>
      <c r="J93" s="81"/>
      <c r="K93" s="81"/>
      <c r="L93" s="81"/>
      <c r="M93" s="81"/>
      <c r="N93" s="81"/>
      <c r="O93" s="81"/>
      <c r="P93" s="44">
        <v>543804.40729999996</v>
      </c>
      <c r="Q93" s="45" t="str">
        <f>IFERROR(IF(compras_mes7[[#This Row],[CUIT]]="","-",VLOOKUP(compras_mes7[[#This Row],[CUIT]],Lista_CUIT[#All],3,0)),"CUIT NO CARGADO")</f>
        <v>Mercaderia</v>
      </c>
      <c r="R93" s="45">
        <f>IFERROR(IF(compras_mes7[[#This Row],[CUIT]]="","-",VLOOKUP(compras_mes7[[#This Row],[CUIT]],Lista_CUIT[#All],4,0)),"CUIT NO CARGADO")</f>
        <v>0</v>
      </c>
    </row>
    <row r="94" spans="2:18" x14ac:dyDescent="0.3">
      <c r="B94" s="36">
        <v>44770</v>
      </c>
      <c r="C94" s="37">
        <v>1</v>
      </c>
      <c r="D94" s="38">
        <v>3</v>
      </c>
      <c r="E94" s="39">
        <v>9485</v>
      </c>
      <c r="F94" s="40">
        <v>30658667374</v>
      </c>
      <c r="G94" s="41" t="str">
        <f>IFERROR(IF(compras_mes7[[#This Row],[CUIT]]="","-",VLOOKUP(compras_mes7[[#This Row],[CUIT]],Lista_CUIT[#All],2,0)),"CUIT NO CARGADO")</f>
        <v>SASUAR  S.R.L.</v>
      </c>
      <c r="H94" s="42">
        <v>32596.9</v>
      </c>
      <c r="I94" s="81">
        <v>6845.3490000000002</v>
      </c>
      <c r="J94" s="81"/>
      <c r="K94" s="81"/>
      <c r="L94" s="81"/>
      <c r="M94" s="81"/>
      <c r="N94" s="81"/>
      <c r="O94" s="81"/>
      <c r="P94" s="44">
        <v>39442.249000000003</v>
      </c>
      <c r="Q94" s="45" t="str">
        <f>IFERROR(IF(compras_mes7[[#This Row],[CUIT]]="","-",VLOOKUP(compras_mes7[[#This Row],[CUIT]],Lista_CUIT[#All],3,0)),"CUIT NO CARGADO")</f>
        <v>Mercaderia</v>
      </c>
      <c r="R94" s="45">
        <f>IFERROR(IF(compras_mes7[[#This Row],[CUIT]]="","-",VLOOKUP(compras_mes7[[#This Row],[CUIT]],Lista_CUIT[#All],4,0)),"CUIT NO CARGADO")</f>
        <v>0</v>
      </c>
    </row>
    <row r="95" spans="2:18" x14ac:dyDescent="0.3">
      <c r="B95" s="36">
        <v>44772</v>
      </c>
      <c r="C95" s="37">
        <v>1</v>
      </c>
      <c r="D95" s="38">
        <v>2</v>
      </c>
      <c r="E95" s="39">
        <v>3113</v>
      </c>
      <c r="F95" s="40">
        <v>30629863571</v>
      </c>
      <c r="G95" s="41" t="str">
        <f>IFERROR(IF(compras_mes7[[#This Row],[CUIT]]="","-",VLOOKUP(compras_mes7[[#This Row],[CUIT]],Lista_CUIT[#All],2,0)),"CUIT NO CARGADO")</f>
        <v>TECNIMAR S R L</v>
      </c>
      <c r="H95" s="42">
        <v>372902.65</v>
      </c>
      <c r="I95" s="81">
        <v>78309.556500000006</v>
      </c>
      <c r="J95" s="81"/>
      <c r="K95" s="81"/>
      <c r="L95" s="81"/>
      <c r="M95" s="81"/>
      <c r="N95" s="81"/>
      <c r="O95" s="81"/>
      <c r="P95" s="44">
        <v>451212.20650000003</v>
      </c>
      <c r="Q95" s="45" t="str">
        <f>IFERROR(IF(compras_mes7[[#This Row],[CUIT]]="","-",VLOOKUP(compras_mes7[[#This Row],[CUIT]],Lista_CUIT[#All],3,0)),"CUIT NO CARGADO")</f>
        <v>Mercaderia</v>
      </c>
      <c r="R95" s="45">
        <f>IFERROR(IF(compras_mes7[[#This Row],[CUIT]]="","-",VLOOKUP(compras_mes7[[#This Row],[CUIT]],Lista_CUIT[#All],4,0)),"CUIT NO CARGADO")</f>
        <v>0</v>
      </c>
    </row>
    <row r="96" spans="2:18" x14ac:dyDescent="0.3">
      <c r="B96" s="36">
        <v>44747</v>
      </c>
      <c r="C96" s="37">
        <v>1</v>
      </c>
      <c r="D96" s="38">
        <v>7</v>
      </c>
      <c r="E96" s="39">
        <v>232</v>
      </c>
      <c r="F96" s="40">
        <v>30715683446</v>
      </c>
      <c r="G96" s="41" t="str">
        <f>IFERROR(IF(compras_mes7[[#This Row],[CUIT]]="","-",VLOOKUP(compras_mes7[[#This Row],[CUIT]],Lista_CUIT[#All],2,0)),"CUIT NO CARGADO")</f>
        <v>CENTRAL  MAYORISTA  S.R.L.</v>
      </c>
      <c r="H96" s="42">
        <v>1425.88</v>
      </c>
      <c r="I96" s="81">
        <v>299.4348</v>
      </c>
      <c r="J96" s="81"/>
      <c r="K96" s="81"/>
      <c r="L96" s="81"/>
      <c r="M96" s="81"/>
      <c r="N96" s="81"/>
      <c r="O96" s="81"/>
      <c r="P96" s="44">
        <v>1725.3148000000001</v>
      </c>
      <c r="Q96" s="45" t="str">
        <f>IFERROR(IF(compras_mes7[[#This Row],[CUIT]]="","-",VLOOKUP(compras_mes7[[#This Row],[CUIT]],Lista_CUIT[#All],3,0)),"CUIT NO CARGADO")</f>
        <v>Mercaderia</v>
      </c>
      <c r="R96" s="45">
        <f>IFERROR(IF(compras_mes7[[#This Row],[CUIT]]="","-",VLOOKUP(compras_mes7[[#This Row],[CUIT]],Lista_CUIT[#All],4,0)),"CUIT NO CARGADO")</f>
        <v>0</v>
      </c>
    </row>
    <row r="97" spans="2:18" x14ac:dyDescent="0.3">
      <c r="B97" s="36">
        <v>44757</v>
      </c>
      <c r="C97" s="37">
        <v>1</v>
      </c>
      <c r="D97" s="38">
        <v>9</v>
      </c>
      <c r="E97" s="39">
        <v>282</v>
      </c>
      <c r="F97" s="40">
        <v>30715315951</v>
      </c>
      <c r="G97" s="41" t="str">
        <f>IFERROR(IF(compras_mes7[[#This Row],[CUIT]]="","-",VLOOKUP(compras_mes7[[#This Row],[CUIT]],Lista_CUIT[#All],2,0)),"CUIT NO CARGADO")</f>
        <v>MUEBLES  FALERO  SRL</v>
      </c>
      <c r="H97" s="42">
        <v>22841.32</v>
      </c>
      <c r="I97" s="81">
        <v>4796.6772000000001</v>
      </c>
      <c r="J97" s="81"/>
      <c r="K97" s="81"/>
      <c r="L97" s="81"/>
      <c r="M97" s="81"/>
      <c r="N97" s="81"/>
      <c r="O97" s="81"/>
      <c r="P97" s="44">
        <v>27637.997199999998</v>
      </c>
      <c r="Q97" s="45" t="str">
        <f>IFERROR(IF(compras_mes7[[#This Row],[CUIT]]="","-",VLOOKUP(compras_mes7[[#This Row],[CUIT]],Lista_CUIT[#All],3,0)),"CUIT NO CARGADO")</f>
        <v>Muebles y Utiles</v>
      </c>
      <c r="R97" s="45">
        <f>IFERROR(IF(compras_mes7[[#This Row],[CUIT]]="","-",VLOOKUP(compras_mes7[[#This Row],[CUIT]],Lista_CUIT[#All],4,0)),"CUIT NO CARGADO")</f>
        <v>0</v>
      </c>
    </row>
    <row r="98" spans="2:18" x14ac:dyDescent="0.3">
      <c r="B98" s="36">
        <v>44768</v>
      </c>
      <c r="C98" s="37">
        <v>1</v>
      </c>
      <c r="D98" s="38">
        <v>2</v>
      </c>
      <c r="E98" s="39">
        <v>74</v>
      </c>
      <c r="F98" s="40">
        <v>27128058120</v>
      </c>
      <c r="G98" s="41" t="str">
        <f>IFERROR(IF(compras_mes7[[#This Row],[CUIT]]="","-",VLOOKUP(compras_mes7[[#This Row],[CUIT]],Lista_CUIT[#All],2,0)),"CUIT NO CARGADO")</f>
        <v>OTERO  RUT  MABEL</v>
      </c>
      <c r="H98" s="42">
        <v>150000</v>
      </c>
      <c r="I98" s="81">
        <v>31500</v>
      </c>
      <c r="J98" s="81"/>
      <c r="K98" s="81"/>
      <c r="L98" s="81"/>
      <c r="M98" s="81"/>
      <c r="N98" s="81"/>
      <c r="O98" s="81"/>
      <c r="P98" s="44">
        <v>181500</v>
      </c>
      <c r="Q98" s="45" t="str">
        <f>IFERROR(IF(compras_mes7[[#This Row],[CUIT]]="","-",VLOOKUP(compras_mes7[[#This Row],[CUIT]],Lista_CUIT[#All],3,0)),"CUIT NO CARGADO")</f>
        <v>Regalos Empresariales</v>
      </c>
      <c r="R98" s="45">
        <f>IFERROR(IF(compras_mes7[[#This Row],[CUIT]]="","-",VLOOKUP(compras_mes7[[#This Row],[CUIT]],Lista_CUIT[#All],4,0)),"CUIT NO CARGADO")</f>
        <v>0</v>
      </c>
    </row>
    <row r="99" spans="2:18" x14ac:dyDescent="0.3">
      <c r="B99" s="36">
        <v>44744</v>
      </c>
      <c r="C99" s="37">
        <v>1</v>
      </c>
      <c r="D99" s="38">
        <v>11</v>
      </c>
      <c r="E99" s="39">
        <v>61435</v>
      </c>
      <c r="F99" s="40">
        <v>30500876391</v>
      </c>
      <c r="G99" s="41" t="str">
        <f>IFERROR(IF(compras_mes7[[#This Row],[CUIT]]="","-",VLOOKUP(compras_mes7[[#This Row],[CUIT]],Lista_CUIT[#All],2,0)),"CUIT NO CARGADO")</f>
        <v>DE  LEVIE  S.A</v>
      </c>
      <c r="H99" s="42">
        <v>19090.89</v>
      </c>
      <c r="I99" s="81">
        <v>4009.0868999999998</v>
      </c>
      <c r="J99" s="81"/>
      <c r="K99" s="81"/>
      <c r="L99" s="81"/>
      <c r="M99" s="81"/>
      <c r="N99" s="81">
        <v>1145.45</v>
      </c>
      <c r="O99" s="81"/>
      <c r="P99" s="44">
        <v>24245.426899999999</v>
      </c>
      <c r="Q99" s="45" t="str">
        <f>IFERROR(IF(compras_mes7[[#This Row],[CUIT]]="","-",VLOOKUP(compras_mes7[[#This Row],[CUIT]],Lista_CUIT[#All],3,0)),"CUIT NO CARGADO")</f>
        <v>Ropa de Trabajo</v>
      </c>
      <c r="R99" s="45">
        <f>IFERROR(IF(compras_mes7[[#This Row],[CUIT]]="","-",VLOOKUP(compras_mes7[[#This Row],[CUIT]],Lista_CUIT[#All],4,0)),"CUIT NO CARGADO")</f>
        <v>0</v>
      </c>
    </row>
    <row r="100" spans="2:18" x14ac:dyDescent="0.3">
      <c r="B100" s="36">
        <v>44722</v>
      </c>
      <c r="C100" s="37">
        <v>1</v>
      </c>
      <c r="D100" s="38">
        <v>6364</v>
      </c>
      <c r="E100" s="39">
        <v>6341917</v>
      </c>
      <c r="F100" s="40">
        <v>30639453738</v>
      </c>
      <c r="G100" s="41" t="str">
        <f>IFERROR(IF(compras_mes7[[#This Row],[CUIT]]="","-",VLOOKUP(compras_mes7[[#This Row],[CUIT]],Lista_CUIT[#All],2,0)),"CUIT NO CARGADO")</f>
        <v>TELECOM ARG SA</v>
      </c>
      <c r="H100" s="42">
        <v>37480.44</v>
      </c>
      <c r="I100" s="81">
        <v>7966.78</v>
      </c>
      <c r="J100" s="81"/>
      <c r="K100" s="81"/>
      <c r="L100" s="81"/>
      <c r="M100" s="81">
        <v>2058.35</v>
      </c>
      <c r="N100" s="81">
        <v>110.95</v>
      </c>
      <c r="O100" s="81">
        <v>1124.4100000000001</v>
      </c>
      <c r="P100" s="44">
        <v>48740.93</v>
      </c>
      <c r="Q100" s="45" t="str">
        <f>IFERROR(IF(compras_mes7[[#This Row],[CUIT]]="","-",VLOOKUP(compras_mes7[[#This Row],[CUIT]],Lista_CUIT[#All],3,0)),"CUIT NO CARGADO")</f>
        <v>Servicios Gas, Luz, etc.</v>
      </c>
      <c r="R100" s="45">
        <f>IFERROR(IF(compras_mes7[[#This Row],[CUIT]]="","-",VLOOKUP(compras_mes7[[#This Row],[CUIT]],Lista_CUIT[#All],4,0)),"CUIT NO CARGADO")</f>
        <v>0</v>
      </c>
    </row>
    <row r="101" spans="2:18" x14ac:dyDescent="0.3">
      <c r="B101" s="36">
        <v>44738</v>
      </c>
      <c r="C101" s="37">
        <v>1</v>
      </c>
      <c r="D101" s="38">
        <v>7106</v>
      </c>
      <c r="E101" s="39">
        <v>14416804</v>
      </c>
      <c r="F101" s="40">
        <v>30639453738</v>
      </c>
      <c r="G101" s="41" t="str">
        <f>IFERROR(IF(compras_mes7[[#This Row],[CUIT]]="","-",VLOOKUP(compras_mes7[[#This Row],[CUIT]],Lista_CUIT[#All],2,0)),"CUIT NO CARGADO")</f>
        <v>TELECOM ARG SA</v>
      </c>
      <c r="H101" s="42">
        <v>1335.7</v>
      </c>
      <c r="I101" s="81">
        <v>360.64</v>
      </c>
      <c r="J101" s="81"/>
      <c r="K101" s="81"/>
      <c r="L101" s="81"/>
      <c r="M101" s="81"/>
      <c r="N101" s="81">
        <v>0.02</v>
      </c>
      <c r="O101" s="81">
        <v>80.14</v>
      </c>
      <c r="P101" s="44">
        <v>1776.5000000000002</v>
      </c>
      <c r="Q101" s="45" t="str">
        <f>IFERROR(IF(compras_mes7[[#This Row],[CUIT]]="","-",VLOOKUP(compras_mes7[[#This Row],[CUIT]],Lista_CUIT[#All],3,0)),"CUIT NO CARGADO")</f>
        <v>Servicios Gas, Luz, etc.</v>
      </c>
      <c r="R101" s="45">
        <f>IFERROR(IF(compras_mes7[[#This Row],[CUIT]]="","-",VLOOKUP(compras_mes7[[#This Row],[CUIT]],Lista_CUIT[#All],4,0)),"CUIT NO CARGADO")</f>
        <v>0</v>
      </c>
    </row>
    <row r="102" spans="2:18" x14ac:dyDescent="0.3">
      <c r="B102" s="36">
        <v>44752</v>
      </c>
      <c r="C102" s="37">
        <v>1</v>
      </c>
      <c r="D102" s="38">
        <v>6364</v>
      </c>
      <c r="E102" s="39">
        <v>6485712</v>
      </c>
      <c r="F102" s="40">
        <v>30639453738</v>
      </c>
      <c r="G102" s="41" t="str">
        <f>IFERROR(IF(compras_mes7[[#This Row],[CUIT]]="","-",VLOOKUP(compras_mes7[[#This Row],[CUIT]],Lista_CUIT[#All],2,0)),"CUIT NO CARGADO")</f>
        <v>TELECOM ARG SA</v>
      </c>
      <c r="H102" s="42">
        <v>42857.62</v>
      </c>
      <c r="I102" s="81">
        <v>9105.1</v>
      </c>
      <c r="J102" s="81"/>
      <c r="K102" s="81"/>
      <c r="L102" s="81"/>
      <c r="M102" s="81">
        <v>2359.1799999999998</v>
      </c>
      <c r="N102" s="81">
        <v>122.21</v>
      </c>
      <c r="O102" s="81">
        <v>1285.73</v>
      </c>
      <c r="P102" s="44">
        <v>55729.840000000004</v>
      </c>
      <c r="Q102" s="45" t="str">
        <f>IFERROR(IF(compras_mes7[[#This Row],[CUIT]]="","-",VLOOKUP(compras_mes7[[#This Row],[CUIT]],Lista_CUIT[#All],3,0)),"CUIT NO CARGADO")</f>
        <v>Servicios Gas, Luz, etc.</v>
      </c>
      <c r="R102" s="45">
        <f>IFERROR(IF(compras_mes7[[#This Row],[CUIT]]="","-",VLOOKUP(compras_mes7[[#This Row],[CUIT]],Lista_CUIT[#All],4,0)),"CUIT NO CARGADO")</f>
        <v>0</v>
      </c>
    </row>
    <row r="103" spans="2:18" x14ac:dyDescent="0.3">
      <c r="B103" s="36">
        <v>44763</v>
      </c>
      <c r="C103" s="37">
        <v>1</v>
      </c>
      <c r="D103" s="38">
        <v>5</v>
      </c>
      <c r="E103" s="39">
        <v>2559436</v>
      </c>
      <c r="F103" s="40">
        <v>30702652975</v>
      </c>
      <c r="G103" s="41" t="str">
        <f>IFERROR(IF(compras_mes7[[#This Row],[CUIT]]="","-",VLOOKUP(compras_mes7[[#This Row],[CUIT]],Lista_CUIT[#All],2,0)),"CUIT NO CARGADO")</f>
        <v>NSS SA</v>
      </c>
      <c r="H103" s="42">
        <v>5661.29</v>
      </c>
      <c r="I103" s="81">
        <v>1188.8708999999999</v>
      </c>
      <c r="J103" s="81"/>
      <c r="K103" s="81"/>
      <c r="L103" s="81"/>
      <c r="M103" s="81"/>
      <c r="N103" s="81">
        <v>339.68</v>
      </c>
      <c r="O103" s="81"/>
      <c r="P103" s="44">
        <v>7189.8409000000001</v>
      </c>
      <c r="Q103" s="45" t="str">
        <f>IFERROR(IF(compras_mes7[[#This Row],[CUIT]]="","-",VLOOKUP(compras_mes7[[#This Row],[CUIT]],Lista_CUIT[#All],3,0)),"CUIT NO CARGADO")</f>
        <v>Servicios Gas, Luz, etc.</v>
      </c>
      <c r="R103" s="45">
        <f>IFERROR(IF(compras_mes7[[#This Row],[CUIT]]="","-",VLOOKUP(compras_mes7[[#This Row],[CUIT]],Lista_CUIT[#All],4,0)),"CUIT NO CARGADO")</f>
        <v>0</v>
      </c>
    </row>
    <row r="104" spans="2:18" x14ac:dyDescent="0.3">
      <c r="B104" s="92" t="s">
        <v>83</v>
      </c>
      <c r="C104" s="92"/>
      <c r="D104" s="92"/>
      <c r="E104" s="92"/>
      <c r="F104" s="92"/>
      <c r="G104" s="93"/>
      <c r="H104" s="94">
        <f>SUBTOTAL(109,compras_mes7[NETO GRAVADO])</f>
        <v>8784491.709999999</v>
      </c>
      <c r="I104" s="94">
        <f>SUBTOTAL(109,compras_mes7[IVA 21 %])</f>
        <v>1653011.5035999995</v>
      </c>
      <c r="J104" s="94">
        <f>SUBTOTAL(109,compras_mes7[IVA 27%])</f>
        <v>0</v>
      </c>
      <c r="K104" s="94">
        <f>SUBTOTAL(109,compras_mes7[IVA 10,5%])</f>
        <v>95678.62</v>
      </c>
      <c r="L104" s="94">
        <f>SUBTOTAL(109,compras_mes7[PERC. IVA])</f>
        <v>78.5</v>
      </c>
      <c r="M104" s="94">
        <f>SUBTOTAL(109,compras_mes7[PERC IIBB 
BS AS])</f>
        <v>4417.53</v>
      </c>
      <c r="N104" s="94">
        <f>SUBTOTAL(109,compras_mes7[PERC. IIBB CABA])</f>
        <v>110661.42000000001</v>
      </c>
      <c r="O104" s="94">
        <f>SUBTOTAL(109,compras_mes7[Otros / No Grav.])</f>
        <v>72492.649999999994</v>
      </c>
      <c r="P104" s="94">
        <f>SUBTOTAL(109,compras_mes7[TOTAL])</f>
        <v>10720831.933599997</v>
      </c>
      <c r="Q104" s="92"/>
      <c r="R104" s="92"/>
    </row>
    <row r="105" spans="2:18" x14ac:dyDescent="0.3">
      <c r="B105" s="36"/>
      <c r="C105" s="37"/>
      <c r="D105" s="38"/>
      <c r="E105" s="39"/>
      <c r="F105" s="40"/>
      <c r="G105" s="41"/>
      <c r="H105" s="42"/>
      <c r="I105" s="43"/>
      <c r="J105" s="43"/>
      <c r="K105" s="43"/>
      <c r="L105" s="43"/>
      <c r="M105" s="43"/>
      <c r="N105" s="43"/>
      <c r="O105" s="43"/>
      <c r="P105" s="44"/>
      <c r="Q105" s="45"/>
      <c r="R105" s="45"/>
    </row>
    <row r="106" spans="2:18" x14ac:dyDescent="0.3">
      <c r="B106" s="36"/>
      <c r="C106" s="37"/>
      <c r="D106" s="38"/>
      <c r="E106" s="39"/>
      <c r="F106" s="40"/>
      <c r="G106" s="41"/>
      <c r="H106" s="42"/>
      <c r="I106" s="43"/>
      <c r="J106" s="43"/>
      <c r="K106" s="43"/>
      <c r="L106" s="43"/>
      <c r="M106" s="43"/>
      <c r="N106" s="43"/>
      <c r="O106" s="43"/>
      <c r="P106" s="44"/>
      <c r="Q106" s="45"/>
      <c r="R106" s="45"/>
    </row>
    <row r="107" spans="2:18" x14ac:dyDescent="0.3">
      <c r="B107" s="36"/>
      <c r="C107" s="37"/>
      <c r="D107" s="38"/>
      <c r="E107" s="39"/>
      <c r="F107" s="40"/>
      <c r="G107" s="41"/>
      <c r="H107" s="42"/>
      <c r="I107" s="43"/>
      <c r="J107" s="43"/>
      <c r="K107" s="43"/>
      <c r="L107" s="43"/>
      <c r="M107" s="43"/>
      <c r="N107" s="43"/>
      <c r="O107" s="43"/>
      <c r="P107" s="44"/>
      <c r="Q107" s="45"/>
      <c r="R107" s="45"/>
    </row>
    <row r="108" spans="2:18" x14ac:dyDescent="0.3">
      <c r="B108" s="36"/>
      <c r="C108" s="37"/>
      <c r="D108" s="38"/>
      <c r="E108" s="39"/>
      <c r="F108" s="40"/>
      <c r="G108" s="41"/>
      <c r="H108" s="42"/>
      <c r="I108" s="43"/>
      <c r="J108" s="43"/>
      <c r="K108" s="43"/>
      <c r="L108" s="43"/>
    </row>
    <row r="109" spans="2:18" ht="25.95" customHeight="1" x14ac:dyDescent="0.3">
      <c r="D109" s="441" t="s">
        <v>15</v>
      </c>
      <c r="E109" s="441"/>
      <c r="F109" s="441"/>
      <c r="G109" s="441"/>
      <c r="H109" s="441"/>
      <c r="I109" s="441"/>
      <c r="J109" s="441"/>
      <c r="K109" s="441"/>
      <c r="L109" s="441"/>
      <c r="M109" s="441"/>
      <c r="N109" s="364"/>
      <c r="P109" s="365"/>
      <c r="Q109" s="365"/>
      <c r="R109" s="365"/>
    </row>
    <row r="110" spans="2:18" ht="15.6" x14ac:dyDescent="0.3">
      <c r="D110" s="69" t="s">
        <v>0</v>
      </c>
      <c r="E110" s="70" t="s">
        <v>26</v>
      </c>
      <c r="F110" s="70" t="s">
        <v>16</v>
      </c>
      <c r="G110" s="70" t="s">
        <v>5</v>
      </c>
      <c r="H110" s="70" t="s">
        <v>17</v>
      </c>
      <c r="I110" s="70" t="s">
        <v>7</v>
      </c>
      <c r="J110" s="71" t="s">
        <v>18</v>
      </c>
      <c r="K110" s="71" t="s">
        <v>19</v>
      </c>
      <c r="L110" s="72" t="s">
        <v>20</v>
      </c>
      <c r="M110" s="363" t="s">
        <v>2649</v>
      </c>
      <c r="N110" s="363" t="s">
        <v>2650</v>
      </c>
      <c r="P110" s="158"/>
      <c r="Q110" s="158"/>
      <c r="R110" s="158"/>
    </row>
    <row r="111" spans="2:18" x14ac:dyDescent="0.3">
      <c r="D111" s="46">
        <v>44756</v>
      </c>
      <c r="E111" s="76">
        <v>2354967</v>
      </c>
      <c r="F111" s="76" t="s">
        <v>2948</v>
      </c>
      <c r="G111" s="77"/>
      <c r="H111" s="77"/>
      <c r="I111" s="77"/>
      <c r="J111" s="77"/>
      <c r="K111" s="77"/>
      <c r="L111" s="77"/>
      <c r="M111" s="77">
        <v>15457.57</v>
      </c>
      <c r="N111" s="77"/>
    </row>
    <row r="112" spans="2:18" x14ac:dyDescent="0.3">
      <c r="D112" s="46">
        <v>44768</v>
      </c>
      <c r="E112" s="76">
        <v>22709814</v>
      </c>
      <c r="F112" s="76" t="s">
        <v>101</v>
      </c>
      <c r="G112" s="77">
        <v>3536.84</v>
      </c>
      <c r="H112" s="77">
        <v>742.74</v>
      </c>
      <c r="I112" s="77"/>
      <c r="J112" s="429">
        <v>3491.07</v>
      </c>
      <c r="K112" s="77">
        <v>78.5</v>
      </c>
      <c r="L112" s="77"/>
      <c r="M112" s="77"/>
      <c r="N112" s="77"/>
    </row>
    <row r="113" spans="4:14" x14ac:dyDescent="0.3">
      <c r="D113" s="46">
        <v>44770</v>
      </c>
      <c r="E113" s="76">
        <v>1042700</v>
      </c>
      <c r="F113" s="76" t="s">
        <v>96</v>
      </c>
      <c r="G113" s="77">
        <v>5133.83</v>
      </c>
      <c r="H113" s="77">
        <v>761.67</v>
      </c>
      <c r="I113" s="77"/>
      <c r="J113" s="429">
        <v>2469.37</v>
      </c>
      <c r="K113" s="77"/>
      <c r="L113" s="77"/>
      <c r="M113" s="77"/>
      <c r="N113" s="77"/>
    </row>
    <row r="114" spans="4:14" x14ac:dyDescent="0.3">
      <c r="D114" s="46">
        <v>44772</v>
      </c>
      <c r="E114" s="76">
        <v>428420</v>
      </c>
      <c r="F114" s="76" t="s">
        <v>2958</v>
      </c>
      <c r="G114" s="77">
        <v>397</v>
      </c>
      <c r="H114" s="77">
        <v>83.37</v>
      </c>
      <c r="I114" s="77"/>
      <c r="J114" s="77"/>
      <c r="K114" s="77"/>
      <c r="L114" s="77"/>
      <c r="M114" s="77">
        <v>11.06</v>
      </c>
      <c r="N114" s="77"/>
    </row>
    <row r="115" spans="4:14" x14ac:dyDescent="0.3">
      <c r="D115" s="46">
        <v>44772</v>
      </c>
      <c r="E115" s="76">
        <v>1147110</v>
      </c>
      <c r="F115" s="76" t="s">
        <v>99</v>
      </c>
      <c r="G115" s="77">
        <v>355.37</v>
      </c>
      <c r="H115" s="77">
        <v>93.25</v>
      </c>
      <c r="I115" s="77"/>
      <c r="J115" s="77">
        <v>1029.25</v>
      </c>
      <c r="K115" s="77"/>
      <c r="L115" s="77"/>
      <c r="M115" s="77">
        <v>23308.26</v>
      </c>
      <c r="N115" s="77">
        <v>7096.77</v>
      </c>
    </row>
    <row r="116" spans="4:14" x14ac:dyDescent="0.3">
      <c r="D116" s="46">
        <v>44772</v>
      </c>
      <c r="E116" s="76">
        <v>11613483</v>
      </c>
      <c r="F116" s="76" t="s">
        <v>99</v>
      </c>
      <c r="G116" s="77">
        <v>10495</v>
      </c>
      <c r="H116" s="77">
        <v>2203.9499999999998</v>
      </c>
      <c r="I116" s="77"/>
      <c r="J116" s="77"/>
      <c r="K116" s="77">
        <v>314.85000000000002</v>
      </c>
      <c r="L116" s="77"/>
      <c r="M116" s="77"/>
      <c r="N116" s="77"/>
    </row>
    <row r="117" spans="4:14" x14ac:dyDescent="0.3">
      <c r="D117" s="46">
        <v>44772</v>
      </c>
      <c r="E117" s="76">
        <v>2022</v>
      </c>
      <c r="F117" s="76" t="s">
        <v>2956</v>
      </c>
      <c r="G117" s="77">
        <v>55315.39</v>
      </c>
      <c r="H117" s="77">
        <v>11616.23</v>
      </c>
      <c r="I117" s="77"/>
      <c r="J117" s="77">
        <v>3078.32</v>
      </c>
      <c r="K117" s="77">
        <v>1465.5</v>
      </c>
      <c r="L117" s="77"/>
      <c r="M117" s="77">
        <v>129254.79</v>
      </c>
      <c r="N117" s="77">
        <v>63662.8</v>
      </c>
    </row>
    <row r="118" spans="4:14" x14ac:dyDescent="0.3">
      <c r="D118" s="46">
        <v>44772</v>
      </c>
      <c r="E118" s="76">
        <v>2022</v>
      </c>
      <c r="F118" s="76" t="s">
        <v>2951</v>
      </c>
      <c r="G118" s="77">
        <v>3000</v>
      </c>
      <c r="H118" s="77">
        <v>630</v>
      </c>
      <c r="I118" s="77"/>
      <c r="J118" s="77">
        <v>180</v>
      </c>
      <c r="K118" s="77">
        <v>90</v>
      </c>
      <c r="L118" s="77"/>
      <c r="M118" s="77">
        <v>5918.49</v>
      </c>
      <c r="N118" s="77">
        <v>2915.08</v>
      </c>
    </row>
    <row r="119" spans="4:14" x14ac:dyDescent="0.3">
      <c r="D119" s="46">
        <v>44772</v>
      </c>
      <c r="E119" s="76">
        <v>72022</v>
      </c>
      <c r="F119" s="76" t="s">
        <v>98</v>
      </c>
      <c r="G119" s="77">
        <v>214191.38</v>
      </c>
      <c r="H119" s="77">
        <v>31315.35</v>
      </c>
      <c r="I119" s="77"/>
      <c r="J119" s="77">
        <v>204334.62</v>
      </c>
      <c r="K119" s="77">
        <v>2555.92</v>
      </c>
      <c r="L119" s="77"/>
      <c r="M119" s="77"/>
      <c r="N119" s="77"/>
    </row>
    <row r="120" spans="4:14" x14ac:dyDescent="0.3">
      <c r="D120" s="46">
        <v>44773</v>
      </c>
      <c r="E120" s="76">
        <v>2022</v>
      </c>
      <c r="F120" s="76" t="s">
        <v>97</v>
      </c>
      <c r="G120" s="77">
        <v>1567.84</v>
      </c>
      <c r="H120" s="77">
        <v>329.25</v>
      </c>
      <c r="I120" s="77"/>
      <c r="J120" s="77">
        <v>8748.6</v>
      </c>
      <c r="K120" s="77"/>
      <c r="L120" s="77"/>
      <c r="M120" s="77"/>
      <c r="N120" s="77"/>
    </row>
    <row r="121" spans="4:14" x14ac:dyDescent="0.3">
      <c r="D121" s="46"/>
      <c r="E121" s="76"/>
      <c r="F121" s="76"/>
      <c r="G121" s="77"/>
      <c r="H121" s="77"/>
      <c r="I121" s="77"/>
      <c r="J121" s="77"/>
      <c r="K121" s="77"/>
      <c r="L121" s="77"/>
      <c r="M121" s="77"/>
      <c r="N121" s="77"/>
    </row>
    <row r="122" spans="4:14" x14ac:dyDescent="0.3">
      <c r="D122" s="46"/>
      <c r="E122" s="76"/>
      <c r="F122" s="76"/>
      <c r="G122" s="77"/>
      <c r="H122" s="77"/>
      <c r="I122" s="77"/>
      <c r="J122" s="77"/>
      <c r="K122" s="77"/>
      <c r="L122" s="77"/>
      <c r="M122" s="77"/>
      <c r="N122" s="77"/>
    </row>
    <row r="123" spans="4:14" ht="28.95" customHeight="1" x14ac:dyDescent="0.3">
      <c r="D123" s="430" t="s">
        <v>83</v>
      </c>
      <c r="E123" s="431"/>
      <c r="F123" s="431"/>
      <c r="G123" s="432">
        <f>SUBTOTAL(109,extracto_banco_mes155161718[NETO])</f>
        <v>293992.65000000002</v>
      </c>
      <c r="H123" s="432">
        <f>SUBTOTAL(109,extracto_banco_mes155161718[IVA 21%])</f>
        <v>47775.81</v>
      </c>
      <c r="I123" s="432">
        <f>SUBTOTAL(109,extracto_banco_mes155161718[IVA 10,5%])</f>
        <v>0</v>
      </c>
      <c r="J123" s="432">
        <f>SUBTOTAL(109,extracto_banco_mes155161718[RET IIBB CABA])</f>
        <v>223331.23</v>
      </c>
      <c r="K123" s="432">
        <f>SUBTOTAL(109,extracto_banco_mes155161718[PERC IVA])</f>
        <v>4504.7700000000004</v>
      </c>
      <c r="L123" s="432">
        <f>SUBTOTAL(109,extracto_banco_mes155161718[PERC IIBB])</f>
        <v>0</v>
      </c>
      <c r="M123" s="432">
        <f>SUM(extracto_banco_mes155161718[No grav.])</f>
        <v>173950.16999999998</v>
      </c>
      <c r="N123" s="433">
        <f>SUM(extracto_banco_mes155161718[RET. GAN])</f>
        <v>73674.650000000009</v>
      </c>
    </row>
    <row r="127" spans="4:14" ht="21" x14ac:dyDescent="0.3">
      <c r="D127" s="441" t="s">
        <v>25</v>
      </c>
      <c r="E127" s="441"/>
      <c r="F127" s="441"/>
      <c r="G127" s="441"/>
      <c r="H127" s="441"/>
      <c r="I127" s="441"/>
      <c r="J127" s="441"/>
      <c r="K127" s="441"/>
    </row>
    <row r="128" spans="4:14" x14ac:dyDescent="0.3">
      <c r="D128" s="47" t="s">
        <v>0</v>
      </c>
      <c r="E128" s="47" t="s">
        <v>2</v>
      </c>
      <c r="F128" s="47" t="s">
        <v>56</v>
      </c>
      <c r="G128" s="47" t="s">
        <v>3</v>
      </c>
      <c r="H128" s="47" t="s">
        <v>4</v>
      </c>
      <c r="I128" s="48" t="s">
        <v>10</v>
      </c>
      <c r="J128" s="47" t="s">
        <v>13</v>
      </c>
      <c r="K128" s="47" t="s">
        <v>38</v>
      </c>
    </row>
    <row r="129" spans="2:18" x14ac:dyDescent="0.3">
      <c r="D129" s="46">
        <v>44748</v>
      </c>
      <c r="E129" s="38">
        <v>2</v>
      </c>
      <c r="F129" s="39">
        <v>168</v>
      </c>
      <c r="G129" s="40">
        <v>23319210954</v>
      </c>
      <c r="H129" s="49" t="str">
        <f>IFERROR(IF(factura_c_mes7[[#This Row],[CUIT]]="","-",VLOOKUP(factura_c_mes7[[#This Row],[CUIT]],Lista_CUIT[#All],2,0)),"CUIT NO CARGADO")</f>
        <v>CAFFARATTI ROMINA PAOLA</v>
      </c>
      <c r="I129" s="77">
        <v>6100</v>
      </c>
      <c r="J129" s="50" t="str">
        <f>IFERROR(IF(factura_c_mes7[[#This Row],[CUIT]]="","-",VLOOKUP(factura_c_mes7[[#This Row],[CUIT]],Lista_CUIT[#All],3,0)),"CUIT NO CARGADO")</f>
        <v>Honorarios Contables</v>
      </c>
      <c r="K129" s="50">
        <f>IFERROR(IF(factura_c_mes7[[#This Row],[CUIT]]="","-",VLOOKUP(factura_c_mes7[[#This Row],[CUIT]],Lista_CUIT[#All],4,0)),"CUIT NO CARGADO")</f>
        <v>0</v>
      </c>
    </row>
    <row r="130" spans="2:18" x14ac:dyDescent="0.3">
      <c r="D130" s="46">
        <v>44753</v>
      </c>
      <c r="E130" s="38">
        <v>3</v>
      </c>
      <c r="F130" s="39">
        <v>335</v>
      </c>
      <c r="G130" s="40">
        <v>20210551574</v>
      </c>
      <c r="H130" s="49" t="str">
        <f>IFERROR(IF(factura_c_mes7[[#This Row],[CUIT]]="","-",VLOOKUP(factura_c_mes7[[#This Row],[CUIT]],Lista_CUIT[#All],2,0)),"CUIT NO CARGADO")</f>
        <v>REUS JORGE DIEGO</v>
      </c>
      <c r="I130" s="77">
        <v>30000</v>
      </c>
      <c r="J130" s="50" t="str">
        <f>IFERROR(IF(factura_c_mes7[[#This Row],[CUIT]]="","-",VLOOKUP(factura_c_mes7[[#This Row],[CUIT]],Lista_CUIT[#All],3,0)),"CUIT NO CARGADO")</f>
        <v>Honorarios Juridicos</v>
      </c>
      <c r="K130" s="50">
        <f>IFERROR(IF(factura_c_mes7[[#This Row],[CUIT]]="","-",VLOOKUP(factura_c_mes7[[#This Row],[CUIT]],Lista_CUIT[#All],4,0)),"CUIT NO CARGADO")</f>
        <v>0</v>
      </c>
    </row>
    <row r="131" spans="2:18" x14ac:dyDescent="0.3">
      <c r="D131" s="46">
        <v>44771</v>
      </c>
      <c r="E131" s="38">
        <v>2</v>
      </c>
      <c r="F131" s="39">
        <v>175</v>
      </c>
      <c r="G131" s="40">
        <v>23319210954</v>
      </c>
      <c r="H131" s="49" t="str">
        <f>IFERROR(IF(factura_c_mes7[[#This Row],[CUIT]]="","-",VLOOKUP(factura_c_mes7[[#This Row],[CUIT]],Lista_CUIT[#All],2,0)),"CUIT NO CARGADO")</f>
        <v>CAFFARATTI ROMINA PAOLA</v>
      </c>
      <c r="I131" s="77">
        <v>13200</v>
      </c>
      <c r="J131" s="50" t="str">
        <f>IFERROR(IF(factura_c_mes7[[#This Row],[CUIT]]="","-",VLOOKUP(factura_c_mes7[[#This Row],[CUIT]],Lista_CUIT[#All],3,0)),"CUIT NO CARGADO")</f>
        <v>Honorarios Contables</v>
      </c>
      <c r="K131" s="50">
        <f>IFERROR(IF(factura_c_mes7[[#This Row],[CUIT]]="","-",VLOOKUP(factura_c_mes7[[#This Row],[CUIT]],Lista_CUIT[#All],4,0)),"CUIT NO CARGADO")</f>
        <v>0</v>
      </c>
    </row>
    <row r="132" spans="2:18" x14ac:dyDescent="0.3">
      <c r="D132" s="46"/>
      <c r="E132" s="38"/>
      <c r="F132" s="39"/>
      <c r="G132" s="40"/>
      <c r="H132" s="49" t="str">
        <f>IFERROR(IF(factura_c_mes7[[#This Row],[CUIT]]="","-",VLOOKUP(factura_c_mes7[[#This Row],[CUIT]],Lista_CUIT[#All],2,0)),"CUIT NO CARGADO")</f>
        <v>-</v>
      </c>
      <c r="I132" s="77"/>
      <c r="J132" s="50" t="str">
        <f>IFERROR(IF(factura_c_mes7[[#This Row],[CUIT]]="","-",VLOOKUP(factura_c_mes7[[#This Row],[CUIT]],Lista_CUIT[#All],3,0)),"CUIT NO CARGADO")</f>
        <v>-</v>
      </c>
      <c r="K132" s="50" t="str">
        <f>IFERROR(IF(factura_c_mes7[[#This Row],[CUIT]]="","-",VLOOKUP(factura_c_mes7[[#This Row],[CUIT]],Lista_CUIT[#All],4,0)),"CUIT NO CARGADO")</f>
        <v>-</v>
      </c>
    </row>
    <row r="133" spans="2:18" x14ac:dyDescent="0.3">
      <c r="D133" s="51" t="s">
        <v>83</v>
      </c>
      <c r="E133" s="51"/>
      <c r="F133" s="51"/>
      <c r="G133" s="51"/>
      <c r="H133" s="53"/>
      <c r="I133" s="54">
        <f>SUBTOTAL(109,factura_c_mes7[TOTAL])</f>
        <v>49300</v>
      </c>
      <c r="J133" s="51"/>
      <c r="K133" s="51"/>
    </row>
    <row r="134" spans="2:18" x14ac:dyDescent="0.3">
      <c r="B134" s="52"/>
      <c r="C134" s="52"/>
      <c r="L134" s="52"/>
      <c r="M134" s="52"/>
      <c r="N134" s="52"/>
      <c r="O134" s="52"/>
      <c r="P134" s="52"/>
      <c r="Q134" s="52"/>
      <c r="R134" s="52"/>
    </row>
    <row r="139" spans="2:18" ht="25.8" x14ac:dyDescent="0.3">
      <c r="B139" s="456" t="s">
        <v>29</v>
      </c>
      <c r="C139" s="456"/>
      <c r="D139" s="456"/>
      <c r="E139" s="456"/>
      <c r="F139" s="456"/>
      <c r="G139" s="456"/>
      <c r="H139" s="456"/>
      <c r="I139" s="456"/>
      <c r="J139" s="456"/>
      <c r="K139" s="452">
        <f>N1</f>
        <v>44743</v>
      </c>
      <c r="L139" s="452"/>
      <c r="M139" s="452"/>
    </row>
    <row r="141" spans="2:18" ht="21" x14ac:dyDescent="0.3">
      <c r="B141" s="449" t="s">
        <v>30</v>
      </c>
      <c r="C141" s="449"/>
    </row>
    <row r="142" spans="2:18" ht="15.6" x14ac:dyDescent="0.3">
      <c r="B142" s="56" t="s">
        <v>0</v>
      </c>
      <c r="C142" s="57" t="s">
        <v>1</v>
      </c>
      <c r="D142" s="57" t="s">
        <v>21</v>
      </c>
      <c r="E142" s="57" t="s">
        <v>22</v>
      </c>
      <c r="F142" s="57" t="s">
        <v>3</v>
      </c>
      <c r="G142" s="57" t="s">
        <v>4</v>
      </c>
      <c r="H142" s="57" t="s">
        <v>23</v>
      </c>
      <c r="I142" s="57" t="s">
        <v>17</v>
      </c>
      <c r="J142" s="57" t="s">
        <v>7</v>
      </c>
      <c r="K142" s="57" t="s">
        <v>24</v>
      </c>
      <c r="L142" s="57" t="s">
        <v>10</v>
      </c>
      <c r="M142" s="58" t="s">
        <v>38</v>
      </c>
    </row>
    <row r="143" spans="2:18" x14ac:dyDescent="0.3">
      <c r="B143" s="36"/>
      <c r="C143" s="37"/>
      <c r="D143" s="38"/>
      <c r="E143" s="39"/>
      <c r="F143" s="40"/>
      <c r="G143" s="95" t="str">
        <f>IFERROR(IF(venta_a_mes7[[#This Row],[CUIT]]="","-",VLOOKUP(venta_a_mes7[[#This Row],[CUIT]],Lista_CUIT[#All],2,0)),"CUIT NO CARGADO")</f>
        <v>-</v>
      </c>
      <c r="H143" s="96"/>
      <c r="I143" s="97">
        <f>venta_a_mes7[[#This Row],[IMPORTE NETO]]*0.21</f>
        <v>0</v>
      </c>
      <c r="J143" s="61"/>
      <c r="K143" s="61"/>
      <c r="L143" s="61">
        <f>SUM(venta_a_mes7[[#This Row],[IMPORTE NETO]:[EXENTO]])</f>
        <v>0</v>
      </c>
      <c r="M143" s="55"/>
    </row>
    <row r="144" spans="2:18" x14ac:dyDescent="0.3">
      <c r="B144" s="36"/>
      <c r="C144" s="37"/>
      <c r="D144" s="38"/>
      <c r="E144" s="39"/>
      <c r="F144" s="40"/>
      <c r="G144" s="95" t="str">
        <f>IFERROR(IF(venta_a_mes7[[#This Row],[CUIT]]="","-",VLOOKUP(venta_a_mes7[[#This Row],[CUIT]],Lista_CUIT[#All],2,0)),"CUIT NO CARGADO")</f>
        <v>-</v>
      </c>
      <c r="H144" s="96"/>
      <c r="I144" s="97">
        <f>venta_a_mes7[[#This Row],[IMPORTE NETO]]*0.21</f>
        <v>0</v>
      </c>
      <c r="J144" s="61"/>
      <c r="K144" s="61"/>
      <c r="L144" s="61">
        <f>SUM(venta_a_mes7[[#This Row],[IMPORTE NETO]:[EXENTO]])</f>
        <v>0</v>
      </c>
      <c r="M144" s="55"/>
    </row>
    <row r="145" spans="2:13" x14ac:dyDescent="0.3">
      <c r="B145" s="36"/>
      <c r="C145" s="37"/>
      <c r="D145" s="38"/>
      <c r="E145" s="39"/>
      <c r="F145" s="40"/>
      <c r="G145" s="95" t="str">
        <f>IFERROR(IF(venta_a_mes7[[#This Row],[CUIT]]="","-",VLOOKUP(venta_a_mes7[[#This Row],[CUIT]],Lista_CUIT[#All],2,0)),"CUIT NO CARGADO")</f>
        <v>-</v>
      </c>
      <c r="H145" s="96"/>
      <c r="I145" s="97">
        <f>venta_a_mes7[[#This Row],[IMPORTE NETO]]*0.21</f>
        <v>0</v>
      </c>
      <c r="J145" s="61"/>
      <c r="K145" s="61"/>
      <c r="L145" s="61">
        <f>SUM(venta_a_mes7[[#This Row],[IMPORTE NETO]:[EXENTO]])</f>
        <v>0</v>
      </c>
      <c r="M145" s="55"/>
    </row>
    <row r="146" spans="2:13" x14ac:dyDescent="0.3">
      <c r="B146" s="36"/>
      <c r="C146" s="37"/>
      <c r="D146" s="38"/>
      <c r="E146" s="39"/>
      <c r="F146" s="40"/>
      <c r="G146" s="95" t="str">
        <f>IFERROR(IF(venta_a_mes7[[#This Row],[CUIT]]="","-",VLOOKUP(venta_a_mes7[[#This Row],[CUIT]],Lista_CUIT[#All],2,0)),"CUIT NO CARGADO")</f>
        <v>-</v>
      </c>
      <c r="H146" s="96"/>
      <c r="I146" s="97">
        <f>venta_a_mes7[[#This Row],[IMPORTE NETO]]*0.21</f>
        <v>0</v>
      </c>
      <c r="J146" s="61"/>
      <c r="K146" s="61"/>
      <c r="L146" s="61">
        <f>SUM(venta_a_mes7[[#This Row],[IMPORTE NETO]:[EXENTO]])</f>
        <v>0</v>
      </c>
      <c r="M146" s="55"/>
    </row>
    <row r="147" spans="2:13" x14ac:dyDescent="0.3">
      <c r="B147" s="36"/>
      <c r="C147" s="37"/>
      <c r="D147" s="38"/>
      <c r="E147" s="39"/>
      <c r="F147" s="40"/>
      <c r="G147" s="95" t="str">
        <f>IFERROR(IF(venta_a_mes7[[#This Row],[CUIT]]="","-",VLOOKUP(venta_a_mes7[[#This Row],[CUIT]],Lista_CUIT[#All],2,0)),"CUIT NO CARGADO")</f>
        <v>-</v>
      </c>
      <c r="H147" s="96"/>
      <c r="I147" s="97">
        <f>venta_a_mes7[[#This Row],[IMPORTE NETO]]*0.21</f>
        <v>0</v>
      </c>
      <c r="J147" s="61"/>
      <c r="K147" s="61"/>
      <c r="L147" s="61">
        <f>SUM(venta_a_mes7[[#This Row],[IMPORTE NETO]:[EXENTO]])</f>
        <v>0</v>
      </c>
      <c r="M147" s="55"/>
    </row>
    <row r="148" spans="2:13" x14ac:dyDescent="0.3">
      <c r="B148" s="36"/>
      <c r="C148" s="37"/>
      <c r="D148" s="38"/>
      <c r="E148" s="39"/>
      <c r="F148" s="40"/>
      <c r="G148" s="95" t="str">
        <f>IFERROR(IF(venta_a_mes7[[#This Row],[CUIT]]="","-",VLOOKUP(venta_a_mes7[[#This Row],[CUIT]],Lista_CUIT[#All],2,0)),"CUIT NO CARGADO")</f>
        <v>-</v>
      </c>
      <c r="H148" s="96"/>
      <c r="I148" s="97">
        <f>venta_a_mes7[[#This Row],[IMPORTE NETO]]*0.21</f>
        <v>0</v>
      </c>
      <c r="J148" s="61"/>
      <c r="K148" s="61"/>
      <c r="L148" s="61">
        <f>SUM(venta_a_mes7[[#This Row],[IMPORTE NETO]:[EXENTO]])</f>
        <v>0</v>
      </c>
      <c r="M148" s="55"/>
    </row>
    <row r="149" spans="2:13" x14ac:dyDescent="0.3">
      <c r="B149" s="36"/>
      <c r="C149" s="37"/>
      <c r="D149" s="38"/>
      <c r="E149" s="39"/>
      <c r="F149" s="40"/>
      <c r="G149" s="95" t="str">
        <f>IFERROR(IF(venta_a_mes7[[#This Row],[CUIT]]="","-",VLOOKUP(venta_a_mes7[[#This Row],[CUIT]],Lista_CUIT[#All],2,0)),"CUIT NO CARGADO")</f>
        <v>-</v>
      </c>
      <c r="H149" s="96"/>
      <c r="I149" s="97">
        <f>venta_a_mes7[[#This Row],[IMPORTE NETO]]*0.21</f>
        <v>0</v>
      </c>
      <c r="J149" s="61"/>
      <c r="K149" s="61"/>
      <c r="L149" s="61">
        <f>SUM(venta_a_mes7[[#This Row],[IMPORTE NETO]:[EXENTO]])</f>
        <v>0</v>
      </c>
      <c r="M149" s="59"/>
    </row>
    <row r="150" spans="2:13" x14ac:dyDescent="0.3">
      <c r="B150" s="98"/>
      <c r="C150" s="99"/>
      <c r="D150" s="100"/>
      <c r="E150" s="101"/>
      <c r="F150" s="102"/>
      <c r="G150" s="95" t="str">
        <f>IFERROR(IF(venta_a_mes7[[#This Row],[CUIT]]="","-",VLOOKUP(venta_a_mes7[[#This Row],[CUIT]],Lista_CUIT[#All],2,0)),"CUIT NO CARGADO")</f>
        <v>-</v>
      </c>
      <c r="H150" s="103"/>
      <c r="I150" s="104">
        <f>venta_a_mes7[[#This Row],[IMPORTE NETO]]*0.21</f>
        <v>0</v>
      </c>
      <c r="J150" s="68"/>
      <c r="K150" s="68"/>
      <c r="L150" s="68">
        <f>SUM(venta_a_mes7[[#This Row],[IMPORTE NETO]:[EXENTO]])</f>
        <v>0</v>
      </c>
      <c r="M150" s="59"/>
    </row>
    <row r="151" spans="2:13" x14ac:dyDescent="0.3">
      <c r="B151" s="105"/>
      <c r="C151" s="106"/>
      <c r="D151" s="107"/>
      <c r="E151" s="108"/>
      <c r="F151" s="109"/>
      <c r="G151" s="95" t="str">
        <f>IFERROR(IF(venta_a_mes7[[#This Row],[CUIT]]="","-",VLOOKUP(venta_a_mes7[[#This Row],[CUIT]],Lista_CUIT[#All],2,0)),"CUIT NO CARGADO")</f>
        <v>-</v>
      </c>
      <c r="H151" s="96"/>
      <c r="I151" s="97">
        <f>venta_a_mes7[[#This Row],[IMPORTE NETO]]*0.21</f>
        <v>0</v>
      </c>
      <c r="J151" s="61"/>
      <c r="K151" s="61"/>
      <c r="L151" s="61">
        <f>SUM(venta_a_mes7[[#This Row],[IMPORTE NETO]:[EXENTO]])</f>
        <v>0</v>
      </c>
      <c r="M151" s="55"/>
    </row>
    <row r="152" spans="2:13" x14ac:dyDescent="0.3">
      <c r="B152" s="62" t="s">
        <v>83</v>
      </c>
      <c r="C152" s="63"/>
      <c r="D152" s="63"/>
      <c r="E152" s="63"/>
      <c r="F152" s="63"/>
      <c r="G152" s="63"/>
      <c r="H152" s="65">
        <f>SUBTOTAL(109,venta_a_mes7[IMPORTE NETO])</f>
        <v>0</v>
      </c>
      <c r="I152" s="66">
        <f>SUBTOTAL(109,venta_a_mes7[IVA 21%])</f>
        <v>0</v>
      </c>
      <c r="J152" s="67">
        <f>SUBTOTAL(109,venta_a_mes7[IVA 10,5%])</f>
        <v>0</v>
      </c>
      <c r="K152" s="67">
        <f>SUBTOTAL(109,venta_a_mes7[EXENTO])</f>
        <v>0</v>
      </c>
      <c r="L152" s="67">
        <f>SUBTOTAL(109,venta_a_mes7[TOTAL])</f>
        <v>0</v>
      </c>
      <c r="M152" s="64">
        <f>SUBTOTAL(103,venta_a_mes7[Provincia])</f>
        <v>0</v>
      </c>
    </row>
    <row r="155" spans="2:13" ht="21" x14ac:dyDescent="0.3">
      <c r="B155" s="449" t="s">
        <v>31</v>
      </c>
      <c r="C155" s="449"/>
    </row>
    <row r="156" spans="2:13" ht="15.6" x14ac:dyDescent="0.3">
      <c r="B156" s="56" t="s">
        <v>0</v>
      </c>
      <c r="C156" s="57" t="s">
        <v>1</v>
      </c>
      <c r="D156" s="57" t="s">
        <v>21</v>
      </c>
      <c r="E156" s="57" t="s">
        <v>22</v>
      </c>
      <c r="F156" s="57" t="s">
        <v>3</v>
      </c>
      <c r="G156" s="57" t="s">
        <v>4</v>
      </c>
      <c r="H156" s="57" t="s">
        <v>23</v>
      </c>
      <c r="I156" s="57" t="s">
        <v>17</v>
      </c>
      <c r="J156" s="57" t="s">
        <v>7</v>
      </c>
      <c r="K156" s="57" t="s">
        <v>24</v>
      </c>
      <c r="L156" s="57" t="s">
        <v>10</v>
      </c>
      <c r="M156" s="58" t="s">
        <v>38</v>
      </c>
    </row>
    <row r="157" spans="2:13" x14ac:dyDescent="0.3">
      <c r="B157" s="36"/>
      <c r="C157" s="37"/>
      <c r="D157" s="38"/>
      <c r="E157" s="39"/>
      <c r="F157" s="40"/>
      <c r="G157" s="1" t="str">
        <f>IFERROR(IF(ventas_b_mes7[[#This Row],[CUIT]]="","-",VLOOKUP(ventas_b_mes7[[#This Row],[CUIT]],Lista_CUIT[#All],2,0)),"CUIT NO CARGADO")</f>
        <v>-</v>
      </c>
      <c r="H157" s="60"/>
      <c r="I157" s="60"/>
      <c r="J157" s="60"/>
      <c r="K157" s="60"/>
      <c r="L157" s="60">
        <f>SUM(ventas_b_mes7[[#This Row],[IMPORTE NETO]:[EXENTO]])</f>
        <v>0</v>
      </c>
      <c r="M157" s="55"/>
    </row>
    <row r="158" spans="2:13" x14ac:dyDescent="0.3">
      <c r="B158" s="36"/>
      <c r="C158" s="37"/>
      <c r="D158" s="38"/>
      <c r="E158" s="39"/>
      <c r="F158" s="40"/>
      <c r="G158" s="1"/>
      <c r="H158" s="60"/>
      <c r="I158" s="60"/>
      <c r="J158" s="60"/>
      <c r="K158" s="60"/>
      <c r="L158" s="60">
        <f>SUM(ventas_b_mes7[[#This Row],[IMPORTE NETO]:[EXENTO]])</f>
        <v>0</v>
      </c>
      <c r="M158" s="55"/>
    </row>
    <row r="159" spans="2:13" x14ac:dyDescent="0.3">
      <c r="B159" s="36"/>
      <c r="C159" s="37"/>
      <c r="D159" s="38"/>
      <c r="E159" s="39"/>
      <c r="F159" s="40"/>
      <c r="G159" s="1"/>
      <c r="H159" s="60"/>
      <c r="I159" s="60"/>
      <c r="J159" s="60"/>
      <c r="K159" s="60"/>
      <c r="L159" s="60">
        <f>SUM(ventas_b_mes7[[#This Row],[IMPORTE NETO]:[EXENTO]])</f>
        <v>0</v>
      </c>
      <c r="M159" s="55"/>
    </row>
    <row r="160" spans="2:13" x14ac:dyDescent="0.3">
      <c r="B160" s="36"/>
      <c r="C160" s="37"/>
      <c r="D160" s="38"/>
      <c r="E160" s="39"/>
      <c r="F160" s="40"/>
      <c r="G160" s="1"/>
      <c r="H160" s="60"/>
      <c r="I160" s="60"/>
      <c r="J160" s="60"/>
      <c r="K160" s="60"/>
      <c r="L160" s="60">
        <f>SUM(ventas_b_mes7[[#This Row],[IMPORTE NETO]:[EXENTO]])</f>
        <v>0</v>
      </c>
      <c r="M160" s="55"/>
    </row>
    <row r="161" spans="2:13" x14ac:dyDescent="0.3">
      <c r="B161" s="36"/>
      <c r="C161" s="37"/>
      <c r="D161" s="38"/>
      <c r="E161" s="39"/>
      <c r="F161" s="40"/>
      <c r="G161" s="1"/>
      <c r="H161" s="60"/>
      <c r="I161" s="60"/>
      <c r="J161" s="60"/>
      <c r="K161" s="60"/>
      <c r="L161" s="60">
        <f>SUM(ventas_b_mes7[[#This Row],[IMPORTE NETO]:[EXENTO]])</f>
        <v>0</v>
      </c>
      <c r="M161" s="55"/>
    </row>
    <row r="162" spans="2:13" x14ac:dyDescent="0.3">
      <c r="B162" s="36"/>
      <c r="C162" s="37"/>
      <c r="D162" s="38"/>
      <c r="E162" s="39"/>
      <c r="F162" s="40"/>
      <c r="G162" s="1"/>
      <c r="H162" s="60"/>
      <c r="I162" s="60"/>
      <c r="J162" s="60"/>
      <c r="K162" s="60"/>
      <c r="L162" s="60">
        <f>SUM(ventas_b_mes7[[#This Row],[IMPORTE NETO]:[EXENTO]])</f>
        <v>0</v>
      </c>
      <c r="M162" s="55"/>
    </row>
    <row r="163" spans="2:13" x14ac:dyDescent="0.3">
      <c r="B163" s="62" t="s">
        <v>83</v>
      </c>
      <c r="C163" s="63"/>
      <c r="D163" s="63"/>
      <c r="E163" s="63"/>
      <c r="F163" s="63"/>
      <c r="G163" s="63"/>
      <c r="H163" s="73">
        <f>SUBTOTAL(109,ventas_b_mes7[IMPORTE NETO])</f>
        <v>0</v>
      </c>
      <c r="I163" s="73">
        <f>SUBTOTAL(109,ventas_b_mes7[IVA 21%])</f>
        <v>0</v>
      </c>
      <c r="J163" s="74">
        <f>SUBTOTAL(109,ventas_b_mes7[IVA 10,5%])</f>
        <v>0</v>
      </c>
      <c r="K163" s="74">
        <f>SUBTOTAL(109,ventas_b_mes7[EXENTO])</f>
        <v>0</v>
      </c>
      <c r="L163" s="74">
        <f>SUBTOTAL(109,ventas_b_mes7[TOTAL])</f>
        <v>0</v>
      </c>
      <c r="M163" s="64">
        <f>SUBTOTAL(103,ventas_b_mes7[Provincia])</f>
        <v>0</v>
      </c>
    </row>
    <row r="170" spans="2:13" ht="15" thickBot="1" x14ac:dyDescent="0.35"/>
    <row r="171" spans="2:13" ht="15" thickTop="1" x14ac:dyDescent="0.3">
      <c r="C171" s="447" t="s">
        <v>48</v>
      </c>
      <c r="D171" s="447"/>
      <c r="E171" s="447"/>
      <c r="F171" s="447"/>
      <c r="G171" s="447"/>
      <c r="H171" s="29"/>
      <c r="I171" s="29"/>
      <c r="J171" s="29"/>
    </row>
    <row r="172" spans="2:13" ht="15.6" x14ac:dyDescent="0.3">
      <c r="C172" s="110" t="s">
        <v>49</v>
      </c>
      <c r="D172" s="111" t="s">
        <v>50</v>
      </c>
      <c r="E172" s="111" t="s">
        <v>85</v>
      </c>
      <c r="F172" s="111" t="s">
        <v>3</v>
      </c>
      <c r="G172" s="111" t="s">
        <v>4</v>
      </c>
      <c r="H172" s="112" t="s">
        <v>51</v>
      </c>
      <c r="I172" s="112" t="s">
        <v>52</v>
      </c>
      <c r="J172" s="112" t="s">
        <v>53</v>
      </c>
      <c r="K172" s="112" t="s">
        <v>54</v>
      </c>
      <c r="L172" s="112" t="s">
        <v>55</v>
      </c>
    </row>
    <row r="173" spans="2:13" x14ac:dyDescent="0.3">
      <c r="C173" s="113"/>
      <c r="D173" s="114"/>
      <c r="E173" s="114"/>
      <c r="F173" s="115"/>
      <c r="G173" s="49" t="str">
        <f>IFERROR(IF(Retenciones_mes7[[#This Row],[CUIT]]="","-",VLOOKUP(Retenciones_mes7[[#This Row],[CUIT]],Lista_CUIT[#All],2,0)),"CUIT NO CARGADO")</f>
        <v>-</v>
      </c>
      <c r="H173" s="116"/>
      <c r="I173" s="116"/>
      <c r="J173" s="116"/>
      <c r="K173" s="116"/>
      <c r="L173" s="116"/>
    </row>
    <row r="174" spans="2:13" x14ac:dyDescent="0.3">
      <c r="C174" s="113"/>
      <c r="D174" s="114"/>
      <c r="E174" s="114"/>
      <c r="F174" s="115"/>
      <c r="G174" s="49" t="str">
        <f>IFERROR(IF(Retenciones_mes7[[#This Row],[CUIT]]="","-",VLOOKUP(Retenciones_mes7[[#This Row],[CUIT]],Lista_CUIT[#All],2,0)),"CUIT NO CARGADO")</f>
        <v>-</v>
      </c>
      <c r="H174" s="116"/>
      <c r="I174" s="116"/>
      <c r="J174" s="116"/>
      <c r="K174" s="116"/>
      <c r="L174" s="116"/>
    </row>
    <row r="175" spans="2:13" x14ac:dyDescent="0.3">
      <c r="C175" s="113"/>
      <c r="D175" s="114"/>
      <c r="E175" s="114"/>
      <c r="F175" s="115"/>
      <c r="G175" s="49" t="str">
        <f>IFERROR(IF(Retenciones_mes7[[#This Row],[CUIT]]="","-",VLOOKUP(Retenciones_mes7[[#This Row],[CUIT]],Lista_CUIT[#All],2,0)),"CUIT NO CARGADO")</f>
        <v>-</v>
      </c>
      <c r="H175" s="116"/>
      <c r="I175" s="116"/>
      <c r="J175" s="116"/>
      <c r="K175" s="116"/>
      <c r="L175" s="116"/>
    </row>
    <row r="176" spans="2:13" x14ac:dyDescent="0.3">
      <c r="C176" s="113"/>
      <c r="D176" s="114"/>
      <c r="E176" s="114"/>
      <c r="F176" s="115"/>
      <c r="G176" s="49" t="str">
        <f>IFERROR(IF(Retenciones_mes7[[#This Row],[CUIT]]="","-",VLOOKUP(Retenciones_mes7[[#This Row],[CUIT]],Lista_CUIT[#All],2,0)),"CUIT NO CARGADO")</f>
        <v>-</v>
      </c>
      <c r="H176" s="116"/>
      <c r="I176" s="116"/>
      <c r="J176" s="116"/>
      <c r="K176" s="116"/>
      <c r="L176" s="116"/>
    </row>
    <row r="177" spans="3:7" x14ac:dyDescent="0.3">
      <c r="D177" s="114"/>
      <c r="E177" s="114"/>
      <c r="G177" s="49" t="str">
        <f>IFERROR(IF(Retenciones_mes7[[#This Row],[CUIT]]="","-",VLOOKUP(Retenciones_mes7[[#This Row],[CUIT]],Lista_CUIT[#All],2,0)),"CUIT NO CARGADO")</f>
        <v>-</v>
      </c>
    </row>
    <row r="178" spans="3:7" x14ac:dyDescent="0.3">
      <c r="C178" s="30"/>
    </row>
  </sheetData>
  <mergeCells count="20">
    <mergeCell ref="D109:M109"/>
    <mergeCell ref="C171:G171"/>
    <mergeCell ref="B4:E4"/>
    <mergeCell ref="G4:H4"/>
    <mergeCell ref="J4:K4"/>
    <mergeCell ref="M4:N4"/>
    <mergeCell ref="D127:K127"/>
    <mergeCell ref="B139:J139"/>
    <mergeCell ref="K139:M139"/>
    <mergeCell ref="B141:C141"/>
    <mergeCell ref="B155:C155"/>
    <mergeCell ref="P4:R4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whole" allowBlank="1" showInputMessage="1" showErrorMessage="1" sqref="D9:D103 E129:E132 D143:D151 D157:D162">
      <formula1>1</formula1>
      <formula2>9999</formula2>
    </dataValidation>
    <dataValidation type="whole" allowBlank="1" showInputMessage="1" showErrorMessage="1" sqref="E9:E103 F129:F132 E143:E151 E157:E162">
      <formula1>1</formula1>
      <formula2>99999999</formula2>
    </dataValidation>
    <dataValidation type="whole" allowBlank="1" showInputMessage="1" showErrorMessage="1" sqref="F9:F103 G129:G132 F143:F151 F157:F162">
      <formula1>20000000000</formula1>
      <formula2>33999999999</formula2>
    </dataValidation>
    <dataValidation type="date" allowBlank="1" showInputMessage="1" showErrorMessage="1" sqref="B9:B103 B143:B151 D129:D132 B157:B162 B105:B108 D111:D120">
      <formula1>40179</formula1>
      <formula2>TODAY()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03">
      <formula1>IF($C9=3,H9&lt;0,H9&gt;=0)</formula1>
    </dataValidation>
    <dataValidation type="whole" allowBlank="1" showInputMessage="1" showErrorMessage="1" sqref="C9:C103 C143:C151 C105:C108">
      <formula1>1</formula1>
      <formula2>3</formula2>
    </dataValidation>
    <dataValidation type="custom" allowBlank="1" showInputMessage="1" showErrorMessage="1" sqref="H143:K143 H145:K145 H147:K147 H149:K149">
      <formula1>IF($C143=3,H143&lt;0,H143&gt;=0)</formula1>
    </dataValidation>
    <dataValidation type="whole" allowBlank="1" showInputMessage="1" showErrorMessage="1" sqref="C157:C162">
      <formula1>6</formula1>
      <formula2>8</formula2>
    </dataValidation>
    <dataValidation type="custom" allowBlank="1" showInputMessage="1" showErrorMessage="1" sqref="L143:L144">
      <formula1>IF($C9=3,L9&lt;0,L9&gt;=0)</formula1>
    </dataValidation>
    <dataValidation type="custom" allowBlank="1" showInputMessage="1" showErrorMessage="1" sqref="L145:L147">
      <formula1>IF($C13=3,L13&lt;0,L13&gt;=0)</formula1>
    </dataValidation>
    <dataValidation type="custom" allowBlank="1" showInputMessage="1" showErrorMessage="1" sqref="H157:L162">
      <formula1>IF($C157=8,H157&lt;0,H157&gt;=0)</formula1>
    </dataValidation>
    <dataValidation type="custom" allowBlank="1" showInputMessage="1" showErrorMessage="1" sqref="L148:L149">
      <formula1>IF($C104=3,L104&lt;0,L104&gt;=0)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tabColor theme="9" tint="0.79998168889431442"/>
  </sheetPr>
  <dimension ref="A1:Z165"/>
  <sheetViews>
    <sheetView showGridLines="0" topLeftCell="C70" zoomScale="70" zoomScaleNormal="70" workbookViewId="0">
      <selection activeCell="C110" sqref="A96:XFD110"/>
    </sheetView>
  </sheetViews>
  <sheetFormatPr baseColWidth="1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14.5546875" customWidth="1"/>
    <col min="9" max="9" width="15.3320312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19.33203125" customWidth="1"/>
    <col min="17" max="17" width="19.44140625" bestFit="1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</cols>
  <sheetData>
    <row r="1" spans="1:26" ht="34.950000000000003" customHeight="1" x14ac:dyDescent="0.3">
      <c r="A1" s="33"/>
      <c r="B1" s="450" t="s">
        <v>28</v>
      </c>
      <c r="C1" s="450"/>
      <c r="D1" s="450"/>
      <c r="E1" s="450"/>
      <c r="F1" s="450"/>
      <c r="G1" s="457" t="str">
        <f>'Ene-22'!G1:M1</f>
        <v>EUROARGENTINA</v>
      </c>
      <c r="H1" s="457"/>
      <c r="I1" s="457"/>
      <c r="J1" s="457"/>
      <c r="K1" s="457"/>
      <c r="L1" s="457"/>
      <c r="M1" s="457"/>
      <c r="N1" s="448">
        <f>EDATE('Ene-22'!N1,7)</f>
        <v>44774</v>
      </c>
      <c r="O1" s="448"/>
      <c r="P1" s="448"/>
      <c r="Q1" s="448"/>
      <c r="R1" s="448"/>
    </row>
    <row r="2" spans="1:26" ht="15" customHeight="1" x14ac:dyDescent="0.3"/>
    <row r="3" spans="1:26" ht="26.4" customHeight="1" x14ac:dyDescent="0.3">
      <c r="B3" s="453" t="s">
        <v>47</v>
      </c>
      <c r="C3" s="453"/>
      <c r="D3" s="453"/>
      <c r="E3" s="453"/>
      <c r="F3" s="34"/>
      <c r="G3" s="453" t="s">
        <v>37</v>
      </c>
      <c r="H3" s="453"/>
      <c r="I3" s="34"/>
      <c r="J3" s="445" t="s">
        <v>14</v>
      </c>
      <c r="K3" s="445"/>
      <c r="L3" s="34"/>
      <c r="M3" s="445" t="s">
        <v>12</v>
      </c>
      <c r="N3" s="445"/>
      <c r="O3" s="34"/>
      <c r="P3" s="444" t="s">
        <v>82</v>
      </c>
      <c r="Q3" s="444"/>
      <c r="R3" s="444"/>
    </row>
    <row r="4" spans="1:26" ht="25.2" customHeight="1" x14ac:dyDescent="0.4">
      <c r="B4" s="454" t="e">
        <f>SUM(compras_mes8[[#Totals],[NETO GRAVADO]])+#REF!</f>
        <v>#REF!</v>
      </c>
      <c r="C4" s="454"/>
      <c r="D4" s="454"/>
      <c r="E4" s="454"/>
      <c r="F4" s="35"/>
      <c r="G4" s="455" t="e">
        <f>compras_mes8[[#Totals],[IVA 21 %]]+compras_mes8[[#Totals],[IVA 27%]]+compras_mes8[[#Totals],[IVA 10,5%]]+#REF!+#REF!</f>
        <v>#REF!</v>
      </c>
      <c r="H4" s="455"/>
      <c r="I4" s="35"/>
      <c r="J4" s="446">
        <f>venta_a_mes8[[#Totals],[IMPORTE NETO]]+ventas_b_mes8[[#Totals],[IMPORTE NETO]]</f>
        <v>0</v>
      </c>
      <c r="K4" s="446"/>
      <c r="L4" s="35"/>
      <c r="M4" s="446">
        <f>venta_a_mes8[[#Totals],[IVA 21%]]+venta_a_mes8[[#Totals],[IVA 10,5%]]+ventas_b_mes8[[#Totals],[IVA 21%]]+ventas_b_mes8[[#Totals],[IVA 10,5%]]</f>
        <v>0</v>
      </c>
      <c r="N4" s="446"/>
      <c r="O4" s="35"/>
      <c r="P4" s="442" t="e">
        <f>G4-M4</f>
        <v>#REF!</v>
      </c>
      <c r="Q4" s="443"/>
      <c r="R4" s="44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36"/>
      <c r="C7" s="37"/>
      <c r="D7" s="38"/>
      <c r="E7" s="39"/>
      <c r="F7" s="40"/>
      <c r="G7" s="41"/>
      <c r="H7" s="42"/>
      <c r="I7" s="43"/>
      <c r="J7" s="43"/>
      <c r="K7" s="43"/>
      <c r="L7" s="43"/>
      <c r="M7" s="43"/>
      <c r="N7" s="43"/>
      <c r="O7" s="43"/>
      <c r="P7" s="44"/>
      <c r="Q7" s="45"/>
      <c r="R7" s="45"/>
      <c r="T7"/>
      <c r="U7"/>
      <c r="V7"/>
      <c r="W7"/>
      <c r="X7"/>
      <c r="Y7"/>
      <c r="Z7"/>
    </row>
    <row r="8" spans="1:26" ht="38.4" customHeight="1" x14ac:dyDescent="0.3">
      <c r="B8" s="80" t="s">
        <v>0</v>
      </c>
      <c r="C8" s="80" t="s">
        <v>1</v>
      </c>
      <c r="D8" s="80" t="s">
        <v>2</v>
      </c>
      <c r="E8" s="80" t="s">
        <v>27</v>
      </c>
      <c r="F8" s="80" t="s">
        <v>3</v>
      </c>
      <c r="G8" s="80" t="s">
        <v>4</v>
      </c>
      <c r="H8" s="80" t="s">
        <v>34</v>
      </c>
      <c r="I8" s="80" t="s">
        <v>35</v>
      </c>
      <c r="J8" s="80" t="s">
        <v>6</v>
      </c>
      <c r="K8" s="80" t="s">
        <v>7</v>
      </c>
      <c r="L8" s="80" t="s">
        <v>8</v>
      </c>
      <c r="M8" s="80" t="s">
        <v>33</v>
      </c>
      <c r="N8" s="80" t="s">
        <v>9</v>
      </c>
      <c r="O8" s="80" t="s">
        <v>36</v>
      </c>
      <c r="P8" s="80" t="s">
        <v>10</v>
      </c>
      <c r="Q8" s="80" t="s">
        <v>11</v>
      </c>
      <c r="R8" s="80" t="s">
        <v>38</v>
      </c>
    </row>
    <row r="9" spans="1:26" x14ac:dyDescent="0.3">
      <c r="B9" s="36">
        <v>44638</v>
      </c>
      <c r="C9" s="37">
        <v>1</v>
      </c>
      <c r="D9" s="38">
        <v>2</v>
      </c>
      <c r="E9" s="39">
        <v>152</v>
      </c>
      <c r="F9" s="40">
        <v>27309896063</v>
      </c>
      <c r="G9" s="41" t="str">
        <f>IFERROR(IF(compras_mes8[[#This Row],[CUIT]]="","-",VLOOKUP(compras_mes8[[#This Row],[CUIT]],Lista_CUIT[#All],2,0)),"CUIT NO CARGADO")</f>
        <v>BATTELLINI MARIA SOLEDAD</v>
      </c>
      <c r="H9" s="42">
        <v>18000</v>
      </c>
      <c r="I9" s="81">
        <v>3780</v>
      </c>
      <c r="J9" s="81"/>
      <c r="K9" s="81"/>
      <c r="L9" s="81"/>
      <c r="M9" s="81"/>
      <c r="N9" s="81"/>
      <c r="O9" s="81"/>
      <c r="P9" s="44">
        <v>21780</v>
      </c>
      <c r="Q9" s="45" t="str">
        <f>IFERROR(IF(compras_mes8[[#This Row],[CUIT]]="","-",VLOOKUP(compras_mes8[[#This Row],[CUIT]],Lista_CUIT[#All],3,0)),"CUIT NO CARGADO")</f>
        <v>Alquiler</v>
      </c>
      <c r="R9" s="45">
        <f>IFERROR(IF(compras_mes8[[#This Row],[CUIT]]="","-",VLOOKUP(compras_mes8[[#This Row],[CUIT]],Lista_CUIT[#All],4,0)),"CUIT NO CARGADO")</f>
        <v>0</v>
      </c>
    </row>
    <row r="10" spans="1:26" x14ac:dyDescent="0.3">
      <c r="B10" s="36">
        <v>44658</v>
      </c>
      <c r="C10" s="37">
        <v>1</v>
      </c>
      <c r="D10" s="38">
        <v>2</v>
      </c>
      <c r="E10" s="39">
        <v>156</v>
      </c>
      <c r="F10" s="40">
        <v>27309896063</v>
      </c>
      <c r="G10" s="41" t="str">
        <f>IFERROR(IF(compras_mes8[[#This Row],[CUIT]]="","-",VLOOKUP(compras_mes8[[#This Row],[CUIT]],Lista_CUIT[#All],2,0)),"CUIT NO CARGADO")</f>
        <v>BATTELLINI MARIA SOLEDAD</v>
      </c>
      <c r="H10" s="42">
        <v>18000</v>
      </c>
      <c r="I10" s="81">
        <v>3780</v>
      </c>
      <c r="J10" s="81"/>
      <c r="K10" s="81"/>
      <c r="L10" s="81"/>
      <c r="M10" s="81"/>
      <c r="N10" s="81"/>
      <c r="O10" s="81"/>
      <c r="P10" s="44">
        <v>21780</v>
      </c>
      <c r="Q10" s="45" t="str">
        <f>IFERROR(IF(compras_mes8[[#This Row],[CUIT]]="","-",VLOOKUP(compras_mes8[[#This Row],[CUIT]],Lista_CUIT[#All],3,0)),"CUIT NO CARGADO")</f>
        <v>Alquiler</v>
      </c>
      <c r="R10" s="45">
        <f>IFERROR(IF(compras_mes8[[#This Row],[CUIT]]="","-",VLOOKUP(compras_mes8[[#This Row],[CUIT]],Lista_CUIT[#All],4,0)),"CUIT NO CARGADO")</f>
        <v>0</v>
      </c>
    </row>
    <row r="11" spans="1:26" x14ac:dyDescent="0.3">
      <c r="B11" s="36">
        <v>44691</v>
      </c>
      <c r="C11" s="37">
        <v>1</v>
      </c>
      <c r="D11" s="38">
        <v>2</v>
      </c>
      <c r="E11" s="39">
        <v>161</v>
      </c>
      <c r="F11" s="40">
        <v>27309896063</v>
      </c>
      <c r="G11" s="41" t="str">
        <f>IFERROR(IF(compras_mes8[[#This Row],[CUIT]]="","-",VLOOKUP(compras_mes8[[#This Row],[CUIT]],Lista_CUIT[#All],2,0)),"CUIT NO CARGADO")</f>
        <v>BATTELLINI MARIA SOLEDAD</v>
      </c>
      <c r="H11" s="42">
        <v>18000</v>
      </c>
      <c r="I11" s="81">
        <v>3780</v>
      </c>
      <c r="J11" s="81"/>
      <c r="K11" s="81"/>
      <c r="L11" s="81"/>
      <c r="M11" s="81"/>
      <c r="N11" s="81"/>
      <c r="O11" s="81"/>
      <c r="P11" s="44">
        <v>21780</v>
      </c>
      <c r="Q11" s="84" t="str">
        <f>IFERROR(IF(compras_mes8[[#This Row],[CUIT]]="","-",VLOOKUP(compras_mes8[[#This Row],[CUIT]],Lista_CUIT[#All],3,0)),"CUIT NO CARGADO")</f>
        <v>Alquiler</v>
      </c>
      <c r="R11" s="84">
        <f>IFERROR(IF(compras_mes8[[#This Row],[CUIT]]="","-",VLOOKUP(compras_mes8[[#This Row],[CUIT]],Lista_CUIT[#All],4,0)),"CUIT NO CARGADO")</f>
        <v>0</v>
      </c>
    </row>
    <row r="12" spans="1:26" x14ac:dyDescent="0.3">
      <c r="B12" s="36">
        <v>44714</v>
      </c>
      <c r="C12" s="37">
        <v>1</v>
      </c>
      <c r="D12" s="38">
        <v>2</v>
      </c>
      <c r="E12" s="39">
        <v>164</v>
      </c>
      <c r="F12" s="40">
        <v>27309896063</v>
      </c>
      <c r="G12" s="41" t="str">
        <f>IFERROR(IF(compras_mes8[[#This Row],[CUIT]]="","-",VLOOKUP(compras_mes8[[#This Row],[CUIT]],Lista_CUIT[#All],2,0)),"CUIT NO CARGADO")</f>
        <v>BATTELLINI MARIA SOLEDAD</v>
      </c>
      <c r="H12" s="42">
        <v>18000</v>
      </c>
      <c r="I12" s="81">
        <v>3780</v>
      </c>
      <c r="J12" s="81"/>
      <c r="K12" s="81"/>
      <c r="L12" s="81"/>
      <c r="M12" s="81"/>
      <c r="N12" s="81"/>
      <c r="O12" s="81"/>
      <c r="P12" s="44">
        <v>21780</v>
      </c>
      <c r="Q12" s="84" t="str">
        <f>IFERROR(IF(compras_mes8[[#This Row],[CUIT]]="","-",VLOOKUP(compras_mes8[[#This Row],[CUIT]],Lista_CUIT[#All],3,0)),"CUIT NO CARGADO")</f>
        <v>Alquiler</v>
      </c>
      <c r="R12" s="84">
        <f>IFERROR(IF(compras_mes8[[#This Row],[CUIT]]="","-",VLOOKUP(compras_mes8[[#This Row],[CUIT]],Lista_CUIT[#All],4,0)),"CUIT NO CARGADO")</f>
        <v>0</v>
      </c>
    </row>
    <row r="13" spans="1:26" x14ac:dyDescent="0.3">
      <c r="B13" s="36">
        <v>44774</v>
      </c>
      <c r="C13" s="37">
        <v>1</v>
      </c>
      <c r="D13" s="38">
        <v>1</v>
      </c>
      <c r="E13" s="39">
        <v>280</v>
      </c>
      <c r="F13" s="40">
        <v>20131206144</v>
      </c>
      <c r="G13" s="41" t="str">
        <f>IFERROR(IF(compras_mes8[[#This Row],[CUIT]]="","-",VLOOKUP(compras_mes8[[#This Row],[CUIT]],Lista_CUIT[#All],2,0)),"CUIT NO CARGADO")</f>
        <v>CHAMORRO MANUEL</v>
      </c>
      <c r="H13" s="42">
        <v>18000</v>
      </c>
      <c r="I13" s="81">
        <v>3780</v>
      </c>
      <c r="J13" s="81"/>
      <c r="K13" s="81"/>
      <c r="L13" s="81"/>
      <c r="M13" s="81"/>
      <c r="N13" s="81"/>
      <c r="O13" s="81"/>
      <c r="P13" s="44">
        <v>21780</v>
      </c>
      <c r="Q13" s="45" t="str">
        <f>IFERROR(IF(compras_mes8[[#This Row],[CUIT]]="","-",VLOOKUP(compras_mes8[[#This Row],[CUIT]],Lista_CUIT[#All],3,0)),"CUIT NO CARGADO")</f>
        <v>Alquiler</v>
      </c>
      <c r="R13" s="45">
        <f>IFERROR(IF(compras_mes8[[#This Row],[CUIT]]="","-",VLOOKUP(compras_mes8[[#This Row],[CUIT]],Lista_CUIT[#All],4,0)),"CUIT NO CARGADO")</f>
        <v>0</v>
      </c>
    </row>
    <row r="14" spans="1:26" x14ac:dyDescent="0.3">
      <c r="B14" s="36">
        <v>44776</v>
      </c>
      <c r="C14" s="37">
        <v>1</v>
      </c>
      <c r="D14" s="38">
        <v>1</v>
      </c>
      <c r="E14" s="39">
        <v>44</v>
      </c>
      <c r="F14" s="40">
        <v>30716010313</v>
      </c>
      <c r="G14" s="41" t="str">
        <f>IFERROR(IF(compras_mes8[[#This Row],[CUIT]]="","-",VLOOKUP(compras_mes8[[#This Row],[CUIT]],Lista_CUIT[#All],2,0)),"CUIT NO CARGADO")</f>
        <v>H UNO 1469 S.A.</v>
      </c>
      <c r="H14" s="42">
        <v>32000</v>
      </c>
      <c r="I14" s="81">
        <v>6720</v>
      </c>
      <c r="J14" s="81"/>
      <c r="K14" s="81"/>
      <c r="L14" s="81"/>
      <c r="M14" s="81"/>
      <c r="N14" s="81"/>
      <c r="O14" s="81"/>
      <c r="P14" s="44">
        <v>38720</v>
      </c>
      <c r="Q14" s="45" t="str">
        <f>IFERROR(IF(compras_mes8[[#This Row],[CUIT]]="","-",VLOOKUP(compras_mes8[[#This Row],[CUIT]],Lista_CUIT[#All],3,0)),"CUIT NO CARGADO")</f>
        <v>Alquiler</v>
      </c>
      <c r="R14" s="45">
        <f>IFERROR(IF(compras_mes8[[#This Row],[CUIT]]="","-",VLOOKUP(compras_mes8[[#This Row],[CUIT]],Lista_CUIT[#All],4,0)),"CUIT NO CARGADO")</f>
        <v>0</v>
      </c>
    </row>
    <row r="15" spans="1:26" x14ac:dyDescent="0.3">
      <c r="B15" s="36">
        <v>44791</v>
      </c>
      <c r="C15" s="37">
        <v>1</v>
      </c>
      <c r="D15" s="38">
        <v>2</v>
      </c>
      <c r="E15" s="39">
        <v>173</v>
      </c>
      <c r="F15" s="40">
        <v>27309896063</v>
      </c>
      <c r="G15" s="41" t="str">
        <f>IFERROR(IF(compras_mes8[[#This Row],[CUIT]]="","-",VLOOKUP(compras_mes8[[#This Row],[CUIT]],Lista_CUIT[#All],2,0)),"CUIT NO CARGADO")</f>
        <v>BATTELLINI MARIA SOLEDAD</v>
      </c>
      <c r="H15" s="42">
        <v>18000</v>
      </c>
      <c r="I15" s="81">
        <v>3780</v>
      </c>
      <c r="J15" s="81"/>
      <c r="K15" s="81"/>
      <c r="L15" s="81"/>
      <c r="M15" s="81"/>
      <c r="N15" s="81"/>
      <c r="O15" s="81"/>
      <c r="P15" s="44">
        <v>21780</v>
      </c>
      <c r="Q15" s="45" t="str">
        <f>IFERROR(IF(compras_mes8[[#This Row],[CUIT]]="","-",VLOOKUP(compras_mes8[[#This Row],[CUIT]],Lista_CUIT[#All],3,0)),"CUIT NO CARGADO")</f>
        <v>Alquiler</v>
      </c>
      <c r="R15" s="45">
        <f>IFERROR(IF(compras_mes8[[#This Row],[CUIT]]="","-",VLOOKUP(compras_mes8[[#This Row],[CUIT]],Lista_CUIT[#All],4,0)),"CUIT NO CARGADO")</f>
        <v>0</v>
      </c>
    </row>
    <row r="16" spans="1:26" s="52" customFormat="1" ht="18.600000000000001" customHeight="1" x14ac:dyDescent="0.3">
      <c r="B16" s="36">
        <v>44789</v>
      </c>
      <c r="C16" s="37">
        <v>1</v>
      </c>
      <c r="D16" s="38">
        <v>13</v>
      </c>
      <c r="E16" s="39">
        <v>4089</v>
      </c>
      <c r="F16" s="40">
        <v>30627539629</v>
      </c>
      <c r="G16" s="41" t="str">
        <f>IFERROR(IF(compras_mes8[[#This Row],[CUIT]]="","-",VLOOKUP(compras_mes8[[#This Row],[CUIT]],Lista_CUIT[#All],2,0)),"CUIT NO CARGADO")</f>
        <v>LEJEM  SA</v>
      </c>
      <c r="H16" s="42">
        <v>9616.84</v>
      </c>
      <c r="I16" s="81">
        <v>2019.5364</v>
      </c>
      <c r="J16" s="81"/>
      <c r="K16" s="81"/>
      <c r="L16" s="81"/>
      <c r="M16" s="81"/>
      <c r="N16" s="81">
        <v>1035.52</v>
      </c>
      <c r="O16" s="81">
        <v>14.94</v>
      </c>
      <c r="P16" s="44">
        <v>12686.836400000002</v>
      </c>
      <c r="Q16" s="84" t="str">
        <f>IFERROR(IF(compras_mes8[[#This Row],[CUIT]]="","-",VLOOKUP(compras_mes8[[#This Row],[CUIT]],Lista_CUIT[#All],3,0)),"CUIT NO CARGADO")</f>
        <v>Combustible</v>
      </c>
      <c r="R16" s="84">
        <f>IFERROR(IF(compras_mes8[[#This Row],[CUIT]]="","-",VLOOKUP(compras_mes8[[#This Row],[CUIT]],Lista_CUIT[#All],4,0)),"CUIT NO CARGADO")</f>
        <v>0</v>
      </c>
    </row>
    <row r="17" spans="2:18" x14ac:dyDescent="0.3">
      <c r="B17" s="36">
        <v>44790</v>
      </c>
      <c r="C17" s="37">
        <v>1</v>
      </c>
      <c r="D17" s="38">
        <v>5315</v>
      </c>
      <c r="E17" s="39">
        <v>10794</v>
      </c>
      <c r="F17" s="40">
        <v>30695542476</v>
      </c>
      <c r="G17" s="41" t="str">
        <f>IFERROR(IF(compras_mes8[[#This Row],[CUIT]]="","-",VLOOKUP(compras_mes8[[#This Row],[CUIT]],Lista_CUIT[#All],2,0)),"CUIT NO CARGADO")</f>
        <v>PAN  AMERICAN  ENERGY  SL  S.AR</v>
      </c>
      <c r="H17" s="42">
        <v>2137.5500000000002</v>
      </c>
      <c r="I17" s="81">
        <v>448.88550000000004</v>
      </c>
      <c r="J17" s="81"/>
      <c r="K17" s="81"/>
      <c r="L17" s="81"/>
      <c r="M17" s="81"/>
      <c r="N17" s="81">
        <v>413.56</v>
      </c>
      <c r="O17" s="81">
        <v>64.13</v>
      </c>
      <c r="P17" s="44">
        <v>3064.1255000000001</v>
      </c>
      <c r="Q17" s="45" t="str">
        <f>IFERROR(IF(compras_mes8[[#This Row],[CUIT]]="","-",VLOOKUP(compras_mes8[[#This Row],[CUIT]],Lista_CUIT[#All],3,0)),"CUIT NO CARGADO")</f>
        <v>Combustible</v>
      </c>
      <c r="R17" s="45">
        <f>IFERROR(IF(compras_mes8[[#This Row],[CUIT]]="","-",VLOOKUP(compras_mes8[[#This Row],[CUIT]],Lista_CUIT[#All],4,0)),"CUIT NO CARGADO")</f>
        <v>0</v>
      </c>
    </row>
    <row r="18" spans="2:18" x14ac:dyDescent="0.3">
      <c r="B18" s="36">
        <v>44795</v>
      </c>
      <c r="C18" s="37">
        <v>1</v>
      </c>
      <c r="D18" s="38">
        <v>20</v>
      </c>
      <c r="E18" s="39">
        <v>4471</v>
      </c>
      <c r="F18" s="40">
        <v>30515800219</v>
      </c>
      <c r="G18" s="41" t="str">
        <f>IFERROR(IF(compras_mes8[[#This Row],[CUIT]]="","-",VLOOKUP(compras_mes8[[#This Row],[CUIT]],Lista_CUIT[#All],2,0)),"CUIT NO CARGADO")</f>
        <v>INCAT SRL</v>
      </c>
      <c r="H18" s="42">
        <v>4048.75</v>
      </c>
      <c r="I18" s="81">
        <v>850.23749999999995</v>
      </c>
      <c r="J18" s="81"/>
      <c r="K18" s="81"/>
      <c r="L18" s="81"/>
      <c r="M18" s="81"/>
      <c r="N18" s="81">
        <v>821.28</v>
      </c>
      <c r="O18" s="81"/>
      <c r="P18" s="44">
        <v>5720.2674999999999</v>
      </c>
      <c r="Q18" s="45" t="str">
        <f>IFERROR(IF(compras_mes8[[#This Row],[CUIT]]="","-",VLOOKUP(compras_mes8[[#This Row],[CUIT]],Lista_CUIT[#All],3,0)),"CUIT NO CARGADO")</f>
        <v>Combustible</v>
      </c>
      <c r="R18" s="45">
        <f>IFERROR(IF(compras_mes8[[#This Row],[CUIT]]="","-",VLOOKUP(compras_mes8[[#This Row],[CUIT]],Lista_CUIT[#All],4,0)),"CUIT NO CARGADO")</f>
        <v>0</v>
      </c>
    </row>
    <row r="19" spans="2:18" x14ac:dyDescent="0.3">
      <c r="B19" s="36">
        <v>44800</v>
      </c>
      <c r="C19" s="37">
        <v>1</v>
      </c>
      <c r="D19" s="38">
        <v>11</v>
      </c>
      <c r="E19" s="39">
        <v>12313</v>
      </c>
      <c r="F19" s="40">
        <v>30696131003</v>
      </c>
      <c r="G19" s="41" t="str">
        <f>IFERROR(IF(compras_mes8[[#This Row],[CUIT]]="","-",VLOOKUP(compras_mes8[[#This Row],[CUIT]],Lista_CUIT[#All],2,0)),"CUIT NO CARGADO")</f>
        <v>PETROLFE  S.A.</v>
      </c>
      <c r="H19" s="42">
        <v>71066.759999999995</v>
      </c>
      <c r="I19" s="81">
        <v>14924.019599999998</v>
      </c>
      <c r="J19" s="81"/>
      <c r="K19" s="81"/>
      <c r="L19" s="81"/>
      <c r="M19" s="81"/>
      <c r="N19" s="81">
        <v>15815.93</v>
      </c>
      <c r="O19" s="81"/>
      <c r="P19" s="44">
        <v>101806.7096</v>
      </c>
      <c r="Q19" s="45" t="str">
        <f>IFERROR(IF(compras_mes8[[#This Row],[CUIT]]="","-",VLOOKUP(compras_mes8[[#This Row],[CUIT]],Lista_CUIT[#All],3,0)),"CUIT NO CARGADO")</f>
        <v>Combustible</v>
      </c>
      <c r="R19" s="45">
        <f>IFERROR(IF(compras_mes8[[#This Row],[CUIT]]="","-",VLOOKUP(compras_mes8[[#This Row],[CUIT]],Lista_CUIT[#All],4,0)),"CUIT NO CARGADO")</f>
        <v>0</v>
      </c>
    </row>
    <row r="20" spans="2:18" ht="14.4" customHeight="1" x14ac:dyDescent="0.3">
      <c r="B20" s="36">
        <v>44804</v>
      </c>
      <c r="C20" s="37">
        <v>1</v>
      </c>
      <c r="D20" s="38">
        <v>6854</v>
      </c>
      <c r="E20" s="39">
        <v>7184</v>
      </c>
      <c r="F20" s="40">
        <v>30678774495</v>
      </c>
      <c r="G20" s="41" t="str">
        <f>IFERROR(IF(compras_mes8[[#This Row],[CUIT]]="","-",VLOOKUP(compras_mes8[[#This Row],[CUIT]],Lista_CUIT[#All],2,0)),"CUIT NO CARGADO")</f>
        <v>OPER. DE EST. DE SERV. SA</v>
      </c>
      <c r="H20" s="42">
        <v>25734.44</v>
      </c>
      <c r="I20" s="81">
        <v>5404.2323999999999</v>
      </c>
      <c r="J20" s="81"/>
      <c r="K20" s="81"/>
      <c r="L20" s="81"/>
      <c r="M20" s="81"/>
      <c r="N20" s="81">
        <v>5526.72</v>
      </c>
      <c r="O20" s="81"/>
      <c r="P20" s="44">
        <v>36665.392399999997</v>
      </c>
      <c r="Q20" s="45" t="str">
        <f>IFERROR(IF(compras_mes8[[#This Row],[CUIT]]="","-",VLOOKUP(compras_mes8[[#This Row],[CUIT]],Lista_CUIT[#All],3,0)),"CUIT NO CARGADO")</f>
        <v>Combustible</v>
      </c>
      <c r="R20" s="45">
        <f>IFERROR(IF(compras_mes8[[#This Row],[CUIT]]="","-",VLOOKUP(compras_mes8[[#This Row],[CUIT]],Lista_CUIT[#All],4,0)),"CUIT NO CARGADO")</f>
        <v>0</v>
      </c>
    </row>
    <row r="21" spans="2:18" x14ac:dyDescent="0.3">
      <c r="B21" s="36">
        <v>44802</v>
      </c>
      <c r="C21" s="37">
        <v>1</v>
      </c>
      <c r="D21" s="38">
        <v>6</v>
      </c>
      <c r="E21" s="39">
        <v>2563</v>
      </c>
      <c r="F21" s="40">
        <v>20134664518</v>
      </c>
      <c r="G21" s="41" t="str">
        <f>IFERROR(IF(compras_mes8[[#This Row],[CUIT]]="","-",VLOOKUP(compras_mes8[[#This Row],[CUIT]],Lista_CUIT[#All],2,0)),"CUIT NO CARGADO")</f>
        <v>HOKAMA SERGIO ENRIQUE</v>
      </c>
      <c r="H21" s="42">
        <v>28425.57</v>
      </c>
      <c r="I21" s="81">
        <v>5969.3696999999993</v>
      </c>
      <c r="J21" s="81"/>
      <c r="K21" s="81"/>
      <c r="L21" s="81"/>
      <c r="M21" s="81"/>
      <c r="N21" s="81"/>
      <c r="O21" s="81"/>
      <c r="P21" s="44">
        <v>34394.939700000003</v>
      </c>
      <c r="Q21" s="45" t="str">
        <f>IFERROR(IF(compras_mes8[[#This Row],[CUIT]]="","-",VLOOKUP(compras_mes8[[#This Row],[CUIT]],Lista_CUIT[#All],3,0)),"CUIT NO CARGADO")</f>
        <v>Comida-Limpieza</v>
      </c>
      <c r="R21" s="45">
        <f>IFERROR(IF(compras_mes8[[#This Row],[CUIT]]="","-",VLOOKUP(compras_mes8[[#This Row],[CUIT]],Lista_CUIT[#All],4,0)),"CUIT NO CARGADO")</f>
        <v>0</v>
      </c>
    </row>
    <row r="22" spans="2:18" x14ac:dyDescent="0.3">
      <c r="B22" s="36">
        <v>44803</v>
      </c>
      <c r="C22" s="37">
        <v>1</v>
      </c>
      <c r="D22" s="38">
        <v>1676</v>
      </c>
      <c r="E22" s="39">
        <v>6809</v>
      </c>
      <c r="F22" s="40">
        <v>30589621499</v>
      </c>
      <c r="G22" s="41" t="str">
        <f>IFERROR(IF(compras_mes8[[#This Row],[CUIT]]="","-",VLOOKUP(compras_mes8[[#This Row],[CUIT]],Lista_CUIT[#All],2,0)),"CUIT NO CARGADO")</f>
        <v>MAKRO SA</v>
      </c>
      <c r="H22" s="42">
        <v>51830.25</v>
      </c>
      <c r="I22" s="81">
        <v>10653.73</v>
      </c>
      <c r="J22" s="81"/>
      <c r="K22" s="81"/>
      <c r="L22" s="81">
        <v>1521.96</v>
      </c>
      <c r="M22" s="81"/>
      <c r="N22" s="81">
        <v>207.12</v>
      </c>
      <c r="O22" s="81">
        <v>3109.82</v>
      </c>
      <c r="P22" s="44">
        <v>67322.880000000005</v>
      </c>
      <c r="Q22" s="45" t="str">
        <f>IFERROR(IF(compras_mes8[[#This Row],[CUIT]]="","-",VLOOKUP(compras_mes8[[#This Row],[CUIT]],Lista_CUIT[#All],3,0)),"CUIT NO CARGADO")</f>
        <v>Comida-Limpieza</v>
      </c>
      <c r="R22" s="45">
        <f>IFERROR(IF(compras_mes8[[#This Row],[CUIT]]="","-",VLOOKUP(compras_mes8[[#This Row],[CUIT]],Lista_CUIT[#All],4,0)),"CUIT NO CARGADO")</f>
        <v>0</v>
      </c>
    </row>
    <row r="23" spans="2:18" ht="14.4" customHeight="1" x14ac:dyDescent="0.3">
      <c r="B23" s="36">
        <v>44799</v>
      </c>
      <c r="C23" s="37">
        <v>1</v>
      </c>
      <c r="D23" s="38">
        <v>7</v>
      </c>
      <c r="E23" s="39">
        <v>22777070</v>
      </c>
      <c r="F23" s="40">
        <v>30574816870</v>
      </c>
      <c r="G23" s="41" t="str">
        <f>IFERROR(IF(compras_mes8[[#This Row],[CUIT]]="","-",VLOOKUP(compras_mes8[[#This Row],[CUIT]],Lista_CUIT[#All],2,0)),"CUIT NO CARGADO")</f>
        <v>AMERICAN  EXPRES  S.A.</v>
      </c>
      <c r="H23" s="42">
        <v>5038.28</v>
      </c>
      <c r="I23" s="81">
        <v>1058.0387999999998</v>
      </c>
      <c r="J23" s="81"/>
      <c r="K23" s="81"/>
      <c r="L23" s="81"/>
      <c r="M23" s="81"/>
      <c r="N23" s="81">
        <v>2737.55</v>
      </c>
      <c r="O23" s="81">
        <v>86.86</v>
      </c>
      <c r="P23" s="44">
        <v>8920.7288000000008</v>
      </c>
      <c r="Q23" s="45" t="str">
        <f>IFERROR(IF(compras_mes8[[#This Row],[CUIT]]="","-",VLOOKUP(compras_mes8[[#This Row],[CUIT]],Lista_CUIT[#All],3,0)),"CUIT NO CARGADO")</f>
        <v>Comisiones Bancarias</v>
      </c>
      <c r="R23" s="45">
        <f>IFERROR(IF(compras_mes8[[#This Row],[CUIT]]="","-",VLOOKUP(compras_mes8[[#This Row],[CUIT]],Lista_CUIT[#All],4,0)),"CUIT NO CARGADO")</f>
        <v>0</v>
      </c>
    </row>
    <row r="24" spans="2:18" ht="14.4" customHeight="1" x14ac:dyDescent="0.3">
      <c r="B24" s="36">
        <v>44795</v>
      </c>
      <c r="C24" s="37">
        <v>1</v>
      </c>
      <c r="D24" s="38">
        <v>10</v>
      </c>
      <c r="E24" s="39">
        <v>27045</v>
      </c>
      <c r="F24" s="40">
        <v>30681484635</v>
      </c>
      <c r="G24" s="41" t="str">
        <f>IFERROR(IF(compras_mes8[[#This Row],[CUIT]]="","-",VLOOKUP(compras_mes8[[#This Row],[CUIT]],Lista_CUIT[#All],2,0)),"CUIT NO CARGADO")</f>
        <v>IONIC S SOCIEDAD ANONIMA</v>
      </c>
      <c r="H24" s="42">
        <v>24834.9</v>
      </c>
      <c r="I24" s="81">
        <v>5215.3289999999997</v>
      </c>
      <c r="J24" s="81"/>
      <c r="K24" s="81"/>
      <c r="L24" s="81"/>
      <c r="M24" s="81"/>
      <c r="N24" s="81"/>
      <c r="O24" s="81"/>
      <c r="P24" s="44">
        <v>30050.228999999999</v>
      </c>
      <c r="Q24" s="45" t="str">
        <f>IFERROR(IF(compras_mes8[[#This Row],[CUIT]]="","-",VLOOKUP(compras_mes8[[#This Row],[CUIT]],Lista_CUIT[#All],3,0)),"CUIT NO CARGADO")</f>
        <v>Elaboración</v>
      </c>
      <c r="R24" s="45">
        <f>IFERROR(IF(compras_mes8[[#This Row],[CUIT]]="","-",VLOOKUP(compras_mes8[[#This Row],[CUIT]],Lista_CUIT[#All],4,0)),"CUIT NO CARGADO")</f>
        <v>0</v>
      </c>
    </row>
    <row r="25" spans="2:18" ht="15" customHeight="1" x14ac:dyDescent="0.3">
      <c r="B25" s="36">
        <v>44800</v>
      </c>
      <c r="C25" s="37">
        <v>1</v>
      </c>
      <c r="D25" s="38">
        <v>3</v>
      </c>
      <c r="E25" s="39">
        <v>6300</v>
      </c>
      <c r="F25" s="40">
        <v>20350875078</v>
      </c>
      <c r="G25" s="41" t="str">
        <f>IFERROR(IF(compras_mes8[[#This Row],[CUIT]]="","-",VLOOKUP(compras_mes8[[#This Row],[CUIT]],Lista_CUIT[#All],2,0)),"CUIT NO CARGADO")</f>
        <v>ENEAS  JEREMIAS  FRACCAROLLI</v>
      </c>
      <c r="H25" s="42">
        <v>67933.88</v>
      </c>
      <c r="I25" s="81">
        <v>14266.114800000001</v>
      </c>
      <c r="J25" s="81"/>
      <c r="K25" s="81"/>
      <c r="L25" s="81"/>
      <c r="M25" s="81"/>
      <c r="N25" s="81"/>
      <c r="O25" s="81"/>
      <c r="P25" s="44">
        <v>82199.9948</v>
      </c>
      <c r="Q25" s="45" t="str">
        <f>IFERROR(IF(compras_mes8[[#This Row],[CUIT]]="","-",VLOOKUP(compras_mes8[[#This Row],[CUIT]],Lista_CUIT[#All],3,0)),"CUIT NO CARGADO")</f>
        <v>Equipos de Informatica</v>
      </c>
      <c r="R25" s="45">
        <f>IFERROR(IF(compras_mes8[[#This Row],[CUIT]]="","-",VLOOKUP(compras_mes8[[#This Row],[CUIT]],Lista_CUIT[#All],4,0)),"CUIT NO CARGADO")</f>
        <v>0</v>
      </c>
    </row>
    <row r="26" spans="2:18" ht="15" customHeight="1" x14ac:dyDescent="0.3">
      <c r="B26" s="36">
        <v>44802</v>
      </c>
      <c r="C26" s="37">
        <v>1</v>
      </c>
      <c r="D26" s="38">
        <v>5</v>
      </c>
      <c r="E26" s="39">
        <v>876</v>
      </c>
      <c r="F26" s="40">
        <v>30710244401</v>
      </c>
      <c r="G26" s="41" t="str">
        <f>IFERROR(IF(compras_mes8[[#This Row],[CUIT]]="","-",VLOOKUP(compras_mes8[[#This Row],[CUIT]],Lista_CUIT[#All],2,0)),"CUIT NO CARGADO")</f>
        <v>SPLIT  DOM  S.A</v>
      </c>
      <c r="H26" s="42">
        <v>19833.88</v>
      </c>
      <c r="I26" s="81">
        <v>4165.1148000000003</v>
      </c>
      <c r="J26" s="81"/>
      <c r="K26" s="81"/>
      <c r="L26" s="81"/>
      <c r="M26" s="81"/>
      <c r="N26" s="81"/>
      <c r="O26" s="81"/>
      <c r="P26" s="44">
        <v>23998.9948</v>
      </c>
      <c r="Q26" s="45" t="str">
        <f>IFERROR(IF(compras_mes8[[#This Row],[CUIT]]="","-",VLOOKUP(compras_mes8[[#This Row],[CUIT]],Lista_CUIT[#All],3,0)),"CUIT NO CARGADO")</f>
        <v>Equipos de Informatica</v>
      </c>
      <c r="R26" s="45">
        <f>IFERROR(IF(compras_mes8[[#This Row],[CUIT]]="","-",VLOOKUP(compras_mes8[[#This Row],[CUIT]],Lista_CUIT[#All],4,0)),"CUIT NO CARGADO")</f>
        <v>0</v>
      </c>
    </row>
    <row r="27" spans="2:18" ht="15" customHeight="1" x14ac:dyDescent="0.3">
      <c r="B27" s="36">
        <v>44781</v>
      </c>
      <c r="C27" s="37">
        <v>1</v>
      </c>
      <c r="D27" s="38">
        <v>4</v>
      </c>
      <c r="E27" s="39">
        <v>55458</v>
      </c>
      <c r="F27" s="40">
        <v>30716292319</v>
      </c>
      <c r="G27" s="41" t="str">
        <f>IFERROR(IF(compras_mes8[[#This Row],[CUIT]]="","-",VLOOKUP(compras_mes8[[#This Row],[CUIT]],Lista_CUIT[#All],2,0)),"CUIT NO CARGADO")</f>
        <v>NEPTUN  CORP  S.A.</v>
      </c>
      <c r="H27" s="42">
        <v>14478.73</v>
      </c>
      <c r="I27" s="81"/>
      <c r="J27" s="81"/>
      <c r="K27" s="81">
        <v>1520.27</v>
      </c>
      <c r="L27" s="81"/>
      <c r="M27" s="81"/>
      <c r="N27" s="81"/>
      <c r="O27" s="81"/>
      <c r="P27" s="44">
        <v>15999</v>
      </c>
      <c r="Q27" s="45" t="str">
        <f>IFERROR(IF(compras_mes8[[#This Row],[CUIT]]="","-",VLOOKUP(compras_mes8[[#This Row],[CUIT]],Lista_CUIT[#All],3,0)),"CUIT NO CARGADO")</f>
        <v>Equipos de Informatica</v>
      </c>
      <c r="R27" s="45">
        <f>IFERROR(IF(compras_mes8[[#This Row],[CUIT]]="","-",VLOOKUP(compras_mes8[[#This Row],[CUIT]],Lista_CUIT[#All],4,0)),"CUIT NO CARGADO")</f>
        <v>0</v>
      </c>
    </row>
    <row r="28" spans="2:18" ht="15" customHeight="1" x14ac:dyDescent="0.3">
      <c r="B28" s="36">
        <v>44786</v>
      </c>
      <c r="C28" s="37">
        <v>1</v>
      </c>
      <c r="D28" s="38">
        <v>3691</v>
      </c>
      <c r="E28" s="39">
        <v>448</v>
      </c>
      <c r="F28" s="40">
        <v>30526874249</v>
      </c>
      <c r="G28" s="41" t="str">
        <f>IFERROR(IF(compras_mes8[[#This Row],[CUIT]]="","-",VLOOKUP(compras_mes8[[#This Row],[CUIT]],Lista_CUIT[#All],2,0)),"CUIT NO CARGADO")</f>
        <v>FRAVEGA S A C I E I</v>
      </c>
      <c r="H28" s="42">
        <v>123966.12</v>
      </c>
      <c r="I28" s="81">
        <v>26032.885199999997</v>
      </c>
      <c r="J28" s="81"/>
      <c r="K28" s="81"/>
      <c r="L28" s="81">
        <v>3719</v>
      </c>
      <c r="M28" s="81"/>
      <c r="N28" s="81">
        <v>4338.8</v>
      </c>
      <c r="O28" s="81"/>
      <c r="P28" s="44">
        <v>158056.80519999997</v>
      </c>
      <c r="Q28" s="45" t="str">
        <f>IFERROR(IF(compras_mes8[[#This Row],[CUIT]]="","-",VLOOKUP(compras_mes8[[#This Row],[CUIT]],Lista_CUIT[#All],3,0)),"CUIT NO CARGADO")</f>
        <v>Equipos de Informatica</v>
      </c>
      <c r="R28" s="45">
        <f>IFERROR(IF(compras_mes8[[#This Row],[CUIT]]="","-",VLOOKUP(compras_mes8[[#This Row],[CUIT]],Lista_CUIT[#All],4,0)),"CUIT NO CARGADO")</f>
        <v>0</v>
      </c>
    </row>
    <row r="29" spans="2:18" ht="15" customHeight="1" x14ac:dyDescent="0.3">
      <c r="B29" s="36">
        <v>44786</v>
      </c>
      <c r="C29" s="37">
        <v>1</v>
      </c>
      <c r="D29" s="38">
        <v>3692</v>
      </c>
      <c r="E29" s="39">
        <v>463</v>
      </c>
      <c r="F29" s="40">
        <v>30526874249</v>
      </c>
      <c r="G29" s="41" t="str">
        <f>IFERROR(IF(compras_mes8[[#This Row],[CUIT]]="","-",VLOOKUP(compras_mes8[[#This Row],[CUIT]],Lista_CUIT[#All],2,0)),"CUIT NO CARGADO")</f>
        <v>FRAVEGA S A C I E I</v>
      </c>
      <c r="H29" s="42">
        <v>61982.64</v>
      </c>
      <c r="I29" s="81">
        <v>13016.3544</v>
      </c>
      <c r="J29" s="81"/>
      <c r="K29" s="81"/>
      <c r="L29" s="81">
        <v>1859.5</v>
      </c>
      <c r="M29" s="81"/>
      <c r="N29" s="81">
        <v>2169.4</v>
      </c>
      <c r="O29" s="81"/>
      <c r="P29" s="44">
        <v>79027.89439999999</v>
      </c>
      <c r="Q29" s="45" t="str">
        <f>IFERROR(IF(compras_mes8[[#This Row],[CUIT]]="","-",VLOOKUP(compras_mes8[[#This Row],[CUIT]],Lista_CUIT[#All],3,0)),"CUIT NO CARGADO")</f>
        <v>Equipos de Informatica</v>
      </c>
      <c r="R29" s="45">
        <f>IFERROR(IF(compras_mes8[[#This Row],[CUIT]]="","-",VLOOKUP(compras_mes8[[#This Row],[CUIT]],Lista_CUIT[#All],4,0)),"CUIT NO CARGADO")</f>
        <v>0</v>
      </c>
    </row>
    <row r="30" spans="2:18" x14ac:dyDescent="0.3">
      <c r="B30" s="36">
        <v>44804</v>
      </c>
      <c r="C30" s="37">
        <v>1</v>
      </c>
      <c r="D30" s="38">
        <v>8</v>
      </c>
      <c r="E30" s="39">
        <v>2022</v>
      </c>
      <c r="F30" s="40">
        <v>30707826890</v>
      </c>
      <c r="G30" s="41" t="str">
        <f>IFERROR(IF(compras_mes8[[#This Row],[CUIT]]="","-",VLOOKUP(compras_mes8[[#This Row],[CUIT]],Lista_CUIT[#All],2,0)),"CUIT NO CARGADO")</f>
        <v>JUVIALE  S.R.L.</v>
      </c>
      <c r="H30" s="42">
        <v>0</v>
      </c>
      <c r="I30" s="81">
        <v>0</v>
      </c>
      <c r="J30" s="81"/>
      <c r="K30" s="81"/>
      <c r="L30" s="81"/>
      <c r="M30" s="81"/>
      <c r="N30" s="81">
        <v>8453.8799999999992</v>
      </c>
      <c r="O30" s="81"/>
      <c r="P30" s="44">
        <v>8453.8799999999992</v>
      </c>
      <c r="Q30" s="45" t="str">
        <f>IFERROR(IF(compras_mes8[[#This Row],[CUIT]]="","-",VLOOKUP(compras_mes8[[#This Row],[CUIT]],Lista_CUIT[#All],3,0)),"CUIT NO CARGADO")</f>
        <v>EXPENSAS</v>
      </c>
      <c r="R30" s="45">
        <f>IFERROR(IF(compras_mes8[[#This Row],[CUIT]]="","-",VLOOKUP(compras_mes8[[#This Row],[CUIT]],Lista_CUIT[#All],4,0)),"CUIT NO CARGADO")</f>
        <v>0</v>
      </c>
    </row>
    <row r="31" spans="2:18" x14ac:dyDescent="0.3">
      <c r="B31" s="36">
        <v>44777</v>
      </c>
      <c r="C31" s="37">
        <v>1</v>
      </c>
      <c r="D31" s="38">
        <v>301</v>
      </c>
      <c r="E31" s="39">
        <v>22930</v>
      </c>
      <c r="F31" s="40">
        <v>30686978350</v>
      </c>
      <c r="G31" s="41" t="str">
        <f>IFERROR(IF(compras_mes8[[#This Row],[CUIT]]="","-",VLOOKUP(compras_mes8[[#This Row],[CUIT]],Lista_CUIT[#All],2,0)),"CUIT NO CARGADO")</f>
        <v>SPEED BUSINESS S. A.</v>
      </c>
      <c r="H31" s="42">
        <v>1603.31</v>
      </c>
      <c r="I31" s="81">
        <v>336.69509999999997</v>
      </c>
      <c r="J31" s="81"/>
      <c r="K31" s="81"/>
      <c r="L31" s="81"/>
      <c r="M31" s="81"/>
      <c r="N31" s="81"/>
      <c r="O31" s="81"/>
      <c r="P31" s="44">
        <v>1940.0050999999999</v>
      </c>
      <c r="Q31" s="45" t="str">
        <f>IFERROR(IF(compras_mes8[[#This Row],[CUIT]]="","-",VLOOKUP(compras_mes8[[#This Row],[CUIT]],Lista_CUIT[#All],3,0)),"CUIT NO CARGADO")</f>
        <v>Flete-Logistica</v>
      </c>
      <c r="R31" s="45">
        <f>IFERROR(IF(compras_mes8[[#This Row],[CUIT]]="","-",VLOOKUP(compras_mes8[[#This Row],[CUIT]],Lista_CUIT[#All],4,0)),"CUIT NO CARGADO")</f>
        <v>0</v>
      </c>
    </row>
    <row r="32" spans="2:18" x14ac:dyDescent="0.3">
      <c r="B32" s="36">
        <v>44790</v>
      </c>
      <c r="C32" s="37">
        <v>1</v>
      </c>
      <c r="D32" s="38">
        <v>2</v>
      </c>
      <c r="E32" s="39">
        <v>7552</v>
      </c>
      <c r="F32" s="40">
        <v>30714284963</v>
      </c>
      <c r="G32" s="41" t="str">
        <f>IFERROR(IF(compras_mes8[[#This Row],[CUIT]]="","-",VLOOKUP(compras_mes8[[#This Row],[CUIT]],Lista_CUIT[#All],2,0)),"CUIT NO CARGADO")</f>
        <v>ENGYMAN SRL</v>
      </c>
      <c r="H32" s="42">
        <v>17740</v>
      </c>
      <c r="I32" s="81">
        <v>3725.3999999999996</v>
      </c>
      <c r="J32" s="81"/>
      <c r="K32" s="81"/>
      <c r="L32" s="81"/>
      <c r="M32" s="81"/>
      <c r="N32" s="81"/>
      <c r="O32" s="81"/>
      <c r="P32" s="44">
        <v>21465.4</v>
      </c>
      <c r="Q32" s="45" t="str">
        <f>IFERROR(IF(compras_mes8[[#This Row],[CUIT]]="","-",VLOOKUP(compras_mes8[[#This Row],[CUIT]],Lista_CUIT[#All],3,0)),"CUIT NO CARGADO")</f>
        <v xml:space="preserve">Gastos Mantenimiento </v>
      </c>
      <c r="R32" s="45">
        <f>IFERROR(IF(compras_mes8[[#This Row],[CUIT]]="","-",VLOOKUP(compras_mes8[[#This Row],[CUIT]],Lista_CUIT[#All],4,0)),"CUIT NO CARGADO")</f>
        <v>0</v>
      </c>
    </row>
    <row r="33" spans="2:18" x14ac:dyDescent="0.3">
      <c r="B33" s="36">
        <v>44790</v>
      </c>
      <c r="C33" s="37">
        <v>1</v>
      </c>
      <c r="D33" s="38">
        <v>31</v>
      </c>
      <c r="E33" s="39">
        <v>174817</v>
      </c>
      <c r="F33" s="40">
        <v>30710114176</v>
      </c>
      <c r="G33" s="41" t="str">
        <f>IFERROR(IF(compras_mes8[[#This Row],[CUIT]]="","-",VLOOKUP(compras_mes8[[#This Row],[CUIT]],Lista_CUIT[#All],2,0)),"CUIT NO CARGADO")</f>
        <v>SYMONDS SA.</v>
      </c>
      <c r="H33" s="42">
        <v>84161.99</v>
      </c>
      <c r="I33" s="81"/>
      <c r="J33" s="81"/>
      <c r="K33" s="81">
        <v>8837.01</v>
      </c>
      <c r="L33" s="81"/>
      <c r="M33" s="81"/>
      <c r="N33" s="81"/>
      <c r="O33" s="81"/>
      <c r="P33" s="44">
        <v>92999</v>
      </c>
      <c r="Q33" s="45" t="str">
        <f>IFERROR(IF(compras_mes8[[#This Row],[CUIT]]="","-",VLOOKUP(compras_mes8[[#This Row],[CUIT]],Lista_CUIT[#All],3,0)),"CUIT NO CARGADO")</f>
        <v xml:space="preserve">Gastos Mantenimiento </v>
      </c>
      <c r="R33" s="45">
        <f>IFERROR(IF(compras_mes8[[#This Row],[CUIT]]="","-",VLOOKUP(compras_mes8[[#This Row],[CUIT]],Lista_CUIT[#All],4,0)),"CUIT NO CARGADO")</f>
        <v>0</v>
      </c>
    </row>
    <row r="34" spans="2:18" x14ac:dyDescent="0.3">
      <c r="B34" s="36">
        <v>44777</v>
      </c>
      <c r="C34" s="37">
        <v>1</v>
      </c>
      <c r="D34" s="38">
        <v>989</v>
      </c>
      <c r="E34" s="39">
        <v>371</v>
      </c>
      <c r="F34" s="40">
        <v>30687310434</v>
      </c>
      <c r="G34" s="41" t="str">
        <f>IFERROR(IF(compras_mes8[[#This Row],[CUIT]]="","-",VLOOKUP(compras_mes8[[#This Row],[CUIT]],Lista_CUIT[#All],2,0)),"CUIT NO CARGADO")</f>
        <v>INC  SOCIEDAD ANONIMA</v>
      </c>
      <c r="H34" s="42">
        <v>10664.21</v>
      </c>
      <c r="I34" s="81">
        <v>2098.1</v>
      </c>
      <c r="J34" s="81"/>
      <c r="K34" s="81"/>
      <c r="L34" s="81"/>
      <c r="M34" s="81">
        <v>299.73</v>
      </c>
      <c r="N34" s="81">
        <v>16.93</v>
      </c>
      <c r="O34" s="81">
        <v>640.87</v>
      </c>
      <c r="P34" s="44">
        <v>13719.84</v>
      </c>
      <c r="Q34" s="45" t="str">
        <f>IFERROR(IF(compras_mes8[[#This Row],[CUIT]]="","-",VLOOKUP(compras_mes8[[#This Row],[CUIT]],Lista_CUIT[#All],3,0)),"CUIT NO CARGADO")</f>
        <v>Gastos Varios</v>
      </c>
      <c r="R34" s="45">
        <f>IFERROR(IF(compras_mes8[[#This Row],[CUIT]]="","-",VLOOKUP(compras_mes8[[#This Row],[CUIT]],Lista_CUIT[#All],4,0)),"CUIT NO CARGADO")</f>
        <v>0</v>
      </c>
    </row>
    <row r="35" spans="2:18" x14ac:dyDescent="0.3">
      <c r="B35" s="36">
        <v>44799</v>
      </c>
      <c r="C35" s="37">
        <v>1</v>
      </c>
      <c r="D35" s="38">
        <v>13</v>
      </c>
      <c r="E35" s="39">
        <v>1277</v>
      </c>
      <c r="F35" s="40">
        <v>33714439869</v>
      </c>
      <c r="G35" s="41" t="str">
        <f>IFERROR(IF(compras_mes8[[#This Row],[CUIT]]="","-",VLOOKUP(compras_mes8[[#This Row],[CUIT]],Lista_CUIT[#All],2,0)),"CUIT NO CARGADO")</f>
        <v>PROYECTOS  DEL  NORTE  SRL</v>
      </c>
      <c r="H35" s="42">
        <v>6392.56</v>
      </c>
      <c r="I35" s="81">
        <v>1342.4376</v>
      </c>
      <c r="J35" s="81"/>
      <c r="K35" s="81"/>
      <c r="L35" s="81"/>
      <c r="M35" s="81"/>
      <c r="N35" s="81"/>
      <c r="O35" s="81"/>
      <c r="P35" s="44">
        <v>7734.9976000000006</v>
      </c>
      <c r="Q35" s="45" t="str">
        <f>IFERROR(IF(compras_mes8[[#This Row],[CUIT]]="","-",VLOOKUP(compras_mes8[[#This Row],[CUIT]],Lista_CUIT[#All],3,0)),"CUIT NO CARGADO")</f>
        <v>Gastos Varios</v>
      </c>
      <c r="R35" s="45">
        <f>IFERROR(IF(compras_mes8[[#This Row],[CUIT]]="","-",VLOOKUP(compras_mes8[[#This Row],[CUIT]],Lista_CUIT[#All],4,0)),"CUIT NO CARGADO")</f>
        <v>0</v>
      </c>
    </row>
    <row r="36" spans="2:18" x14ac:dyDescent="0.3">
      <c r="B36" s="36">
        <v>44775</v>
      </c>
      <c r="C36" s="37">
        <v>1</v>
      </c>
      <c r="D36" s="38">
        <v>1</v>
      </c>
      <c r="E36" s="39">
        <v>16087</v>
      </c>
      <c r="F36" s="40">
        <v>20173025557</v>
      </c>
      <c r="G36" s="41" t="str">
        <f>IFERROR(IF(compras_mes8[[#This Row],[CUIT]]="","-",VLOOKUP(compras_mes8[[#This Row],[CUIT]],Lista_CUIT[#All],2,0)),"CUIT NO CARGADO")</f>
        <v>MARAUDA HECTOR</v>
      </c>
      <c r="H36" s="42">
        <v>661.16</v>
      </c>
      <c r="I36" s="81">
        <v>138.84359999999998</v>
      </c>
      <c r="J36" s="81"/>
      <c r="K36" s="81"/>
      <c r="L36" s="81"/>
      <c r="M36" s="81"/>
      <c r="N36" s="81"/>
      <c r="O36" s="81"/>
      <c r="P36" s="44">
        <v>800.00360000000001</v>
      </c>
      <c r="Q36" s="45" t="str">
        <f>IFERROR(IF(compras_mes8[[#This Row],[CUIT]]="","-",VLOOKUP(compras_mes8[[#This Row],[CUIT]],Lista_CUIT[#All],3,0)),"CUIT NO CARGADO")</f>
        <v>Gastos Varios</v>
      </c>
      <c r="R36" s="45">
        <f>IFERROR(IF(compras_mes8[[#This Row],[CUIT]]="","-",VLOOKUP(compras_mes8[[#This Row],[CUIT]],Lista_CUIT[#All],4,0)),"CUIT NO CARGADO")</f>
        <v>0</v>
      </c>
    </row>
    <row r="37" spans="2:18" s="52" customFormat="1" x14ac:dyDescent="0.3">
      <c r="B37" s="36">
        <v>44782</v>
      </c>
      <c r="C37" s="37">
        <v>1</v>
      </c>
      <c r="D37" s="38">
        <v>5</v>
      </c>
      <c r="E37" s="39">
        <v>18747</v>
      </c>
      <c r="F37" s="40">
        <v>30616146447</v>
      </c>
      <c r="G37" s="41" t="str">
        <f>IFERROR(IF(compras_mes8[[#This Row],[CUIT]]="","-",VLOOKUP(compras_mes8[[#This Row],[CUIT]],Lista_CUIT[#All],2,0)),"CUIT NO CARGADO")</f>
        <v>EGEO SOCIEDAD DE RESPONSABILIDAD LIMITADA</v>
      </c>
      <c r="H37" s="42">
        <v>46000</v>
      </c>
      <c r="I37" s="81">
        <v>9660</v>
      </c>
      <c r="J37" s="81"/>
      <c r="K37" s="81"/>
      <c r="L37" s="81"/>
      <c r="M37" s="81"/>
      <c r="N37" s="81"/>
      <c r="O37" s="81"/>
      <c r="P37" s="44">
        <v>55660</v>
      </c>
      <c r="Q37" s="45" t="str">
        <f>IFERROR(IF(compras_mes8[[#This Row],[CUIT]]="","-",VLOOKUP(compras_mes8[[#This Row],[CUIT]],Lista_CUIT[#All],3,0)),"CUIT NO CARGADO")</f>
        <v>Gastos Varios</v>
      </c>
      <c r="R37" s="45">
        <f>IFERROR(IF(compras_mes8[[#This Row],[CUIT]]="","-",VLOOKUP(compras_mes8[[#This Row],[CUIT]],Lista_CUIT[#All],4,0)),"CUIT NO CARGADO")</f>
        <v>0</v>
      </c>
    </row>
    <row r="38" spans="2:18" x14ac:dyDescent="0.3">
      <c r="B38" s="36">
        <v>44782</v>
      </c>
      <c r="C38" s="37">
        <v>1</v>
      </c>
      <c r="D38" s="38">
        <v>7</v>
      </c>
      <c r="E38" s="39">
        <v>1805</v>
      </c>
      <c r="F38" s="40">
        <v>30715124919</v>
      </c>
      <c r="G38" s="41" t="str">
        <f>IFERROR(IF(compras_mes8[[#This Row],[CUIT]]="","-",VLOOKUP(compras_mes8[[#This Row],[CUIT]],Lista_CUIT[#All],2,0)),"CUIT NO CARGADO")</f>
        <v>CLEAN LAB SRL</v>
      </c>
      <c r="H38" s="42">
        <v>15704.31</v>
      </c>
      <c r="I38" s="81">
        <v>3297.9050999999999</v>
      </c>
      <c r="J38" s="81"/>
      <c r="K38" s="81"/>
      <c r="L38" s="81"/>
      <c r="M38" s="81"/>
      <c r="N38" s="81"/>
      <c r="O38" s="81"/>
      <c r="P38" s="44">
        <v>19002.215100000001</v>
      </c>
      <c r="Q38" s="45" t="str">
        <f>IFERROR(IF(compras_mes8[[#This Row],[CUIT]]="","-",VLOOKUP(compras_mes8[[#This Row],[CUIT]],Lista_CUIT[#All],3,0)),"CUIT NO CARGADO")</f>
        <v>Comida-Limpieza</v>
      </c>
      <c r="R38" s="45">
        <f>IFERROR(IF(compras_mes8[[#This Row],[CUIT]]="","-",VLOOKUP(compras_mes8[[#This Row],[CUIT]],Lista_CUIT[#All],4,0)),"CUIT NO CARGADO")</f>
        <v>0</v>
      </c>
    </row>
    <row r="39" spans="2:18" x14ac:dyDescent="0.3">
      <c r="B39" s="36">
        <v>44784</v>
      </c>
      <c r="C39" s="37">
        <v>1</v>
      </c>
      <c r="D39" s="38">
        <v>4</v>
      </c>
      <c r="E39" s="39">
        <v>17438</v>
      </c>
      <c r="F39" s="40">
        <v>30552433595</v>
      </c>
      <c r="G39" s="41" t="str">
        <f>IFERROR(IF(compras_mes8[[#This Row],[CUIT]]="","-",VLOOKUP(compras_mes8[[#This Row],[CUIT]],Lista_CUIT[#All],2,0)),"CUIT NO CARGADO")</f>
        <v>PIROPLAST  S.R.L.</v>
      </c>
      <c r="H39" s="42">
        <v>402248</v>
      </c>
      <c r="I39" s="81">
        <v>84472.08</v>
      </c>
      <c r="J39" s="81"/>
      <c r="K39" s="81"/>
      <c r="L39" s="81"/>
      <c r="M39" s="81"/>
      <c r="N39" s="81"/>
      <c r="O39" s="81"/>
      <c r="P39" s="44">
        <v>486720.08</v>
      </c>
      <c r="Q39" s="45" t="str">
        <f>IFERROR(IF(compras_mes8[[#This Row],[CUIT]]="","-",VLOOKUP(compras_mes8[[#This Row],[CUIT]],Lista_CUIT[#All],3,0)),"CUIT NO CARGADO")</f>
        <v>Gtos Comercializacion</v>
      </c>
      <c r="R39" s="45">
        <f>IFERROR(IF(compras_mes8[[#This Row],[CUIT]]="","-",VLOOKUP(compras_mes8[[#This Row],[CUIT]],Lista_CUIT[#All],4,0)),"CUIT NO CARGADO")</f>
        <v>0</v>
      </c>
    </row>
    <row r="40" spans="2:18" x14ac:dyDescent="0.3">
      <c r="B40" s="36">
        <v>44787</v>
      </c>
      <c r="C40" s="37">
        <v>1</v>
      </c>
      <c r="D40" s="38">
        <v>1135</v>
      </c>
      <c r="E40" s="39">
        <v>16246</v>
      </c>
      <c r="F40" s="40">
        <v>30612865333</v>
      </c>
      <c r="G40" s="41" t="str">
        <f>IFERROR(IF(compras_mes8[[#This Row],[CUIT]]="","-",VLOOKUP(compras_mes8[[#This Row],[CUIT]],Lista_CUIT[#All],2,0)),"CUIT NO CARGADO")</f>
        <v>MAYCAR S.A</v>
      </c>
      <c r="H40" s="42">
        <v>7753.38</v>
      </c>
      <c r="I40" s="81">
        <v>1628.2097999999999</v>
      </c>
      <c r="J40" s="81"/>
      <c r="K40" s="81"/>
      <c r="L40" s="81">
        <v>232.6</v>
      </c>
      <c r="M40" s="81"/>
      <c r="N40" s="81"/>
      <c r="O40" s="81"/>
      <c r="P40" s="44">
        <v>9614.1898000000001</v>
      </c>
      <c r="Q40" s="45" t="str">
        <f>IFERROR(IF(compras_mes8[[#This Row],[CUIT]]="","-",VLOOKUP(compras_mes8[[#This Row],[CUIT]],Lista_CUIT[#All],3,0)),"CUIT NO CARGADO")</f>
        <v>Gastos Varios</v>
      </c>
      <c r="R40" s="45">
        <f>IFERROR(IF(compras_mes8[[#This Row],[CUIT]]="","-",VLOOKUP(compras_mes8[[#This Row],[CUIT]],Lista_CUIT[#All],4,0)),"CUIT NO CARGADO")</f>
        <v>0</v>
      </c>
    </row>
    <row r="41" spans="2:18" x14ac:dyDescent="0.3">
      <c r="B41" s="36">
        <v>44787</v>
      </c>
      <c r="C41" s="37">
        <v>1</v>
      </c>
      <c r="D41" s="38">
        <v>1135</v>
      </c>
      <c r="E41" s="39">
        <v>16247</v>
      </c>
      <c r="F41" s="40">
        <v>30612865333</v>
      </c>
      <c r="G41" s="41" t="str">
        <f>IFERROR(IF(compras_mes8[[#This Row],[CUIT]]="","-",VLOOKUP(compras_mes8[[#This Row],[CUIT]],Lista_CUIT[#All],2,0)),"CUIT NO CARGADO")</f>
        <v>MAYCAR S.A</v>
      </c>
      <c r="H41" s="42">
        <v>1569.42</v>
      </c>
      <c r="I41" s="81">
        <v>329.57819999999998</v>
      </c>
      <c r="J41" s="81"/>
      <c r="K41" s="81"/>
      <c r="L41" s="81"/>
      <c r="M41" s="81"/>
      <c r="N41" s="81"/>
      <c r="O41" s="81"/>
      <c r="P41" s="44">
        <v>1898.9982</v>
      </c>
      <c r="Q41" s="45" t="str">
        <f>IFERROR(IF(compras_mes8[[#This Row],[CUIT]]="","-",VLOOKUP(compras_mes8[[#This Row],[CUIT]],Lista_CUIT[#All],3,0)),"CUIT NO CARGADO")</f>
        <v>Gastos Varios</v>
      </c>
      <c r="R41" s="45">
        <f>IFERROR(IF(compras_mes8[[#This Row],[CUIT]]="","-",VLOOKUP(compras_mes8[[#This Row],[CUIT]],Lista_CUIT[#All],4,0)),"CUIT NO CARGADO")</f>
        <v>0</v>
      </c>
    </row>
    <row r="42" spans="2:18" x14ac:dyDescent="0.3">
      <c r="B42" s="36">
        <v>44787</v>
      </c>
      <c r="C42" s="37">
        <v>1</v>
      </c>
      <c r="D42" s="38">
        <v>1135</v>
      </c>
      <c r="E42" s="39">
        <v>16248</v>
      </c>
      <c r="F42" s="40">
        <v>30612865333</v>
      </c>
      <c r="G42" s="41" t="str">
        <f>IFERROR(IF(compras_mes8[[#This Row],[CUIT]]="","-",VLOOKUP(compras_mes8[[#This Row],[CUIT]],Lista_CUIT[#All],2,0)),"CUIT NO CARGADO")</f>
        <v>MAYCAR S.A</v>
      </c>
      <c r="H42" s="42">
        <v>1634.13</v>
      </c>
      <c r="I42" s="81">
        <v>343.16730000000001</v>
      </c>
      <c r="J42" s="81"/>
      <c r="K42" s="81"/>
      <c r="L42" s="81"/>
      <c r="M42" s="81"/>
      <c r="N42" s="81"/>
      <c r="O42" s="81"/>
      <c r="P42" s="44">
        <v>1977.2973000000002</v>
      </c>
      <c r="Q42" s="45" t="str">
        <f>IFERROR(IF(compras_mes8[[#This Row],[CUIT]]="","-",VLOOKUP(compras_mes8[[#This Row],[CUIT]],Lista_CUIT[#All],3,0)),"CUIT NO CARGADO")</f>
        <v>Gastos Varios</v>
      </c>
      <c r="R42" s="45">
        <f>IFERROR(IF(compras_mes8[[#This Row],[CUIT]]="","-",VLOOKUP(compras_mes8[[#This Row],[CUIT]],Lista_CUIT[#All],4,0)),"CUIT NO CARGADO")</f>
        <v>0</v>
      </c>
    </row>
    <row r="43" spans="2:18" x14ac:dyDescent="0.3">
      <c r="B43" s="36">
        <v>44787</v>
      </c>
      <c r="C43" s="37">
        <v>1</v>
      </c>
      <c r="D43" s="38">
        <v>1135</v>
      </c>
      <c r="E43" s="39">
        <v>16249</v>
      </c>
      <c r="F43" s="40">
        <v>30612865333</v>
      </c>
      <c r="G43" s="41" t="str">
        <f>IFERROR(IF(compras_mes8[[#This Row],[CUIT]]="","-",VLOOKUP(compras_mes8[[#This Row],[CUIT]],Lista_CUIT[#All],2,0)),"CUIT NO CARGADO")</f>
        <v>MAYCAR S.A</v>
      </c>
      <c r="H43" s="42">
        <v>3635.7</v>
      </c>
      <c r="I43" s="81">
        <v>763.49699999999996</v>
      </c>
      <c r="J43" s="81"/>
      <c r="K43" s="81"/>
      <c r="L43" s="81">
        <v>109.07</v>
      </c>
      <c r="M43" s="81"/>
      <c r="N43" s="81"/>
      <c r="O43" s="81"/>
      <c r="P43" s="44">
        <v>4508.2669999999998</v>
      </c>
      <c r="Q43" s="45" t="str">
        <f>IFERROR(IF(compras_mes8[[#This Row],[CUIT]]="","-",VLOOKUP(compras_mes8[[#This Row],[CUIT]],Lista_CUIT[#All],3,0)),"CUIT NO CARGADO")</f>
        <v>Gastos Varios</v>
      </c>
      <c r="R43" s="45">
        <f>IFERROR(IF(compras_mes8[[#This Row],[CUIT]]="","-",VLOOKUP(compras_mes8[[#This Row],[CUIT]],Lista_CUIT[#All],4,0)),"CUIT NO CARGADO")</f>
        <v>0</v>
      </c>
    </row>
    <row r="44" spans="2:18" x14ac:dyDescent="0.3">
      <c r="B44" s="36">
        <v>44787</v>
      </c>
      <c r="C44" s="37">
        <v>1</v>
      </c>
      <c r="D44" s="38">
        <v>1135</v>
      </c>
      <c r="E44" s="39">
        <v>16250</v>
      </c>
      <c r="F44" s="40">
        <v>30612865333</v>
      </c>
      <c r="G44" s="41" t="str">
        <f>IFERROR(IF(compras_mes8[[#This Row],[CUIT]]="","-",VLOOKUP(compras_mes8[[#This Row],[CUIT]],Lista_CUIT[#All],2,0)),"CUIT NO CARGADO")</f>
        <v>MAYCAR S.A</v>
      </c>
      <c r="H44" s="42">
        <v>21204.7</v>
      </c>
      <c r="I44" s="81">
        <v>4452.9870000000001</v>
      </c>
      <c r="J44" s="81"/>
      <c r="K44" s="81"/>
      <c r="L44" s="81">
        <v>636.14</v>
      </c>
      <c r="M44" s="81"/>
      <c r="N44" s="81"/>
      <c r="O44" s="81"/>
      <c r="P44" s="44">
        <v>26293.827000000001</v>
      </c>
      <c r="Q44" s="45" t="str">
        <f>IFERROR(IF(compras_mes8[[#This Row],[CUIT]]="","-",VLOOKUP(compras_mes8[[#This Row],[CUIT]],Lista_CUIT[#All],3,0)),"CUIT NO CARGADO")</f>
        <v>Gastos Varios</v>
      </c>
      <c r="R44" s="45">
        <f>IFERROR(IF(compras_mes8[[#This Row],[CUIT]]="","-",VLOOKUP(compras_mes8[[#This Row],[CUIT]],Lista_CUIT[#All],4,0)),"CUIT NO CARGADO")</f>
        <v>0</v>
      </c>
    </row>
    <row r="45" spans="2:18" x14ac:dyDescent="0.3">
      <c r="B45" s="36">
        <v>44787</v>
      </c>
      <c r="C45" s="37">
        <v>1</v>
      </c>
      <c r="D45" s="38">
        <v>1135</v>
      </c>
      <c r="E45" s="39">
        <v>16251</v>
      </c>
      <c r="F45" s="40">
        <v>30612865333</v>
      </c>
      <c r="G45" s="41" t="str">
        <f>IFERROR(IF(compras_mes8[[#This Row],[CUIT]]="","-",VLOOKUP(compras_mes8[[#This Row],[CUIT]],Lista_CUIT[#All],2,0)),"CUIT NO CARGADO")</f>
        <v>MAYCAR S.A</v>
      </c>
      <c r="H45" s="42">
        <v>2891.74</v>
      </c>
      <c r="I45" s="81">
        <v>607.26539999999989</v>
      </c>
      <c r="J45" s="81"/>
      <c r="K45" s="81"/>
      <c r="L45" s="81">
        <v>86.75</v>
      </c>
      <c r="M45" s="81"/>
      <c r="N45" s="81"/>
      <c r="O45" s="81"/>
      <c r="P45" s="44">
        <v>3585.7553999999996</v>
      </c>
      <c r="Q45" s="45" t="str">
        <f>IFERROR(IF(compras_mes8[[#This Row],[CUIT]]="","-",VLOOKUP(compras_mes8[[#This Row],[CUIT]],Lista_CUIT[#All],3,0)),"CUIT NO CARGADO")</f>
        <v>Gastos Varios</v>
      </c>
      <c r="R45" s="45">
        <f>IFERROR(IF(compras_mes8[[#This Row],[CUIT]]="","-",VLOOKUP(compras_mes8[[#This Row],[CUIT]],Lista_CUIT[#All],4,0)),"CUIT NO CARGADO")</f>
        <v>0</v>
      </c>
    </row>
    <row r="46" spans="2:18" ht="18" customHeight="1" x14ac:dyDescent="0.3">
      <c r="B46" s="36">
        <v>44787</v>
      </c>
      <c r="C46" s="37">
        <v>1</v>
      </c>
      <c r="D46" s="38">
        <v>1135</v>
      </c>
      <c r="E46" s="39">
        <v>16252</v>
      </c>
      <c r="F46" s="40">
        <v>30612865333</v>
      </c>
      <c r="G46" s="41" t="str">
        <f>IFERROR(IF(compras_mes8[[#This Row],[CUIT]]="","-",VLOOKUP(compras_mes8[[#This Row],[CUIT]],Lista_CUIT[#All],2,0)),"CUIT NO CARGADO")</f>
        <v>MAYCAR S.A</v>
      </c>
      <c r="H46" s="42">
        <v>2181.16</v>
      </c>
      <c r="I46" s="81">
        <v>458.04359999999997</v>
      </c>
      <c r="J46" s="81"/>
      <c r="K46" s="81"/>
      <c r="L46" s="81">
        <v>65.430000000000007</v>
      </c>
      <c r="M46" s="81"/>
      <c r="N46" s="81"/>
      <c r="O46" s="81"/>
      <c r="P46" s="44">
        <v>2704.6335999999997</v>
      </c>
      <c r="Q46" s="45" t="str">
        <f>IFERROR(IF(compras_mes8[[#This Row],[CUIT]]="","-",VLOOKUP(compras_mes8[[#This Row],[CUIT]],Lista_CUIT[#All],3,0)),"CUIT NO CARGADO")</f>
        <v>Gastos Varios</v>
      </c>
      <c r="R46" s="45">
        <f>IFERROR(IF(compras_mes8[[#This Row],[CUIT]]="","-",VLOOKUP(compras_mes8[[#This Row],[CUIT]],Lista_CUIT[#All],4,0)),"CUIT NO CARGADO")</f>
        <v>0</v>
      </c>
    </row>
    <row r="47" spans="2:18" x14ac:dyDescent="0.3">
      <c r="B47" s="36">
        <v>44787</v>
      </c>
      <c r="C47" s="37">
        <v>1</v>
      </c>
      <c r="D47" s="38">
        <v>1135</v>
      </c>
      <c r="E47" s="39">
        <v>16253</v>
      </c>
      <c r="F47" s="40">
        <v>30612865333</v>
      </c>
      <c r="G47" s="41" t="str">
        <f>IFERROR(IF(compras_mes8[[#This Row],[CUIT]]="","-",VLOOKUP(compras_mes8[[#This Row],[CUIT]],Lista_CUIT[#All],2,0)),"CUIT NO CARGADO")</f>
        <v>MAYCAR S.A</v>
      </c>
      <c r="H47" s="42">
        <v>347.04</v>
      </c>
      <c r="I47" s="81">
        <v>72.878399999999999</v>
      </c>
      <c r="J47" s="81"/>
      <c r="K47" s="81"/>
      <c r="L47" s="81"/>
      <c r="M47" s="81"/>
      <c r="N47" s="81"/>
      <c r="O47" s="81"/>
      <c r="P47" s="44">
        <v>419.91840000000002</v>
      </c>
      <c r="Q47" s="45" t="str">
        <f>IFERROR(IF(compras_mes8[[#This Row],[CUIT]]="","-",VLOOKUP(compras_mes8[[#This Row],[CUIT]],Lista_CUIT[#All],3,0)),"CUIT NO CARGADO")</f>
        <v>Gastos Varios</v>
      </c>
      <c r="R47" s="45">
        <f>IFERROR(IF(compras_mes8[[#This Row],[CUIT]]="","-",VLOOKUP(compras_mes8[[#This Row],[CUIT]],Lista_CUIT[#All],4,0)),"CUIT NO CARGADO")</f>
        <v>0</v>
      </c>
    </row>
    <row r="48" spans="2:18" x14ac:dyDescent="0.3">
      <c r="B48" s="36">
        <v>44788</v>
      </c>
      <c r="C48" s="37">
        <v>1</v>
      </c>
      <c r="D48" s="38">
        <v>2199</v>
      </c>
      <c r="E48" s="39">
        <v>17460</v>
      </c>
      <c r="F48" s="40">
        <v>30548083156</v>
      </c>
      <c r="G48" s="41" t="str">
        <f>IFERROR(IF(compras_mes8[[#This Row],[CUIT]]="","-",VLOOKUP(compras_mes8[[#This Row],[CUIT]],Lista_CUIT[#All],2,0)),"CUIT NO CARGADO")</f>
        <v>COTO  S.A.</v>
      </c>
      <c r="H48" s="42">
        <v>49172.86</v>
      </c>
      <c r="I48" s="81">
        <v>10326.3006</v>
      </c>
      <c r="J48" s="81"/>
      <c r="K48" s="81"/>
      <c r="L48" s="81"/>
      <c r="M48" s="81"/>
      <c r="N48" s="81">
        <v>2950.37</v>
      </c>
      <c r="O48" s="81">
        <v>1475.19</v>
      </c>
      <c r="P48" s="44">
        <v>63924.720600000008</v>
      </c>
      <c r="Q48" s="45" t="str">
        <f>IFERROR(IF(compras_mes8[[#This Row],[CUIT]]="","-",VLOOKUP(compras_mes8[[#This Row],[CUIT]],Lista_CUIT[#All],3,0)),"CUIT NO CARGADO")</f>
        <v>Gastos Varios</v>
      </c>
      <c r="R48" s="45">
        <f>IFERROR(IF(compras_mes8[[#This Row],[CUIT]]="","-",VLOOKUP(compras_mes8[[#This Row],[CUIT]],Lista_CUIT[#All],4,0)),"CUIT NO CARGADO")</f>
        <v>0</v>
      </c>
    </row>
    <row r="49" spans="2:18" x14ac:dyDescent="0.3">
      <c r="B49" s="36">
        <v>44797</v>
      </c>
      <c r="C49" s="37">
        <v>1</v>
      </c>
      <c r="D49" s="38">
        <v>7</v>
      </c>
      <c r="E49" s="39">
        <v>2192</v>
      </c>
      <c r="F49" s="40">
        <v>30715124919</v>
      </c>
      <c r="G49" s="41" t="str">
        <f>IFERROR(IF(compras_mes8[[#This Row],[CUIT]]="","-",VLOOKUP(compras_mes8[[#This Row],[CUIT]],Lista_CUIT[#All],2,0)),"CUIT NO CARGADO")</f>
        <v>CLEAN LAB SRL</v>
      </c>
      <c r="H49" s="42">
        <v>31733.86</v>
      </c>
      <c r="I49" s="81">
        <v>6664.1106</v>
      </c>
      <c r="J49" s="81"/>
      <c r="K49" s="81"/>
      <c r="L49" s="81"/>
      <c r="M49" s="81"/>
      <c r="N49" s="81"/>
      <c r="O49" s="81"/>
      <c r="P49" s="44">
        <v>38397.970600000001</v>
      </c>
      <c r="Q49" s="45" t="str">
        <f>IFERROR(IF(compras_mes8[[#This Row],[CUIT]]="","-",VLOOKUP(compras_mes8[[#This Row],[CUIT]],Lista_CUIT[#All],3,0)),"CUIT NO CARGADO")</f>
        <v>Comida-Limpieza</v>
      </c>
      <c r="R49" s="45">
        <f>IFERROR(IF(compras_mes8[[#This Row],[CUIT]]="","-",VLOOKUP(compras_mes8[[#This Row],[CUIT]],Lista_CUIT[#All],4,0)),"CUIT NO CARGADO")</f>
        <v>0</v>
      </c>
    </row>
    <row r="50" spans="2:18" x14ac:dyDescent="0.3">
      <c r="B50" s="36">
        <v>44804</v>
      </c>
      <c r="C50" s="37">
        <v>1</v>
      </c>
      <c r="D50" s="38">
        <v>2188</v>
      </c>
      <c r="E50" s="39">
        <v>72063</v>
      </c>
      <c r="F50" s="40">
        <v>30548083156</v>
      </c>
      <c r="G50" s="41" t="str">
        <f>IFERROR(IF(compras_mes8[[#This Row],[CUIT]]="","-",VLOOKUP(compras_mes8[[#This Row],[CUIT]],Lista_CUIT[#All],2,0)),"CUIT NO CARGADO")</f>
        <v>COTO  S.A.</v>
      </c>
      <c r="H50" s="42">
        <v>62821.17</v>
      </c>
      <c r="I50" s="81">
        <v>12426.05</v>
      </c>
      <c r="J50" s="81"/>
      <c r="K50" s="81"/>
      <c r="L50" s="81">
        <v>1658.58</v>
      </c>
      <c r="M50" s="81"/>
      <c r="N50" s="81">
        <v>2631.35</v>
      </c>
      <c r="O50" s="81"/>
      <c r="P50" s="44">
        <v>79537.150000000009</v>
      </c>
      <c r="Q50" s="45" t="str">
        <f>IFERROR(IF(compras_mes8[[#This Row],[CUIT]]="","-",VLOOKUP(compras_mes8[[#This Row],[CUIT]],Lista_CUIT[#All],3,0)),"CUIT NO CARGADO")</f>
        <v>Gastos Varios</v>
      </c>
      <c r="R50" s="45">
        <f>IFERROR(IF(compras_mes8[[#This Row],[CUIT]]="","-",VLOOKUP(compras_mes8[[#This Row],[CUIT]],Lista_CUIT[#All],4,0)),"CUIT NO CARGADO")</f>
        <v>0</v>
      </c>
    </row>
    <row r="51" spans="2:18" x14ac:dyDescent="0.3">
      <c r="B51" s="36">
        <v>44795</v>
      </c>
      <c r="C51" s="37">
        <v>1</v>
      </c>
      <c r="D51" s="38">
        <v>3</v>
      </c>
      <c r="E51" s="39">
        <v>1042</v>
      </c>
      <c r="F51" s="40">
        <v>30715434276</v>
      </c>
      <c r="G51" s="41" t="str">
        <f>IFERROR(IF(compras_mes8[[#This Row],[CUIT]]="","-",VLOOKUP(compras_mes8[[#This Row],[CUIT]],Lista_CUIT[#All],2,0)),"CUIT NO CARGADO")</f>
        <v>BRUAYAFA  S.A.</v>
      </c>
      <c r="H51" s="42">
        <v>450300</v>
      </c>
      <c r="I51" s="81">
        <v>94563</v>
      </c>
      <c r="J51" s="81"/>
      <c r="K51" s="81"/>
      <c r="L51" s="81"/>
      <c r="M51" s="81"/>
      <c r="N51" s="81"/>
      <c r="O51" s="81"/>
      <c r="P51" s="44">
        <v>544863</v>
      </c>
      <c r="Q51" s="45" t="str">
        <f>IFERROR(IF(compras_mes8[[#This Row],[CUIT]]="","-",VLOOKUP(compras_mes8[[#This Row],[CUIT]],Lista_CUIT[#All],3,0)),"CUIT NO CARGADO")</f>
        <v>Gtos Comercializacion</v>
      </c>
      <c r="R51" s="45">
        <f>IFERROR(IF(compras_mes8[[#This Row],[CUIT]]="","-",VLOOKUP(compras_mes8[[#This Row],[CUIT]],Lista_CUIT[#All],4,0)),"CUIT NO CARGADO")</f>
        <v>0</v>
      </c>
    </row>
    <row r="52" spans="2:18" x14ac:dyDescent="0.3">
      <c r="B52" s="36">
        <v>44802</v>
      </c>
      <c r="C52" s="37">
        <v>1</v>
      </c>
      <c r="D52" s="38">
        <v>27</v>
      </c>
      <c r="E52" s="39">
        <v>563442</v>
      </c>
      <c r="F52" s="40">
        <v>30703088534</v>
      </c>
      <c r="G52" s="41" t="str">
        <f>IFERROR(IF(compras_mes8[[#This Row],[CUIT]]="","-",VLOOKUP(compras_mes8[[#This Row],[CUIT]],Lista_CUIT[#All],2,0)),"CUIT NO CARGADO")</f>
        <v>MERCADO LIBRE SRL</v>
      </c>
      <c r="H52" s="42">
        <v>144713.75</v>
      </c>
      <c r="I52" s="81">
        <v>30389.887499999997</v>
      </c>
      <c r="J52" s="81"/>
      <c r="K52" s="81"/>
      <c r="L52" s="81">
        <v>4341.3999999999996</v>
      </c>
      <c r="M52" s="81"/>
      <c r="N52" s="81">
        <v>8682.81</v>
      </c>
      <c r="O52" s="81"/>
      <c r="P52" s="44">
        <v>188127.8475</v>
      </c>
      <c r="Q52" s="45" t="str">
        <f>IFERROR(IF(compras_mes8[[#This Row],[CUIT]]="","-",VLOOKUP(compras_mes8[[#This Row],[CUIT]],Lista_CUIT[#All],3,0)),"CUIT NO CARGADO")</f>
        <v>Gtos Comercializacion</v>
      </c>
      <c r="R52" s="45">
        <f>IFERROR(IF(compras_mes8[[#This Row],[CUIT]]="","-",VLOOKUP(compras_mes8[[#This Row],[CUIT]],Lista_CUIT[#All],4,0)),"CUIT NO CARGADO")</f>
        <v>0</v>
      </c>
    </row>
    <row r="53" spans="2:18" x14ac:dyDescent="0.3">
      <c r="B53" s="36">
        <v>44804</v>
      </c>
      <c r="C53" s="37">
        <v>1</v>
      </c>
      <c r="D53" s="38">
        <v>1</v>
      </c>
      <c r="E53" s="39">
        <v>2259</v>
      </c>
      <c r="F53" s="40">
        <v>20103906149</v>
      </c>
      <c r="G53" s="41" t="str">
        <f>IFERROR(IF(compras_mes8[[#This Row],[CUIT]]="","-",VLOOKUP(compras_mes8[[#This Row],[CUIT]],Lista_CUIT[#All],2,0)),"CUIT NO CARGADO")</f>
        <v>MC LEAN ROBERTO</v>
      </c>
      <c r="H53" s="42">
        <v>61300</v>
      </c>
      <c r="I53" s="81">
        <v>12873</v>
      </c>
      <c r="J53" s="81"/>
      <c r="K53" s="81"/>
      <c r="L53" s="81"/>
      <c r="M53" s="81"/>
      <c r="N53" s="81"/>
      <c r="O53" s="81"/>
      <c r="P53" s="44">
        <v>74173</v>
      </c>
      <c r="Q53" s="45" t="str">
        <f>IFERROR(IF(compras_mes8[[#This Row],[CUIT]]="","-",VLOOKUP(compras_mes8[[#This Row],[CUIT]],Lista_CUIT[#All],3,0)),"CUIT NO CARGADO")</f>
        <v>Honorarios Contables</v>
      </c>
      <c r="R53" s="45">
        <f>IFERROR(IF(compras_mes8[[#This Row],[CUIT]]="","-",VLOOKUP(compras_mes8[[#This Row],[CUIT]],Lista_CUIT[#All],4,0)),"CUIT NO CARGADO")</f>
        <v>0</v>
      </c>
    </row>
    <row r="54" spans="2:18" x14ac:dyDescent="0.3">
      <c r="B54" s="36">
        <v>44790</v>
      </c>
      <c r="C54" s="37">
        <v>1</v>
      </c>
      <c r="D54" s="38">
        <v>9</v>
      </c>
      <c r="E54" s="39">
        <v>681</v>
      </c>
      <c r="F54" s="40">
        <v>30710446047</v>
      </c>
      <c r="G54" s="41" t="str">
        <f>IFERROR(IF(compras_mes8[[#This Row],[CUIT]]="","-",VLOOKUP(compras_mes8[[#This Row],[CUIT]],Lista_CUIT[#All],2,0)),"CUIT NO CARGADO")</f>
        <v>ENSAMBLE GRAFICO S.H.</v>
      </c>
      <c r="H54" s="42">
        <v>498752.6</v>
      </c>
      <c r="I54" s="81">
        <v>104738.04599999999</v>
      </c>
      <c r="J54" s="81"/>
      <c r="K54" s="81"/>
      <c r="L54" s="81"/>
      <c r="M54" s="81"/>
      <c r="N54" s="81"/>
      <c r="O54" s="81"/>
      <c r="P54" s="44">
        <v>603490.64599999995</v>
      </c>
      <c r="Q54" s="45" t="str">
        <f>IFERROR(IF(compras_mes8[[#This Row],[CUIT]]="","-",VLOOKUP(compras_mes8[[#This Row],[CUIT]],Lista_CUIT[#All],3,0)),"CUIT NO CARGADO")</f>
        <v>Mercaderia</v>
      </c>
      <c r="R54" s="45">
        <f>IFERROR(IF(compras_mes8[[#This Row],[CUIT]]="","-",VLOOKUP(compras_mes8[[#This Row],[CUIT]],Lista_CUIT[#All],4,0)),"CUIT NO CARGADO")</f>
        <v>0</v>
      </c>
    </row>
    <row r="55" spans="2:18" x14ac:dyDescent="0.3">
      <c r="B55" s="36">
        <v>44804</v>
      </c>
      <c r="C55" s="37">
        <v>1</v>
      </c>
      <c r="D55" s="38">
        <v>9</v>
      </c>
      <c r="E55" s="39">
        <v>688</v>
      </c>
      <c r="F55" s="40">
        <v>30710446047</v>
      </c>
      <c r="G55" s="41" t="str">
        <f>IFERROR(IF(compras_mes8[[#This Row],[CUIT]]="","-",VLOOKUP(compras_mes8[[#This Row],[CUIT]],Lista_CUIT[#All],2,0)),"CUIT NO CARGADO")</f>
        <v>ENSAMBLE GRAFICO S.H.</v>
      </c>
      <c r="H55" s="42">
        <v>479895</v>
      </c>
      <c r="I55" s="81">
        <v>100777.95</v>
      </c>
      <c r="J55" s="81"/>
      <c r="K55" s="81"/>
      <c r="L55" s="81"/>
      <c r="M55" s="81"/>
      <c r="N55" s="81"/>
      <c r="O55" s="81"/>
      <c r="P55" s="44">
        <v>580672.94999999995</v>
      </c>
      <c r="Q55" s="45" t="str">
        <f>IFERROR(IF(compras_mes8[[#This Row],[CUIT]]="","-",VLOOKUP(compras_mes8[[#This Row],[CUIT]],Lista_CUIT[#All],3,0)),"CUIT NO CARGADO")</f>
        <v>Mercaderia</v>
      </c>
      <c r="R55" s="45">
        <f>IFERROR(IF(compras_mes8[[#This Row],[CUIT]]="","-",VLOOKUP(compras_mes8[[#This Row],[CUIT]],Lista_CUIT[#All],4,0)),"CUIT NO CARGADO")</f>
        <v>0</v>
      </c>
    </row>
    <row r="56" spans="2:18" x14ac:dyDescent="0.3">
      <c r="B56" s="36">
        <v>44784</v>
      </c>
      <c r="C56" s="37">
        <v>1</v>
      </c>
      <c r="D56" s="38">
        <v>10</v>
      </c>
      <c r="E56" s="39">
        <v>123055</v>
      </c>
      <c r="F56" s="40">
        <v>30661282963</v>
      </c>
      <c r="G56" s="41" t="str">
        <f>IFERROR(IF(compras_mes8[[#This Row],[CUIT]]="","-",VLOOKUP(compras_mes8[[#This Row],[CUIT]],Lista_CUIT[#All],2,0)),"CUIT NO CARGADO")</f>
        <v>BERLY  INTERNACIONAL  S.A</v>
      </c>
      <c r="H56" s="42">
        <v>10577.06</v>
      </c>
      <c r="I56" s="81">
        <v>2221.1825999999996</v>
      </c>
      <c r="J56" s="81"/>
      <c r="K56" s="81"/>
      <c r="L56" s="81"/>
      <c r="M56" s="81"/>
      <c r="N56" s="81"/>
      <c r="O56" s="81"/>
      <c r="P56" s="44">
        <v>12798.2426</v>
      </c>
      <c r="Q56" s="45" t="str">
        <f>IFERROR(IF(compras_mes8[[#This Row],[CUIT]]="","-",VLOOKUP(compras_mes8[[#This Row],[CUIT]],Lista_CUIT[#All],3,0)),"CUIT NO CARGADO")</f>
        <v>Librería</v>
      </c>
      <c r="R56" s="45">
        <f>IFERROR(IF(compras_mes8[[#This Row],[CUIT]]="","-",VLOOKUP(compras_mes8[[#This Row],[CUIT]],Lista_CUIT[#All],4,0)),"CUIT NO CARGADO")</f>
        <v>0</v>
      </c>
    </row>
    <row r="57" spans="2:18" x14ac:dyDescent="0.3">
      <c r="B57" s="36">
        <v>44776</v>
      </c>
      <c r="C57" s="37">
        <v>1</v>
      </c>
      <c r="D57" s="38">
        <v>10</v>
      </c>
      <c r="E57" s="39">
        <v>1476</v>
      </c>
      <c r="F57" s="40">
        <v>23127284369</v>
      </c>
      <c r="G57" s="41" t="str">
        <f>IFERROR(IF(compras_mes8[[#This Row],[CUIT]]="","-",VLOOKUP(compras_mes8[[#This Row],[CUIT]],Lista_CUIT[#All],2,0)),"CUIT NO CARGADO")</f>
        <v>DEALER  FX  -  MONTORRO  D.</v>
      </c>
      <c r="H57" s="42">
        <v>14221.26</v>
      </c>
      <c r="I57" s="81">
        <v>2986.4645999999998</v>
      </c>
      <c r="J57" s="81"/>
      <c r="K57" s="81"/>
      <c r="L57" s="81"/>
      <c r="M57" s="81"/>
      <c r="N57" s="81"/>
      <c r="O57" s="81"/>
      <c r="P57" s="44">
        <v>17207.724600000001</v>
      </c>
      <c r="Q57" s="45" t="str">
        <f>IFERROR(IF(compras_mes8[[#This Row],[CUIT]]="","-",VLOOKUP(compras_mes8[[#This Row],[CUIT]],Lista_CUIT[#All],3,0)),"CUIT NO CARGADO")</f>
        <v>Librería</v>
      </c>
      <c r="R57" s="45">
        <f>IFERROR(IF(compras_mes8[[#This Row],[CUIT]]="","-",VLOOKUP(compras_mes8[[#This Row],[CUIT]],Lista_CUIT[#All],4,0)),"CUIT NO CARGADO")</f>
        <v>0</v>
      </c>
    </row>
    <row r="58" spans="2:18" ht="17.25" customHeight="1" x14ac:dyDescent="0.3">
      <c r="B58" s="36">
        <v>44774</v>
      </c>
      <c r="C58" s="37">
        <v>1</v>
      </c>
      <c r="D58" s="38">
        <v>16</v>
      </c>
      <c r="E58" s="39">
        <v>13378</v>
      </c>
      <c r="F58" s="40">
        <v>30553547942</v>
      </c>
      <c r="G58" s="41" t="str">
        <f>IFERROR(IF(compras_mes8[[#This Row],[CUIT]]="","-",VLOOKUP(compras_mes8[[#This Row],[CUIT]],Lista_CUIT[#All],2,0)),"CUIT NO CARGADO")</f>
        <v>PINTURERIAS  NAFER  S.A.</v>
      </c>
      <c r="H58" s="42">
        <v>3788.89</v>
      </c>
      <c r="I58" s="81">
        <v>795.66689999999994</v>
      </c>
      <c r="J58" s="81"/>
      <c r="K58" s="81"/>
      <c r="L58" s="81"/>
      <c r="M58" s="81"/>
      <c r="N58" s="81"/>
      <c r="O58" s="81"/>
      <c r="P58" s="44">
        <v>4584.5568999999996</v>
      </c>
      <c r="Q58" s="45" t="str">
        <f>IFERROR(IF(compras_mes8[[#This Row],[CUIT]]="","-",VLOOKUP(compras_mes8[[#This Row],[CUIT]],Lista_CUIT[#All],3,0)),"CUIT NO CARGADO")</f>
        <v>Mantenimiento</v>
      </c>
      <c r="R58" s="45">
        <f>IFERROR(IF(compras_mes8[[#This Row],[CUIT]]="","-",VLOOKUP(compras_mes8[[#This Row],[CUIT]],Lista_CUIT[#All],4,0)),"CUIT NO CARGADO")</f>
        <v>0</v>
      </c>
    </row>
    <row r="59" spans="2:18" x14ac:dyDescent="0.3">
      <c r="B59" s="36">
        <v>44785</v>
      </c>
      <c r="C59" s="37">
        <v>1</v>
      </c>
      <c r="D59" s="38">
        <v>25</v>
      </c>
      <c r="E59" s="39">
        <v>3106</v>
      </c>
      <c r="F59" s="40">
        <v>33678133049</v>
      </c>
      <c r="G59" s="41" t="str">
        <f>IFERROR(IF(compras_mes8[[#This Row],[CUIT]]="","-",VLOOKUP(compras_mes8[[#This Row],[CUIT]],Lista_CUIT[#All],2,0)),"CUIT NO CARGADO")</f>
        <v>COLORSHOP-  PERDOMO  CAROLINA</v>
      </c>
      <c r="H59" s="42">
        <v>10661.16</v>
      </c>
      <c r="I59" s="81">
        <v>2238.8435999999997</v>
      </c>
      <c r="J59" s="81"/>
      <c r="K59" s="81"/>
      <c r="L59" s="81"/>
      <c r="M59" s="81"/>
      <c r="N59" s="81"/>
      <c r="O59" s="81"/>
      <c r="P59" s="44">
        <v>12900.0036</v>
      </c>
      <c r="Q59" s="45" t="str">
        <f>IFERROR(IF(compras_mes8[[#This Row],[CUIT]]="","-",VLOOKUP(compras_mes8[[#This Row],[CUIT]],Lista_CUIT[#All],3,0)),"CUIT NO CARGADO")</f>
        <v>Mantenimiento</v>
      </c>
      <c r="R59" s="45">
        <f>IFERROR(IF(compras_mes8[[#This Row],[CUIT]]="","-",VLOOKUP(compras_mes8[[#This Row],[CUIT]],Lista_CUIT[#All],4,0)),"CUIT NO CARGADO")</f>
        <v>0</v>
      </c>
    </row>
    <row r="60" spans="2:18" x14ac:dyDescent="0.3">
      <c r="B60" s="36">
        <v>44792</v>
      </c>
      <c r="C60" s="37">
        <v>1</v>
      </c>
      <c r="D60" s="38">
        <v>1135</v>
      </c>
      <c r="E60" s="39">
        <v>16246</v>
      </c>
      <c r="F60" s="40">
        <v>33714677239</v>
      </c>
      <c r="G60" s="41" t="str">
        <f>IFERROR(IF(compras_mes8[[#This Row],[CUIT]]="","-",VLOOKUP(compras_mes8[[#This Row],[CUIT]],Lista_CUIT[#All],2,0)),"CUIT NO CARGADO")</f>
        <v>VABAR LIN SRL</v>
      </c>
      <c r="H60" s="42">
        <v>250360</v>
      </c>
      <c r="I60" s="81">
        <v>52575.6</v>
      </c>
      <c r="J60" s="81"/>
      <c r="K60" s="81"/>
      <c r="L60" s="81"/>
      <c r="M60" s="81"/>
      <c r="N60" s="81"/>
      <c r="O60" s="81"/>
      <c r="P60" s="44">
        <v>302935.59999999998</v>
      </c>
      <c r="Q60" s="45" t="str">
        <f>IFERROR(IF(compras_mes8[[#This Row],[CUIT]]="","-",VLOOKUP(compras_mes8[[#This Row],[CUIT]],Lista_CUIT[#All],3,0)),"CUIT NO CARGADO")</f>
        <v>Mantenimiento</v>
      </c>
      <c r="R60" s="45">
        <f>IFERROR(IF(compras_mes8[[#This Row],[CUIT]]="","-",VLOOKUP(compras_mes8[[#This Row],[CUIT]],Lista_CUIT[#All],4,0)),"CUIT NO CARGADO")</f>
        <v>0</v>
      </c>
    </row>
    <row r="61" spans="2:18" x14ac:dyDescent="0.3">
      <c r="B61" s="36">
        <v>44798</v>
      </c>
      <c r="C61" s="37">
        <v>1</v>
      </c>
      <c r="D61" s="38">
        <v>5</v>
      </c>
      <c r="E61" s="39">
        <v>825</v>
      </c>
      <c r="F61" s="40">
        <v>30711651779</v>
      </c>
      <c r="G61" s="41" t="str">
        <f>IFERROR(IF(compras_mes8[[#This Row],[CUIT]]="","-",VLOOKUP(compras_mes8[[#This Row],[CUIT]],Lista_CUIT[#All],2,0)),"CUIT NO CARGADO")</f>
        <v>INFOSOL BUENOS AIRES S.R.L.</v>
      </c>
      <c r="H61" s="42">
        <v>3305.79</v>
      </c>
      <c r="I61" s="81">
        <v>694.21589999999992</v>
      </c>
      <c r="J61" s="81"/>
      <c r="K61" s="81"/>
      <c r="L61" s="81"/>
      <c r="M61" s="81"/>
      <c r="N61" s="81"/>
      <c r="O61" s="81"/>
      <c r="P61" s="44">
        <v>4000.0059000000001</v>
      </c>
      <c r="Q61" s="45" t="str">
        <f>IFERROR(IF(compras_mes8[[#This Row],[CUIT]]="","-",VLOOKUP(compras_mes8[[#This Row],[CUIT]],Lista_CUIT[#All],3,0)),"CUIT NO CARGADO")</f>
        <v>Equipos de Informatica</v>
      </c>
      <c r="R61" s="45">
        <f>IFERROR(IF(compras_mes8[[#This Row],[CUIT]]="","-",VLOOKUP(compras_mes8[[#This Row],[CUIT]],Lista_CUIT[#All],4,0)),"CUIT NO CARGADO")</f>
        <v>0</v>
      </c>
    </row>
    <row r="62" spans="2:18" x14ac:dyDescent="0.3">
      <c r="B62" s="36">
        <v>44778</v>
      </c>
      <c r="C62" s="37">
        <v>1</v>
      </c>
      <c r="D62" s="38">
        <v>2</v>
      </c>
      <c r="E62" s="39">
        <v>8249</v>
      </c>
      <c r="F62" s="40">
        <v>30715094319</v>
      </c>
      <c r="G62" s="41" t="str">
        <f>IFERROR(IF(compras_mes8[[#This Row],[CUIT]]="","-",VLOOKUP(compras_mes8[[#This Row],[CUIT]],Lista_CUIT[#All],2,0)),"CUIT NO CARGADO")</f>
        <v>LA  COBACHA  INSUMOS  SRL</v>
      </c>
      <c r="H62" s="42">
        <v>73304.960000000006</v>
      </c>
      <c r="I62" s="81">
        <v>15394.0416</v>
      </c>
      <c r="J62" s="81"/>
      <c r="K62" s="81"/>
      <c r="L62" s="81"/>
      <c r="M62" s="81"/>
      <c r="N62" s="81"/>
      <c r="O62" s="81"/>
      <c r="P62" s="44">
        <v>88699.001600000003</v>
      </c>
      <c r="Q62" s="45" t="str">
        <f>IFERROR(IF(compras_mes8[[#This Row],[CUIT]]="","-",VLOOKUP(compras_mes8[[#This Row],[CUIT]],Lista_CUIT[#All],3,0)),"CUIT NO CARGADO")</f>
        <v>Mercaderia</v>
      </c>
      <c r="R62" s="45">
        <f>IFERROR(IF(compras_mes8[[#This Row],[CUIT]]="","-",VLOOKUP(compras_mes8[[#This Row],[CUIT]],Lista_CUIT[#All],4,0)),"CUIT NO CARGADO")</f>
        <v>0</v>
      </c>
    </row>
    <row r="63" spans="2:18" x14ac:dyDescent="0.3">
      <c r="B63" s="36">
        <v>44782</v>
      </c>
      <c r="C63" s="37">
        <v>1</v>
      </c>
      <c r="D63" s="38">
        <v>8</v>
      </c>
      <c r="E63" s="39">
        <v>273</v>
      </c>
      <c r="F63" s="40">
        <v>30683550872</v>
      </c>
      <c r="G63" s="41" t="str">
        <f>IFERROR(IF(compras_mes8[[#This Row],[CUIT]]="","-",VLOOKUP(compras_mes8[[#This Row],[CUIT]],Lista_CUIT[#All],2,0)),"CUIT NO CARGADO")</f>
        <v>POWER  SIX  SA</v>
      </c>
      <c r="H63" s="42">
        <v>275692.31</v>
      </c>
      <c r="I63" s="81"/>
      <c r="J63" s="81"/>
      <c r="K63" s="81">
        <v>28947.69</v>
      </c>
      <c r="L63" s="81"/>
      <c r="M63" s="81"/>
      <c r="N63" s="81"/>
      <c r="O63" s="81"/>
      <c r="P63" s="44">
        <v>304640</v>
      </c>
      <c r="Q63" s="45" t="str">
        <f>IFERROR(IF(compras_mes8[[#This Row],[CUIT]]="","-",VLOOKUP(compras_mes8[[#This Row],[CUIT]],Lista_CUIT[#All],3,0)),"CUIT NO CARGADO")</f>
        <v>Mercaderia</v>
      </c>
      <c r="R63" s="45">
        <f>IFERROR(IF(compras_mes8[[#This Row],[CUIT]]="","-",VLOOKUP(compras_mes8[[#This Row],[CUIT]],Lista_CUIT[#All],4,0)),"CUIT NO CARGADO")</f>
        <v>0</v>
      </c>
    </row>
    <row r="64" spans="2:18" x14ac:dyDescent="0.3">
      <c r="B64" s="36">
        <v>44782</v>
      </c>
      <c r="C64" s="37">
        <v>1</v>
      </c>
      <c r="D64" s="38">
        <v>18</v>
      </c>
      <c r="E64" s="39">
        <v>13</v>
      </c>
      <c r="F64" s="40">
        <v>20938867179</v>
      </c>
      <c r="G64" s="41" t="str">
        <f>IFERROR(IF(compras_mes8[[#This Row],[CUIT]]="","-",VLOOKUP(compras_mes8[[#This Row],[CUIT]],Lista_CUIT[#All],2,0)),"CUIT NO CARGADO")</f>
        <v>DE  LA  TORRE  ZARAGOZA  JUAN  E</v>
      </c>
      <c r="H64" s="42">
        <v>301223.14</v>
      </c>
      <c r="I64" s="81">
        <v>63256.859400000001</v>
      </c>
      <c r="J64" s="81"/>
      <c r="K64" s="81"/>
      <c r="L64" s="81"/>
      <c r="M64" s="81"/>
      <c r="N64" s="81"/>
      <c r="O64" s="81"/>
      <c r="P64" s="44">
        <v>364479.99940000003</v>
      </c>
      <c r="Q64" s="45" t="str">
        <f>IFERROR(IF(compras_mes8[[#This Row],[CUIT]]="","-",VLOOKUP(compras_mes8[[#This Row],[CUIT]],Lista_CUIT[#All],3,0)),"CUIT NO CARGADO")</f>
        <v>Mercaderia</v>
      </c>
      <c r="R64" s="45">
        <f>IFERROR(IF(compras_mes8[[#This Row],[CUIT]]="","-",VLOOKUP(compras_mes8[[#This Row],[CUIT]],Lista_CUIT[#All],4,0)),"CUIT NO CARGADO")</f>
        <v>0</v>
      </c>
    </row>
    <row r="65" spans="2:18" x14ac:dyDescent="0.3">
      <c r="B65" s="36">
        <v>44776</v>
      </c>
      <c r="C65" s="37">
        <v>1</v>
      </c>
      <c r="D65" s="38">
        <v>6</v>
      </c>
      <c r="E65" s="39">
        <v>2164</v>
      </c>
      <c r="F65" s="40">
        <v>30574603788</v>
      </c>
      <c r="G65" s="41" t="str">
        <f>IFERROR(IF(compras_mes8[[#This Row],[CUIT]]="","-",VLOOKUP(compras_mes8[[#This Row],[CUIT]],Lista_CUIT[#All],2,0)),"CUIT NO CARGADO")</f>
        <v>Codac SRL</v>
      </c>
      <c r="H65" s="42">
        <v>543702</v>
      </c>
      <c r="I65" s="81">
        <v>114177.42</v>
      </c>
      <c r="J65" s="81"/>
      <c r="K65" s="81"/>
      <c r="L65" s="81"/>
      <c r="M65" s="81"/>
      <c r="N65" s="81"/>
      <c r="O65" s="81"/>
      <c r="P65" s="44">
        <v>657879.42000000004</v>
      </c>
      <c r="Q65" s="45" t="str">
        <f>IFERROR(IF(compras_mes8[[#This Row],[CUIT]]="","-",VLOOKUP(compras_mes8[[#This Row],[CUIT]],Lista_CUIT[#All],3,0)),"CUIT NO CARGADO")</f>
        <v>Mercaderia</v>
      </c>
      <c r="R65" s="45">
        <f>IFERROR(IF(compras_mes8[[#This Row],[CUIT]]="","-",VLOOKUP(compras_mes8[[#This Row],[CUIT]],Lista_CUIT[#All],4,0)),"CUIT NO CARGADO")</f>
        <v>0</v>
      </c>
    </row>
    <row r="66" spans="2:18" x14ac:dyDescent="0.3">
      <c r="B66" s="36">
        <v>44777</v>
      </c>
      <c r="C66" s="37">
        <v>1</v>
      </c>
      <c r="D66" s="38">
        <v>1</v>
      </c>
      <c r="E66" s="39">
        <v>25</v>
      </c>
      <c r="F66" s="40">
        <v>30717305287</v>
      </c>
      <c r="G66" s="41" t="str">
        <f>IFERROR(IF(compras_mes8[[#This Row],[CUIT]]="","-",VLOOKUP(compras_mes8[[#This Row],[CUIT]],Lista_CUIT[#All],2,0)),"CUIT NO CARGADO")</f>
        <v>K.R. S. R. L.</v>
      </c>
      <c r="H66" s="42">
        <v>327000</v>
      </c>
      <c r="I66" s="81">
        <v>68670</v>
      </c>
      <c r="J66" s="81"/>
      <c r="K66" s="81"/>
      <c r="L66" s="81"/>
      <c r="M66" s="81"/>
      <c r="N66" s="81"/>
      <c r="O66" s="81"/>
      <c r="P66" s="44">
        <v>395670</v>
      </c>
      <c r="Q66" s="45" t="str">
        <f>IFERROR(IF(compras_mes8[[#This Row],[CUIT]]="","-",VLOOKUP(compras_mes8[[#This Row],[CUIT]],Lista_CUIT[#All],3,0)),"CUIT NO CARGADO")</f>
        <v>Mercaderia</v>
      </c>
      <c r="R66" s="45">
        <f>IFERROR(IF(compras_mes8[[#This Row],[CUIT]]="","-",VLOOKUP(compras_mes8[[#This Row],[CUIT]],Lista_CUIT[#All],4,0)),"CUIT NO CARGADO")</f>
        <v>0</v>
      </c>
    </row>
    <row r="67" spans="2:18" x14ac:dyDescent="0.3">
      <c r="B67" s="36">
        <v>44777</v>
      </c>
      <c r="C67" s="37">
        <v>1</v>
      </c>
      <c r="D67" s="38">
        <v>1</v>
      </c>
      <c r="E67" s="39">
        <v>26</v>
      </c>
      <c r="F67" s="40">
        <v>30717305287</v>
      </c>
      <c r="G67" s="41" t="str">
        <f>IFERROR(IF(compras_mes8[[#This Row],[CUIT]]="","-",VLOOKUP(compras_mes8[[#This Row],[CUIT]],Lista_CUIT[#All],2,0)),"CUIT NO CARGADO")</f>
        <v>K.R. S. R. L.</v>
      </c>
      <c r="H67" s="42">
        <v>327000</v>
      </c>
      <c r="I67" s="81">
        <v>68670</v>
      </c>
      <c r="J67" s="81"/>
      <c r="K67" s="81"/>
      <c r="L67" s="81"/>
      <c r="M67" s="81"/>
      <c r="N67" s="81"/>
      <c r="O67" s="81"/>
      <c r="P67" s="44">
        <v>395670</v>
      </c>
      <c r="Q67" s="45" t="str">
        <f>IFERROR(IF(compras_mes8[[#This Row],[CUIT]]="","-",VLOOKUP(compras_mes8[[#This Row],[CUIT]],Lista_CUIT[#All],3,0)),"CUIT NO CARGADO")</f>
        <v>Mercaderia</v>
      </c>
      <c r="R67" s="45">
        <f>IFERROR(IF(compras_mes8[[#This Row],[CUIT]]="","-",VLOOKUP(compras_mes8[[#This Row],[CUIT]],Lista_CUIT[#All],4,0)),"CUIT NO CARGADO")</f>
        <v>0</v>
      </c>
    </row>
    <row r="68" spans="2:18" x14ac:dyDescent="0.3">
      <c r="B68" s="36">
        <v>44777</v>
      </c>
      <c r="C68" s="37">
        <v>1</v>
      </c>
      <c r="D68" s="38">
        <v>10</v>
      </c>
      <c r="E68" s="39">
        <v>3616</v>
      </c>
      <c r="F68" s="40">
        <v>20217646414</v>
      </c>
      <c r="G68" s="41" t="str">
        <f>IFERROR(IF(compras_mes8[[#This Row],[CUIT]]="","-",VLOOKUP(compras_mes8[[#This Row],[CUIT]],Lista_CUIT[#All],2,0)),"CUIT NO CARGADO")</f>
        <v>FARBER  HERMAN</v>
      </c>
      <c r="H68" s="42">
        <v>142380</v>
      </c>
      <c r="I68" s="81">
        <v>29899.8</v>
      </c>
      <c r="J68" s="81"/>
      <c r="K68" s="81"/>
      <c r="L68" s="81"/>
      <c r="M68" s="81"/>
      <c r="N68" s="81"/>
      <c r="O68" s="81"/>
      <c r="P68" s="44">
        <v>172279.8</v>
      </c>
      <c r="Q68" s="45" t="str">
        <f>IFERROR(IF(compras_mes8[[#This Row],[CUIT]]="","-",VLOOKUP(compras_mes8[[#This Row],[CUIT]],Lista_CUIT[#All],3,0)),"CUIT NO CARGADO")</f>
        <v>Mercaderia</v>
      </c>
      <c r="R68" s="45" t="str">
        <f>IFERROR(IF(compras_mes8[[#This Row],[CUIT]]="","-",VLOOKUP(compras_mes8[[#This Row],[CUIT]],Lista_CUIT[#All],4,0)),"CUIT NO CARGADO")</f>
        <v>BS AS</v>
      </c>
    </row>
    <row r="69" spans="2:18" x14ac:dyDescent="0.3">
      <c r="B69" s="36">
        <v>44778</v>
      </c>
      <c r="C69" s="37">
        <v>1</v>
      </c>
      <c r="D69" s="38">
        <v>6</v>
      </c>
      <c r="E69" s="39">
        <v>21699</v>
      </c>
      <c r="F69" s="40">
        <v>33640878679</v>
      </c>
      <c r="G69" s="41" t="str">
        <f>IFERROR(IF(compras_mes8[[#This Row],[CUIT]]="","-",VLOOKUP(compras_mes8[[#This Row],[CUIT]],Lista_CUIT[#All],2,0)),"CUIT NO CARGADO")</f>
        <v>DHACAM  S.R.L.</v>
      </c>
      <c r="H69" s="42">
        <v>135810</v>
      </c>
      <c r="I69" s="81">
        <v>28520.1</v>
      </c>
      <c r="J69" s="81"/>
      <c r="K69" s="81"/>
      <c r="L69" s="81"/>
      <c r="M69" s="81"/>
      <c r="N69" s="81"/>
      <c r="O69" s="81"/>
      <c r="P69" s="44">
        <v>164330.1</v>
      </c>
      <c r="Q69" s="45" t="str">
        <f>IFERROR(IF(compras_mes8[[#This Row],[CUIT]]="","-",VLOOKUP(compras_mes8[[#This Row],[CUIT]],Lista_CUIT[#All],3,0)),"CUIT NO CARGADO")</f>
        <v>Mercaderia</v>
      </c>
      <c r="R69" s="45">
        <f>IFERROR(IF(compras_mes8[[#This Row],[CUIT]]="","-",VLOOKUP(compras_mes8[[#This Row],[CUIT]],Lista_CUIT[#All],4,0)),"CUIT NO CARGADO")</f>
        <v>0</v>
      </c>
    </row>
    <row r="70" spans="2:18" x14ac:dyDescent="0.3">
      <c r="B70" s="36">
        <v>44781</v>
      </c>
      <c r="C70" s="37">
        <v>1</v>
      </c>
      <c r="D70" s="38">
        <v>2</v>
      </c>
      <c r="E70" s="39">
        <v>3119</v>
      </c>
      <c r="F70" s="40">
        <v>30629863571</v>
      </c>
      <c r="G70" s="41" t="str">
        <f>IFERROR(IF(compras_mes8[[#This Row],[CUIT]]="","-",VLOOKUP(compras_mes8[[#This Row],[CUIT]],Lista_CUIT[#All],2,0)),"CUIT NO CARGADO")</f>
        <v>TECNIMAR S R L</v>
      </c>
      <c r="H70" s="42">
        <v>150662.56</v>
      </c>
      <c r="I70" s="81">
        <v>31639.137599999998</v>
      </c>
      <c r="J70" s="81"/>
      <c r="K70" s="81"/>
      <c r="L70" s="81"/>
      <c r="M70" s="81"/>
      <c r="N70" s="81"/>
      <c r="O70" s="81"/>
      <c r="P70" s="44">
        <v>182301.69759999998</v>
      </c>
      <c r="Q70" s="45" t="str">
        <f>IFERROR(IF(compras_mes8[[#This Row],[CUIT]]="","-",VLOOKUP(compras_mes8[[#This Row],[CUIT]],Lista_CUIT[#All],3,0)),"CUIT NO CARGADO")</f>
        <v>Mercaderia</v>
      </c>
      <c r="R70" s="45">
        <f>IFERROR(IF(compras_mes8[[#This Row],[CUIT]]="","-",VLOOKUP(compras_mes8[[#This Row],[CUIT]],Lista_CUIT[#All],4,0)),"CUIT NO CARGADO")</f>
        <v>0</v>
      </c>
    </row>
    <row r="71" spans="2:18" x14ac:dyDescent="0.3">
      <c r="B71" s="36">
        <v>44783</v>
      </c>
      <c r="C71" s="37">
        <v>1</v>
      </c>
      <c r="D71" s="38">
        <v>6</v>
      </c>
      <c r="E71" s="39">
        <v>21728</v>
      </c>
      <c r="F71" s="40">
        <v>33640878679</v>
      </c>
      <c r="G71" s="41" t="str">
        <f>IFERROR(IF(compras_mes8[[#This Row],[CUIT]]="","-",VLOOKUP(compras_mes8[[#This Row],[CUIT]],Lista_CUIT[#All],2,0)),"CUIT NO CARGADO")</f>
        <v>DHACAM  S.R.L.</v>
      </c>
      <c r="H71" s="42">
        <v>90540</v>
      </c>
      <c r="I71" s="81">
        <v>19013.399999999998</v>
      </c>
      <c r="J71" s="81"/>
      <c r="K71" s="81"/>
      <c r="L71" s="81"/>
      <c r="M71" s="81"/>
      <c r="N71" s="81"/>
      <c r="O71" s="81"/>
      <c r="P71" s="44">
        <v>109553.4</v>
      </c>
      <c r="Q71" s="45" t="str">
        <f>IFERROR(IF(compras_mes8[[#This Row],[CUIT]]="","-",VLOOKUP(compras_mes8[[#This Row],[CUIT]],Lista_CUIT[#All],3,0)),"CUIT NO CARGADO")</f>
        <v>Mercaderia</v>
      </c>
      <c r="R71" s="45">
        <f>IFERROR(IF(compras_mes8[[#This Row],[CUIT]]="","-",VLOOKUP(compras_mes8[[#This Row],[CUIT]],Lista_CUIT[#All],4,0)),"CUIT NO CARGADO")</f>
        <v>0</v>
      </c>
    </row>
    <row r="72" spans="2:18" x14ac:dyDescent="0.3">
      <c r="B72" s="36">
        <v>44784</v>
      </c>
      <c r="C72" s="37">
        <v>1</v>
      </c>
      <c r="D72" s="38">
        <v>3</v>
      </c>
      <c r="E72" s="39">
        <v>3155</v>
      </c>
      <c r="F72" s="40">
        <v>30714618977</v>
      </c>
      <c r="G72" s="41" t="str">
        <f>IFERROR(IF(compras_mes8[[#This Row],[CUIT]]="","-",VLOOKUP(compras_mes8[[#This Row],[CUIT]],Lista_CUIT[#All],2,0)),"CUIT NO CARGADO")</f>
        <v>DISTRIBUIDORA N.G. S.A.</v>
      </c>
      <c r="H72" s="42">
        <v>88320</v>
      </c>
      <c r="I72" s="81">
        <v>18547.2</v>
      </c>
      <c r="J72" s="81"/>
      <c r="K72" s="81"/>
      <c r="L72" s="81"/>
      <c r="M72" s="81"/>
      <c r="N72" s="81"/>
      <c r="O72" s="81"/>
      <c r="P72" s="44">
        <v>106867.2</v>
      </c>
      <c r="Q72" s="45" t="str">
        <f>IFERROR(IF(compras_mes8[[#This Row],[CUIT]]="","-",VLOOKUP(compras_mes8[[#This Row],[CUIT]],Lista_CUIT[#All],3,0)),"CUIT NO CARGADO")</f>
        <v>Mercaderia</v>
      </c>
      <c r="R72" s="45">
        <f>IFERROR(IF(compras_mes8[[#This Row],[CUIT]]="","-",VLOOKUP(compras_mes8[[#This Row],[CUIT]],Lista_CUIT[#All],4,0)),"CUIT NO CARGADO")</f>
        <v>0</v>
      </c>
    </row>
    <row r="73" spans="2:18" x14ac:dyDescent="0.3">
      <c r="B73" s="36">
        <v>44785</v>
      </c>
      <c r="C73" s="37">
        <v>1</v>
      </c>
      <c r="D73" s="38">
        <v>3</v>
      </c>
      <c r="E73" s="39">
        <v>3158</v>
      </c>
      <c r="F73" s="40">
        <v>30714618977</v>
      </c>
      <c r="G73" s="41" t="str">
        <f>IFERROR(IF(compras_mes8[[#This Row],[CUIT]]="","-",VLOOKUP(compras_mes8[[#This Row],[CUIT]],Lista_CUIT[#All],2,0)),"CUIT NO CARGADO")</f>
        <v>DISTRIBUIDORA N.G. S.A.</v>
      </c>
      <c r="H73" s="42">
        <v>150000</v>
      </c>
      <c r="I73" s="81">
        <v>31500</v>
      </c>
      <c r="J73" s="81"/>
      <c r="K73" s="81"/>
      <c r="L73" s="81"/>
      <c r="M73" s="81"/>
      <c r="N73" s="81"/>
      <c r="O73" s="81"/>
      <c r="P73" s="44">
        <v>181500</v>
      </c>
      <c r="Q73" s="45" t="str">
        <f>IFERROR(IF(compras_mes8[[#This Row],[CUIT]]="","-",VLOOKUP(compras_mes8[[#This Row],[CUIT]],Lista_CUIT[#All],3,0)),"CUIT NO CARGADO")</f>
        <v>Mercaderia</v>
      </c>
      <c r="R73" s="45">
        <f>IFERROR(IF(compras_mes8[[#This Row],[CUIT]]="","-",VLOOKUP(compras_mes8[[#This Row],[CUIT]],Lista_CUIT[#All],4,0)),"CUIT NO CARGADO")</f>
        <v>0</v>
      </c>
    </row>
    <row r="74" spans="2:18" x14ac:dyDescent="0.3">
      <c r="B74" s="36">
        <v>44789</v>
      </c>
      <c r="C74" s="37">
        <v>1</v>
      </c>
      <c r="D74" s="38">
        <v>10</v>
      </c>
      <c r="E74" s="39">
        <v>5416</v>
      </c>
      <c r="F74" s="40">
        <v>20102638086</v>
      </c>
      <c r="G74" s="41" t="str">
        <f>IFERROR(IF(compras_mes8[[#This Row],[CUIT]]="","-",VLOOKUP(compras_mes8[[#This Row],[CUIT]],Lista_CUIT[#All],2,0)),"CUIT NO CARGADO")</f>
        <v>PASCUAL  A.  ROMANO-  VRH</v>
      </c>
      <c r="H74" s="42">
        <v>259150.5</v>
      </c>
      <c r="I74" s="81">
        <v>54421.604999999996</v>
      </c>
      <c r="J74" s="81"/>
      <c r="K74" s="81"/>
      <c r="L74" s="81"/>
      <c r="M74" s="81"/>
      <c r="N74" s="81"/>
      <c r="O74" s="81"/>
      <c r="P74" s="44">
        <v>313572.10499999998</v>
      </c>
      <c r="Q74" s="45" t="str">
        <f>IFERROR(IF(compras_mes8[[#This Row],[CUIT]]="","-",VLOOKUP(compras_mes8[[#This Row],[CUIT]],Lista_CUIT[#All],3,0)),"CUIT NO CARGADO")</f>
        <v>Mercaderia</v>
      </c>
      <c r="R74" s="45">
        <f>IFERROR(IF(compras_mes8[[#This Row],[CUIT]]="","-",VLOOKUP(compras_mes8[[#This Row],[CUIT]],Lista_CUIT[#All],4,0)),"CUIT NO CARGADO")</f>
        <v>0</v>
      </c>
    </row>
    <row r="75" spans="2:18" x14ac:dyDescent="0.3">
      <c r="B75" s="36">
        <v>44789</v>
      </c>
      <c r="C75" s="37">
        <v>3</v>
      </c>
      <c r="D75" s="38">
        <v>1</v>
      </c>
      <c r="E75" s="39">
        <v>2</v>
      </c>
      <c r="F75" s="40">
        <v>30717305287</v>
      </c>
      <c r="G75" s="41" t="str">
        <f>IFERROR(IF(compras_mes8[[#This Row],[CUIT]]="","-",VLOOKUP(compras_mes8[[#This Row],[CUIT]],Lista_CUIT[#All],2,0)),"CUIT NO CARGADO")</f>
        <v>K.R. S. R. L.</v>
      </c>
      <c r="H75" s="42">
        <v>-22500</v>
      </c>
      <c r="I75" s="81">
        <v>-4725</v>
      </c>
      <c r="J75" s="81"/>
      <c r="K75" s="81"/>
      <c r="L75" s="81"/>
      <c r="M75" s="81"/>
      <c r="N75" s="81"/>
      <c r="O75" s="81"/>
      <c r="P75" s="44">
        <v>-27225</v>
      </c>
      <c r="Q75" s="45" t="str">
        <f>IFERROR(IF(compras_mes8[[#This Row],[CUIT]]="","-",VLOOKUP(compras_mes8[[#This Row],[CUIT]],Lista_CUIT[#All],3,0)),"CUIT NO CARGADO")</f>
        <v>Mercaderia</v>
      </c>
      <c r="R75" s="45">
        <f>IFERROR(IF(compras_mes8[[#This Row],[CUIT]]="","-",VLOOKUP(compras_mes8[[#This Row],[CUIT]],Lista_CUIT[#All],4,0)),"CUIT NO CARGADO")</f>
        <v>0</v>
      </c>
    </row>
    <row r="76" spans="2:18" x14ac:dyDescent="0.3">
      <c r="B76" s="36">
        <v>44791</v>
      </c>
      <c r="C76" s="37">
        <v>1</v>
      </c>
      <c r="D76" s="38">
        <v>1</v>
      </c>
      <c r="E76" s="39">
        <v>76</v>
      </c>
      <c r="F76" s="40">
        <v>20077604627</v>
      </c>
      <c r="G76" s="41" t="str">
        <f>IFERROR(IF(compras_mes8[[#This Row],[CUIT]]="","-",VLOOKUP(compras_mes8[[#This Row],[CUIT]],Lista_CUIT[#All],2,0)),"CUIT NO CARGADO")</f>
        <v>OCAÑO ENRIQUE</v>
      </c>
      <c r="H76" s="42">
        <v>264514.8</v>
      </c>
      <c r="I76" s="81">
        <v>55548.107999999993</v>
      </c>
      <c r="J76" s="81"/>
      <c r="K76" s="81"/>
      <c r="L76" s="81"/>
      <c r="M76" s="81"/>
      <c r="N76" s="81"/>
      <c r="O76" s="81"/>
      <c r="P76" s="44">
        <v>320062.908</v>
      </c>
      <c r="Q76" s="45" t="str">
        <f>IFERROR(IF(compras_mes8[[#This Row],[CUIT]]="","-",VLOOKUP(compras_mes8[[#This Row],[CUIT]],Lista_CUIT[#All],3,0)),"CUIT NO CARGADO")</f>
        <v>Mercaderia</v>
      </c>
      <c r="R76" s="45">
        <f>IFERROR(IF(compras_mes8[[#This Row],[CUIT]]="","-",VLOOKUP(compras_mes8[[#This Row],[CUIT]],Lista_CUIT[#All],4,0)),"CUIT NO CARGADO")</f>
        <v>0</v>
      </c>
    </row>
    <row r="77" spans="2:18" x14ac:dyDescent="0.3">
      <c r="B77" s="36">
        <v>44792</v>
      </c>
      <c r="C77" s="37">
        <v>1</v>
      </c>
      <c r="D77" s="38">
        <v>2</v>
      </c>
      <c r="E77" s="39">
        <v>3125</v>
      </c>
      <c r="F77" s="40">
        <v>30629863571</v>
      </c>
      <c r="G77" s="41" t="str">
        <f>IFERROR(IF(compras_mes8[[#This Row],[CUIT]]="","-",VLOOKUP(compras_mes8[[#This Row],[CUIT]],Lista_CUIT[#All],2,0)),"CUIT NO CARGADO")</f>
        <v>TECNIMAR S R L</v>
      </c>
      <c r="H77" s="42">
        <v>535209.35</v>
      </c>
      <c r="I77" s="81">
        <v>112393.9635</v>
      </c>
      <c r="J77" s="81"/>
      <c r="K77" s="81"/>
      <c r="L77" s="81"/>
      <c r="M77" s="81"/>
      <c r="N77" s="81"/>
      <c r="O77" s="81"/>
      <c r="P77" s="44">
        <v>647603.31349999993</v>
      </c>
      <c r="Q77" s="45" t="str">
        <f>IFERROR(IF(compras_mes8[[#This Row],[CUIT]]="","-",VLOOKUP(compras_mes8[[#This Row],[CUIT]],Lista_CUIT[#All],3,0)),"CUIT NO CARGADO")</f>
        <v>Mercaderia</v>
      </c>
      <c r="R77" s="45">
        <f>IFERROR(IF(compras_mes8[[#This Row],[CUIT]]="","-",VLOOKUP(compras_mes8[[#This Row],[CUIT]],Lista_CUIT[#All],4,0)),"CUIT NO CARGADO")</f>
        <v>0</v>
      </c>
    </row>
    <row r="78" spans="2:18" x14ac:dyDescent="0.3">
      <c r="B78" s="36">
        <v>44796</v>
      </c>
      <c r="C78" s="37">
        <v>1</v>
      </c>
      <c r="D78" s="38">
        <v>5</v>
      </c>
      <c r="E78" s="39">
        <v>42814</v>
      </c>
      <c r="F78" s="40">
        <v>30709932876</v>
      </c>
      <c r="G78" s="41" t="str">
        <f>IFERROR(IF(compras_mes8[[#This Row],[CUIT]]="","-",VLOOKUP(compras_mes8[[#This Row],[CUIT]],Lista_CUIT[#All],2,0)),"CUIT NO CARGADO")</f>
        <v>Mega Envases S.A.</v>
      </c>
      <c r="H78" s="42">
        <v>144540</v>
      </c>
      <c r="I78" s="81">
        <v>30353.399999999998</v>
      </c>
      <c r="J78" s="81"/>
      <c r="K78" s="81"/>
      <c r="L78" s="81"/>
      <c r="M78" s="81"/>
      <c r="N78" s="81">
        <v>8672.4</v>
      </c>
      <c r="O78" s="81"/>
      <c r="P78" s="44">
        <v>183565.8</v>
      </c>
      <c r="Q78" s="45" t="str">
        <f>IFERROR(IF(compras_mes8[[#This Row],[CUIT]]="","-",VLOOKUP(compras_mes8[[#This Row],[CUIT]],Lista_CUIT[#All],3,0)),"CUIT NO CARGADO")</f>
        <v>Mercaderia</v>
      </c>
      <c r="R78" s="45">
        <f>IFERROR(IF(compras_mes8[[#This Row],[CUIT]]="","-",VLOOKUP(compras_mes8[[#This Row],[CUIT]],Lista_CUIT[#All],4,0)),"CUIT NO CARGADO")</f>
        <v>0</v>
      </c>
    </row>
    <row r="79" spans="2:18" x14ac:dyDescent="0.3">
      <c r="B79" s="36">
        <v>44796</v>
      </c>
      <c r="C79" s="37">
        <v>1</v>
      </c>
      <c r="D79" s="38">
        <v>10</v>
      </c>
      <c r="E79" s="39">
        <v>5426</v>
      </c>
      <c r="F79" s="40">
        <v>20102638086</v>
      </c>
      <c r="G79" s="41" t="str">
        <f>IFERROR(IF(compras_mes8[[#This Row],[CUIT]]="","-",VLOOKUP(compras_mes8[[#This Row],[CUIT]],Lista_CUIT[#All],2,0)),"CUIT NO CARGADO")</f>
        <v>PASCUAL  A.  ROMANO-  VRH</v>
      </c>
      <c r="H79" s="42">
        <v>107882</v>
      </c>
      <c r="I79" s="81">
        <v>22655.219999999998</v>
      </c>
      <c r="J79" s="81"/>
      <c r="K79" s="81"/>
      <c r="L79" s="81"/>
      <c r="M79" s="81"/>
      <c r="N79" s="81"/>
      <c r="O79" s="81"/>
      <c r="P79" s="44">
        <v>130537.22</v>
      </c>
      <c r="Q79" s="45" t="str">
        <f>IFERROR(IF(compras_mes8[[#This Row],[CUIT]]="","-",VLOOKUP(compras_mes8[[#This Row],[CUIT]],Lista_CUIT[#All],3,0)),"CUIT NO CARGADO")</f>
        <v>Mercaderia</v>
      </c>
      <c r="R79" s="45">
        <f>IFERROR(IF(compras_mes8[[#This Row],[CUIT]]="","-",VLOOKUP(compras_mes8[[#This Row],[CUIT]],Lista_CUIT[#All],4,0)),"CUIT NO CARGADO")</f>
        <v>0</v>
      </c>
    </row>
    <row r="80" spans="2:18" x14ac:dyDescent="0.3">
      <c r="B80" s="36">
        <v>44797</v>
      </c>
      <c r="C80" s="37">
        <v>1</v>
      </c>
      <c r="D80" s="38">
        <v>2</v>
      </c>
      <c r="E80" s="39">
        <v>3130</v>
      </c>
      <c r="F80" s="40">
        <v>30629863571</v>
      </c>
      <c r="G80" s="41" t="str">
        <f>IFERROR(IF(compras_mes8[[#This Row],[CUIT]]="","-",VLOOKUP(compras_mes8[[#This Row],[CUIT]],Lista_CUIT[#All],2,0)),"CUIT NO CARGADO")</f>
        <v>TECNIMAR S R L</v>
      </c>
      <c r="H80" s="42">
        <v>499881.1</v>
      </c>
      <c r="I80" s="81">
        <v>104975.03099999999</v>
      </c>
      <c r="J80" s="81"/>
      <c r="K80" s="81"/>
      <c r="L80" s="81"/>
      <c r="M80" s="81"/>
      <c r="N80" s="81"/>
      <c r="O80" s="81"/>
      <c r="P80" s="44">
        <v>604856.13099999994</v>
      </c>
      <c r="Q80" s="45" t="str">
        <f>IFERROR(IF(compras_mes8[[#This Row],[CUIT]]="","-",VLOOKUP(compras_mes8[[#This Row],[CUIT]],Lista_CUIT[#All],3,0)),"CUIT NO CARGADO")</f>
        <v>Mercaderia</v>
      </c>
      <c r="R80" s="45">
        <f>IFERROR(IF(compras_mes8[[#This Row],[CUIT]]="","-",VLOOKUP(compras_mes8[[#This Row],[CUIT]],Lista_CUIT[#All],4,0)),"CUIT NO CARGADO")</f>
        <v>0</v>
      </c>
    </row>
    <row r="81" spans="2:18" x14ac:dyDescent="0.3">
      <c r="B81" s="36">
        <v>44797</v>
      </c>
      <c r="C81" s="37">
        <v>1</v>
      </c>
      <c r="D81" s="38">
        <v>4</v>
      </c>
      <c r="E81" s="39">
        <v>32490</v>
      </c>
      <c r="F81" s="40">
        <v>30532905555</v>
      </c>
      <c r="G81" s="41" t="str">
        <f>IFERROR(IF(compras_mes8[[#This Row],[CUIT]]="","-",VLOOKUP(compras_mes8[[#This Row],[CUIT]],Lista_CUIT[#All],2,0)),"CUIT NO CARGADO")</f>
        <v>UNTECO  SAIC  E  I.</v>
      </c>
      <c r="H81" s="42">
        <v>113072.56</v>
      </c>
      <c r="I81" s="81">
        <v>23745.2376</v>
      </c>
      <c r="J81" s="81"/>
      <c r="K81" s="81"/>
      <c r="L81" s="81"/>
      <c r="M81" s="81"/>
      <c r="N81" s="81">
        <v>6784.35</v>
      </c>
      <c r="O81" s="81"/>
      <c r="P81" s="44">
        <v>143602.1476</v>
      </c>
      <c r="Q81" s="45" t="str">
        <f>IFERROR(IF(compras_mes8[[#This Row],[CUIT]]="","-",VLOOKUP(compras_mes8[[#This Row],[CUIT]],Lista_CUIT[#All],3,0)),"CUIT NO CARGADO")</f>
        <v>Mercaderia</v>
      </c>
      <c r="R81" s="45">
        <f>IFERROR(IF(compras_mes8[[#This Row],[CUIT]]="","-",VLOOKUP(compras_mes8[[#This Row],[CUIT]],Lista_CUIT[#All],4,0)),"CUIT NO CARGADO")</f>
        <v>0</v>
      </c>
    </row>
    <row r="82" spans="2:18" x14ac:dyDescent="0.3">
      <c r="B82" s="36">
        <v>44797</v>
      </c>
      <c r="C82" s="37">
        <v>1</v>
      </c>
      <c r="D82" s="38">
        <v>5</v>
      </c>
      <c r="E82" s="39">
        <v>2917</v>
      </c>
      <c r="F82" s="40">
        <v>30708041722</v>
      </c>
      <c r="G82" s="41" t="str">
        <f>IFERROR(IF(compras_mes8[[#This Row],[CUIT]]="","-",VLOOKUP(compras_mes8[[#This Row],[CUIT]],Lista_CUIT[#All],2,0)),"CUIT NO CARGADO")</f>
        <v>QUETZAL QUIMICA S R L</v>
      </c>
      <c r="H82" s="42">
        <v>7019.86</v>
      </c>
      <c r="I82" s="81">
        <v>1474.1705999999999</v>
      </c>
      <c r="J82" s="81"/>
      <c r="K82" s="81"/>
      <c r="L82" s="81"/>
      <c r="M82" s="81"/>
      <c r="N82" s="81"/>
      <c r="O82" s="81"/>
      <c r="P82" s="44">
        <v>8494.0306</v>
      </c>
      <c r="Q82" s="45" t="str">
        <f>IFERROR(IF(compras_mes8[[#This Row],[CUIT]]="","-",VLOOKUP(compras_mes8[[#This Row],[CUIT]],Lista_CUIT[#All],3,0)),"CUIT NO CARGADO")</f>
        <v>Mercaderia</v>
      </c>
      <c r="R82" s="45">
        <f>IFERROR(IF(compras_mes8[[#This Row],[CUIT]]="","-",VLOOKUP(compras_mes8[[#This Row],[CUIT]],Lista_CUIT[#All],4,0)),"CUIT NO CARGADO")</f>
        <v>0</v>
      </c>
    </row>
    <row r="83" spans="2:18" x14ac:dyDescent="0.3">
      <c r="B83" s="36">
        <v>44798</v>
      </c>
      <c r="C83" s="37">
        <v>1</v>
      </c>
      <c r="D83" s="38">
        <v>10</v>
      </c>
      <c r="E83" s="39">
        <v>5582</v>
      </c>
      <c r="F83" s="40">
        <v>30714683663</v>
      </c>
      <c r="G83" s="41" t="str">
        <f>IFERROR(IF(compras_mes8[[#This Row],[CUIT]]="","-",VLOOKUP(compras_mes8[[#This Row],[CUIT]],Lista_CUIT[#All],2,0)),"CUIT NO CARGADO")</f>
        <v>BAMBU  ARGENTINA  S.A.</v>
      </c>
      <c r="H83" s="42">
        <v>156007</v>
      </c>
      <c r="I83" s="81">
        <v>32761.469999999998</v>
      </c>
      <c r="J83" s="81"/>
      <c r="K83" s="81"/>
      <c r="L83" s="81"/>
      <c r="M83" s="81"/>
      <c r="N83" s="81"/>
      <c r="O83" s="81"/>
      <c r="P83" s="44">
        <v>188768.47</v>
      </c>
      <c r="Q83" s="45" t="str">
        <f>IFERROR(IF(compras_mes8[[#This Row],[CUIT]]="","-",VLOOKUP(compras_mes8[[#This Row],[CUIT]],Lista_CUIT[#All],3,0)),"CUIT NO CARGADO")</f>
        <v>Mercaderia</v>
      </c>
      <c r="R83" s="45">
        <f>IFERROR(IF(compras_mes8[[#This Row],[CUIT]]="","-",VLOOKUP(compras_mes8[[#This Row],[CUIT]],Lista_CUIT[#All],4,0)),"CUIT NO CARGADO")</f>
        <v>0</v>
      </c>
    </row>
    <row r="84" spans="2:18" x14ac:dyDescent="0.3">
      <c r="B84" s="36">
        <v>44799</v>
      </c>
      <c r="C84" s="37">
        <v>1</v>
      </c>
      <c r="D84" s="38">
        <v>5</v>
      </c>
      <c r="E84" s="39">
        <v>19883</v>
      </c>
      <c r="F84" s="40">
        <v>30708041722</v>
      </c>
      <c r="G84" s="41" t="str">
        <f>IFERROR(IF(compras_mes8[[#This Row],[CUIT]]="","-",VLOOKUP(compras_mes8[[#This Row],[CUIT]],Lista_CUIT[#All],2,0)),"CUIT NO CARGADO")</f>
        <v>QUETZAL QUIMICA S R L</v>
      </c>
      <c r="H84" s="42">
        <v>291093.75</v>
      </c>
      <c r="I84" s="81">
        <v>61129.6875</v>
      </c>
      <c r="J84" s="81"/>
      <c r="K84" s="81"/>
      <c r="L84" s="81"/>
      <c r="M84" s="81"/>
      <c r="N84" s="81"/>
      <c r="O84" s="81"/>
      <c r="P84" s="44">
        <v>352223.4375</v>
      </c>
      <c r="Q84" s="45" t="str">
        <f>IFERROR(IF(compras_mes8[[#This Row],[CUIT]]="","-",VLOOKUP(compras_mes8[[#This Row],[CUIT]],Lista_CUIT[#All],3,0)),"CUIT NO CARGADO")</f>
        <v>Mercaderia</v>
      </c>
      <c r="R84" s="45">
        <f>IFERROR(IF(compras_mes8[[#This Row],[CUIT]]="","-",VLOOKUP(compras_mes8[[#This Row],[CUIT]],Lista_CUIT[#All],4,0)),"CUIT NO CARGADO")</f>
        <v>0</v>
      </c>
    </row>
    <row r="85" spans="2:18" x14ac:dyDescent="0.3">
      <c r="B85" s="36">
        <v>44802</v>
      </c>
      <c r="C85" s="37">
        <v>1</v>
      </c>
      <c r="D85" s="38">
        <v>2</v>
      </c>
      <c r="E85" s="39">
        <v>3135</v>
      </c>
      <c r="F85" s="40">
        <v>30629863571</v>
      </c>
      <c r="G85" s="41" t="str">
        <f>IFERROR(IF(compras_mes8[[#This Row],[CUIT]]="","-",VLOOKUP(compras_mes8[[#This Row],[CUIT]],Lista_CUIT[#All],2,0)),"CUIT NO CARGADO")</f>
        <v>TECNIMAR S R L</v>
      </c>
      <c r="H85" s="42">
        <v>222733.6</v>
      </c>
      <c r="I85" s="81">
        <v>46774.055999999997</v>
      </c>
      <c r="J85" s="81"/>
      <c r="K85" s="81"/>
      <c r="L85" s="81"/>
      <c r="M85" s="81"/>
      <c r="N85" s="81"/>
      <c r="O85" s="81"/>
      <c r="P85" s="44">
        <v>269507.65600000002</v>
      </c>
      <c r="Q85" s="45" t="str">
        <f>IFERROR(IF(compras_mes8[[#This Row],[CUIT]]="","-",VLOOKUP(compras_mes8[[#This Row],[CUIT]],Lista_CUIT[#All],3,0)),"CUIT NO CARGADO")</f>
        <v>Mercaderia</v>
      </c>
      <c r="R85" s="45">
        <f>IFERROR(IF(compras_mes8[[#This Row],[CUIT]]="","-",VLOOKUP(compras_mes8[[#This Row],[CUIT]],Lista_CUIT[#All],4,0)),"CUIT NO CARGADO")</f>
        <v>0</v>
      </c>
    </row>
    <row r="86" spans="2:18" x14ac:dyDescent="0.3">
      <c r="B86" s="36">
        <v>44803</v>
      </c>
      <c r="C86" s="37">
        <v>1</v>
      </c>
      <c r="D86" s="38">
        <v>13</v>
      </c>
      <c r="E86" s="39">
        <v>9171</v>
      </c>
      <c r="F86" s="40">
        <v>30517345039</v>
      </c>
      <c r="G86" s="41" t="str">
        <f>IFERROR(IF(compras_mes8[[#This Row],[CUIT]]="","-",VLOOKUP(compras_mes8[[#This Row],[CUIT]],Lista_CUIT[#All],2,0)),"CUIT NO CARGADO")</f>
        <v>QUIMICA OESTE S.A.</v>
      </c>
      <c r="H86" s="42">
        <v>3525</v>
      </c>
      <c r="I86" s="81">
        <v>740.25</v>
      </c>
      <c r="J86" s="81"/>
      <c r="K86" s="81"/>
      <c r="L86" s="81"/>
      <c r="M86" s="81"/>
      <c r="N86" s="81">
        <v>211.5</v>
      </c>
      <c r="O86" s="81"/>
      <c r="P86" s="44">
        <v>4476.75</v>
      </c>
      <c r="Q86" s="45" t="str">
        <f>IFERROR(IF(compras_mes8[[#This Row],[CUIT]]="","-",VLOOKUP(compras_mes8[[#This Row],[CUIT]],Lista_CUIT[#All],3,0)),"CUIT NO CARGADO")</f>
        <v>Mercaderia</v>
      </c>
      <c r="R86" s="45">
        <f>IFERROR(IF(compras_mes8[[#This Row],[CUIT]]="","-",VLOOKUP(compras_mes8[[#This Row],[CUIT]],Lista_CUIT[#All],4,0)),"CUIT NO CARGADO")</f>
        <v>0</v>
      </c>
    </row>
    <row r="87" spans="2:18" x14ac:dyDescent="0.3">
      <c r="B87" s="36">
        <v>44804</v>
      </c>
      <c r="C87" s="37">
        <v>1</v>
      </c>
      <c r="D87" s="38">
        <v>1</v>
      </c>
      <c r="E87" s="39">
        <v>3</v>
      </c>
      <c r="F87" s="40">
        <v>30717223299</v>
      </c>
      <c r="G87" s="41" t="str">
        <f>IFERROR(IF(compras_mes8[[#This Row],[CUIT]]="","-",VLOOKUP(compras_mes8[[#This Row],[CUIT]],Lista_CUIT[#All],2,0)),"CUIT NO CARGADO")</f>
        <v>ACEPYM</v>
      </c>
      <c r="H87" s="42">
        <v>0</v>
      </c>
      <c r="I87" s="81">
        <v>0</v>
      </c>
      <c r="J87" s="81"/>
      <c r="K87" s="81"/>
      <c r="L87" s="81"/>
      <c r="M87" s="81"/>
      <c r="N87" s="81">
        <v>140000</v>
      </c>
      <c r="O87" s="81"/>
      <c r="P87" s="44">
        <v>140000</v>
      </c>
      <c r="Q87" s="45" t="str">
        <f>IFERROR(IF(compras_mes8[[#This Row],[CUIT]]="","-",VLOOKUP(compras_mes8[[#This Row],[CUIT]],Lista_CUIT[#All],3,0)),"CUIT NO CARGADO")</f>
        <v>Mercaderia</v>
      </c>
      <c r="R87" s="45">
        <f>IFERROR(IF(compras_mes8[[#This Row],[CUIT]]="","-",VLOOKUP(compras_mes8[[#This Row],[CUIT]],Lista_CUIT[#All],4,0)),"CUIT NO CARGADO")</f>
        <v>0</v>
      </c>
    </row>
    <row r="88" spans="2:18" x14ac:dyDescent="0.3">
      <c r="B88" s="36">
        <v>44796</v>
      </c>
      <c r="C88" s="37">
        <v>1</v>
      </c>
      <c r="D88" s="38">
        <v>14</v>
      </c>
      <c r="E88" s="39">
        <v>466</v>
      </c>
      <c r="F88" s="40">
        <v>30712524959</v>
      </c>
      <c r="G88" s="41" t="str">
        <f>IFERROR(IF(compras_mes8[[#This Row],[CUIT]]="","-",VLOOKUP(compras_mes8[[#This Row],[CUIT]],Lista_CUIT[#All],2,0)),"CUIT NO CARGADO")</f>
        <v>FABRICA  DE  MUEBLES  LA  ESPER</v>
      </c>
      <c r="H88" s="42">
        <v>69386.69</v>
      </c>
      <c r="I88" s="81">
        <v>14571.204900000001</v>
      </c>
      <c r="J88" s="81"/>
      <c r="K88" s="81"/>
      <c r="L88" s="81"/>
      <c r="M88" s="81"/>
      <c r="N88" s="81"/>
      <c r="O88" s="81"/>
      <c r="P88" s="44">
        <v>83957.894899999999</v>
      </c>
      <c r="Q88" s="45" t="str">
        <f>IFERROR(IF(compras_mes8[[#This Row],[CUIT]]="","-",VLOOKUP(compras_mes8[[#This Row],[CUIT]],Lista_CUIT[#All],3,0)),"CUIT NO CARGADO")</f>
        <v>Muebles y Utiles</v>
      </c>
      <c r="R88" s="45">
        <f>IFERROR(IF(compras_mes8[[#This Row],[CUIT]]="","-",VLOOKUP(compras_mes8[[#This Row],[CUIT]],Lista_CUIT[#All],4,0)),"CUIT NO CARGADO")</f>
        <v>0</v>
      </c>
    </row>
    <row r="89" spans="2:18" x14ac:dyDescent="0.3">
      <c r="B89" s="36">
        <v>44791</v>
      </c>
      <c r="C89" s="37">
        <v>1</v>
      </c>
      <c r="D89" s="38">
        <v>2468</v>
      </c>
      <c r="E89" s="39">
        <v>48050844</v>
      </c>
      <c r="F89" s="40">
        <v>30678814357</v>
      </c>
      <c r="G89" s="41" t="str">
        <f>IFERROR(IF(compras_mes8[[#This Row],[CUIT]]="","-",VLOOKUP(compras_mes8[[#This Row],[CUIT]],Lista_CUIT[#All],2,0)),"CUIT NO CARGADO")</f>
        <v>TELEFONICA MOVILES ARG</v>
      </c>
      <c r="H89" s="42">
        <v>0</v>
      </c>
      <c r="I89" s="81">
        <v>0</v>
      </c>
      <c r="J89" s="81"/>
      <c r="K89" s="81"/>
      <c r="L89" s="81"/>
      <c r="M89" s="81"/>
      <c r="N89" s="81">
        <v>4141.5</v>
      </c>
      <c r="O89" s="81"/>
      <c r="P89" s="44">
        <v>4141.5</v>
      </c>
      <c r="Q89" s="45" t="str">
        <f>IFERROR(IF(compras_mes8[[#This Row],[CUIT]]="","-",VLOOKUP(compras_mes8[[#This Row],[CUIT]],Lista_CUIT[#All],3,0)),"CUIT NO CARGADO")</f>
        <v>Servicios Gas, Luz, etc.</v>
      </c>
      <c r="R89" s="45">
        <f>IFERROR(IF(compras_mes8[[#This Row],[CUIT]]="","-",VLOOKUP(compras_mes8[[#This Row],[CUIT]],Lista_CUIT[#All],4,0)),"CUIT NO CARGADO")</f>
        <v>0</v>
      </c>
    </row>
    <row r="90" spans="2:18" x14ac:dyDescent="0.3">
      <c r="B90" s="36">
        <v>44795</v>
      </c>
      <c r="C90" s="37">
        <v>1</v>
      </c>
      <c r="D90" s="38">
        <v>5</v>
      </c>
      <c r="E90" s="39">
        <v>2582447</v>
      </c>
      <c r="F90" s="40">
        <v>30702652975</v>
      </c>
      <c r="G90" s="41" t="str">
        <f>IFERROR(IF(compras_mes8[[#This Row],[CUIT]]="","-",VLOOKUP(compras_mes8[[#This Row],[CUIT]],Lista_CUIT[#All],2,0)),"CUIT NO CARGADO")</f>
        <v>NSS SA</v>
      </c>
      <c r="H90" s="42">
        <v>3564.07</v>
      </c>
      <c r="I90" s="81">
        <v>748.4547</v>
      </c>
      <c r="J90" s="81"/>
      <c r="K90" s="81"/>
      <c r="L90" s="81"/>
      <c r="M90" s="81"/>
      <c r="N90" s="81">
        <v>213.84</v>
      </c>
      <c r="O90" s="81"/>
      <c r="P90" s="44">
        <v>4526.3647000000001</v>
      </c>
      <c r="Q90" s="45" t="str">
        <f>IFERROR(IF(compras_mes8[[#This Row],[CUIT]]="","-",VLOOKUP(compras_mes8[[#This Row],[CUIT]],Lista_CUIT[#All],3,0)),"CUIT NO CARGADO")</f>
        <v>Servicios Gas, Luz, etc.</v>
      </c>
      <c r="R90" s="45">
        <f>IFERROR(IF(compras_mes8[[#This Row],[CUIT]]="","-",VLOOKUP(compras_mes8[[#This Row],[CUIT]],Lista_CUIT[#All],4,0)),"CUIT NO CARGADO")</f>
        <v>0</v>
      </c>
    </row>
    <row r="91" spans="2:18" x14ac:dyDescent="0.3">
      <c r="B91" s="92" t="s">
        <v>83</v>
      </c>
      <c r="C91" s="92"/>
      <c r="D91" s="92"/>
      <c r="E91" s="92"/>
      <c r="F91" s="92"/>
      <c r="G91" s="93"/>
      <c r="H91" s="94">
        <f>SUBTOTAL(109,compras_mes8[NETO GRAVADO])</f>
        <v>8609640.0499999989</v>
      </c>
      <c r="I91" s="94">
        <f>SUBTOTAL(109,compras_mes8[IVA 21 %])</f>
        <v>1728276.0718999996</v>
      </c>
      <c r="J91" s="94">
        <f>SUBTOTAL(109,compras_mes8[IVA 27%])</f>
        <v>0</v>
      </c>
      <c r="K91" s="94">
        <f>SUBTOTAL(109,compras_mes8[IVA 10,5%])</f>
        <v>39304.97</v>
      </c>
      <c r="L91" s="94">
        <f>SUBTOTAL(109,compras_mes8[PERC. IVA])</f>
        <v>14230.43</v>
      </c>
      <c r="M91" s="94">
        <f>SUBTOTAL(109,compras_mes8[PERC IIBB 
BS AS])</f>
        <v>299.73</v>
      </c>
      <c r="N91" s="94">
        <f>SUBTOTAL(109,compras_mes8[PERC. IIBB CABA])</f>
        <v>215824.81</v>
      </c>
      <c r="O91" s="94">
        <f>SUBTOTAL(109,compras_mes8[Otros / No Grav.])</f>
        <v>5391.81</v>
      </c>
      <c r="P91" s="94">
        <f>SUBTOTAL(109,compras_mes8[TOTAL])</f>
        <v>10612967.871900002</v>
      </c>
      <c r="Q91" s="92"/>
      <c r="R91" s="92"/>
    </row>
    <row r="92" spans="2:18" x14ac:dyDescent="0.3">
      <c r="B92" s="36"/>
      <c r="C92" s="37"/>
      <c r="D92" s="38"/>
      <c r="E92" s="39"/>
      <c r="F92" s="40"/>
      <c r="G92" s="41"/>
      <c r="H92" s="42"/>
      <c r="I92" s="43"/>
      <c r="J92" s="43"/>
      <c r="K92" s="43"/>
      <c r="L92" s="43"/>
      <c r="M92" s="43"/>
      <c r="N92" s="43"/>
      <c r="O92" s="43"/>
      <c r="P92" s="44"/>
      <c r="Q92" s="45"/>
      <c r="R92" s="45"/>
    </row>
    <row r="93" spans="2:18" x14ac:dyDescent="0.3">
      <c r="B93" s="36"/>
      <c r="C93" s="37"/>
      <c r="D93" s="38"/>
      <c r="E93" s="39"/>
      <c r="F93" s="40"/>
      <c r="G93" s="41"/>
      <c r="H93" s="42"/>
      <c r="I93" s="43"/>
      <c r="J93" s="43"/>
      <c r="K93" s="43"/>
      <c r="L93" s="43"/>
      <c r="M93" s="43"/>
      <c r="N93" s="43"/>
      <c r="O93" s="43"/>
      <c r="P93" s="44"/>
      <c r="Q93" s="45"/>
      <c r="R93" s="45"/>
    </row>
    <row r="94" spans="2:18" x14ac:dyDescent="0.3">
      <c r="B94" s="36"/>
      <c r="C94" s="37"/>
      <c r="D94" s="38"/>
      <c r="E94" s="39"/>
      <c r="F94" s="40"/>
      <c r="G94" s="41"/>
      <c r="H94" s="42"/>
      <c r="I94" s="43"/>
      <c r="J94" s="43"/>
      <c r="K94" s="43"/>
      <c r="L94" s="43"/>
      <c r="M94" s="43"/>
      <c r="N94" s="43"/>
      <c r="O94" s="43"/>
      <c r="P94" s="44"/>
      <c r="Q94" s="45"/>
      <c r="R94" s="45"/>
    </row>
    <row r="95" spans="2:18" x14ac:dyDescent="0.3">
      <c r="B95" s="36"/>
      <c r="C95" s="37"/>
      <c r="D95" s="38"/>
      <c r="E95" s="39"/>
      <c r="F95" s="40"/>
      <c r="G95" s="41"/>
      <c r="H95" s="42"/>
      <c r="I95" s="43"/>
      <c r="J95" s="43"/>
      <c r="K95" s="43"/>
      <c r="L95" s="43"/>
    </row>
    <row r="96" spans="2:18" ht="25.95" customHeight="1" x14ac:dyDescent="0.3">
      <c r="D96" s="441" t="s">
        <v>15</v>
      </c>
      <c r="E96" s="441"/>
      <c r="F96" s="441"/>
      <c r="G96" s="441"/>
      <c r="H96" s="441"/>
      <c r="I96" s="441"/>
      <c r="J96" s="441"/>
      <c r="K96" s="441"/>
      <c r="L96" s="441"/>
      <c r="M96" s="441"/>
      <c r="N96" s="364"/>
      <c r="P96" s="365"/>
      <c r="Q96" s="365"/>
      <c r="R96" s="365"/>
    </row>
    <row r="97" spans="4:18" ht="15.6" x14ac:dyDescent="0.3">
      <c r="D97" s="69" t="s">
        <v>0</v>
      </c>
      <c r="E97" s="70" t="s">
        <v>26</v>
      </c>
      <c r="F97" s="70" t="s">
        <v>16</v>
      </c>
      <c r="G97" s="70" t="s">
        <v>5</v>
      </c>
      <c r="H97" s="70" t="s">
        <v>17</v>
      </c>
      <c r="I97" s="70" t="s">
        <v>7</v>
      </c>
      <c r="J97" s="71" t="s">
        <v>18</v>
      </c>
      <c r="K97" s="71" t="s">
        <v>19</v>
      </c>
      <c r="L97" s="72" t="s">
        <v>20</v>
      </c>
      <c r="M97" s="363" t="s">
        <v>2649</v>
      </c>
      <c r="N97" s="363" t="s">
        <v>2650</v>
      </c>
      <c r="P97" s="158"/>
      <c r="Q97" s="158"/>
      <c r="R97" s="158"/>
    </row>
    <row r="98" spans="4:18" x14ac:dyDescent="0.3">
      <c r="D98" s="46">
        <v>44799</v>
      </c>
      <c r="E98" s="76">
        <v>22777070</v>
      </c>
      <c r="F98" s="76" t="s">
        <v>101</v>
      </c>
      <c r="G98" s="77">
        <v>5038.28</v>
      </c>
      <c r="H98" s="77">
        <v>1058.04</v>
      </c>
      <c r="I98" s="77"/>
      <c r="J98" s="77">
        <v>2737.55</v>
      </c>
      <c r="K98" s="77">
        <v>86.86</v>
      </c>
      <c r="L98" s="77"/>
      <c r="M98" s="77"/>
      <c r="N98" s="77"/>
    </row>
    <row r="99" spans="4:18" x14ac:dyDescent="0.3">
      <c r="D99" s="46">
        <v>44803</v>
      </c>
      <c r="E99" s="76">
        <v>1955490</v>
      </c>
      <c r="F99" s="76" t="s">
        <v>96</v>
      </c>
      <c r="G99" s="77">
        <v>1596.22</v>
      </c>
      <c r="H99" s="77">
        <v>202.67</v>
      </c>
      <c r="I99" s="77"/>
      <c r="J99" s="429">
        <v>1026.48</v>
      </c>
      <c r="K99" s="77"/>
      <c r="L99" s="77"/>
      <c r="M99" s="77"/>
      <c r="N99" s="77"/>
    </row>
    <row r="100" spans="4:18" x14ac:dyDescent="0.3">
      <c r="D100" s="46">
        <v>44804</v>
      </c>
      <c r="E100" s="76">
        <v>82022</v>
      </c>
      <c r="F100" s="76" t="s">
        <v>98</v>
      </c>
      <c r="G100" s="77">
        <v>332249.45</v>
      </c>
      <c r="H100" s="77">
        <v>45902.8</v>
      </c>
      <c r="I100" s="77"/>
      <c r="J100" s="429">
        <v>225736.57</v>
      </c>
      <c r="K100" s="77">
        <v>4816.8900000000003</v>
      </c>
      <c r="L100" s="77"/>
      <c r="M100" s="77"/>
      <c r="N100" s="77"/>
    </row>
    <row r="101" spans="4:18" x14ac:dyDescent="0.3">
      <c r="D101" s="46">
        <v>44804</v>
      </c>
      <c r="E101" s="76">
        <v>12132474</v>
      </c>
      <c r="F101" s="76" t="s">
        <v>99</v>
      </c>
      <c r="G101" s="77">
        <v>13495</v>
      </c>
      <c r="H101" s="77">
        <v>2833.95</v>
      </c>
      <c r="I101" s="77"/>
      <c r="J101" s="77"/>
      <c r="K101" s="77">
        <v>404.85</v>
      </c>
      <c r="L101" s="77"/>
      <c r="M101" s="77"/>
      <c r="N101" s="77"/>
    </row>
    <row r="102" spans="4:18" x14ac:dyDescent="0.3">
      <c r="D102" s="46">
        <v>44804</v>
      </c>
      <c r="E102" s="76">
        <v>2022</v>
      </c>
      <c r="F102" s="76" t="s">
        <v>2956</v>
      </c>
      <c r="G102" s="77">
        <v>10559.88</v>
      </c>
      <c r="H102" s="77">
        <v>2213.27</v>
      </c>
      <c r="I102" s="77"/>
      <c r="J102" s="77">
        <v>472.88</v>
      </c>
      <c r="K102" s="77">
        <v>212.1</v>
      </c>
      <c r="L102" s="77"/>
      <c r="M102" s="77">
        <v>139220.32</v>
      </c>
      <c r="N102" s="77">
        <v>68570.86</v>
      </c>
    </row>
    <row r="103" spans="4:18" x14ac:dyDescent="0.3">
      <c r="D103" s="46">
        <v>44804</v>
      </c>
      <c r="E103" s="76">
        <v>2022</v>
      </c>
      <c r="F103" s="76" t="s">
        <v>2951</v>
      </c>
      <c r="G103" s="77">
        <v>4500</v>
      </c>
      <c r="H103" s="77">
        <v>945</v>
      </c>
      <c r="I103" s="77"/>
      <c r="J103" s="77">
        <v>270</v>
      </c>
      <c r="K103" s="77">
        <v>135</v>
      </c>
      <c r="L103" s="77"/>
      <c r="M103" s="77">
        <v>4608.6000000000004</v>
      </c>
      <c r="N103" s="77">
        <v>2269.91</v>
      </c>
    </row>
    <row r="104" spans="4:18" x14ac:dyDescent="0.3">
      <c r="D104" s="46">
        <v>44804</v>
      </c>
      <c r="E104" s="76">
        <v>2022</v>
      </c>
      <c r="F104" s="76" t="s">
        <v>97</v>
      </c>
      <c r="G104" s="77">
        <v>934.42</v>
      </c>
      <c r="H104" s="77">
        <v>196.23</v>
      </c>
      <c r="I104" s="77"/>
      <c r="J104" s="77">
        <v>5214.05</v>
      </c>
      <c r="K104" s="77"/>
      <c r="L104" s="77"/>
      <c r="M104" s="77"/>
      <c r="N104" s="77"/>
    </row>
    <row r="105" spans="4:18" x14ac:dyDescent="0.3">
      <c r="D105" s="46"/>
      <c r="E105" s="76"/>
      <c r="F105" s="76"/>
      <c r="G105" s="77"/>
      <c r="H105" s="77"/>
      <c r="I105" s="77"/>
      <c r="J105" s="77"/>
      <c r="K105" s="77"/>
      <c r="L105" s="77"/>
      <c r="M105" s="77"/>
      <c r="N105" s="77"/>
    </row>
    <row r="106" spans="4:18" x14ac:dyDescent="0.3">
      <c r="D106" s="46"/>
      <c r="E106" s="76"/>
      <c r="F106" s="76"/>
      <c r="G106" s="77"/>
      <c r="H106" s="77"/>
      <c r="I106" s="77"/>
      <c r="J106" s="77"/>
      <c r="K106" s="77"/>
      <c r="L106" s="77"/>
      <c r="M106" s="77"/>
      <c r="N106" s="77"/>
    </row>
    <row r="107" spans="4:18" x14ac:dyDescent="0.3">
      <c r="D107" s="46"/>
      <c r="E107" s="76"/>
      <c r="F107" s="76"/>
      <c r="G107" s="77"/>
      <c r="H107" s="77"/>
      <c r="I107" s="77"/>
      <c r="J107" s="77"/>
      <c r="K107" s="77"/>
      <c r="L107" s="77"/>
      <c r="M107" s="77"/>
      <c r="N107" s="77"/>
    </row>
    <row r="108" spans="4:18" x14ac:dyDescent="0.3">
      <c r="D108" s="46"/>
      <c r="E108" s="76"/>
      <c r="F108" s="76"/>
      <c r="G108" s="77"/>
      <c r="H108" s="77"/>
      <c r="I108" s="77"/>
      <c r="J108" s="77"/>
      <c r="K108" s="77"/>
      <c r="L108" s="77"/>
      <c r="M108" s="77"/>
      <c r="N108" s="77"/>
    </row>
    <row r="109" spans="4:18" x14ac:dyDescent="0.3">
      <c r="D109" s="46"/>
      <c r="E109" s="76"/>
      <c r="F109" s="76"/>
      <c r="G109" s="77"/>
      <c r="H109" s="77"/>
      <c r="I109" s="77"/>
      <c r="J109" s="77"/>
      <c r="K109" s="77"/>
      <c r="L109" s="77"/>
      <c r="M109" s="77"/>
      <c r="N109" s="77"/>
    </row>
    <row r="110" spans="4:18" ht="28.95" customHeight="1" x14ac:dyDescent="0.3">
      <c r="D110" s="430" t="s">
        <v>83</v>
      </c>
      <c r="E110" s="431"/>
      <c r="F110" s="431"/>
      <c r="G110" s="432">
        <f>SUBTOTAL(109,extracto_banco_mes15516171820[NETO])</f>
        <v>368373.25</v>
      </c>
      <c r="H110" s="432">
        <f>SUBTOTAL(109,extracto_banco_mes15516171820[IVA 21%])</f>
        <v>53351.96</v>
      </c>
      <c r="I110" s="432">
        <f>SUBTOTAL(109,extracto_banco_mes15516171820[IVA 10,5%])</f>
        <v>0</v>
      </c>
      <c r="J110" s="432">
        <f>SUBTOTAL(109,extracto_banco_mes15516171820[RET IIBB CABA])</f>
        <v>235457.53</v>
      </c>
      <c r="K110" s="432">
        <f>SUBTOTAL(109,extracto_banco_mes15516171820[PERC IVA])</f>
        <v>5655.7000000000007</v>
      </c>
      <c r="L110" s="432">
        <f>SUBTOTAL(109,extracto_banco_mes15516171820[PERC IIBB])</f>
        <v>0</v>
      </c>
      <c r="M110" s="432">
        <f>SUM(extracto_banco_mes15516171820[No grav.])</f>
        <v>143828.92000000001</v>
      </c>
      <c r="N110" s="433">
        <f>SUM(extracto_banco_mes15516171820[RET. GAN])</f>
        <v>70840.77</v>
      </c>
    </row>
    <row r="114" spans="2:18" ht="21" x14ac:dyDescent="0.3">
      <c r="D114" s="441" t="s">
        <v>25</v>
      </c>
      <c r="E114" s="441"/>
      <c r="F114" s="441"/>
      <c r="G114" s="441"/>
      <c r="H114" s="441"/>
      <c r="I114" s="441"/>
      <c r="J114" s="441"/>
      <c r="K114" s="441"/>
    </row>
    <row r="115" spans="2:18" x14ac:dyDescent="0.3">
      <c r="D115" s="47" t="s">
        <v>0</v>
      </c>
      <c r="E115" s="47" t="s">
        <v>2</v>
      </c>
      <c r="F115" s="47" t="s">
        <v>56</v>
      </c>
      <c r="G115" s="47" t="s">
        <v>3</v>
      </c>
      <c r="H115" s="47" t="s">
        <v>4</v>
      </c>
      <c r="I115" s="48" t="s">
        <v>10</v>
      </c>
      <c r="J115" s="47" t="s">
        <v>13</v>
      </c>
      <c r="K115" s="47" t="s">
        <v>38</v>
      </c>
    </row>
    <row r="116" spans="2:18" x14ac:dyDescent="0.3">
      <c r="D116" s="404">
        <v>44775</v>
      </c>
      <c r="E116" s="38">
        <v>3</v>
      </c>
      <c r="F116" s="39">
        <v>2112</v>
      </c>
      <c r="G116" s="40">
        <v>20134116251</v>
      </c>
      <c r="H116" s="49" t="str">
        <f>IFERROR(IF(factura_c_mes8[[#This Row],[CUIT]]="","-",VLOOKUP(factura_c_mes8[[#This Row],[CUIT]],Lista_CUIT[#All],2,0)),"CUIT NO CARGADO")</f>
        <v>GUMA  DANIEL</v>
      </c>
      <c r="I116" s="77">
        <v>1200</v>
      </c>
      <c r="J116" s="50" t="str">
        <f>IFERROR(IF(factura_c_mes8[[#This Row],[CUIT]]="","-",VLOOKUP(factura_c_mes8[[#This Row],[CUIT]],Lista_CUIT[#All],3,0)),"CUIT NO CARGADO")</f>
        <v>Gastos Varios</v>
      </c>
      <c r="K116" s="50">
        <f>IFERROR(IF(factura_c_mes8[[#This Row],[CUIT]]="","-",VLOOKUP(factura_c_mes8[[#This Row],[CUIT]],Lista_CUIT[#All],4,0)),"CUIT NO CARGADO")</f>
        <v>0</v>
      </c>
    </row>
    <row r="117" spans="2:18" x14ac:dyDescent="0.3">
      <c r="D117" s="46">
        <v>44781</v>
      </c>
      <c r="E117" s="38">
        <v>3</v>
      </c>
      <c r="F117" s="39">
        <v>341</v>
      </c>
      <c r="G117" s="40">
        <v>20210551574</v>
      </c>
      <c r="H117" s="49" t="str">
        <f>IFERROR(IF(factura_c_mes8[[#This Row],[CUIT]]="","-",VLOOKUP(factura_c_mes8[[#This Row],[CUIT]],Lista_CUIT[#All],2,0)),"CUIT NO CARGADO")</f>
        <v>REUS JORGE DIEGO</v>
      </c>
      <c r="I117" s="77">
        <v>30000</v>
      </c>
      <c r="J117" s="50" t="str">
        <f>IFERROR(IF(factura_c_mes8[[#This Row],[CUIT]]="","-",VLOOKUP(factura_c_mes8[[#This Row],[CUIT]],Lista_CUIT[#All],3,0)),"CUIT NO CARGADO")</f>
        <v>Honorarios Juridicos</v>
      </c>
      <c r="K117" s="50">
        <f>IFERROR(IF(factura_c_mes8[[#This Row],[CUIT]]="","-",VLOOKUP(factura_c_mes8[[#This Row],[CUIT]],Lista_CUIT[#All],4,0)),"CUIT NO CARGADO")</f>
        <v>0</v>
      </c>
    </row>
    <row r="118" spans="2:18" x14ac:dyDescent="0.3">
      <c r="D118" s="46">
        <v>44783</v>
      </c>
      <c r="E118" s="38">
        <v>2</v>
      </c>
      <c r="F118" s="39">
        <v>176</v>
      </c>
      <c r="G118" s="40">
        <v>23319210954</v>
      </c>
      <c r="H118" s="49" t="str">
        <f>IFERROR(IF(factura_c_mes8[[#This Row],[CUIT]]="","-",VLOOKUP(factura_c_mes8[[#This Row],[CUIT]],Lista_CUIT[#All],2,0)),"CUIT NO CARGADO")</f>
        <v>CAFFARATTI ROMINA PAOLA</v>
      </c>
      <c r="I118" s="77">
        <v>6100</v>
      </c>
      <c r="J118" s="50" t="str">
        <f>IFERROR(IF(factura_c_mes8[[#This Row],[CUIT]]="","-",VLOOKUP(factura_c_mes8[[#This Row],[CUIT]],Lista_CUIT[#All],3,0)),"CUIT NO CARGADO")</f>
        <v>Honorarios Contables</v>
      </c>
      <c r="K118" s="50">
        <f>IFERROR(IF(factura_c_mes8[[#This Row],[CUIT]]="","-",VLOOKUP(factura_c_mes8[[#This Row],[CUIT]],Lista_CUIT[#All],4,0)),"CUIT NO CARGADO")</f>
        <v>0</v>
      </c>
    </row>
    <row r="119" spans="2:18" x14ac:dyDescent="0.3">
      <c r="D119" s="46">
        <v>44790</v>
      </c>
      <c r="E119" s="38">
        <v>2</v>
      </c>
      <c r="F119" s="39">
        <v>3125</v>
      </c>
      <c r="G119" s="40">
        <v>20136536320</v>
      </c>
      <c r="H119" s="49" t="str">
        <f>IFERROR(IF(factura_c_mes8[[#This Row],[CUIT]]="","-",VLOOKUP(factura_c_mes8[[#This Row],[CUIT]],Lista_CUIT[#All],2,0)),"CUIT NO CARGADO")</f>
        <v>FONTENLA ERNESTO MARIO</v>
      </c>
      <c r="I119" s="77">
        <v>940</v>
      </c>
      <c r="J119" s="50" t="str">
        <f>IFERROR(IF(factura_c_mes8[[#This Row],[CUIT]]="","-",VLOOKUP(factura_c_mes8[[#This Row],[CUIT]],Lista_CUIT[#All],3,0)),"CUIT NO CARGADO")</f>
        <v>Gastos Varios</v>
      </c>
      <c r="K119" s="50">
        <f>IFERROR(IF(factura_c_mes8[[#This Row],[CUIT]]="","-",VLOOKUP(factura_c_mes8[[#This Row],[CUIT]],Lista_CUIT[#All],4,0)),"CUIT NO CARGADO")</f>
        <v>0</v>
      </c>
    </row>
    <row r="120" spans="2:18" x14ac:dyDescent="0.3">
      <c r="D120" s="46">
        <v>44790</v>
      </c>
      <c r="E120" s="38">
        <v>2</v>
      </c>
      <c r="F120" s="39">
        <v>3121</v>
      </c>
      <c r="G120" s="40">
        <v>20136536320</v>
      </c>
      <c r="H120" s="49" t="str">
        <f>IFERROR(IF(factura_c_mes8[[#This Row],[CUIT]]="","-",VLOOKUP(factura_c_mes8[[#This Row],[CUIT]],Lista_CUIT[#All],2,0)),"CUIT NO CARGADO")</f>
        <v>FONTENLA ERNESTO MARIO</v>
      </c>
      <c r="I120" s="77">
        <v>5530</v>
      </c>
      <c r="J120" s="50" t="str">
        <f>IFERROR(IF(factura_c_mes8[[#This Row],[CUIT]]="","-",VLOOKUP(factura_c_mes8[[#This Row],[CUIT]],Lista_CUIT[#All],3,0)),"CUIT NO CARGADO")</f>
        <v>Gastos Varios</v>
      </c>
      <c r="K120" s="50">
        <f>IFERROR(IF(factura_c_mes8[[#This Row],[CUIT]]="","-",VLOOKUP(factura_c_mes8[[#This Row],[CUIT]],Lista_CUIT[#All],4,0)),"CUIT NO CARGADO")</f>
        <v>0</v>
      </c>
    </row>
    <row r="121" spans="2:18" x14ac:dyDescent="0.3">
      <c r="B121" s="52"/>
      <c r="C121" s="52"/>
      <c r="D121" s="46">
        <v>44790</v>
      </c>
      <c r="E121" s="38">
        <v>2</v>
      </c>
      <c r="F121" s="39">
        <v>3122</v>
      </c>
      <c r="G121" s="40">
        <v>20136536320</v>
      </c>
      <c r="H121" s="49" t="str">
        <f>IFERROR(IF(factura_c_mes8[[#This Row],[CUIT]]="","-",VLOOKUP(factura_c_mes8[[#This Row],[CUIT]],Lista_CUIT[#All],2,0)),"CUIT NO CARGADO")</f>
        <v>FONTENLA ERNESTO MARIO</v>
      </c>
      <c r="I121" s="77">
        <v>620</v>
      </c>
      <c r="J121" s="50" t="str">
        <f>IFERROR(IF(factura_c_mes8[[#This Row],[CUIT]]="","-",VLOOKUP(factura_c_mes8[[#This Row],[CUIT]],Lista_CUIT[#All],3,0)),"CUIT NO CARGADO")</f>
        <v>Gastos Varios</v>
      </c>
      <c r="K121" s="50">
        <f>IFERROR(IF(factura_c_mes8[[#This Row],[CUIT]]="","-",VLOOKUP(factura_c_mes8[[#This Row],[CUIT]],Lista_CUIT[#All],4,0)),"CUIT NO CARGADO")</f>
        <v>0</v>
      </c>
      <c r="L121" s="52"/>
      <c r="M121" s="52"/>
      <c r="N121" s="52"/>
      <c r="O121" s="52"/>
      <c r="P121" s="52"/>
      <c r="Q121" s="52"/>
      <c r="R121" s="52"/>
    </row>
    <row r="122" spans="2:18" x14ac:dyDescent="0.3">
      <c r="D122" s="46">
        <v>44792</v>
      </c>
      <c r="E122" s="38">
        <v>2</v>
      </c>
      <c r="F122" s="39">
        <v>180</v>
      </c>
      <c r="G122" s="40">
        <v>23319210954</v>
      </c>
      <c r="H122" s="49" t="str">
        <f>IFERROR(IF(factura_c_mes8[[#This Row],[CUIT]]="","-",VLOOKUP(factura_c_mes8[[#This Row],[CUIT]],Lista_CUIT[#All],2,0)),"CUIT NO CARGADO")</f>
        <v>CAFFARATTI ROMINA PAOLA</v>
      </c>
      <c r="I122" s="77">
        <v>10300</v>
      </c>
      <c r="J122" s="50" t="str">
        <f>IFERROR(IF(factura_c_mes8[[#This Row],[CUIT]]="","-",VLOOKUP(factura_c_mes8[[#This Row],[CUIT]],Lista_CUIT[#All],3,0)),"CUIT NO CARGADO")</f>
        <v>Honorarios Contables</v>
      </c>
      <c r="K122" s="50">
        <f>IFERROR(IF(factura_c_mes8[[#This Row],[CUIT]]="","-",VLOOKUP(factura_c_mes8[[#This Row],[CUIT]],Lista_CUIT[#All],4,0)),"CUIT NO CARGADO")</f>
        <v>0</v>
      </c>
    </row>
    <row r="123" spans="2:18" x14ac:dyDescent="0.3">
      <c r="D123" s="46">
        <v>44804</v>
      </c>
      <c r="E123" s="38">
        <v>1</v>
      </c>
      <c r="F123" s="39">
        <v>3</v>
      </c>
      <c r="G123" s="40">
        <v>30717223299</v>
      </c>
      <c r="H123" s="49" t="str">
        <f>IFERROR(IF(factura_c_mes8[[#This Row],[CUIT]]="","-",VLOOKUP(factura_c_mes8[[#This Row],[CUIT]],Lista_CUIT[#All],2,0)),"CUIT NO CARGADO")</f>
        <v>ACEPYM</v>
      </c>
      <c r="I123" s="77">
        <v>140000</v>
      </c>
      <c r="J123" s="50" t="str">
        <f>IFERROR(IF(factura_c_mes8[[#This Row],[CUIT]]="","-",VLOOKUP(factura_c_mes8[[#This Row],[CUIT]],Lista_CUIT[#All],3,0)),"CUIT NO CARGADO")</f>
        <v>Mercaderia</v>
      </c>
      <c r="K123" s="50">
        <f>IFERROR(IF(factura_c_mes8[[#This Row],[CUIT]]="","-",VLOOKUP(factura_c_mes8[[#This Row],[CUIT]],Lista_CUIT[#All],4,0)),"CUIT NO CARGADO")</f>
        <v>0</v>
      </c>
    </row>
    <row r="124" spans="2:18" x14ac:dyDescent="0.3">
      <c r="D124" s="51" t="s">
        <v>83</v>
      </c>
      <c r="E124" s="51"/>
      <c r="F124" s="51"/>
      <c r="G124" s="51"/>
      <c r="H124" s="53"/>
      <c r="I124" s="54">
        <f>SUBTOTAL(109,factura_c_mes8[TOTAL])</f>
        <v>194690</v>
      </c>
      <c r="J124" s="51"/>
      <c r="K124" s="51"/>
    </row>
    <row r="126" spans="2:18" ht="25.8" x14ac:dyDescent="0.3">
      <c r="B126" s="456" t="s">
        <v>29</v>
      </c>
      <c r="C126" s="456"/>
      <c r="D126" s="456"/>
      <c r="E126" s="456"/>
      <c r="F126" s="456"/>
      <c r="G126" s="456"/>
      <c r="H126" s="456"/>
      <c r="I126" s="456"/>
      <c r="J126" s="456"/>
      <c r="K126" s="452">
        <f>N1</f>
        <v>44774</v>
      </c>
      <c r="L126" s="452"/>
      <c r="M126" s="452"/>
    </row>
    <row r="128" spans="2:18" ht="21" x14ac:dyDescent="0.3">
      <c r="B128" s="449" t="s">
        <v>30</v>
      </c>
      <c r="C128" s="449"/>
    </row>
    <row r="129" spans="2:13" ht="31.2" x14ac:dyDescent="0.3">
      <c r="B129" s="56" t="s">
        <v>0</v>
      </c>
      <c r="C129" s="57" t="s">
        <v>1</v>
      </c>
      <c r="D129" s="57" t="s">
        <v>21</v>
      </c>
      <c r="E129" s="57" t="s">
        <v>22</v>
      </c>
      <c r="F129" s="57" t="s">
        <v>3</v>
      </c>
      <c r="G129" s="57" t="s">
        <v>4</v>
      </c>
      <c r="H129" s="57" t="s">
        <v>23</v>
      </c>
      <c r="I129" s="57" t="s">
        <v>17</v>
      </c>
      <c r="J129" s="57" t="s">
        <v>7</v>
      </c>
      <c r="K129" s="57" t="s">
        <v>24</v>
      </c>
      <c r="L129" s="57" t="s">
        <v>10</v>
      </c>
      <c r="M129" s="58" t="s">
        <v>38</v>
      </c>
    </row>
    <row r="130" spans="2:13" x14ac:dyDescent="0.3">
      <c r="B130" s="36"/>
      <c r="C130" s="37"/>
      <c r="D130" s="38"/>
      <c r="E130" s="39"/>
      <c r="F130" s="40"/>
      <c r="G130" s="95" t="str">
        <f>IFERROR(IF(venta_a_mes8[[#This Row],[CUIT]]="","-",VLOOKUP(venta_a_mes8[[#This Row],[CUIT]],Lista_CUIT[#All],2,0)),"CUIT NO CARGADO")</f>
        <v>-</v>
      </c>
      <c r="H130" s="96"/>
      <c r="I130" s="97">
        <f>venta_a_mes8[[#This Row],[IMPORTE NETO]]*0.21</f>
        <v>0</v>
      </c>
      <c r="J130" s="61"/>
      <c r="K130" s="61"/>
      <c r="L130" s="61">
        <f>SUM(venta_a_mes8[[#This Row],[IMPORTE NETO]:[EXENTO]])</f>
        <v>0</v>
      </c>
      <c r="M130" s="55"/>
    </row>
    <row r="131" spans="2:13" x14ac:dyDescent="0.3">
      <c r="B131" s="36"/>
      <c r="C131" s="37"/>
      <c r="D131" s="38"/>
      <c r="E131" s="39"/>
      <c r="F131" s="40"/>
      <c r="G131" s="95" t="str">
        <f>IFERROR(IF(venta_a_mes8[[#This Row],[CUIT]]="","-",VLOOKUP(venta_a_mes8[[#This Row],[CUIT]],Lista_CUIT[#All],2,0)),"CUIT NO CARGADO")</f>
        <v>-</v>
      </c>
      <c r="H131" s="96"/>
      <c r="I131" s="97">
        <f>venta_a_mes8[[#This Row],[IMPORTE NETO]]*0.21</f>
        <v>0</v>
      </c>
      <c r="J131" s="61"/>
      <c r="K131" s="61"/>
      <c r="L131" s="61">
        <f>SUM(venta_a_mes8[[#This Row],[IMPORTE NETO]:[EXENTO]])</f>
        <v>0</v>
      </c>
      <c r="M131" s="55"/>
    </row>
    <row r="132" spans="2:13" x14ac:dyDescent="0.3">
      <c r="B132" s="36"/>
      <c r="C132" s="37"/>
      <c r="D132" s="38"/>
      <c r="E132" s="39"/>
      <c r="F132" s="40"/>
      <c r="G132" s="95" t="str">
        <f>IFERROR(IF(venta_a_mes8[[#This Row],[CUIT]]="","-",VLOOKUP(venta_a_mes8[[#This Row],[CUIT]],Lista_CUIT[#All],2,0)),"CUIT NO CARGADO")</f>
        <v>-</v>
      </c>
      <c r="H132" s="96"/>
      <c r="I132" s="97">
        <f>venta_a_mes8[[#This Row],[IMPORTE NETO]]*0.21</f>
        <v>0</v>
      </c>
      <c r="J132" s="61"/>
      <c r="K132" s="61"/>
      <c r="L132" s="61">
        <f>SUM(venta_a_mes8[[#This Row],[IMPORTE NETO]:[EXENTO]])</f>
        <v>0</v>
      </c>
      <c r="M132" s="55"/>
    </row>
    <row r="133" spans="2:13" x14ac:dyDescent="0.3">
      <c r="B133" s="36"/>
      <c r="C133" s="37"/>
      <c r="D133" s="38"/>
      <c r="E133" s="39"/>
      <c r="F133" s="40"/>
      <c r="G133" s="95" t="str">
        <f>IFERROR(IF(venta_a_mes8[[#This Row],[CUIT]]="","-",VLOOKUP(venta_a_mes8[[#This Row],[CUIT]],Lista_CUIT[#All],2,0)),"CUIT NO CARGADO")</f>
        <v>-</v>
      </c>
      <c r="H133" s="96"/>
      <c r="I133" s="97">
        <f>venta_a_mes8[[#This Row],[IMPORTE NETO]]*0.21</f>
        <v>0</v>
      </c>
      <c r="J133" s="61"/>
      <c r="K133" s="61"/>
      <c r="L133" s="61">
        <f>SUM(venta_a_mes8[[#This Row],[IMPORTE NETO]:[EXENTO]])</f>
        <v>0</v>
      </c>
      <c r="M133" s="55"/>
    </row>
    <row r="134" spans="2:13" x14ac:dyDescent="0.3">
      <c r="B134" s="36"/>
      <c r="C134" s="37"/>
      <c r="D134" s="38"/>
      <c r="E134" s="39"/>
      <c r="F134" s="40"/>
      <c r="G134" s="95" t="str">
        <f>IFERROR(IF(venta_a_mes8[[#This Row],[CUIT]]="","-",VLOOKUP(venta_a_mes8[[#This Row],[CUIT]],Lista_CUIT[#All],2,0)),"CUIT NO CARGADO")</f>
        <v>-</v>
      </c>
      <c r="H134" s="96"/>
      <c r="I134" s="97">
        <f>venta_a_mes8[[#This Row],[IMPORTE NETO]]*0.21</f>
        <v>0</v>
      </c>
      <c r="J134" s="61"/>
      <c r="K134" s="61"/>
      <c r="L134" s="61">
        <f>SUM(venta_a_mes8[[#This Row],[IMPORTE NETO]:[EXENTO]])</f>
        <v>0</v>
      </c>
      <c r="M134" s="55"/>
    </row>
    <row r="135" spans="2:13" x14ac:dyDescent="0.3">
      <c r="B135" s="36"/>
      <c r="C135" s="37"/>
      <c r="D135" s="38"/>
      <c r="E135" s="39"/>
      <c r="F135" s="40"/>
      <c r="G135" s="95" t="str">
        <f>IFERROR(IF(venta_a_mes8[[#This Row],[CUIT]]="","-",VLOOKUP(venta_a_mes8[[#This Row],[CUIT]],Lista_CUIT[#All],2,0)),"CUIT NO CARGADO")</f>
        <v>-</v>
      </c>
      <c r="H135" s="96"/>
      <c r="I135" s="97">
        <f>venta_a_mes8[[#This Row],[IMPORTE NETO]]*0.21</f>
        <v>0</v>
      </c>
      <c r="J135" s="61"/>
      <c r="K135" s="61"/>
      <c r="L135" s="61">
        <f>SUM(venta_a_mes8[[#This Row],[IMPORTE NETO]:[EXENTO]])</f>
        <v>0</v>
      </c>
      <c r="M135" s="55"/>
    </row>
    <row r="136" spans="2:13" x14ac:dyDescent="0.3">
      <c r="B136" s="36"/>
      <c r="C136" s="37"/>
      <c r="D136" s="38"/>
      <c r="E136" s="39"/>
      <c r="F136" s="40"/>
      <c r="G136" s="95" t="str">
        <f>IFERROR(IF(venta_a_mes8[[#This Row],[CUIT]]="","-",VLOOKUP(venta_a_mes8[[#This Row],[CUIT]],Lista_CUIT[#All],2,0)),"CUIT NO CARGADO")</f>
        <v>-</v>
      </c>
      <c r="H136" s="96"/>
      <c r="I136" s="97">
        <f>venta_a_mes8[[#This Row],[IMPORTE NETO]]*0.21</f>
        <v>0</v>
      </c>
      <c r="J136" s="61"/>
      <c r="K136" s="61"/>
      <c r="L136" s="61">
        <f>SUM(venta_a_mes8[[#This Row],[IMPORTE NETO]:[EXENTO]])</f>
        <v>0</v>
      </c>
      <c r="M136" s="59"/>
    </row>
    <row r="137" spans="2:13" x14ac:dyDescent="0.3">
      <c r="B137" s="98"/>
      <c r="C137" s="99"/>
      <c r="D137" s="100"/>
      <c r="E137" s="101"/>
      <c r="F137" s="102"/>
      <c r="G137" s="95" t="str">
        <f>IFERROR(IF(venta_a_mes8[[#This Row],[CUIT]]="","-",VLOOKUP(venta_a_mes8[[#This Row],[CUIT]],Lista_CUIT[#All],2,0)),"CUIT NO CARGADO")</f>
        <v>-</v>
      </c>
      <c r="H137" s="103"/>
      <c r="I137" s="104">
        <f>venta_a_mes8[[#This Row],[IMPORTE NETO]]*0.21</f>
        <v>0</v>
      </c>
      <c r="J137" s="68"/>
      <c r="K137" s="68"/>
      <c r="L137" s="68">
        <f>SUM(venta_a_mes8[[#This Row],[IMPORTE NETO]:[EXENTO]])</f>
        <v>0</v>
      </c>
      <c r="M137" s="59"/>
    </row>
    <row r="138" spans="2:13" x14ac:dyDescent="0.3">
      <c r="B138" s="105"/>
      <c r="C138" s="106"/>
      <c r="D138" s="107"/>
      <c r="E138" s="108"/>
      <c r="F138" s="109"/>
      <c r="G138" s="95" t="str">
        <f>IFERROR(IF(venta_a_mes8[[#This Row],[CUIT]]="","-",VLOOKUP(venta_a_mes8[[#This Row],[CUIT]],Lista_CUIT[#All],2,0)),"CUIT NO CARGADO")</f>
        <v>-</v>
      </c>
      <c r="H138" s="96"/>
      <c r="I138" s="97">
        <f>venta_a_mes8[[#This Row],[IMPORTE NETO]]*0.21</f>
        <v>0</v>
      </c>
      <c r="J138" s="61"/>
      <c r="K138" s="61"/>
      <c r="L138" s="61">
        <f>SUM(venta_a_mes8[[#This Row],[IMPORTE NETO]:[EXENTO]])</f>
        <v>0</v>
      </c>
      <c r="M138" s="55"/>
    </row>
    <row r="139" spans="2:13" x14ac:dyDescent="0.3">
      <c r="B139" s="62" t="s">
        <v>83</v>
      </c>
      <c r="C139" s="63"/>
      <c r="D139" s="63"/>
      <c r="E139" s="63"/>
      <c r="F139" s="63"/>
      <c r="G139" s="63"/>
      <c r="H139" s="65">
        <f>SUBTOTAL(109,venta_a_mes8[IMPORTE NETO])</f>
        <v>0</v>
      </c>
      <c r="I139" s="66">
        <f>SUBTOTAL(109,venta_a_mes8[IVA 21%])</f>
        <v>0</v>
      </c>
      <c r="J139" s="67">
        <f>SUBTOTAL(109,venta_a_mes8[IVA 10,5%])</f>
        <v>0</v>
      </c>
      <c r="K139" s="67">
        <f>SUBTOTAL(109,venta_a_mes8[EXENTO])</f>
        <v>0</v>
      </c>
      <c r="L139" s="67">
        <f>SUBTOTAL(109,venta_a_mes8[TOTAL])</f>
        <v>0</v>
      </c>
      <c r="M139" s="64">
        <f>SUBTOTAL(103,venta_a_mes8[Provincia])</f>
        <v>0</v>
      </c>
    </row>
    <row r="142" spans="2:13" ht="21" x14ac:dyDescent="0.3">
      <c r="B142" s="449" t="s">
        <v>31</v>
      </c>
      <c r="C142" s="449"/>
    </row>
    <row r="143" spans="2:13" ht="31.2" x14ac:dyDescent="0.3">
      <c r="B143" s="56" t="s">
        <v>0</v>
      </c>
      <c r="C143" s="57" t="s">
        <v>1</v>
      </c>
      <c r="D143" s="57" t="s">
        <v>21</v>
      </c>
      <c r="E143" s="57" t="s">
        <v>22</v>
      </c>
      <c r="F143" s="57" t="s">
        <v>3</v>
      </c>
      <c r="G143" s="57" t="s">
        <v>4</v>
      </c>
      <c r="H143" s="57" t="s">
        <v>23</v>
      </c>
      <c r="I143" s="57" t="s">
        <v>17</v>
      </c>
      <c r="J143" s="57" t="s">
        <v>7</v>
      </c>
      <c r="K143" s="57" t="s">
        <v>24</v>
      </c>
      <c r="L143" s="57" t="s">
        <v>10</v>
      </c>
      <c r="M143" s="58" t="s">
        <v>38</v>
      </c>
    </row>
    <row r="144" spans="2:13" x14ac:dyDescent="0.3">
      <c r="B144" s="36"/>
      <c r="C144" s="37"/>
      <c r="D144" s="38"/>
      <c r="E144" s="39"/>
      <c r="F144" s="40"/>
      <c r="G144" s="1" t="str">
        <f>IFERROR(IF(ventas_b_mes8[[#This Row],[CUIT]]="","-",VLOOKUP(ventas_b_mes8[[#This Row],[CUIT]],Lista_CUIT[#All],2,0)),"CUIT NO CARGADO")</f>
        <v>-</v>
      </c>
      <c r="H144" s="60"/>
      <c r="I144" s="60"/>
      <c r="J144" s="60"/>
      <c r="K144" s="60"/>
      <c r="L144" s="60">
        <f>SUM(ventas_b_mes8[[#This Row],[IMPORTE NETO]:[EXENTO]])</f>
        <v>0</v>
      </c>
      <c r="M144" s="55"/>
    </row>
    <row r="145" spans="2:13" x14ac:dyDescent="0.3">
      <c r="B145" s="36"/>
      <c r="C145" s="37"/>
      <c r="D145" s="38"/>
      <c r="E145" s="39"/>
      <c r="F145" s="40"/>
      <c r="G145" s="1"/>
      <c r="H145" s="60"/>
      <c r="I145" s="60"/>
      <c r="J145" s="60"/>
      <c r="K145" s="60"/>
      <c r="L145" s="60">
        <f>SUM(ventas_b_mes8[[#This Row],[IMPORTE NETO]:[EXENTO]])</f>
        <v>0</v>
      </c>
      <c r="M145" s="55"/>
    </row>
    <row r="146" spans="2:13" x14ac:dyDescent="0.3">
      <c r="B146" s="36"/>
      <c r="C146" s="37"/>
      <c r="D146" s="38"/>
      <c r="E146" s="39"/>
      <c r="F146" s="40"/>
      <c r="G146" s="1"/>
      <c r="H146" s="60"/>
      <c r="I146" s="60"/>
      <c r="J146" s="60"/>
      <c r="K146" s="60"/>
      <c r="L146" s="60">
        <f>SUM(ventas_b_mes8[[#This Row],[IMPORTE NETO]:[EXENTO]])</f>
        <v>0</v>
      </c>
      <c r="M146" s="55"/>
    </row>
    <row r="147" spans="2:13" x14ac:dyDescent="0.3">
      <c r="B147" s="36"/>
      <c r="C147" s="37"/>
      <c r="D147" s="38"/>
      <c r="E147" s="39"/>
      <c r="F147" s="40"/>
      <c r="G147" s="1"/>
      <c r="H147" s="60"/>
      <c r="I147" s="60"/>
      <c r="J147" s="60"/>
      <c r="K147" s="60"/>
      <c r="L147" s="60">
        <f>SUM(ventas_b_mes8[[#This Row],[IMPORTE NETO]:[EXENTO]])</f>
        <v>0</v>
      </c>
      <c r="M147" s="55"/>
    </row>
    <row r="148" spans="2:13" x14ac:dyDescent="0.3">
      <c r="B148" s="36"/>
      <c r="C148" s="37"/>
      <c r="D148" s="38"/>
      <c r="E148" s="39"/>
      <c r="F148" s="40"/>
      <c r="G148" s="1"/>
      <c r="H148" s="60"/>
      <c r="I148" s="60"/>
      <c r="J148" s="60"/>
      <c r="K148" s="60"/>
      <c r="L148" s="60">
        <f>SUM(ventas_b_mes8[[#This Row],[IMPORTE NETO]:[EXENTO]])</f>
        <v>0</v>
      </c>
      <c r="M148" s="55"/>
    </row>
    <row r="149" spans="2:13" x14ac:dyDescent="0.3">
      <c r="B149" s="36"/>
      <c r="C149" s="37"/>
      <c r="D149" s="38"/>
      <c r="E149" s="39"/>
      <c r="F149" s="40"/>
      <c r="G149" s="1"/>
      <c r="H149" s="60"/>
      <c r="I149" s="60"/>
      <c r="J149" s="60"/>
      <c r="K149" s="60"/>
      <c r="L149" s="60">
        <f>SUM(ventas_b_mes8[[#This Row],[IMPORTE NETO]:[EXENTO]])</f>
        <v>0</v>
      </c>
      <c r="M149" s="55"/>
    </row>
    <row r="150" spans="2:13" x14ac:dyDescent="0.3">
      <c r="B150" s="62" t="s">
        <v>83</v>
      </c>
      <c r="C150" s="63"/>
      <c r="D150" s="63"/>
      <c r="E150" s="63"/>
      <c r="F150" s="63"/>
      <c r="G150" s="63"/>
      <c r="H150" s="73">
        <f>SUBTOTAL(109,ventas_b_mes8[IMPORTE NETO])</f>
        <v>0</v>
      </c>
      <c r="I150" s="73">
        <f>SUBTOTAL(109,ventas_b_mes8[IVA 21%])</f>
        <v>0</v>
      </c>
      <c r="J150" s="74">
        <f>SUBTOTAL(109,ventas_b_mes8[IVA 10,5%])</f>
        <v>0</v>
      </c>
      <c r="K150" s="74">
        <f>SUBTOTAL(109,ventas_b_mes8[EXENTO])</f>
        <v>0</v>
      </c>
      <c r="L150" s="74">
        <f>SUBTOTAL(109,ventas_b_mes8[TOTAL])</f>
        <v>0</v>
      </c>
      <c r="M150" s="64">
        <f>SUBTOTAL(103,ventas_b_mes8[Provincia])</f>
        <v>0</v>
      </c>
    </row>
    <row r="157" spans="2:13" ht="15" thickBot="1" x14ac:dyDescent="0.35"/>
    <row r="158" spans="2:13" ht="15" thickTop="1" x14ac:dyDescent="0.3">
      <c r="C158" s="447" t="s">
        <v>48</v>
      </c>
      <c r="D158" s="447"/>
      <c r="E158" s="447"/>
      <c r="F158" s="447"/>
      <c r="G158" s="447"/>
      <c r="H158" s="29"/>
      <c r="I158" s="29"/>
      <c r="J158" s="29"/>
    </row>
    <row r="159" spans="2:13" ht="15.6" x14ac:dyDescent="0.3">
      <c r="C159" s="110" t="s">
        <v>49</v>
      </c>
      <c r="D159" s="111" t="s">
        <v>50</v>
      </c>
      <c r="E159" s="111" t="s">
        <v>85</v>
      </c>
      <c r="F159" s="111" t="s">
        <v>3</v>
      </c>
      <c r="G159" s="111" t="s">
        <v>4</v>
      </c>
      <c r="H159" s="112" t="s">
        <v>51</v>
      </c>
      <c r="I159" s="112" t="s">
        <v>52</v>
      </c>
      <c r="J159" s="112" t="s">
        <v>53</v>
      </c>
      <c r="K159" s="112" t="s">
        <v>54</v>
      </c>
      <c r="L159" s="112" t="s">
        <v>55</v>
      </c>
    </row>
    <row r="160" spans="2:13" x14ac:dyDescent="0.3">
      <c r="C160" s="113"/>
      <c r="D160" s="114"/>
      <c r="E160" s="114"/>
      <c r="F160" s="115"/>
      <c r="G160" s="49" t="str">
        <f>IFERROR(IF(Retenciones_mes8[[#This Row],[CUIT]]="","-",VLOOKUP(Retenciones_mes8[[#This Row],[CUIT]],Lista_CUIT[#All],2,0)),"CUIT NO CARGADO")</f>
        <v>-</v>
      </c>
      <c r="H160" s="116"/>
      <c r="I160" s="116"/>
      <c r="J160" s="116"/>
      <c r="K160" s="116"/>
      <c r="L160" s="116"/>
    </row>
    <row r="161" spans="3:12" x14ac:dyDescent="0.3">
      <c r="C161" s="113"/>
      <c r="D161" s="114"/>
      <c r="E161" s="114"/>
      <c r="F161" s="115"/>
      <c r="G161" s="49" t="str">
        <f>IFERROR(IF(Retenciones_mes8[[#This Row],[CUIT]]="","-",VLOOKUP(Retenciones_mes8[[#This Row],[CUIT]],Lista_CUIT[#All],2,0)),"CUIT NO CARGADO")</f>
        <v>-</v>
      </c>
      <c r="H161" s="116"/>
      <c r="I161" s="116"/>
      <c r="J161" s="116"/>
      <c r="K161" s="116"/>
      <c r="L161" s="116"/>
    </row>
    <row r="162" spans="3:12" x14ac:dyDescent="0.3">
      <c r="C162" s="113"/>
      <c r="D162" s="114"/>
      <c r="E162" s="114"/>
      <c r="F162" s="115"/>
      <c r="G162" s="49" t="str">
        <f>IFERROR(IF(Retenciones_mes8[[#This Row],[CUIT]]="","-",VLOOKUP(Retenciones_mes8[[#This Row],[CUIT]],Lista_CUIT[#All],2,0)),"CUIT NO CARGADO")</f>
        <v>-</v>
      </c>
      <c r="H162" s="116"/>
      <c r="I162" s="116"/>
      <c r="J162" s="116"/>
      <c r="K162" s="116"/>
      <c r="L162" s="116"/>
    </row>
    <row r="163" spans="3:12" x14ac:dyDescent="0.3">
      <c r="C163" s="113"/>
      <c r="D163" s="114"/>
      <c r="E163" s="114"/>
      <c r="F163" s="115"/>
      <c r="G163" s="49" t="str">
        <f>IFERROR(IF(Retenciones_mes8[[#This Row],[CUIT]]="","-",VLOOKUP(Retenciones_mes8[[#This Row],[CUIT]],Lista_CUIT[#All],2,0)),"CUIT NO CARGADO")</f>
        <v>-</v>
      </c>
      <c r="H163" s="116"/>
      <c r="I163" s="116"/>
      <c r="J163" s="116"/>
      <c r="K163" s="116"/>
      <c r="L163" s="116"/>
    </row>
    <row r="164" spans="3:12" x14ac:dyDescent="0.3">
      <c r="D164" s="114"/>
      <c r="E164" s="114"/>
      <c r="G164" s="49" t="str">
        <f>IFERROR(IF(Retenciones_mes8[[#This Row],[CUIT]]="","-",VLOOKUP(Retenciones_mes8[[#This Row],[CUIT]],Lista_CUIT[#All],2,0)),"CUIT NO CARGADO")</f>
        <v>-</v>
      </c>
    </row>
    <row r="165" spans="3:12" x14ac:dyDescent="0.3">
      <c r="C165" s="30"/>
    </row>
  </sheetData>
  <mergeCells count="20">
    <mergeCell ref="D96:M96"/>
    <mergeCell ref="C158:G158"/>
    <mergeCell ref="B4:E4"/>
    <mergeCell ref="G4:H4"/>
    <mergeCell ref="J4:K4"/>
    <mergeCell ref="M4:N4"/>
    <mergeCell ref="D114:K114"/>
    <mergeCell ref="B126:J126"/>
    <mergeCell ref="K126:M126"/>
    <mergeCell ref="B128:C128"/>
    <mergeCell ref="B142:C142"/>
    <mergeCell ref="P4:R4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144:L149">
      <formula1>IF($C144=8,H144&lt;0,H144&gt;=0)</formula1>
    </dataValidation>
    <dataValidation type="custom" allowBlank="1" showInputMessage="1" showErrorMessage="1" sqref="L132:L134">
      <formula1>IF($C13=3,L13&lt;0,L13&gt;=0)</formula1>
    </dataValidation>
    <dataValidation type="custom" allowBlank="1" showInputMessage="1" showErrorMessage="1" sqref="L130:L131">
      <formula1>IF($C9=3,L9&lt;0,L9&gt;=0)</formula1>
    </dataValidation>
    <dataValidation type="whole" allowBlank="1" showInputMessage="1" showErrorMessage="1" sqref="C144:C149">
      <formula1>6</formula1>
      <formula2>8</formula2>
    </dataValidation>
    <dataValidation type="custom" allowBlank="1" showInputMessage="1" showErrorMessage="1" sqref="H130:K130 H132:K132 H134:K134 H136:K136">
      <formula1>IF($C130=3,H130&lt;0,H130&gt;=0)</formula1>
    </dataValidation>
    <dataValidation type="whole" allowBlank="1" showInputMessage="1" showErrorMessage="1" sqref="C9:C90 C130:C138 C92:C95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90">
      <formula1>IF($C9=3,H9&lt;0,H9&gt;=0)</formula1>
    </dataValidation>
    <dataValidation type="date" allowBlank="1" showInputMessage="1" showErrorMessage="1" sqref="B9:B90 B130:B138 B144:B149 D116:D123 B92:B95 D98:D107">
      <formula1>40179</formula1>
      <formula2>TODAY()</formula2>
    </dataValidation>
    <dataValidation type="whole" allowBlank="1" showInputMessage="1" showErrorMessage="1" sqref="F9:F90 F144:F149 F130:F138 G116:G123">
      <formula1>20000000000</formula1>
      <formula2>33999999999</formula2>
    </dataValidation>
    <dataValidation type="whole" allowBlank="1" showInputMessage="1" showErrorMessage="1" sqref="E9:E90 E144:E149 E130:E138 F116:F123">
      <formula1>1</formula1>
      <formula2>99999999</formula2>
    </dataValidation>
    <dataValidation type="whole" allowBlank="1" showInputMessage="1" showErrorMessage="1" sqref="D9:D90 D144:D149 D130:D138 E116:E123">
      <formula1>1</formula1>
      <formula2>9999</formula2>
    </dataValidation>
    <dataValidation type="custom" allowBlank="1" showInputMessage="1" showErrorMessage="1" sqref="L135:L136">
      <formula1>IF($C91=3,L91&lt;0,L91&gt;=0)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theme="9" tint="0.79998168889431442"/>
  </sheetPr>
  <dimension ref="A1:Z274"/>
  <sheetViews>
    <sheetView showGridLines="0" topLeftCell="C160" zoomScale="85" zoomScaleNormal="85" workbookViewId="0">
      <selection activeCell="C191" sqref="A191:XFD200"/>
    </sheetView>
  </sheetViews>
  <sheetFormatPr baseColWidth="10" defaultColWidth="0" defaultRowHeight="14.4" x14ac:dyDescent="0.3"/>
  <cols>
    <col min="1" max="1" width="1.6640625" customWidth="1"/>
    <col min="2" max="2" width="10.5546875" customWidth="1"/>
    <col min="3" max="3" width="9.5546875" customWidth="1"/>
    <col min="4" max="4" width="13.33203125" customWidth="1"/>
    <col min="5" max="5" width="13" customWidth="1"/>
    <col min="6" max="6" width="16.554687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4.88671875" customWidth="1"/>
    <col min="14" max="14" width="15" customWidth="1"/>
    <col min="15" max="15" width="18.5546875" customWidth="1"/>
    <col min="16" max="16" width="17.109375" customWidth="1"/>
    <col min="17" max="17" width="19.44140625" bestFit="1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3"/>
      <c r="B1" s="450" t="s">
        <v>28</v>
      </c>
      <c r="C1" s="450"/>
      <c r="D1" s="450"/>
      <c r="E1" s="450"/>
      <c r="F1" s="450"/>
      <c r="G1" s="457" t="str">
        <f>'Ene-22'!G1:M1</f>
        <v>EUROARGENTINA</v>
      </c>
      <c r="H1" s="457"/>
      <c r="I1" s="457"/>
      <c r="J1" s="457"/>
      <c r="K1" s="457"/>
      <c r="L1" s="457"/>
      <c r="M1" s="457"/>
      <c r="N1" s="448">
        <f>EDATE('Ene-22'!N1,8)</f>
        <v>44805</v>
      </c>
      <c r="O1" s="448"/>
      <c r="P1" s="448"/>
      <c r="Q1" s="448"/>
      <c r="R1" s="448"/>
    </row>
    <row r="2" spans="1:26" ht="15" customHeight="1" x14ac:dyDescent="0.3"/>
    <row r="3" spans="1:26" ht="26.4" customHeight="1" x14ac:dyDescent="0.3">
      <c r="B3" s="453" t="s">
        <v>47</v>
      </c>
      <c r="C3" s="453"/>
      <c r="D3" s="453"/>
      <c r="E3" s="453"/>
      <c r="F3" s="34"/>
      <c r="G3" s="453" t="s">
        <v>37</v>
      </c>
      <c r="H3" s="453"/>
      <c r="I3" s="34"/>
      <c r="J3" s="445" t="s">
        <v>14</v>
      </c>
      <c r="K3" s="445"/>
      <c r="L3" s="34"/>
      <c r="M3" s="445" t="s">
        <v>12</v>
      </c>
      <c r="N3" s="445"/>
      <c r="O3" s="34"/>
      <c r="P3" s="444" t="s">
        <v>82</v>
      </c>
      <c r="Q3" s="444"/>
      <c r="R3" s="444"/>
    </row>
    <row r="4" spans="1:26" ht="25.2" customHeight="1" x14ac:dyDescent="0.4">
      <c r="B4" s="454">
        <f>SUM(compras_mes10[[#Totals],[NETO GRAVADO]])+extracto_banco_mes10[[#Totals],[NETO]]</f>
        <v>13629193.128571428</v>
      </c>
      <c r="C4" s="454"/>
      <c r="D4" s="454"/>
      <c r="E4" s="454"/>
      <c r="F4" s="35"/>
      <c r="G4" s="455">
        <f>compras_mes10[[#Totals],[IVA 21 %]]+compras_mes10[[#Totals],[IVA 27%]]+compras_mes10[[#Totals],[IVA 10,5%]]+extracto_banco_mes10[[#Totals],[IVA 21%]]+extracto_banco_mes10[[#Totals],[IVA 10,5%]]</f>
        <v>2758460.8756500008</v>
      </c>
      <c r="H4" s="455"/>
      <c r="I4" s="35"/>
      <c r="J4" s="446">
        <f>venta_a_mes10[[#Totals],[IMPORTE NETO]]+ventas_b_mes10[[#Totals],[IMPORTE NETO]]</f>
        <v>0</v>
      </c>
      <c r="K4" s="446"/>
      <c r="L4" s="35"/>
      <c r="M4" s="446">
        <f>venta_a_mes10[[#Totals],[IVA 21%]]+venta_a_mes10[[#Totals],[IVA 10,5%]]+ventas_b_mes10[[#Totals],[IVA 21%]]+ventas_b_mes10[[#Totals],[IVA 10,5%]]</f>
        <v>0</v>
      </c>
      <c r="N4" s="446"/>
      <c r="O4" s="35"/>
      <c r="P4" s="442">
        <f>G4-M4</f>
        <v>2758460.8756500008</v>
      </c>
      <c r="Q4" s="443"/>
      <c r="R4" s="443"/>
    </row>
    <row r="5" spans="1:26" ht="13.5" customHeight="1" x14ac:dyDescent="0.3"/>
    <row r="6" spans="1:26" ht="12.75" customHeight="1" x14ac:dyDescent="0.3"/>
    <row r="7" spans="1:26" s="2" customFormat="1" ht="10.95" customHeight="1" x14ac:dyDescent="0.3">
      <c r="B7" s="36"/>
      <c r="C7" s="37"/>
      <c r="D7" s="38"/>
      <c r="E7" s="39"/>
      <c r="F7" s="40"/>
      <c r="G7" s="41"/>
      <c r="H7" s="42"/>
      <c r="I7" s="43"/>
      <c r="J7" s="43"/>
      <c r="K7" s="43"/>
      <c r="L7" s="43"/>
      <c r="M7" s="43"/>
      <c r="N7" s="43"/>
      <c r="O7" s="43"/>
      <c r="P7" s="44"/>
      <c r="Q7" s="45"/>
      <c r="R7" s="45"/>
      <c r="T7"/>
      <c r="U7"/>
      <c r="V7"/>
      <c r="W7"/>
      <c r="X7"/>
      <c r="Y7"/>
      <c r="Z7"/>
    </row>
    <row r="8" spans="1:26" ht="38.4" customHeight="1" x14ac:dyDescent="0.3">
      <c r="B8" s="80" t="s">
        <v>0</v>
      </c>
      <c r="C8" s="80" t="s">
        <v>1</v>
      </c>
      <c r="D8" s="80" t="s">
        <v>2</v>
      </c>
      <c r="E8" s="80" t="s">
        <v>27</v>
      </c>
      <c r="F8" s="80" t="s">
        <v>3</v>
      </c>
      <c r="G8" s="80" t="s">
        <v>4</v>
      </c>
      <c r="H8" s="80" t="s">
        <v>34</v>
      </c>
      <c r="I8" s="80" t="s">
        <v>35</v>
      </c>
      <c r="J8" s="80" t="s">
        <v>6</v>
      </c>
      <c r="K8" s="80" t="s">
        <v>7</v>
      </c>
      <c r="L8" s="80" t="s">
        <v>8</v>
      </c>
      <c r="M8" s="80" t="s">
        <v>33</v>
      </c>
      <c r="N8" s="80" t="s">
        <v>9</v>
      </c>
      <c r="O8" s="80" t="s">
        <v>36</v>
      </c>
      <c r="P8" s="80" t="s">
        <v>10</v>
      </c>
      <c r="Q8" s="80" t="s">
        <v>11</v>
      </c>
      <c r="R8" s="80" t="s">
        <v>38</v>
      </c>
    </row>
    <row r="9" spans="1:26" x14ac:dyDescent="0.3">
      <c r="B9" s="120"/>
      <c r="C9" s="121"/>
      <c r="D9" s="122"/>
      <c r="E9" s="123"/>
      <c r="F9" s="124"/>
      <c r="G9" s="125" t="str">
        <f>IFERROR(IF(compras_mes10[[#This Row],[CUIT]]="","-",VLOOKUP(compras_mes10[[#This Row],[CUIT]],Lista_CUIT[#All],2,0)),"CUIT NO CARGADO")</f>
        <v>-</v>
      </c>
      <c r="H9" s="126"/>
      <c r="I9" s="169" t="str">
        <f>IF(compras_mes10[[#This Row],[NETO GRAVADO]]="","",compras_mes10[[#This Row],[NETO GRAVADO]]*0.21)</f>
        <v/>
      </c>
      <c r="J9" s="169"/>
      <c r="K9" s="169"/>
      <c r="L9" s="148"/>
      <c r="M9" s="148"/>
      <c r="N9" s="148"/>
      <c r="O9" s="148"/>
      <c r="P9" s="127">
        <f>SUM(compras_mes10[[#This Row],[NETO GRAVADO]:[Otros / No Grav.]])</f>
        <v>0</v>
      </c>
      <c r="Q9" s="128" t="str">
        <f>IFERROR(IF(compras_mes10[[#This Row],[CUIT]]="","-",VLOOKUP(compras_mes10[[#This Row],[CUIT]],Lista_CUIT[#All],3,0)),"CUIT NO CARGADO")</f>
        <v>-</v>
      </c>
      <c r="R9" s="128" t="str">
        <f>IFERROR(IF(compras_mes10[[#This Row],[CUIT]]="","-",VLOOKUP(compras_mes10[[#This Row],[CUIT]],Lista_CUIT[#All],4,0)),"CUIT NO CARGADO")</f>
        <v>-</v>
      </c>
    </row>
    <row r="10" spans="1:26" x14ac:dyDescent="0.3">
      <c r="B10" s="159">
        <v>44810</v>
      </c>
      <c r="C10" s="160">
        <v>1</v>
      </c>
      <c r="D10" s="161">
        <v>2</v>
      </c>
      <c r="E10" s="162">
        <v>176</v>
      </c>
      <c r="F10" s="163">
        <v>27309896063</v>
      </c>
      <c r="G10" s="164" t="str">
        <f>IFERROR(IF(compras_mes10[[#This Row],[CUIT]]="","-",VLOOKUP(compras_mes10[[#This Row],[CUIT]],Lista_CUIT[#All],2,0)),"CUIT NO CARGADO")</f>
        <v>BATTELLINI MARIA SOLEDAD</v>
      </c>
      <c r="H10" s="165">
        <v>20700</v>
      </c>
      <c r="I10" s="166">
        <f>IF(compras_mes10[[#This Row],[NETO GRAVADO]]="","",compras_mes10[[#This Row],[NETO GRAVADO]]*0.21)</f>
        <v>4347</v>
      </c>
      <c r="J10" s="166"/>
      <c r="K10" s="166"/>
      <c r="L10" s="166"/>
      <c r="M10" s="166"/>
      <c r="N10" s="166"/>
      <c r="O10" s="166"/>
      <c r="P10" s="167">
        <f>SUM(compras_mes10[[#This Row],[NETO GRAVADO]:[Otros / No Grav.]])</f>
        <v>25047</v>
      </c>
      <c r="Q10" s="168" t="str">
        <f>IFERROR(IF(compras_mes10[[#This Row],[CUIT]]="","-",VLOOKUP(compras_mes10[[#This Row],[CUIT]],Lista_CUIT[#All],3,0)),"CUIT NO CARGADO")</f>
        <v>Alquiler</v>
      </c>
      <c r="R10" s="168">
        <f>IFERROR(IF(compras_mes10[[#This Row],[CUIT]]="","-",VLOOKUP(compras_mes10[[#This Row],[CUIT]],Lista_CUIT[#All],4,0)),"CUIT NO CARGADO")</f>
        <v>0</v>
      </c>
    </row>
    <row r="11" spans="1:26" x14ac:dyDescent="0.3">
      <c r="B11" s="159">
        <v>44805</v>
      </c>
      <c r="C11" s="160">
        <v>1</v>
      </c>
      <c r="D11" s="161">
        <v>1</v>
      </c>
      <c r="E11" s="162">
        <v>293</v>
      </c>
      <c r="F11" s="163">
        <v>20131206144</v>
      </c>
      <c r="G11" s="175" t="str">
        <f>IFERROR(IF(compras_mes10[[#This Row],[CUIT]]="","-",VLOOKUP(compras_mes10[[#This Row],[CUIT]],Lista_CUIT[#All],2,0)),"CUIT NO CARGADO")</f>
        <v>CHAMORRO MANUEL</v>
      </c>
      <c r="H11" s="176">
        <v>18000</v>
      </c>
      <c r="I11" s="170">
        <f>IF(compras_mes10[[#This Row],[NETO GRAVADO]]="","",compras_mes10[[#This Row],[NETO GRAVADO]]*0.21)</f>
        <v>3780</v>
      </c>
      <c r="J11" s="166"/>
      <c r="K11" s="166"/>
      <c r="L11" s="166"/>
      <c r="M11" s="166"/>
      <c r="N11" s="166"/>
      <c r="O11" s="166"/>
      <c r="P11" s="177">
        <f>SUM(compras_mes10[[#This Row],[NETO GRAVADO]:[Otros / No Grav.]])</f>
        <v>21780</v>
      </c>
      <c r="Q11" s="178" t="str">
        <f>IFERROR(IF(compras_mes10[[#This Row],[CUIT]]="","-",VLOOKUP(compras_mes10[[#This Row],[CUIT]],Lista_CUIT[#All],3,0)),"CUIT NO CARGADO")</f>
        <v>Alquiler</v>
      </c>
      <c r="R11" s="178">
        <f>IFERROR(IF(compras_mes10[[#This Row],[CUIT]]="","-",VLOOKUP(compras_mes10[[#This Row],[CUIT]],Lista_CUIT[#All],4,0)),"CUIT NO CARGADO")</f>
        <v>0</v>
      </c>
    </row>
    <row r="12" spans="1:26" x14ac:dyDescent="0.3">
      <c r="B12" s="159">
        <v>44805</v>
      </c>
      <c r="C12" s="160">
        <v>1</v>
      </c>
      <c r="D12" s="161">
        <v>1</v>
      </c>
      <c r="E12" s="162">
        <v>49</v>
      </c>
      <c r="F12" s="163">
        <v>30716010313</v>
      </c>
      <c r="G12" s="175" t="str">
        <f>IFERROR(IF(compras_mes10[[#This Row],[CUIT]]="","-",VLOOKUP(compras_mes10[[#This Row],[CUIT]],Lista_CUIT[#All],2,0)),"CUIT NO CARGADO")</f>
        <v>H UNO 1469 S.A.</v>
      </c>
      <c r="H12" s="176">
        <v>32000</v>
      </c>
      <c r="I12" s="170">
        <f>IF(compras_mes10[[#This Row],[NETO GRAVADO]]="","",compras_mes10[[#This Row],[NETO GRAVADO]]*0.21)</f>
        <v>6720</v>
      </c>
      <c r="J12" s="166"/>
      <c r="K12" s="166"/>
      <c r="L12" s="166"/>
      <c r="M12" s="166"/>
      <c r="N12" s="166"/>
      <c r="O12" s="166"/>
      <c r="P12" s="177">
        <f>SUM(compras_mes10[[#This Row],[NETO GRAVADO]:[Otros / No Grav.]])</f>
        <v>38720</v>
      </c>
      <c r="Q12" s="178" t="str">
        <f>IFERROR(IF(compras_mes10[[#This Row],[CUIT]]="","-",VLOOKUP(compras_mes10[[#This Row],[CUIT]],Lista_CUIT[#All],3,0)),"CUIT NO CARGADO")</f>
        <v>Alquiler</v>
      </c>
      <c r="R12" s="178">
        <f>IFERROR(IF(compras_mes10[[#This Row],[CUIT]]="","-",VLOOKUP(compras_mes10[[#This Row],[CUIT]],Lista_CUIT[#All],4,0)),"CUIT NO CARGADO")</f>
        <v>0</v>
      </c>
    </row>
    <row r="13" spans="1:26" x14ac:dyDescent="0.3">
      <c r="B13" s="129">
        <v>44834</v>
      </c>
      <c r="C13" s="130">
        <v>1</v>
      </c>
      <c r="D13" s="131">
        <v>1</v>
      </c>
      <c r="E13" s="132">
        <v>509</v>
      </c>
      <c r="F13" s="133">
        <v>30715048066</v>
      </c>
      <c r="G13" s="134" t="str">
        <f>IFERROR(IF(compras_mes10[[#This Row],[CUIT]]="","-",VLOOKUP(compras_mes10[[#This Row],[CUIT]],Lista_CUIT[#All],2,0)),"CUIT NO CARGADO")</f>
        <v>ROLLS Y EMPANADAS SA</v>
      </c>
      <c r="H13" s="135">
        <v>315745</v>
      </c>
      <c r="I13" s="136">
        <f>IF(compras_mes10[[#This Row],[NETO GRAVADO]]="","",compras_mes10[[#This Row],[NETO GRAVADO]]*0.21)</f>
        <v>66306.45</v>
      </c>
      <c r="J13" s="136"/>
      <c r="K13" s="136"/>
      <c r="L13" s="136"/>
      <c r="M13" s="136"/>
      <c r="N13" s="136"/>
      <c r="O13" s="136"/>
      <c r="P13" s="137">
        <f>SUM(compras_mes10[[#This Row],[NETO GRAVADO]:[Otros / No Grav.]])</f>
        <v>382051.45</v>
      </c>
      <c r="Q13" s="138" t="str">
        <f>IFERROR(IF(compras_mes10[[#This Row],[CUIT]]="","-",VLOOKUP(compras_mes10[[#This Row],[CUIT]],Lista_CUIT[#All],3,0)),"CUIT NO CARGADO")</f>
        <v>Catering</v>
      </c>
      <c r="R13" s="138">
        <f>IFERROR(IF(compras_mes10[[#This Row],[CUIT]]="","-",VLOOKUP(compras_mes10[[#This Row],[CUIT]],Lista_CUIT[#All],4,0)),"CUIT NO CARGADO")</f>
        <v>0</v>
      </c>
    </row>
    <row r="14" spans="1:26" x14ac:dyDescent="0.3">
      <c r="B14" s="139">
        <v>44832</v>
      </c>
      <c r="C14" s="140">
        <v>1</v>
      </c>
      <c r="D14" s="141">
        <v>12</v>
      </c>
      <c r="E14" s="142">
        <v>6581</v>
      </c>
      <c r="F14" s="143">
        <v>30680690967</v>
      </c>
      <c r="G14" s="144" t="str">
        <f>IFERROR(IF(compras_mes10[[#This Row],[CUIT]]="","-",VLOOKUP(compras_mes10[[#This Row],[CUIT]],Lista_CUIT[#All],2,0)),"CUIT NO CARGADO")</f>
        <v>ACENAF S.R.L.</v>
      </c>
      <c r="H14" s="149">
        <v>1058.03</v>
      </c>
      <c r="I14" s="145">
        <f>IF(compras_mes10[[#This Row],[NETO GRAVADO]]="","",compras_mes10[[#This Row],[NETO GRAVADO]]*0.21)</f>
        <v>222.18629999999999</v>
      </c>
      <c r="J14" s="145"/>
      <c r="K14" s="145"/>
      <c r="L14" s="145"/>
      <c r="M14" s="145"/>
      <c r="N14" s="145"/>
      <c r="O14" s="145">
        <v>169.76</v>
      </c>
      <c r="P14" s="146">
        <f>SUM(compras_mes10[[#This Row],[NETO GRAVADO]:[Otros / No Grav.]])</f>
        <v>1449.9763</v>
      </c>
      <c r="Q14" s="147" t="str">
        <f>IFERROR(IF(compras_mes10[[#This Row],[CUIT]]="","-",VLOOKUP(compras_mes10[[#This Row],[CUIT]],Lista_CUIT[#All],3,0)),"CUIT NO CARGADO")</f>
        <v>Combustible</v>
      </c>
      <c r="R14" s="147">
        <f>IFERROR(IF(compras_mes10[[#This Row],[CUIT]]="","-",VLOOKUP(compras_mes10[[#This Row],[CUIT]],Lista_CUIT[#All],4,0)),"CUIT NO CARGADO")</f>
        <v>0</v>
      </c>
    </row>
    <row r="15" spans="1:26" x14ac:dyDescent="0.3">
      <c r="B15" s="159">
        <v>44824</v>
      </c>
      <c r="C15" s="160">
        <v>1</v>
      </c>
      <c r="D15" s="161">
        <v>2036</v>
      </c>
      <c r="E15" s="162">
        <v>24787</v>
      </c>
      <c r="F15" s="163">
        <v>30516186670</v>
      </c>
      <c r="G15" s="164" t="str">
        <f>IFERROR(IF(compras_mes10[[#This Row],[CUIT]]="","-",VLOOKUP(compras_mes10[[#This Row],[CUIT]],Lista_CUIT[#All],2,0)),"CUIT NO CARGADO")</f>
        <v>DEHEZA S.A.I.C.F. e I.</v>
      </c>
      <c r="H15" s="165">
        <v>707.71</v>
      </c>
      <c r="I15" s="166">
        <f>IF(compras_mes10[[#This Row],[NETO GRAVADO]]="","",compras_mes10[[#This Row],[NETO GRAVADO]]*0.21)</f>
        <v>148.6191</v>
      </c>
      <c r="J15" s="166"/>
      <c r="K15" s="166"/>
      <c r="L15" s="166"/>
      <c r="M15" s="166"/>
      <c r="N15" s="166"/>
      <c r="O15" s="166"/>
      <c r="P15" s="167">
        <f>SUM(compras_mes10[[#This Row],[NETO GRAVADO]:[Otros / No Grav.]])</f>
        <v>856.32910000000004</v>
      </c>
      <c r="Q15" s="168" t="str">
        <f>IFERROR(IF(compras_mes10[[#This Row],[CUIT]]="","-",VLOOKUP(compras_mes10[[#This Row],[CUIT]],Lista_CUIT[#All],3,0)),"CUIT NO CARGADO")</f>
        <v>Combustible</v>
      </c>
      <c r="R15" s="168">
        <f>IFERROR(IF(compras_mes10[[#This Row],[CUIT]]="","-",VLOOKUP(compras_mes10[[#This Row],[CUIT]],Lista_CUIT[#All],4,0)),"CUIT NO CARGADO")</f>
        <v>0</v>
      </c>
    </row>
    <row r="16" spans="1:26" s="52" customFormat="1" ht="14.25" customHeight="1" x14ac:dyDescent="0.3">
      <c r="B16" s="159">
        <v>44833</v>
      </c>
      <c r="C16" s="160">
        <v>1</v>
      </c>
      <c r="D16" s="161">
        <v>2036</v>
      </c>
      <c r="E16" s="162">
        <v>25261</v>
      </c>
      <c r="F16" s="163">
        <v>30516186670</v>
      </c>
      <c r="G16" s="164" t="str">
        <f>IFERROR(IF(compras_mes10[[#This Row],[CUIT]]="","-",VLOOKUP(compras_mes10[[#This Row],[CUIT]],Lista_CUIT[#All],2,0)),"CUIT NO CARGADO")</f>
        <v>DEHEZA S.A.I.C.F. e I.</v>
      </c>
      <c r="H16" s="165">
        <v>707.71</v>
      </c>
      <c r="I16" s="166">
        <f>IF(compras_mes10[[#This Row],[NETO GRAVADO]]="","",compras_mes10[[#This Row],[NETO GRAVADO]]*0.21)</f>
        <v>148.6191</v>
      </c>
      <c r="J16" s="166"/>
      <c r="K16" s="166"/>
      <c r="L16" s="166"/>
      <c r="M16" s="166"/>
      <c r="N16" s="166"/>
      <c r="O16" s="166"/>
      <c r="P16" s="167">
        <f>SUM(compras_mes10[[#This Row],[NETO GRAVADO]:[Otros / No Grav.]])</f>
        <v>856.32910000000004</v>
      </c>
      <c r="Q16" s="168" t="str">
        <f>IFERROR(IF(compras_mes10[[#This Row],[CUIT]]="","-",VLOOKUP(compras_mes10[[#This Row],[CUIT]],Lista_CUIT[#All],3,0)),"CUIT NO CARGADO")</f>
        <v>Combustible</v>
      </c>
      <c r="R16" s="168">
        <f>IFERROR(IF(compras_mes10[[#This Row],[CUIT]]="","-",VLOOKUP(compras_mes10[[#This Row],[CUIT]],Lista_CUIT[#All],4,0)),"CUIT NO CARGADO")</f>
        <v>0</v>
      </c>
    </row>
    <row r="17" spans="2:18" x14ac:dyDescent="0.3">
      <c r="B17" s="139">
        <v>44820</v>
      </c>
      <c r="C17" s="140">
        <v>1</v>
      </c>
      <c r="D17" s="141">
        <v>3</v>
      </c>
      <c r="E17" s="142">
        <v>2144</v>
      </c>
      <c r="F17" s="143">
        <v>30708077883</v>
      </c>
      <c r="G17" s="144" t="str">
        <f>IFERROR(IF(compras_mes10[[#This Row],[CUIT]]="","-",VLOOKUP(compras_mes10[[#This Row],[CUIT]],Lista_CUIT[#All],2,0)),"CUIT NO CARGADO")</f>
        <v>DONA MARTINA SA </v>
      </c>
      <c r="H17" s="149">
        <v>644.44000000000005</v>
      </c>
      <c r="I17" s="145">
        <f>IF(compras_mes10[[#This Row],[NETO GRAVADO]]="","",compras_mes10[[#This Row],[NETO GRAVADO]]*0.21)</f>
        <v>135.33240000000001</v>
      </c>
      <c r="J17" s="150"/>
      <c r="K17" s="150"/>
      <c r="L17" s="150"/>
      <c r="M17" s="150"/>
      <c r="N17" s="150"/>
      <c r="O17" s="150">
        <v>0.25</v>
      </c>
      <c r="P17" s="146">
        <f>SUM(compras_mes10[[#This Row],[NETO GRAVADO]:[Otros / No Grav.]])</f>
        <v>780.02240000000006</v>
      </c>
      <c r="Q17" s="147" t="str">
        <f>IFERROR(IF(compras_mes10[[#This Row],[CUIT]]="","-",VLOOKUP(compras_mes10[[#This Row],[CUIT]],Lista_CUIT[#All],3,0)),"CUIT NO CARGADO")</f>
        <v>Combustible</v>
      </c>
      <c r="R17" s="147">
        <f>IFERROR(IF(compras_mes10[[#This Row],[CUIT]]="","-",VLOOKUP(compras_mes10[[#This Row],[CUIT]],Lista_CUIT[#All],4,0)),"CUIT NO CARGADO")</f>
        <v>0</v>
      </c>
    </row>
    <row r="18" spans="2:18" x14ac:dyDescent="0.3">
      <c r="B18" s="139">
        <v>44832</v>
      </c>
      <c r="C18" s="140">
        <v>1</v>
      </c>
      <c r="D18" s="141">
        <v>9</v>
      </c>
      <c r="E18" s="142">
        <v>189</v>
      </c>
      <c r="F18" s="143">
        <v>30708260785</v>
      </c>
      <c r="G18" s="144" t="str">
        <f>IFERROR(IF(compras_mes10[[#This Row],[CUIT]]="","-",VLOOKUP(compras_mes10[[#This Row],[CUIT]],Lista_CUIT[#All],2,0)),"CUIT NO CARGADO")</f>
        <v>EREZCANO SA</v>
      </c>
      <c r="H18" s="149">
        <v>468.55</v>
      </c>
      <c r="I18" s="145">
        <f>IF(compras_mes10[[#This Row],[NETO GRAVADO]]="","",compras_mes10[[#This Row],[NETO GRAVADO]]*0.21)</f>
        <v>98.395499999999998</v>
      </c>
      <c r="J18" s="150"/>
      <c r="K18" s="150"/>
      <c r="L18" s="150"/>
      <c r="M18" s="150"/>
      <c r="N18" s="150"/>
      <c r="O18" s="150">
        <v>10.11</v>
      </c>
      <c r="P18" s="146">
        <f>SUM(compras_mes10[[#This Row],[NETO GRAVADO]:[Otros / No Grav.]])</f>
        <v>577.05550000000005</v>
      </c>
      <c r="Q18" s="147" t="str">
        <f>IFERROR(IF(compras_mes10[[#This Row],[CUIT]]="","-",VLOOKUP(compras_mes10[[#This Row],[CUIT]],Lista_CUIT[#All],3,0)),"CUIT NO CARGADO")</f>
        <v>Combustible</v>
      </c>
      <c r="R18" s="147">
        <f>IFERROR(IF(compras_mes10[[#This Row],[CUIT]]="","-",VLOOKUP(compras_mes10[[#This Row],[CUIT]],Lista_CUIT[#All],4,0)),"CUIT NO CARGADO")</f>
        <v>0</v>
      </c>
    </row>
    <row r="19" spans="2:18" x14ac:dyDescent="0.3">
      <c r="B19" s="139">
        <v>44831</v>
      </c>
      <c r="C19" s="140">
        <v>1</v>
      </c>
      <c r="D19" s="141">
        <v>13</v>
      </c>
      <c r="E19" s="142">
        <v>124177</v>
      </c>
      <c r="F19" s="143">
        <v>30708549041</v>
      </c>
      <c r="G19" s="144" t="str">
        <f>IFERROR(IF(compras_mes10[[#This Row],[CUIT]]="","-",VLOOKUP(compras_mes10[[#This Row],[CUIT]],Lista_CUIT[#All],2,0)),"CUIT NO CARGADO")</f>
        <v>FLORIPO  S.A.</v>
      </c>
      <c r="H19" s="149">
        <v>461.27</v>
      </c>
      <c r="I19" s="145">
        <f>IF(compras_mes10[[#This Row],[NETO GRAVADO]]="","",compras_mes10[[#This Row],[NETO GRAVADO]]*0.21)</f>
        <v>96.866699999999994</v>
      </c>
      <c r="J19" s="150"/>
      <c r="K19" s="150"/>
      <c r="L19" s="150"/>
      <c r="M19" s="150"/>
      <c r="N19" s="150"/>
      <c r="O19" s="150">
        <v>1.87</v>
      </c>
      <c r="P19" s="146">
        <f>SUM(compras_mes10[[#This Row],[NETO GRAVADO]:[Otros / No Grav.]])</f>
        <v>560.00670000000002</v>
      </c>
      <c r="Q19" s="147" t="str">
        <f>IFERROR(IF(compras_mes10[[#This Row],[CUIT]]="","-",VLOOKUP(compras_mes10[[#This Row],[CUIT]],Lista_CUIT[#All],3,0)),"CUIT NO CARGADO")</f>
        <v>Combustible</v>
      </c>
      <c r="R19" s="147">
        <f>IFERROR(IF(compras_mes10[[#This Row],[CUIT]]="","-",VLOOKUP(compras_mes10[[#This Row],[CUIT]],Lista_CUIT[#All],4,0)),"CUIT NO CARGADO")</f>
        <v>0</v>
      </c>
    </row>
    <row r="20" spans="2:18" ht="14.4" customHeight="1" x14ac:dyDescent="0.3">
      <c r="B20" s="139">
        <v>44827</v>
      </c>
      <c r="C20" s="140">
        <v>1</v>
      </c>
      <c r="D20" s="141">
        <v>4</v>
      </c>
      <c r="E20" s="142">
        <v>18407</v>
      </c>
      <c r="F20" s="143">
        <v>33714488819</v>
      </c>
      <c r="G20" s="144" t="str">
        <f>IFERROR(IF(compras_mes10[[#This Row],[CUIT]]="","-",VLOOKUP(compras_mes10[[#This Row],[CUIT]],Lista_CUIT[#All],2,0)),"CUIT NO CARGADO")</f>
        <v>GNC TORTUGAS SRL</v>
      </c>
      <c r="H20" s="149">
        <v>529.86</v>
      </c>
      <c r="I20" s="145">
        <f>IF(compras_mes10[[#This Row],[NETO GRAVADO]]="","",compras_mes10[[#This Row],[NETO GRAVADO]]*0.21)</f>
        <v>111.2706</v>
      </c>
      <c r="J20" s="150"/>
      <c r="K20" s="150"/>
      <c r="L20" s="150"/>
      <c r="M20" s="150"/>
      <c r="N20" s="150"/>
      <c r="O20" s="150">
        <v>11.18</v>
      </c>
      <c r="P20" s="146">
        <f>SUM(compras_mes10[[#This Row],[NETO GRAVADO]:[Otros / No Grav.]])</f>
        <v>652.31059999999991</v>
      </c>
      <c r="Q20" s="147" t="str">
        <f>IFERROR(IF(compras_mes10[[#This Row],[CUIT]]="","-",VLOOKUP(compras_mes10[[#This Row],[CUIT]],Lista_CUIT[#All],3,0)),"CUIT NO CARGADO")</f>
        <v>Combustible</v>
      </c>
      <c r="R20" s="147">
        <f>IFERROR(IF(compras_mes10[[#This Row],[CUIT]]="","-",VLOOKUP(compras_mes10[[#This Row],[CUIT]],Lista_CUIT[#All],4,0)),"CUIT NO CARGADO")</f>
        <v>0</v>
      </c>
    </row>
    <row r="21" spans="2:18" ht="14.25" customHeight="1" x14ac:dyDescent="0.3">
      <c r="B21" s="139">
        <v>44812</v>
      </c>
      <c r="C21" s="140">
        <v>1</v>
      </c>
      <c r="D21" s="141">
        <v>21</v>
      </c>
      <c r="E21" s="142">
        <v>18197</v>
      </c>
      <c r="F21" s="143">
        <v>30515800219</v>
      </c>
      <c r="G21" s="144" t="str">
        <f>IFERROR(IF(compras_mes10[[#This Row],[CUIT]]="","-",VLOOKUP(compras_mes10[[#This Row],[CUIT]],Lista_CUIT[#All],2,0)),"CUIT NO CARGADO")</f>
        <v>INCAT SRL</v>
      </c>
      <c r="H21" s="149">
        <v>4056.91</v>
      </c>
      <c r="I21" s="145">
        <f>IF(compras_mes10[[#This Row],[NETO GRAVADO]]="","",compras_mes10[[#This Row],[NETO GRAVADO]]*0.21)</f>
        <v>851.95109999999988</v>
      </c>
      <c r="J21" s="145"/>
      <c r="K21" s="145"/>
      <c r="L21" s="145"/>
      <c r="M21" s="145"/>
      <c r="N21" s="145"/>
      <c r="O21" s="145">
        <v>849.96</v>
      </c>
      <c r="P21" s="146">
        <f>SUM(compras_mes10[[#This Row],[NETO GRAVADO]:[Otros / No Grav.]])</f>
        <v>5758.8211000000001</v>
      </c>
      <c r="Q21" s="147" t="str">
        <f>IFERROR(IF(compras_mes10[[#This Row],[CUIT]]="","-",VLOOKUP(compras_mes10[[#This Row],[CUIT]],Lista_CUIT[#All],3,0)),"CUIT NO CARGADO")</f>
        <v>Combustible</v>
      </c>
      <c r="R21" s="147">
        <f>IFERROR(IF(compras_mes10[[#This Row],[CUIT]]="","-",VLOOKUP(compras_mes10[[#This Row],[CUIT]],Lista_CUIT[#All],4,0)),"CUIT NO CARGADO")</f>
        <v>0</v>
      </c>
    </row>
    <row r="22" spans="2:18" ht="13.5" customHeight="1" x14ac:dyDescent="0.3">
      <c r="B22" s="129">
        <v>44820</v>
      </c>
      <c r="C22" s="130">
        <v>1</v>
      </c>
      <c r="D22" s="131">
        <v>21</v>
      </c>
      <c r="E22" s="132">
        <v>18572</v>
      </c>
      <c r="F22" s="133">
        <v>30515800219</v>
      </c>
      <c r="G22" s="134" t="str">
        <f>IFERROR(IF(compras_mes10[[#This Row],[CUIT]]="","-",VLOOKUP(compras_mes10[[#This Row],[CUIT]],Lista_CUIT[#All],2,0)),"CUIT NO CARGADO")</f>
        <v>INCAT SRL</v>
      </c>
      <c r="H22" s="135">
        <v>3522.44</v>
      </c>
      <c r="I22" s="136">
        <f>IF(compras_mes10[[#This Row],[NETO GRAVADO]]="","",compras_mes10[[#This Row],[NETO GRAVADO]]*0.21)</f>
        <v>739.7124</v>
      </c>
      <c r="J22" s="136"/>
      <c r="K22" s="136"/>
      <c r="L22" s="136"/>
      <c r="M22" s="136"/>
      <c r="N22" s="136"/>
      <c r="O22" s="136">
        <v>737.99</v>
      </c>
      <c r="P22" s="137">
        <f>SUM(compras_mes10[[#This Row],[NETO GRAVADO]:[Otros / No Grav.]])</f>
        <v>5000.1423999999997</v>
      </c>
      <c r="Q22" s="138" t="str">
        <f>IFERROR(IF(compras_mes10[[#This Row],[CUIT]]="","-",VLOOKUP(compras_mes10[[#This Row],[CUIT]],Lista_CUIT[#All],3,0)),"CUIT NO CARGADO")</f>
        <v>Combustible</v>
      </c>
      <c r="R22" s="138">
        <f>IFERROR(IF(compras_mes10[[#This Row],[CUIT]]="","-",VLOOKUP(compras_mes10[[#This Row],[CUIT]],Lista_CUIT[#All],4,0)),"CUIT NO CARGADO")</f>
        <v>0</v>
      </c>
    </row>
    <row r="23" spans="2:18" ht="14.4" customHeight="1" x14ac:dyDescent="0.3">
      <c r="B23" s="129">
        <v>44825</v>
      </c>
      <c r="C23" s="130">
        <v>1</v>
      </c>
      <c r="D23" s="131">
        <v>20</v>
      </c>
      <c r="E23" s="132">
        <v>5008</v>
      </c>
      <c r="F23" s="133">
        <v>30515800219</v>
      </c>
      <c r="G23" s="134" t="str">
        <f>IFERROR(IF(compras_mes10[[#This Row],[CUIT]]="","-",VLOOKUP(compras_mes10[[#This Row],[CUIT]],Lista_CUIT[#All],2,0)),"CUIT NO CARGADO")</f>
        <v>INCAT SRL</v>
      </c>
      <c r="H23" s="135">
        <v>458.33</v>
      </c>
      <c r="I23" s="136">
        <f>IF(compras_mes10[[#This Row],[NETO GRAVADO]]="","",compras_mes10[[#This Row],[NETO GRAVADO]]*0.21)</f>
        <v>96.249299999999991</v>
      </c>
      <c r="J23" s="136"/>
      <c r="K23" s="136"/>
      <c r="L23" s="136"/>
      <c r="M23" s="136"/>
      <c r="N23" s="136"/>
      <c r="O23" s="136">
        <v>10.42</v>
      </c>
      <c r="P23" s="137">
        <f>SUM(compras_mes10[[#This Row],[NETO GRAVADO]:[Otros / No Grav.]])</f>
        <v>564.99929999999995</v>
      </c>
      <c r="Q23" s="138" t="str">
        <f>IFERROR(IF(compras_mes10[[#This Row],[CUIT]]="","-",VLOOKUP(compras_mes10[[#This Row],[CUIT]],Lista_CUIT[#All],3,0)),"CUIT NO CARGADO")</f>
        <v>Combustible</v>
      </c>
      <c r="R23" s="138">
        <f>IFERROR(IF(compras_mes10[[#This Row],[CUIT]]="","-",VLOOKUP(compras_mes10[[#This Row],[CUIT]],Lista_CUIT[#All],4,0)),"CUIT NO CARGADO")</f>
        <v>0</v>
      </c>
    </row>
    <row r="24" spans="2:18" ht="15" customHeight="1" x14ac:dyDescent="0.3">
      <c r="B24" s="129">
        <v>44825</v>
      </c>
      <c r="C24" s="130">
        <v>1</v>
      </c>
      <c r="D24" s="131">
        <v>20</v>
      </c>
      <c r="E24" s="132">
        <v>4994</v>
      </c>
      <c r="F24" s="133">
        <v>30515800219</v>
      </c>
      <c r="G24" s="134" t="str">
        <f>IFERROR(IF(compras_mes10[[#This Row],[CUIT]]="","-",VLOOKUP(compras_mes10[[#This Row],[CUIT]],Lista_CUIT[#All],2,0)),"CUIT NO CARGADO")</f>
        <v>INCAT SRL</v>
      </c>
      <c r="H24" s="135">
        <v>551.62</v>
      </c>
      <c r="I24" s="136">
        <f>IF(compras_mes10[[#This Row],[NETO GRAVADO]]="","",compras_mes10[[#This Row],[NETO GRAVADO]]*0.21)</f>
        <v>115.8402</v>
      </c>
      <c r="J24" s="136"/>
      <c r="K24" s="136"/>
      <c r="L24" s="136"/>
      <c r="M24" s="136"/>
      <c r="N24" s="136"/>
      <c r="O24" s="136">
        <v>12.54</v>
      </c>
      <c r="P24" s="137">
        <f>SUM(compras_mes10[[#This Row],[NETO GRAVADO]:[Otros / No Grav.]])</f>
        <v>680.00019999999995</v>
      </c>
      <c r="Q24" s="138" t="str">
        <f>IFERROR(IF(compras_mes10[[#This Row],[CUIT]]="","-",VLOOKUP(compras_mes10[[#This Row],[CUIT]],Lista_CUIT[#All],3,0)),"CUIT NO CARGADO")</f>
        <v>Combustible</v>
      </c>
      <c r="R24" s="138">
        <f>IFERROR(IF(compras_mes10[[#This Row],[CUIT]]="","-",VLOOKUP(compras_mes10[[#This Row],[CUIT]],Lista_CUIT[#All],4,0)),"CUIT NO CARGADO")</f>
        <v>0</v>
      </c>
    </row>
    <row r="25" spans="2:18" ht="15" customHeight="1" x14ac:dyDescent="0.3">
      <c r="B25" s="129">
        <v>44827</v>
      </c>
      <c r="C25" s="130">
        <v>1</v>
      </c>
      <c r="D25" s="131">
        <v>20</v>
      </c>
      <c r="E25" s="132">
        <v>5040</v>
      </c>
      <c r="F25" s="133">
        <v>30515800219</v>
      </c>
      <c r="G25" s="134" t="str">
        <f>IFERROR(IF(compras_mes10[[#This Row],[CUIT]]="","-",VLOOKUP(compras_mes10[[#This Row],[CUIT]],Lista_CUIT[#All],2,0)),"CUIT NO CARGADO")</f>
        <v>INCAT SRL</v>
      </c>
      <c r="H25" s="135">
        <v>447.79</v>
      </c>
      <c r="I25" s="136">
        <f>IF(compras_mes10[[#This Row],[NETO GRAVADO]]="","",compras_mes10[[#This Row],[NETO GRAVADO]]*0.21)</f>
        <v>94.035899999999998</v>
      </c>
      <c r="J25" s="136"/>
      <c r="K25" s="136"/>
      <c r="L25" s="136"/>
      <c r="M25" s="136"/>
      <c r="N25" s="136"/>
      <c r="O25" s="136">
        <v>10.18</v>
      </c>
      <c r="P25" s="137">
        <f>SUM(compras_mes10[[#This Row],[NETO GRAVADO]:[Otros / No Grav.]])</f>
        <v>552.0059</v>
      </c>
      <c r="Q25" s="138" t="str">
        <f>IFERROR(IF(compras_mes10[[#This Row],[CUIT]]="","-",VLOOKUP(compras_mes10[[#This Row],[CUIT]],Lista_CUIT[#All],3,0)),"CUIT NO CARGADO")</f>
        <v>Combustible</v>
      </c>
      <c r="R25" s="138">
        <f>IFERROR(IF(compras_mes10[[#This Row],[CUIT]]="","-",VLOOKUP(compras_mes10[[#This Row],[CUIT]],Lista_CUIT[#All],4,0)),"CUIT NO CARGADO")</f>
        <v>0</v>
      </c>
    </row>
    <row r="26" spans="2:18" ht="15" customHeight="1" x14ac:dyDescent="0.3">
      <c r="B26" s="129">
        <v>44830</v>
      </c>
      <c r="C26" s="130">
        <v>1</v>
      </c>
      <c r="D26" s="131">
        <v>20</v>
      </c>
      <c r="E26" s="132">
        <v>5074</v>
      </c>
      <c r="F26" s="133">
        <v>30515800219</v>
      </c>
      <c r="G26" s="134" t="str">
        <f>IFERROR(IF(compras_mes10[[#This Row],[CUIT]]="","-",VLOOKUP(compras_mes10[[#This Row],[CUIT]],Lista_CUIT[#All],2,0)),"CUIT NO CARGADO")</f>
        <v>INCAT SRL</v>
      </c>
      <c r="H26" s="135">
        <v>640.85</v>
      </c>
      <c r="I26" s="136">
        <f>IF(compras_mes10[[#This Row],[NETO GRAVADO]]="","",compras_mes10[[#This Row],[NETO GRAVADO]]*0.21)</f>
        <v>134.57849999999999</v>
      </c>
      <c r="J26" s="136"/>
      <c r="K26" s="136"/>
      <c r="L26" s="136"/>
      <c r="M26" s="136"/>
      <c r="N26" s="136"/>
      <c r="O26" s="136">
        <v>14.57</v>
      </c>
      <c r="P26" s="137">
        <f>SUM(compras_mes10[[#This Row],[NETO GRAVADO]:[Otros / No Grav.]])</f>
        <v>789.99850000000004</v>
      </c>
      <c r="Q26" s="138" t="str">
        <f>IFERROR(IF(compras_mes10[[#This Row],[CUIT]]="","-",VLOOKUP(compras_mes10[[#This Row],[CUIT]],Lista_CUIT[#All],3,0)),"CUIT NO CARGADO")</f>
        <v>Combustible</v>
      </c>
      <c r="R26" s="138">
        <f>IFERROR(IF(compras_mes10[[#This Row],[CUIT]]="","-",VLOOKUP(compras_mes10[[#This Row],[CUIT]],Lista_CUIT[#All],4,0)),"CUIT NO CARGADO")</f>
        <v>0</v>
      </c>
    </row>
    <row r="27" spans="2:18" ht="15" customHeight="1" x14ac:dyDescent="0.3">
      <c r="B27" s="129">
        <v>44831</v>
      </c>
      <c r="C27" s="130">
        <v>1</v>
      </c>
      <c r="D27" s="131">
        <v>23</v>
      </c>
      <c r="E27" s="132">
        <v>4373</v>
      </c>
      <c r="F27" s="133">
        <v>30515800219</v>
      </c>
      <c r="G27" s="134" t="str">
        <f>IFERROR(IF(compras_mes10[[#This Row],[CUIT]]="","-",VLOOKUP(compras_mes10[[#This Row],[CUIT]],Lista_CUIT[#All],2,0)),"CUIT NO CARGADO")</f>
        <v>INCAT SRL</v>
      </c>
      <c r="H27" s="135">
        <v>4227.0200000000004</v>
      </c>
      <c r="I27" s="136">
        <f>IF(compras_mes10[[#This Row],[NETO GRAVADO]]="","",compras_mes10[[#This Row],[NETO GRAVADO]]*0.21)</f>
        <v>887.67420000000004</v>
      </c>
      <c r="J27" s="136"/>
      <c r="K27" s="136"/>
      <c r="L27" s="136"/>
      <c r="M27" s="136"/>
      <c r="N27" s="136"/>
      <c r="O27" s="136">
        <v>885.61</v>
      </c>
      <c r="P27" s="137">
        <f>SUM(compras_mes10[[#This Row],[NETO GRAVADO]:[Otros / No Grav.]])</f>
        <v>6000.3042000000005</v>
      </c>
      <c r="Q27" s="138" t="str">
        <f>IFERROR(IF(compras_mes10[[#This Row],[CUIT]]="","-",VLOOKUP(compras_mes10[[#This Row],[CUIT]],Lista_CUIT[#All],3,0)),"CUIT NO CARGADO")</f>
        <v>Combustible</v>
      </c>
      <c r="R27" s="138">
        <f>IFERROR(IF(compras_mes10[[#This Row],[CUIT]]="","-",VLOOKUP(compras_mes10[[#This Row],[CUIT]],Lista_CUIT[#All],4,0)),"CUIT NO CARGADO")</f>
        <v>0</v>
      </c>
    </row>
    <row r="28" spans="2:18" ht="15" customHeight="1" x14ac:dyDescent="0.3">
      <c r="B28" s="139">
        <v>44820</v>
      </c>
      <c r="C28" s="140">
        <v>1</v>
      </c>
      <c r="D28" s="141">
        <v>7</v>
      </c>
      <c r="E28" s="142">
        <v>6320</v>
      </c>
      <c r="F28" s="143">
        <v>30712450327</v>
      </c>
      <c r="G28" s="144" t="str">
        <f>IFERROR(IF(compras_mes10[[#This Row],[CUIT]]="","-",VLOOKUP(compras_mes10[[#This Row],[CUIT]],Lista_CUIT[#All],2,0)),"CUIT NO CARGADO")</f>
        <v>MANDOLA  HERMANOS  S.A.</v>
      </c>
      <c r="H28" s="149">
        <v>717.21</v>
      </c>
      <c r="I28" s="145">
        <f>IF(compras_mes10[[#This Row],[NETO GRAVADO]]="","",compras_mes10[[#This Row],[NETO GRAVADO]]*0.21)</f>
        <v>150.61410000000001</v>
      </c>
      <c r="J28" s="145"/>
      <c r="K28" s="145"/>
      <c r="L28" s="145"/>
      <c r="M28" s="145"/>
      <c r="N28" s="145"/>
      <c r="O28" s="145">
        <v>132.33000000000001</v>
      </c>
      <c r="P28" s="146">
        <f>SUM(compras_mes10[[#This Row],[NETO GRAVADO]:[Otros / No Grav.]])</f>
        <v>1000.1541000000001</v>
      </c>
      <c r="Q28" s="147" t="str">
        <f>IFERROR(IF(compras_mes10[[#This Row],[CUIT]]="","-",VLOOKUP(compras_mes10[[#This Row],[CUIT]],Lista_CUIT[#All],3,0)),"CUIT NO CARGADO")</f>
        <v>Combustible</v>
      </c>
      <c r="R28" s="147">
        <f>IFERROR(IF(compras_mes10[[#This Row],[CUIT]]="","-",VLOOKUP(compras_mes10[[#This Row],[CUIT]],Lista_CUIT[#All],4,0)),"CUIT NO CARGADO")</f>
        <v>0</v>
      </c>
    </row>
    <row r="29" spans="2:18" ht="15.75" customHeight="1" x14ac:dyDescent="0.3">
      <c r="B29" s="129">
        <v>44825</v>
      </c>
      <c r="C29" s="130">
        <v>1</v>
      </c>
      <c r="D29" s="131">
        <v>14</v>
      </c>
      <c r="E29" s="132">
        <v>5472</v>
      </c>
      <c r="F29" s="133">
        <v>30708456329</v>
      </c>
      <c r="G29" s="134" t="str">
        <f>IFERROR(IF(compras_mes10[[#This Row],[CUIT]]="","-",VLOOKUP(compras_mes10[[#This Row],[CUIT]],Lista_CUIT[#All],2,0)),"CUIT NO CARGADO")</f>
        <v>MOVIL GAS S.A.</v>
      </c>
      <c r="H29" s="135">
        <v>2479.34</v>
      </c>
      <c r="I29" s="136">
        <f>IF(compras_mes10[[#This Row],[NETO GRAVADO]]="","",compras_mes10[[#This Row],[NETO GRAVADO]]*0.21)</f>
        <v>520.66139999999996</v>
      </c>
      <c r="J29" s="136"/>
      <c r="K29" s="136"/>
      <c r="L29" s="136"/>
      <c r="M29" s="136"/>
      <c r="N29" s="136"/>
      <c r="O29" s="136"/>
      <c r="P29" s="137">
        <f>SUM(compras_mes10[[#This Row],[NETO GRAVADO]:[Otros / No Grav.]])</f>
        <v>3000.0014000000001</v>
      </c>
      <c r="Q29" s="138" t="str">
        <f>IFERROR(IF(compras_mes10[[#This Row],[CUIT]]="","-",VLOOKUP(compras_mes10[[#This Row],[CUIT]],Lista_CUIT[#All],3,0)),"CUIT NO CARGADO")</f>
        <v>Combustible</v>
      </c>
      <c r="R29" s="138">
        <f>IFERROR(IF(compras_mes10[[#This Row],[CUIT]]="","-",VLOOKUP(compras_mes10[[#This Row],[CUIT]],Lista_CUIT[#All],4,0)),"CUIT NO CARGADO")</f>
        <v>0</v>
      </c>
    </row>
    <row r="30" spans="2:18" ht="15" customHeight="1" x14ac:dyDescent="0.3">
      <c r="B30" s="129">
        <v>44816</v>
      </c>
      <c r="C30" s="130">
        <v>1</v>
      </c>
      <c r="D30" s="131">
        <v>6850</v>
      </c>
      <c r="E30" s="132">
        <v>9486</v>
      </c>
      <c r="F30" s="133">
        <v>30678774495</v>
      </c>
      <c r="G30" s="134" t="str">
        <f>IFERROR(IF(compras_mes10[[#This Row],[CUIT]]="","-",VLOOKUP(compras_mes10[[#This Row],[CUIT]],Lista_CUIT[#All],2,0)),"CUIT NO CARGADO")</f>
        <v>OPER. DE EST. DE SERV. SA</v>
      </c>
      <c r="H30" s="135">
        <v>6221.47</v>
      </c>
      <c r="I30" s="136">
        <f>IF(compras_mes10[[#This Row],[NETO GRAVADO]]="","",compras_mes10[[#This Row],[NETO GRAVADO]]*0.21)</f>
        <v>1306.5087000000001</v>
      </c>
      <c r="J30" s="136"/>
      <c r="K30" s="136"/>
      <c r="L30" s="136"/>
      <c r="M30" s="136"/>
      <c r="N30" s="136"/>
      <c r="O30" s="136">
        <v>1276.92</v>
      </c>
      <c r="P30" s="137">
        <f>SUM(compras_mes10[[#This Row],[NETO GRAVADO]:[Otros / No Grav.]])</f>
        <v>8804.8987000000016</v>
      </c>
      <c r="Q30" s="138" t="str">
        <f>IFERROR(IF(compras_mes10[[#This Row],[CUIT]]="","-",VLOOKUP(compras_mes10[[#This Row],[CUIT]],Lista_CUIT[#All],3,0)),"CUIT NO CARGADO")</f>
        <v>Combustible</v>
      </c>
      <c r="R30" s="138">
        <f>IFERROR(IF(compras_mes10[[#This Row],[CUIT]]="","-",VLOOKUP(compras_mes10[[#This Row],[CUIT]],Lista_CUIT[#All],4,0)),"CUIT NO CARGADO")</f>
        <v>0</v>
      </c>
    </row>
    <row r="31" spans="2:18" x14ac:dyDescent="0.3">
      <c r="B31" s="139">
        <v>44824</v>
      </c>
      <c r="C31" s="140">
        <v>1</v>
      </c>
      <c r="D31" s="141">
        <v>6850</v>
      </c>
      <c r="E31" s="142">
        <v>9611</v>
      </c>
      <c r="F31" s="143">
        <v>30678774495</v>
      </c>
      <c r="G31" s="144" t="str">
        <f>IFERROR(IF(compras_mes10[[#This Row],[CUIT]]="","-",VLOOKUP(compras_mes10[[#This Row],[CUIT]],Lista_CUIT[#All],2,0)),"CUIT NO CARGADO")</f>
        <v>OPER. DE EST. DE SERV. SA</v>
      </c>
      <c r="H31" s="149">
        <v>2119.7800000000002</v>
      </c>
      <c r="I31" s="145">
        <f>IF(compras_mes10[[#This Row],[NETO GRAVADO]]="","",compras_mes10[[#This Row],[NETO GRAVADO]]*0.21)</f>
        <v>445.15380000000005</v>
      </c>
      <c r="J31" s="145"/>
      <c r="K31" s="145"/>
      <c r="L31" s="145"/>
      <c r="M31" s="145"/>
      <c r="N31" s="145"/>
      <c r="O31" s="145">
        <v>435.07</v>
      </c>
      <c r="P31" s="146">
        <f>SUM(compras_mes10[[#This Row],[NETO GRAVADO]:[Otros / No Grav.]])</f>
        <v>3000.0038000000004</v>
      </c>
      <c r="Q31" s="147" t="str">
        <f>IFERROR(IF(compras_mes10[[#This Row],[CUIT]]="","-",VLOOKUP(compras_mes10[[#This Row],[CUIT]],Lista_CUIT[#All],3,0)),"CUIT NO CARGADO")</f>
        <v>Combustible</v>
      </c>
      <c r="R31" s="147">
        <f>IFERROR(IF(compras_mes10[[#This Row],[CUIT]]="","-",VLOOKUP(compras_mes10[[#This Row],[CUIT]],Lista_CUIT[#All],4,0)),"CUIT NO CARGADO")</f>
        <v>0</v>
      </c>
    </row>
    <row r="32" spans="2:18" x14ac:dyDescent="0.3">
      <c r="B32" s="129">
        <v>44828</v>
      </c>
      <c r="C32" s="130">
        <v>1</v>
      </c>
      <c r="D32" s="131">
        <v>6852</v>
      </c>
      <c r="E32" s="132">
        <v>11667</v>
      </c>
      <c r="F32" s="133">
        <v>30678774495</v>
      </c>
      <c r="G32" s="134" t="str">
        <f>IFERROR(IF(compras_mes10[[#This Row],[CUIT]]="","-",VLOOKUP(compras_mes10[[#This Row],[CUIT]],Lista_CUIT[#All],2,0)),"CUIT NO CARGADO")</f>
        <v>OPER. DE EST. DE SERV. SA</v>
      </c>
      <c r="H32" s="135">
        <v>3391.72</v>
      </c>
      <c r="I32" s="136">
        <f>IF(compras_mes10[[#This Row],[NETO GRAVADO]]="","",compras_mes10[[#This Row],[NETO GRAVADO]]*0.21)</f>
        <v>712.26119999999992</v>
      </c>
      <c r="J32" s="136"/>
      <c r="K32" s="136"/>
      <c r="L32" s="136"/>
      <c r="M32" s="136"/>
      <c r="N32" s="136"/>
      <c r="O32" s="136">
        <v>696.13</v>
      </c>
      <c r="P32" s="137">
        <f>SUM(compras_mes10[[#This Row],[NETO GRAVADO]:[Otros / No Grav.]])</f>
        <v>4800.1112000000003</v>
      </c>
      <c r="Q32" s="138" t="str">
        <f>IFERROR(IF(compras_mes10[[#This Row],[CUIT]]="","-",VLOOKUP(compras_mes10[[#This Row],[CUIT]],Lista_CUIT[#All],3,0)),"CUIT NO CARGADO")</f>
        <v>Combustible</v>
      </c>
      <c r="R32" s="138">
        <f>IFERROR(IF(compras_mes10[[#This Row],[CUIT]]="","-",VLOOKUP(compras_mes10[[#This Row],[CUIT]],Lista_CUIT[#All],4,0)),"CUIT NO CARGADO")</f>
        <v>0</v>
      </c>
    </row>
    <row r="33" spans="1:18" x14ac:dyDescent="0.3">
      <c r="B33" s="159">
        <v>44834</v>
      </c>
      <c r="C33" s="160">
        <v>1</v>
      </c>
      <c r="D33" s="161">
        <v>8746</v>
      </c>
      <c r="E33" s="162">
        <v>2854</v>
      </c>
      <c r="F33" s="163">
        <v>30678774495</v>
      </c>
      <c r="G33" s="164" t="str">
        <f>IFERROR(IF(compras_mes10[[#This Row],[CUIT]]="","-",VLOOKUP(compras_mes10[[#This Row],[CUIT]],Lista_CUIT[#All],2,0)),"CUIT NO CARGADO")</f>
        <v>OPER. DE EST. DE SERV. SA</v>
      </c>
      <c r="H33" s="165">
        <v>4900.6899999999996</v>
      </c>
      <c r="I33" s="166">
        <f>IF(compras_mes10[[#This Row],[NETO GRAVADO]]="","",compras_mes10[[#This Row],[NETO GRAVADO]]*0.21)</f>
        <v>1029.1448999999998</v>
      </c>
      <c r="J33" s="166"/>
      <c r="K33" s="166"/>
      <c r="L33" s="166"/>
      <c r="M33" s="166"/>
      <c r="N33" s="166"/>
      <c r="O33" s="166"/>
      <c r="P33" s="167">
        <f>SUM(compras_mes10[[#This Row],[NETO GRAVADO]:[Otros / No Grav.]])</f>
        <v>5929.8348999999998</v>
      </c>
      <c r="Q33" s="168" t="str">
        <f>IFERROR(IF(compras_mes10[[#This Row],[CUIT]]="","-",VLOOKUP(compras_mes10[[#This Row],[CUIT]],Lista_CUIT[#All],3,0)),"CUIT NO CARGADO")</f>
        <v>Combustible</v>
      </c>
      <c r="R33" s="168">
        <f>IFERROR(IF(compras_mes10[[#This Row],[CUIT]]="","-",VLOOKUP(compras_mes10[[#This Row],[CUIT]],Lista_CUIT[#All],4,0)),"CUIT NO CARGADO")</f>
        <v>0</v>
      </c>
    </row>
    <row r="34" spans="1:18" x14ac:dyDescent="0.3">
      <c r="B34" s="139">
        <v>44812</v>
      </c>
      <c r="C34" s="140">
        <v>1</v>
      </c>
      <c r="D34" s="141">
        <v>5140</v>
      </c>
      <c r="E34" s="142">
        <v>759</v>
      </c>
      <c r="F34" s="143">
        <v>30695542476</v>
      </c>
      <c r="G34" s="144" t="str">
        <f>IFERROR(IF(compras_mes10[[#This Row],[CUIT]]="","-",VLOOKUP(compras_mes10[[#This Row],[CUIT]],Lista_CUIT[#All],2,0)),"CUIT NO CARGADO")</f>
        <v>PAN  AMERICAN  ENERGY  SL  S.AR</v>
      </c>
      <c r="H34" s="149">
        <v>668.59</v>
      </c>
      <c r="I34" s="145">
        <f>IF(compras_mes10[[#This Row],[NETO GRAVADO]]="","",compras_mes10[[#This Row],[NETO GRAVADO]]*0.21)</f>
        <v>140.40389999999999</v>
      </c>
      <c r="J34" s="150"/>
      <c r="K34" s="150"/>
      <c r="L34" s="150"/>
      <c r="M34" s="150"/>
      <c r="N34" s="150"/>
      <c r="O34" s="150">
        <v>0.01</v>
      </c>
      <c r="P34" s="146">
        <f>SUM(compras_mes10[[#This Row],[NETO GRAVADO]:[Otros / No Grav.]])</f>
        <v>809.00390000000004</v>
      </c>
      <c r="Q34" s="147" t="str">
        <f>IFERROR(IF(compras_mes10[[#This Row],[CUIT]]="","-",VLOOKUP(compras_mes10[[#This Row],[CUIT]],Lista_CUIT[#All],3,0)),"CUIT NO CARGADO")</f>
        <v>Combustible</v>
      </c>
      <c r="R34" s="147">
        <f>IFERROR(IF(compras_mes10[[#This Row],[CUIT]]="","-",VLOOKUP(compras_mes10[[#This Row],[CUIT]],Lista_CUIT[#All],4,0)),"CUIT NO CARGADO")</f>
        <v>0</v>
      </c>
    </row>
    <row r="35" spans="1:18" x14ac:dyDescent="0.3">
      <c r="B35" s="159">
        <v>44818</v>
      </c>
      <c r="C35" s="160">
        <v>1</v>
      </c>
      <c r="D35" s="161">
        <v>8</v>
      </c>
      <c r="E35" s="162">
        <v>103</v>
      </c>
      <c r="F35" s="163">
        <v>33519459529</v>
      </c>
      <c r="G35" s="164" t="str">
        <f>IFERROR(IF(compras_mes10[[#This Row],[CUIT]]="","-",VLOOKUP(compras_mes10[[#This Row],[CUIT]],Lista_CUIT[#All],2,0)),"CUIT NO CARGADO")</f>
        <v>PARQUE AYERZA SCA</v>
      </c>
      <c r="H35" s="165">
        <v>1239.67</v>
      </c>
      <c r="I35" s="166">
        <f>IF(compras_mes10[[#This Row],[NETO GRAVADO]]="","",compras_mes10[[#This Row],[NETO GRAVADO]]*0.21)</f>
        <v>260.33069999999998</v>
      </c>
      <c r="J35" s="166"/>
      <c r="K35" s="166"/>
      <c r="L35" s="166"/>
      <c r="M35" s="166"/>
      <c r="N35" s="166"/>
      <c r="O35" s="166"/>
      <c r="P35" s="167">
        <f>SUM(compras_mes10[[#This Row],[NETO GRAVADO]:[Otros / No Grav.]])</f>
        <v>1500.0007000000001</v>
      </c>
      <c r="Q35" s="168" t="str">
        <f>IFERROR(IF(compras_mes10[[#This Row],[CUIT]]="","-",VLOOKUP(compras_mes10[[#This Row],[CUIT]],Lista_CUIT[#All],3,0)),"CUIT NO CARGADO")</f>
        <v>Combustible</v>
      </c>
      <c r="R35" s="168">
        <f>IFERROR(IF(compras_mes10[[#This Row],[CUIT]]="","-",VLOOKUP(compras_mes10[[#This Row],[CUIT]],Lista_CUIT[#All],4,0)),"CUIT NO CARGADO")</f>
        <v>0</v>
      </c>
    </row>
    <row r="36" spans="1:18" s="52" customFormat="1" ht="15" customHeight="1" x14ac:dyDescent="0.3">
      <c r="B36" s="159">
        <v>44811</v>
      </c>
      <c r="C36" s="160">
        <v>1</v>
      </c>
      <c r="D36" s="161">
        <v>16</v>
      </c>
      <c r="E36" s="162">
        <v>2575</v>
      </c>
      <c r="F36" s="163">
        <v>30707841105</v>
      </c>
      <c r="G36" s="164" t="str">
        <f>IFERROR(IF(compras_mes10[[#This Row],[CUIT]]="","-",VLOOKUP(compras_mes10[[#This Row],[CUIT]],Lista_CUIT[#All],2,0)),"CUIT NO CARGADO")</f>
        <v>PETRO ARG SRL</v>
      </c>
      <c r="H36" s="165">
        <v>3710.86</v>
      </c>
      <c r="I36" s="166">
        <f>IF(compras_mes10[[#This Row],[NETO GRAVADO]]="","",compras_mes10[[#This Row],[NETO GRAVADO]]*0.21)</f>
        <v>779.28060000000005</v>
      </c>
      <c r="J36" s="166"/>
      <c r="K36" s="166"/>
      <c r="L36" s="166"/>
      <c r="M36" s="166"/>
      <c r="N36" s="166"/>
      <c r="O36" s="166"/>
      <c r="P36" s="167">
        <f>SUM(compras_mes10[[#This Row],[NETO GRAVADO]:[Otros / No Grav.]])</f>
        <v>4490.1406000000006</v>
      </c>
      <c r="Q36" s="168" t="str">
        <f>IFERROR(IF(compras_mes10[[#This Row],[CUIT]]="","-",VLOOKUP(compras_mes10[[#This Row],[CUIT]],Lista_CUIT[#All],3,0)),"CUIT NO CARGADO")</f>
        <v>Combustible</v>
      </c>
      <c r="R36" s="168">
        <f>IFERROR(IF(compras_mes10[[#This Row],[CUIT]]="","-",VLOOKUP(compras_mes10[[#This Row],[CUIT]],Lista_CUIT[#All],4,0)),"CUIT NO CARGADO")</f>
        <v>0</v>
      </c>
    </row>
    <row r="37" spans="1:18" x14ac:dyDescent="0.3">
      <c r="B37" s="159">
        <v>44807</v>
      </c>
      <c r="C37" s="160">
        <v>1</v>
      </c>
      <c r="D37" s="161">
        <v>12</v>
      </c>
      <c r="E37" s="162">
        <v>8517</v>
      </c>
      <c r="F37" s="163">
        <v>30696131003</v>
      </c>
      <c r="G37" s="164" t="str">
        <f>IFERROR(IF(compras_mes10[[#This Row],[CUIT]]="","-",VLOOKUP(compras_mes10[[#This Row],[CUIT]],Lista_CUIT[#All],2,0)),"CUIT NO CARGADO")</f>
        <v>PETROLFE  S.A.</v>
      </c>
      <c r="H37" s="165">
        <v>21812.81</v>
      </c>
      <c r="I37" s="166">
        <f>IF(compras_mes10[[#This Row],[NETO GRAVADO]]="","",compras_mes10[[#This Row],[NETO GRAVADO]]*0.21)</f>
        <v>4580.6900999999998</v>
      </c>
      <c r="J37" s="166"/>
      <c r="K37" s="166"/>
      <c r="L37" s="166"/>
      <c r="M37" s="166"/>
      <c r="N37" s="166"/>
      <c r="O37" s="166"/>
      <c r="P37" s="167">
        <f>SUM(compras_mes10[[#This Row],[NETO GRAVADO]:[Otros / No Grav.]])</f>
        <v>26393.500100000001</v>
      </c>
      <c r="Q37" s="168" t="str">
        <f>IFERROR(IF(compras_mes10[[#This Row],[CUIT]]="","-",VLOOKUP(compras_mes10[[#This Row],[CUIT]],Lista_CUIT[#All],3,0)),"CUIT NO CARGADO")</f>
        <v>Combustible</v>
      </c>
      <c r="R37" s="168">
        <f>IFERROR(IF(compras_mes10[[#This Row],[CUIT]]="","-",VLOOKUP(compras_mes10[[#This Row],[CUIT]],Lista_CUIT[#All],4,0)),"CUIT NO CARGADO")</f>
        <v>0</v>
      </c>
    </row>
    <row r="38" spans="1:18" x14ac:dyDescent="0.3">
      <c r="B38" s="129">
        <v>44811</v>
      </c>
      <c r="C38" s="130">
        <v>1</v>
      </c>
      <c r="D38" s="131">
        <v>11</v>
      </c>
      <c r="E38" s="132">
        <v>12628</v>
      </c>
      <c r="F38" s="133">
        <v>30696131003</v>
      </c>
      <c r="G38" s="134" t="str">
        <f>IFERROR(IF(compras_mes10[[#This Row],[CUIT]]="","-",VLOOKUP(compras_mes10[[#This Row],[CUIT]],Lista_CUIT[#All],2,0)),"CUIT NO CARGADO")</f>
        <v>PETROLFE  S.A.</v>
      </c>
      <c r="H38" s="135">
        <v>295.64999999999998</v>
      </c>
      <c r="I38" s="136">
        <f>IF(compras_mes10[[#This Row],[NETO GRAVADO]]="","",compras_mes10[[#This Row],[NETO GRAVADO]]*0.21)</f>
        <v>62.086499999999994</v>
      </c>
      <c r="J38" s="136"/>
      <c r="K38" s="136"/>
      <c r="L38" s="136"/>
      <c r="M38" s="136"/>
      <c r="N38" s="136"/>
      <c r="O38" s="136">
        <v>49.04</v>
      </c>
      <c r="P38" s="137">
        <f>SUM(compras_mes10[[#This Row],[NETO GRAVADO]:[Otros / No Grav.]])</f>
        <v>406.7765</v>
      </c>
      <c r="Q38" s="138" t="str">
        <f>IFERROR(IF(compras_mes10[[#This Row],[CUIT]]="","-",VLOOKUP(compras_mes10[[#This Row],[CUIT]],Lista_CUIT[#All],3,0)),"CUIT NO CARGADO")</f>
        <v>Combustible</v>
      </c>
      <c r="R38" s="138">
        <f>IFERROR(IF(compras_mes10[[#This Row],[CUIT]]="","-",VLOOKUP(compras_mes10[[#This Row],[CUIT]],Lista_CUIT[#All],4,0)),"CUIT NO CARGADO")</f>
        <v>0</v>
      </c>
    </row>
    <row r="39" spans="1:18" x14ac:dyDescent="0.3">
      <c r="B39" s="159">
        <v>44814</v>
      </c>
      <c r="C39" s="160">
        <v>1</v>
      </c>
      <c r="D39" s="161">
        <v>12</v>
      </c>
      <c r="E39" s="162">
        <v>8875</v>
      </c>
      <c r="F39" s="163">
        <v>30696131003</v>
      </c>
      <c r="G39" s="164" t="str">
        <f>IFERROR(IF(compras_mes10[[#This Row],[CUIT]]="","-",VLOOKUP(compras_mes10[[#This Row],[CUIT]],Lista_CUIT[#All],2,0)),"CUIT NO CARGADO")</f>
        <v>PETROLFE  S.A.</v>
      </c>
      <c r="H39" s="165">
        <v>18598.57</v>
      </c>
      <c r="I39" s="166">
        <f>IF(compras_mes10[[#This Row],[NETO GRAVADO]]="","",compras_mes10[[#This Row],[NETO GRAVADO]]*0.21)</f>
        <v>3905.6996999999997</v>
      </c>
      <c r="J39" s="166"/>
      <c r="K39" s="166"/>
      <c r="L39" s="166"/>
      <c r="M39" s="166"/>
      <c r="N39" s="166"/>
      <c r="O39" s="166"/>
      <c r="P39" s="167">
        <f>SUM(compras_mes10[[#This Row],[NETO GRAVADO]:[Otros / No Grav.]])</f>
        <v>22504.269700000001</v>
      </c>
      <c r="Q39" s="168" t="str">
        <f>IFERROR(IF(compras_mes10[[#This Row],[CUIT]]="","-",VLOOKUP(compras_mes10[[#This Row],[CUIT]],Lista_CUIT[#All],3,0)),"CUIT NO CARGADO")</f>
        <v>Combustible</v>
      </c>
      <c r="R39" s="168">
        <f>IFERROR(IF(compras_mes10[[#This Row],[CUIT]]="","-",VLOOKUP(compras_mes10[[#This Row],[CUIT]],Lista_CUIT[#All],4,0)),"CUIT NO CARGADO")</f>
        <v>0</v>
      </c>
    </row>
    <row r="40" spans="1:18" x14ac:dyDescent="0.3">
      <c r="B40" s="159">
        <v>44821</v>
      </c>
      <c r="C40" s="160">
        <v>1</v>
      </c>
      <c r="D40" s="161">
        <v>12</v>
      </c>
      <c r="E40" s="162">
        <v>9310</v>
      </c>
      <c r="F40" s="163">
        <v>30696131003</v>
      </c>
      <c r="G40" s="164" t="str">
        <f>IFERROR(IF(compras_mes10[[#This Row],[CUIT]]="","-",VLOOKUP(compras_mes10[[#This Row],[CUIT]],Lista_CUIT[#All],2,0)),"CUIT NO CARGADO")</f>
        <v>PETROLFE  S.A.</v>
      </c>
      <c r="H40" s="165">
        <v>11456.9</v>
      </c>
      <c r="I40" s="166">
        <f>IF(compras_mes10[[#This Row],[NETO GRAVADO]]="","",compras_mes10[[#This Row],[NETO GRAVADO]]*0.21)</f>
        <v>2405.9489999999996</v>
      </c>
      <c r="J40" s="166"/>
      <c r="K40" s="166"/>
      <c r="L40" s="166"/>
      <c r="M40" s="166"/>
      <c r="N40" s="166"/>
      <c r="O40" s="166"/>
      <c r="P40" s="167">
        <f>SUM(compras_mes10[[#This Row],[NETO GRAVADO]:[Otros / No Grav.]])</f>
        <v>13862.848999999998</v>
      </c>
      <c r="Q40" s="168" t="str">
        <f>IFERROR(IF(compras_mes10[[#This Row],[CUIT]]="","-",VLOOKUP(compras_mes10[[#This Row],[CUIT]],Lista_CUIT[#All],3,0)),"CUIT NO CARGADO")</f>
        <v>Combustible</v>
      </c>
      <c r="R40" s="168">
        <f>IFERROR(IF(compras_mes10[[#This Row],[CUIT]]="","-",VLOOKUP(compras_mes10[[#This Row],[CUIT]],Lista_CUIT[#All],4,0)),"CUIT NO CARGADO")</f>
        <v>0</v>
      </c>
    </row>
    <row r="41" spans="1:18" x14ac:dyDescent="0.3">
      <c r="B41" s="159">
        <v>44828</v>
      </c>
      <c r="C41" s="160">
        <v>1</v>
      </c>
      <c r="D41" s="161">
        <v>12</v>
      </c>
      <c r="E41" s="162">
        <v>9685</v>
      </c>
      <c r="F41" s="163">
        <v>30696131003</v>
      </c>
      <c r="G41" s="164" t="str">
        <f>IFERROR(IF(compras_mes10[[#This Row],[CUIT]]="","-",VLOOKUP(compras_mes10[[#This Row],[CUIT]],Lista_CUIT[#All],2,0)),"CUIT NO CARGADO")</f>
        <v>PETROLFE  S.A.</v>
      </c>
      <c r="H41" s="165">
        <v>9925.14</v>
      </c>
      <c r="I41" s="166">
        <f>IF(compras_mes10[[#This Row],[NETO GRAVADO]]="","",compras_mes10[[#This Row],[NETO GRAVADO]]*0.21)</f>
        <v>2084.2793999999999</v>
      </c>
      <c r="J41" s="166"/>
      <c r="K41" s="166"/>
      <c r="L41" s="166"/>
      <c r="M41" s="166"/>
      <c r="N41" s="166"/>
      <c r="O41" s="166"/>
      <c r="P41" s="167">
        <f>SUM(compras_mes10[[#This Row],[NETO GRAVADO]:[Otros / No Grav.]])</f>
        <v>12009.419399999999</v>
      </c>
      <c r="Q41" s="168" t="str">
        <f>IFERROR(IF(compras_mes10[[#This Row],[CUIT]]="","-",VLOOKUP(compras_mes10[[#This Row],[CUIT]],Lista_CUIT[#All],3,0)),"CUIT NO CARGADO")</f>
        <v>Combustible</v>
      </c>
      <c r="R41" s="168">
        <f>IFERROR(IF(compras_mes10[[#This Row],[CUIT]]="","-",VLOOKUP(compras_mes10[[#This Row],[CUIT]],Lista_CUIT[#All],4,0)),"CUIT NO CARGADO")</f>
        <v>0</v>
      </c>
    </row>
    <row r="42" spans="1:18" x14ac:dyDescent="0.3">
      <c r="B42" s="129">
        <v>44829</v>
      </c>
      <c r="C42" s="130">
        <v>1</v>
      </c>
      <c r="D42" s="131">
        <v>24</v>
      </c>
      <c r="E42" s="132">
        <v>8065</v>
      </c>
      <c r="F42" s="133">
        <v>30695243673</v>
      </c>
      <c r="G42" s="134" t="str">
        <f>IFERROR(IF(compras_mes10[[#This Row],[CUIT]]="","-",VLOOKUP(compras_mes10[[#This Row],[CUIT]],Lista_CUIT[#All],2,0)),"CUIT NO CARGADO")</f>
        <v>YAPAY SRL</v>
      </c>
      <c r="H42" s="135">
        <v>583.29</v>
      </c>
      <c r="I42" s="136">
        <f>IF(compras_mes10[[#This Row],[NETO GRAVADO]]="","",compras_mes10[[#This Row],[NETO GRAVADO]]*0.21)</f>
        <v>122.49089999999998</v>
      </c>
      <c r="J42" s="136"/>
      <c r="K42" s="136"/>
      <c r="L42" s="136"/>
      <c r="M42" s="136"/>
      <c r="N42" s="136">
        <v>35</v>
      </c>
      <c r="O42" s="136">
        <v>94.22</v>
      </c>
      <c r="P42" s="137">
        <f>SUM(compras_mes10[[#This Row],[NETO GRAVADO]:[Otros / No Grav.]])</f>
        <v>835.0009</v>
      </c>
      <c r="Q42" s="138" t="str">
        <f>IFERROR(IF(compras_mes10[[#This Row],[CUIT]]="","-",VLOOKUP(compras_mes10[[#This Row],[CUIT]],Lista_CUIT[#All],3,0)),"CUIT NO CARGADO")</f>
        <v>Combustible</v>
      </c>
      <c r="R42" s="138">
        <f>IFERROR(IF(compras_mes10[[#This Row],[CUIT]]="","-",VLOOKUP(compras_mes10[[#This Row],[CUIT]],Lista_CUIT[#All],4,0)),"CUIT NO CARGADO")</f>
        <v>0</v>
      </c>
    </row>
    <row r="43" spans="1:18" ht="15" customHeight="1" x14ac:dyDescent="0.3">
      <c r="B43" s="129">
        <v>44829</v>
      </c>
      <c r="C43" s="130">
        <v>1</v>
      </c>
      <c r="D43" s="131">
        <v>24</v>
      </c>
      <c r="E43" s="132">
        <v>8066</v>
      </c>
      <c r="F43" s="133">
        <v>30695243673</v>
      </c>
      <c r="G43" s="134" t="str">
        <f>IFERROR(IF(compras_mes10[[#This Row],[CUIT]]="","-",VLOOKUP(compras_mes10[[#This Row],[CUIT]],Lista_CUIT[#All],2,0)),"CUIT NO CARGADO")</f>
        <v>YAPAY SRL</v>
      </c>
      <c r="H43" s="135">
        <v>3573.7</v>
      </c>
      <c r="I43" s="136">
        <f>IF(compras_mes10[[#This Row],[NETO GRAVADO]]="","",compras_mes10[[#This Row],[NETO GRAVADO]]*0.21)</f>
        <v>750.47699999999998</v>
      </c>
      <c r="J43" s="136"/>
      <c r="K43" s="136"/>
      <c r="L43" s="136"/>
      <c r="M43" s="136"/>
      <c r="N43" s="136">
        <v>214.42</v>
      </c>
      <c r="O43" s="136">
        <v>577.33000000000004</v>
      </c>
      <c r="P43" s="137">
        <f>SUM(compras_mes10[[#This Row],[NETO GRAVADO]:[Otros / No Grav.]])</f>
        <v>5115.9269999999997</v>
      </c>
      <c r="Q43" s="138" t="str">
        <f>IFERROR(IF(compras_mes10[[#This Row],[CUIT]]="","-",VLOOKUP(compras_mes10[[#This Row],[CUIT]],Lista_CUIT[#All],3,0)),"CUIT NO CARGADO")</f>
        <v>Combustible</v>
      </c>
      <c r="R43" s="138">
        <f>IFERROR(IF(compras_mes10[[#This Row],[CUIT]]="","-",VLOOKUP(compras_mes10[[#This Row],[CUIT]],Lista_CUIT[#All],4,0)),"CUIT NO CARGADO")</f>
        <v>0</v>
      </c>
    </row>
    <row r="44" spans="1:18" x14ac:dyDescent="0.3">
      <c r="B44" s="159">
        <v>44816</v>
      </c>
      <c r="C44" s="160">
        <v>1</v>
      </c>
      <c r="D44" s="161">
        <v>5</v>
      </c>
      <c r="E44" s="162">
        <v>3149</v>
      </c>
      <c r="F44" s="163">
        <v>30714734446</v>
      </c>
      <c r="G44" s="164" t="str">
        <f>IFERROR(IF(compras_mes10[[#This Row],[CUIT]]="","-",VLOOKUP(compras_mes10[[#This Row],[CUIT]],Lista_CUIT[#All],2,0)),"CUIT NO CARGADO")</f>
        <v>GANADERA EL 13 S.R.L</v>
      </c>
      <c r="H44" s="165">
        <v>2304.48</v>
      </c>
      <c r="I44" s="166"/>
      <c r="J44" s="166">
        <v>241.97</v>
      </c>
      <c r="K44" s="166"/>
      <c r="L44" s="166"/>
      <c r="M44" s="166"/>
      <c r="N44" s="166"/>
      <c r="O44" s="166"/>
      <c r="P44" s="167">
        <f>SUM(compras_mes10[[#This Row],[NETO GRAVADO]:[Otros / No Grav.]])</f>
        <v>2546.4499999999998</v>
      </c>
      <c r="Q44" s="168" t="str">
        <f>IFERROR(IF(compras_mes10[[#This Row],[CUIT]]="","-",VLOOKUP(compras_mes10[[#This Row],[CUIT]],Lista_CUIT[#All],3,0)),"CUIT NO CARGADO")</f>
        <v>Comida</v>
      </c>
      <c r="R44" s="168">
        <f>IFERROR(IF(compras_mes10[[#This Row],[CUIT]]="","-",VLOOKUP(compras_mes10[[#This Row],[CUIT]],Lista_CUIT[#All],4,0)),"CUIT NO CARGADO")</f>
        <v>0</v>
      </c>
    </row>
    <row r="45" spans="1:18" ht="16.5" customHeight="1" x14ac:dyDescent="0.3">
      <c r="B45" s="159">
        <v>44816</v>
      </c>
      <c r="C45" s="160">
        <v>1</v>
      </c>
      <c r="D45" s="161">
        <v>5</v>
      </c>
      <c r="E45" s="162">
        <v>3151</v>
      </c>
      <c r="F45" s="163">
        <v>30714734446</v>
      </c>
      <c r="G45" s="164" t="str">
        <f>IFERROR(IF(compras_mes10[[#This Row],[CUIT]]="","-",VLOOKUP(compras_mes10[[#This Row],[CUIT]],Lista_CUIT[#All],2,0)),"CUIT NO CARGADO")</f>
        <v>GANADERA EL 13 S.R.L</v>
      </c>
      <c r="H45" s="165">
        <v>5330.29</v>
      </c>
      <c r="I45" s="166"/>
      <c r="J45" s="166">
        <v>559.67999999999995</v>
      </c>
      <c r="K45" s="166"/>
      <c r="L45" s="166"/>
      <c r="M45" s="166"/>
      <c r="N45" s="166"/>
      <c r="O45" s="166"/>
      <c r="P45" s="167">
        <f>SUM(compras_mes10[[#This Row],[NETO GRAVADO]:[Otros / No Grav.]])</f>
        <v>5889.97</v>
      </c>
      <c r="Q45" s="168" t="str">
        <f>IFERROR(IF(compras_mes10[[#This Row],[CUIT]]="","-",VLOOKUP(compras_mes10[[#This Row],[CUIT]],Lista_CUIT[#All],3,0)),"CUIT NO CARGADO")</f>
        <v>Comida</v>
      </c>
      <c r="R45" s="168">
        <f>IFERROR(IF(compras_mes10[[#This Row],[CUIT]]="","-",VLOOKUP(compras_mes10[[#This Row],[CUIT]],Lista_CUIT[#All],4,0)),"CUIT NO CARGADO")</f>
        <v>0</v>
      </c>
    </row>
    <row r="46" spans="1:18" x14ac:dyDescent="0.3">
      <c r="B46" s="159">
        <v>44823</v>
      </c>
      <c r="C46" s="160">
        <v>1</v>
      </c>
      <c r="D46" s="161">
        <v>5</v>
      </c>
      <c r="E46" s="162">
        <v>3166</v>
      </c>
      <c r="F46" s="163">
        <v>30714734446</v>
      </c>
      <c r="G46" s="164" t="str">
        <f>IFERROR(IF(compras_mes10[[#This Row],[CUIT]]="","-",VLOOKUP(compras_mes10[[#This Row],[CUIT]],Lista_CUIT[#All],2,0)),"CUIT NO CARGADO")</f>
        <v>GANADERA EL 13 S.R.L</v>
      </c>
      <c r="H46" s="165">
        <v>5943.05</v>
      </c>
      <c r="I46" s="166"/>
      <c r="J46" s="166">
        <v>624.02</v>
      </c>
      <c r="K46" s="166"/>
      <c r="L46" s="166"/>
      <c r="M46" s="166"/>
      <c r="N46" s="166"/>
      <c r="O46" s="166"/>
      <c r="P46" s="167">
        <f>SUM(compras_mes10[[#This Row],[NETO GRAVADO]:[Otros / No Grav.]])</f>
        <v>6567.07</v>
      </c>
      <c r="Q46" s="168" t="str">
        <f>IFERROR(IF(compras_mes10[[#This Row],[CUIT]]="","-",VLOOKUP(compras_mes10[[#This Row],[CUIT]],Lista_CUIT[#All],3,0)),"CUIT NO CARGADO")</f>
        <v>Comida</v>
      </c>
      <c r="R46" s="168">
        <f>IFERROR(IF(compras_mes10[[#This Row],[CUIT]]="","-",VLOOKUP(compras_mes10[[#This Row],[CUIT]],Lista_CUIT[#All],4,0)),"CUIT NO CARGADO")</f>
        <v>0</v>
      </c>
    </row>
    <row r="47" spans="1:18" x14ac:dyDescent="0.3">
      <c r="B47" s="159">
        <v>44831</v>
      </c>
      <c r="C47" s="160">
        <v>1</v>
      </c>
      <c r="D47" s="161">
        <v>5</v>
      </c>
      <c r="E47" s="162">
        <v>3186</v>
      </c>
      <c r="F47" s="163">
        <v>30714734446</v>
      </c>
      <c r="G47" s="164" t="str">
        <f>IFERROR(IF(compras_mes10[[#This Row],[CUIT]]="","-",VLOOKUP(compras_mes10[[#This Row],[CUIT]],Lista_CUIT[#All],2,0)),"CUIT NO CARGADO")</f>
        <v>GANADERA EL 13 S.R.L</v>
      </c>
      <c r="H47" s="165">
        <v>2272.67</v>
      </c>
      <c r="I47" s="166"/>
      <c r="J47" s="166">
        <v>238.63</v>
      </c>
      <c r="K47" s="166"/>
      <c r="L47" s="166"/>
      <c r="M47" s="166"/>
      <c r="N47" s="166"/>
      <c r="O47" s="166"/>
      <c r="P47" s="167">
        <f>SUM(compras_mes10[[#This Row],[NETO GRAVADO]:[Otros / No Grav.]])</f>
        <v>2511.3000000000002</v>
      </c>
      <c r="Q47" s="168" t="str">
        <f>IFERROR(IF(compras_mes10[[#This Row],[CUIT]]="","-",VLOOKUP(compras_mes10[[#This Row],[CUIT]],Lista_CUIT[#All],3,0)),"CUIT NO CARGADO")</f>
        <v>Comida</v>
      </c>
      <c r="R47" s="168">
        <f>IFERROR(IF(compras_mes10[[#This Row],[CUIT]]="","-",VLOOKUP(compras_mes10[[#This Row],[CUIT]],Lista_CUIT[#All],4,0)),"CUIT NO CARGADO")</f>
        <v>0</v>
      </c>
    </row>
    <row r="48" spans="1:18" s="157" customFormat="1" x14ac:dyDescent="0.3">
      <c r="A48" s="158"/>
      <c r="B48" s="159">
        <v>44824</v>
      </c>
      <c r="C48" s="160">
        <v>1</v>
      </c>
      <c r="D48" s="161">
        <v>7</v>
      </c>
      <c r="E48" s="162">
        <v>2738</v>
      </c>
      <c r="F48" s="163">
        <v>30715124919</v>
      </c>
      <c r="G48" s="164" t="str">
        <f>IFERROR(IF(compras_mes10[[#This Row],[CUIT]]="","-",VLOOKUP(compras_mes10[[#This Row],[CUIT]],Lista_CUIT[#All],2,0)),"CUIT NO CARGADO")</f>
        <v>CLEAN LAB SRL</v>
      </c>
      <c r="H48" s="165">
        <v>6487.08</v>
      </c>
      <c r="I48" s="166">
        <f>IF(compras_mes10[[#This Row],[NETO GRAVADO]]="","",compras_mes10[[#This Row],[NETO GRAVADO]]*0.21)</f>
        <v>1362.2867999999999</v>
      </c>
      <c r="J48" s="166"/>
      <c r="K48" s="166"/>
      <c r="L48" s="166"/>
      <c r="M48" s="166"/>
      <c r="N48" s="166"/>
      <c r="O48" s="166"/>
      <c r="P48" s="167">
        <f>SUM(compras_mes10[[#This Row],[NETO GRAVADO]:[Otros / No Grav.]])</f>
        <v>7849.3667999999998</v>
      </c>
      <c r="Q48" s="168" t="str">
        <f>IFERROR(IF(compras_mes10[[#This Row],[CUIT]]="","-",VLOOKUP(compras_mes10[[#This Row],[CUIT]],Lista_CUIT[#All],3,0)),"CUIT NO CARGADO")</f>
        <v>Comida-Limpieza</v>
      </c>
      <c r="R48" s="168">
        <f>IFERROR(IF(compras_mes10[[#This Row],[CUIT]]="","-",VLOOKUP(compras_mes10[[#This Row],[CUIT]],Lista_CUIT[#All],4,0)),"CUIT NO CARGADO")</f>
        <v>0</v>
      </c>
    </row>
    <row r="49" spans="1:18" s="157" customFormat="1" x14ac:dyDescent="0.3">
      <c r="A49" s="158"/>
      <c r="B49" s="139">
        <v>44806</v>
      </c>
      <c r="C49" s="140">
        <v>1</v>
      </c>
      <c r="D49" s="141">
        <v>6</v>
      </c>
      <c r="E49" s="142">
        <v>2579</v>
      </c>
      <c r="F49" s="143">
        <v>20134664518</v>
      </c>
      <c r="G49" s="144" t="str">
        <f>IFERROR(IF(compras_mes10[[#This Row],[CUIT]]="","-",VLOOKUP(compras_mes10[[#This Row],[CUIT]],Lista_CUIT[#All],2,0)),"CUIT NO CARGADO")</f>
        <v>HOKAMA SERGIO ENRIQUE</v>
      </c>
      <c r="H49" s="149">
        <v>7847.92</v>
      </c>
      <c r="I49" s="145">
        <f>IF(compras_mes10[[#This Row],[NETO GRAVADO]]="","",compras_mes10[[#This Row],[NETO GRAVADO]]*0.21)</f>
        <v>1648.0632000000001</v>
      </c>
      <c r="J49" s="150"/>
      <c r="K49" s="150"/>
      <c r="L49" s="150"/>
      <c r="M49" s="150"/>
      <c r="N49" s="150"/>
      <c r="O49" s="150"/>
      <c r="P49" s="146">
        <f>SUM(compras_mes10[[#This Row],[NETO GRAVADO]:[Otros / No Grav.]])</f>
        <v>9495.9832000000006</v>
      </c>
      <c r="Q49" s="147" t="str">
        <f>IFERROR(IF(compras_mes10[[#This Row],[CUIT]]="","-",VLOOKUP(compras_mes10[[#This Row],[CUIT]],Lista_CUIT[#All],3,0)),"CUIT NO CARGADO")</f>
        <v>Comida-Limpieza</v>
      </c>
      <c r="R49" s="147">
        <f>IFERROR(IF(compras_mes10[[#This Row],[CUIT]]="","-",VLOOKUP(compras_mes10[[#This Row],[CUIT]],Lista_CUIT[#All],4,0)),"CUIT NO CARGADO")</f>
        <v>0</v>
      </c>
    </row>
    <row r="50" spans="1:18" s="158" customFormat="1" x14ac:dyDescent="0.3">
      <c r="B50" s="139">
        <v>44819</v>
      </c>
      <c r="C50" s="140">
        <v>1</v>
      </c>
      <c r="D50" s="141">
        <v>6</v>
      </c>
      <c r="E50" s="142">
        <v>2623</v>
      </c>
      <c r="F50" s="143">
        <v>20134664518</v>
      </c>
      <c r="G50" s="144" t="str">
        <f>IFERROR(IF(compras_mes10[[#This Row],[CUIT]]="","-",VLOOKUP(compras_mes10[[#This Row],[CUIT]],Lista_CUIT[#All],2,0)),"CUIT NO CARGADO")</f>
        <v>HOKAMA SERGIO ENRIQUE</v>
      </c>
      <c r="H50" s="149">
        <v>6988.84</v>
      </c>
      <c r="I50" s="145">
        <f>IF(compras_mes10[[#This Row],[NETO GRAVADO]]="","",compras_mes10[[#This Row],[NETO GRAVADO]]*0.21)</f>
        <v>1467.6564000000001</v>
      </c>
      <c r="J50" s="150"/>
      <c r="K50" s="150"/>
      <c r="L50" s="150"/>
      <c r="M50" s="150"/>
      <c r="N50" s="150"/>
      <c r="O50" s="150"/>
      <c r="P50" s="146">
        <f>SUM(compras_mes10[[#This Row],[NETO GRAVADO]:[Otros / No Grav.]])</f>
        <v>8456.4964</v>
      </c>
      <c r="Q50" s="147" t="str">
        <f>IFERROR(IF(compras_mes10[[#This Row],[CUIT]]="","-",VLOOKUP(compras_mes10[[#This Row],[CUIT]],Lista_CUIT[#All],3,0)),"CUIT NO CARGADO")</f>
        <v>Comida-Limpieza</v>
      </c>
      <c r="R50" s="147">
        <f>IFERROR(IF(compras_mes10[[#This Row],[CUIT]]="","-",VLOOKUP(compras_mes10[[#This Row],[CUIT]],Lista_CUIT[#All],4,0)),"CUIT NO CARGADO")</f>
        <v>0</v>
      </c>
    </row>
    <row r="51" spans="1:18" x14ac:dyDescent="0.3">
      <c r="A51" s="158"/>
      <c r="B51" s="139">
        <v>44825</v>
      </c>
      <c r="C51" s="140">
        <v>1</v>
      </c>
      <c r="D51" s="141">
        <v>6</v>
      </c>
      <c r="E51" s="142">
        <v>2644</v>
      </c>
      <c r="F51" s="143">
        <v>20134664518</v>
      </c>
      <c r="G51" s="144" t="str">
        <f>IFERROR(IF(compras_mes10[[#This Row],[CUIT]]="","-",VLOOKUP(compras_mes10[[#This Row],[CUIT]],Lista_CUIT[#All],2,0)),"CUIT NO CARGADO")</f>
        <v>HOKAMA SERGIO ENRIQUE</v>
      </c>
      <c r="H51" s="149">
        <v>5609.71</v>
      </c>
      <c r="I51" s="145">
        <f>IF(compras_mes10[[#This Row],[NETO GRAVADO]]="","",compras_mes10[[#This Row],[NETO GRAVADO]]*0.21)</f>
        <v>1178.0391</v>
      </c>
      <c r="J51" s="145"/>
      <c r="K51" s="145"/>
      <c r="L51" s="145"/>
      <c r="M51" s="145"/>
      <c r="N51" s="145"/>
      <c r="O51" s="145"/>
      <c r="P51" s="146">
        <f>SUM(compras_mes10[[#This Row],[NETO GRAVADO]:[Otros / No Grav.]])</f>
        <v>6787.7491</v>
      </c>
      <c r="Q51" s="147" t="str">
        <f>IFERROR(IF(compras_mes10[[#This Row],[CUIT]]="","-",VLOOKUP(compras_mes10[[#This Row],[CUIT]],Lista_CUIT[#All],3,0)),"CUIT NO CARGADO")</f>
        <v>Comida-Limpieza</v>
      </c>
      <c r="R51" s="147">
        <f>IFERROR(IF(compras_mes10[[#This Row],[CUIT]]="","-",VLOOKUP(compras_mes10[[#This Row],[CUIT]],Lista_CUIT[#All],4,0)),"CUIT NO CARGADO")</f>
        <v>0</v>
      </c>
    </row>
    <row r="52" spans="1:18" x14ac:dyDescent="0.3">
      <c r="A52" s="158"/>
      <c r="B52" s="139">
        <v>44834</v>
      </c>
      <c r="C52" s="140">
        <v>1</v>
      </c>
      <c r="D52" s="141">
        <v>6</v>
      </c>
      <c r="E52" s="142">
        <v>2676</v>
      </c>
      <c r="F52" s="143">
        <v>20134664518</v>
      </c>
      <c r="G52" s="144" t="str">
        <f>IFERROR(IF(compras_mes10[[#This Row],[CUIT]]="","-",VLOOKUP(compras_mes10[[#This Row],[CUIT]],Lista_CUIT[#All],2,0)),"CUIT NO CARGADO")</f>
        <v>HOKAMA SERGIO ENRIQUE</v>
      </c>
      <c r="H52" s="149">
        <v>9367.1200000000008</v>
      </c>
      <c r="I52" s="145">
        <f>IF(compras_mes10[[#This Row],[NETO GRAVADO]]="","",compras_mes10[[#This Row],[NETO GRAVADO]]*0.21)</f>
        <v>1967.0952000000002</v>
      </c>
      <c r="J52" s="150"/>
      <c r="K52" s="150"/>
      <c r="L52" s="150"/>
      <c r="M52" s="150"/>
      <c r="N52" s="150"/>
      <c r="O52" s="150"/>
      <c r="P52" s="146">
        <f>SUM(compras_mes10[[#This Row],[NETO GRAVADO]:[Otros / No Grav.]])</f>
        <v>11334.215200000001</v>
      </c>
      <c r="Q52" s="147" t="str">
        <f>IFERROR(IF(compras_mes10[[#This Row],[CUIT]]="","-",VLOOKUP(compras_mes10[[#This Row],[CUIT]],Lista_CUIT[#All],3,0)),"CUIT NO CARGADO")</f>
        <v>Comida-Limpieza</v>
      </c>
      <c r="R52" s="147">
        <f>IFERROR(IF(compras_mes10[[#This Row],[CUIT]]="","-",VLOOKUP(compras_mes10[[#This Row],[CUIT]],Lista_CUIT[#All],4,0)),"CUIT NO CARGADO")</f>
        <v>0</v>
      </c>
    </row>
    <row r="53" spans="1:18" x14ac:dyDescent="0.3">
      <c r="A53" s="158"/>
      <c r="B53" s="159">
        <v>44826</v>
      </c>
      <c r="C53" s="160">
        <v>1</v>
      </c>
      <c r="D53" s="161">
        <v>6</v>
      </c>
      <c r="E53" s="162">
        <v>8208</v>
      </c>
      <c r="F53" s="163">
        <v>30707603123</v>
      </c>
      <c r="G53" s="164" t="str">
        <f>IFERROR(IF(compras_mes10[[#This Row],[CUIT]]="","-",VLOOKUP(compras_mes10[[#This Row],[CUIT]],Lista_CUIT[#All],2,0)),"CUIT NO CARGADO")</f>
        <v>BI  ORIENT  S.A.</v>
      </c>
      <c r="H53" s="165">
        <v>163550</v>
      </c>
      <c r="I53" s="166">
        <f>IF(compras_mes10[[#This Row],[NETO GRAVADO]]="","",compras_mes10[[#This Row],[NETO GRAVADO]]*0.21)</f>
        <v>34345.5</v>
      </c>
      <c r="J53" s="166"/>
      <c r="K53" s="166"/>
      <c r="L53" s="166"/>
      <c r="M53" s="166"/>
      <c r="N53" s="166"/>
      <c r="O53" s="166"/>
      <c r="P53" s="167">
        <f>SUM(compras_mes10[[#This Row],[NETO GRAVADO]:[Otros / No Grav.]])</f>
        <v>197895.5</v>
      </c>
      <c r="Q53" s="168" t="str">
        <f>IFERROR(IF(compras_mes10[[#This Row],[CUIT]]="","-",VLOOKUP(compras_mes10[[#This Row],[CUIT]],Lista_CUIT[#All],3,0)),"CUIT NO CARGADO")</f>
        <v>EMBALAJE</v>
      </c>
      <c r="R53" s="168">
        <f>IFERROR(IF(compras_mes10[[#This Row],[CUIT]]="","-",VLOOKUP(compras_mes10[[#This Row],[CUIT]],Lista_CUIT[#All],4,0)),"CUIT NO CARGADO")</f>
        <v>0</v>
      </c>
    </row>
    <row r="54" spans="1:18" x14ac:dyDescent="0.3">
      <c r="A54" s="158"/>
      <c r="B54" s="159">
        <v>44805</v>
      </c>
      <c r="C54" s="160">
        <v>1</v>
      </c>
      <c r="D54" s="161">
        <v>4</v>
      </c>
      <c r="E54" s="162">
        <v>8049</v>
      </c>
      <c r="F54" s="163">
        <v>30694547903</v>
      </c>
      <c r="G54" s="172" t="str">
        <f>IFERROR(IF(compras_mes10[[#This Row],[CUIT]]="","-",VLOOKUP(compras_mes10[[#This Row],[CUIT]],Lista_CUIT[#All],2,0)),"CUIT NO CARGADO")</f>
        <v>MULTICAJAS S A</v>
      </c>
      <c r="H54" s="165">
        <v>175926</v>
      </c>
      <c r="I54" s="166">
        <f>IF(compras_mes10[[#This Row],[NETO GRAVADO]]="","",compras_mes10[[#This Row],[NETO GRAVADO]]*0.21)</f>
        <v>36944.46</v>
      </c>
      <c r="J54" s="166"/>
      <c r="K54" s="166"/>
      <c r="L54" s="166"/>
      <c r="M54" s="166"/>
      <c r="N54" s="166"/>
      <c r="O54" s="166"/>
      <c r="P54" s="173">
        <f>SUM(compras_mes10[[#This Row],[NETO GRAVADO]:[Otros / No Grav.]])</f>
        <v>212870.46</v>
      </c>
      <c r="Q54" s="174" t="str">
        <f>IFERROR(IF(compras_mes10[[#This Row],[CUIT]]="","-",VLOOKUP(compras_mes10[[#This Row],[CUIT]],Lista_CUIT[#All],3,0)),"CUIT NO CARGADO")</f>
        <v>EMBALAJE</v>
      </c>
      <c r="R54" s="174">
        <f>IFERROR(IF(compras_mes10[[#This Row],[CUIT]]="","-",VLOOKUP(compras_mes10[[#This Row],[CUIT]],Lista_CUIT[#All],4,0)),"CUIT NO CARGADO")</f>
        <v>0</v>
      </c>
    </row>
    <row r="55" spans="1:18" ht="15" customHeight="1" x14ac:dyDescent="0.3">
      <c r="A55" s="158"/>
      <c r="B55" s="159">
        <v>44819</v>
      </c>
      <c r="C55" s="160">
        <v>1</v>
      </c>
      <c r="D55" s="161">
        <v>10</v>
      </c>
      <c r="E55" s="162">
        <v>68229</v>
      </c>
      <c r="F55" s="163">
        <v>30711069360</v>
      </c>
      <c r="G55" s="164" t="str">
        <f>IFERROR(IF(compras_mes10[[#This Row],[CUIT]]="","-",VLOOKUP(compras_mes10[[#This Row],[CUIT]],Lista_CUIT[#All],2,0)),"CUIT NO CARGADO")</f>
        <v>BIDCOM  S.R.L.</v>
      </c>
      <c r="H55" s="165">
        <v>461151.85</v>
      </c>
      <c r="I55" s="166"/>
      <c r="J55" s="166">
        <v>49837.23</v>
      </c>
      <c r="K55" s="166"/>
      <c r="L55" s="166"/>
      <c r="M55" s="166"/>
      <c r="N55" s="166"/>
      <c r="O55" s="166"/>
      <c r="P55" s="167">
        <f>SUM(compras_mes10[[#This Row],[NETO GRAVADO]:[Otros / No Grav.]])</f>
        <v>510989.07999999996</v>
      </c>
      <c r="Q55" s="168" t="str">
        <f>IFERROR(IF(compras_mes10[[#This Row],[CUIT]]="","-",VLOOKUP(compras_mes10[[#This Row],[CUIT]],Lista_CUIT[#All],3,0)),"CUIT NO CARGADO")</f>
        <v>Equipos de Informatica</v>
      </c>
      <c r="R55" s="168">
        <f>IFERROR(IF(compras_mes10[[#This Row],[CUIT]]="","-",VLOOKUP(compras_mes10[[#This Row],[CUIT]],Lista_CUIT[#All],4,0)),"CUIT NO CARGADO")</f>
        <v>0</v>
      </c>
    </row>
    <row r="56" spans="1:18" s="157" customFormat="1" x14ac:dyDescent="0.3">
      <c r="A56" s="158"/>
      <c r="B56" s="159">
        <v>44817</v>
      </c>
      <c r="C56" s="160">
        <v>1</v>
      </c>
      <c r="D56" s="161">
        <v>3</v>
      </c>
      <c r="E56" s="162">
        <v>5549</v>
      </c>
      <c r="F56" s="163">
        <v>20078694255</v>
      </c>
      <c r="G56" s="164" t="str">
        <f>IFERROR(IF(compras_mes10[[#This Row],[CUIT]]="","-",VLOOKUP(compras_mes10[[#This Row],[CUIT]],Lista_CUIT[#All],2,0)),"CUIT NO CARGADO")</f>
        <v>CURA  JORGE  HORACIO</v>
      </c>
      <c r="H56" s="165">
        <v>14876.05</v>
      </c>
      <c r="I56" s="166">
        <f>IF(compras_mes10[[#This Row],[NETO GRAVADO]]="","",compras_mes10[[#This Row],[NETO GRAVADO]]*0.21)</f>
        <v>3123.9704999999999</v>
      </c>
      <c r="J56" s="166"/>
      <c r="K56" s="166"/>
      <c r="L56" s="166"/>
      <c r="M56" s="166"/>
      <c r="N56" s="166"/>
      <c r="O56" s="166"/>
      <c r="P56" s="167">
        <f>SUM(compras_mes10[[#This Row],[NETO GRAVADO]:[Otros / No Grav.]])</f>
        <v>18000.020499999999</v>
      </c>
      <c r="Q56" s="168" t="str">
        <f>IFERROR(IF(compras_mes10[[#This Row],[CUIT]]="","-",VLOOKUP(compras_mes10[[#This Row],[CUIT]],Lista_CUIT[#All],3,0)),"CUIT NO CARGADO")</f>
        <v>Equipos de Informatica</v>
      </c>
      <c r="R56" s="168">
        <f>IFERROR(IF(compras_mes10[[#This Row],[CUIT]]="","-",VLOOKUP(compras_mes10[[#This Row],[CUIT]],Lista_CUIT[#All],4,0)),"CUIT NO CARGADO")</f>
        <v>0</v>
      </c>
    </row>
    <row r="57" spans="1:18" ht="15.75" customHeight="1" x14ac:dyDescent="0.3">
      <c r="A57" s="158"/>
      <c r="B57" s="159">
        <v>44813</v>
      </c>
      <c r="C57" s="160">
        <v>1</v>
      </c>
      <c r="D57" s="161">
        <v>12</v>
      </c>
      <c r="E57" s="162">
        <v>5215</v>
      </c>
      <c r="F57" s="163">
        <v>30704973825</v>
      </c>
      <c r="G57" s="164" t="str">
        <f>IFERROR(IF(compras_mes10[[#This Row],[CUIT]]="","-",VLOOKUP(compras_mes10[[#This Row],[CUIT]],Lista_CUIT[#All],2,0)),"CUIT NO CARGADO")</f>
        <v>G. IKONO S A</v>
      </c>
      <c r="H57" s="165">
        <v>48453.39</v>
      </c>
      <c r="I57" s="166"/>
      <c r="J57" s="166">
        <v>5087.6099999999997</v>
      </c>
      <c r="K57" s="166"/>
      <c r="L57" s="166"/>
      <c r="M57" s="166"/>
      <c r="N57" s="166"/>
      <c r="O57" s="166"/>
      <c r="P57" s="167">
        <f>SUM(compras_mes10[[#This Row],[NETO GRAVADO]:[Otros / No Grav.]])</f>
        <v>53541</v>
      </c>
      <c r="Q57" s="168" t="str">
        <f>IFERROR(IF(compras_mes10[[#This Row],[CUIT]]="","-",VLOOKUP(compras_mes10[[#This Row],[CUIT]],Lista_CUIT[#All],3,0)),"CUIT NO CARGADO")</f>
        <v>Equipos de Informatica</v>
      </c>
      <c r="R57" s="168">
        <f>IFERROR(IF(compras_mes10[[#This Row],[CUIT]]="","-",VLOOKUP(compras_mes10[[#This Row],[CUIT]],Lista_CUIT[#All],4,0)),"CUIT NO CARGADO")</f>
        <v>0</v>
      </c>
    </row>
    <row r="58" spans="1:18" ht="15.75" customHeight="1" x14ac:dyDescent="0.3">
      <c r="A58" s="158"/>
      <c r="B58" s="129">
        <v>44817</v>
      </c>
      <c r="C58" s="130">
        <v>1</v>
      </c>
      <c r="D58" s="131">
        <v>5</v>
      </c>
      <c r="E58" s="132">
        <v>879</v>
      </c>
      <c r="F58" s="133">
        <v>30711651779</v>
      </c>
      <c r="G58" s="134" t="str">
        <f>IFERROR(IF(compras_mes10[[#This Row],[CUIT]]="","-",VLOOKUP(compras_mes10[[#This Row],[CUIT]],Lista_CUIT[#All],2,0)),"CUIT NO CARGADO")</f>
        <v>INFOSOL BUENOS AIRES S.R.L.</v>
      </c>
      <c r="H58" s="135">
        <v>3274.38</v>
      </c>
      <c r="I58" s="136">
        <f>IF(compras_mes10[[#This Row],[NETO GRAVADO]]="","",compras_mes10[[#This Row],[NETO GRAVADO]]*0.21)</f>
        <v>687.61979999999994</v>
      </c>
      <c r="J58" s="136"/>
      <c r="K58" s="136"/>
      <c r="L58" s="136"/>
      <c r="M58" s="136"/>
      <c r="N58" s="136"/>
      <c r="O58" s="136"/>
      <c r="P58" s="137">
        <f>SUM(compras_mes10[[#This Row],[NETO GRAVADO]:[Otros / No Grav.]])</f>
        <v>3961.9998000000001</v>
      </c>
      <c r="Q58" s="138" t="str">
        <f>IFERROR(IF(compras_mes10[[#This Row],[CUIT]]="","-",VLOOKUP(compras_mes10[[#This Row],[CUIT]],Lista_CUIT[#All],3,0)),"CUIT NO CARGADO")</f>
        <v>Equipos de Informatica</v>
      </c>
      <c r="R58" s="138">
        <f>IFERROR(IF(compras_mes10[[#This Row],[CUIT]]="","-",VLOOKUP(compras_mes10[[#This Row],[CUIT]],Lista_CUIT[#All],4,0)),"CUIT NO CARGADO")</f>
        <v>0</v>
      </c>
    </row>
    <row r="59" spans="1:18" s="158" customFormat="1" x14ac:dyDescent="0.3">
      <c r="B59" s="159">
        <v>44824</v>
      </c>
      <c r="C59" s="160">
        <v>1</v>
      </c>
      <c r="D59" s="161">
        <v>5</v>
      </c>
      <c r="E59" s="162">
        <v>893</v>
      </c>
      <c r="F59" s="163">
        <v>30711651779</v>
      </c>
      <c r="G59" s="164" t="str">
        <f>IFERROR(IF(compras_mes10[[#This Row],[CUIT]]="","-",VLOOKUP(compras_mes10[[#This Row],[CUIT]],Lista_CUIT[#All],2,0)),"CUIT NO CARGADO")</f>
        <v>INFOSOL BUENOS AIRES S.R.L.</v>
      </c>
      <c r="H59" s="165">
        <v>41322.31</v>
      </c>
      <c r="I59" s="166">
        <f>IF(compras_mes10[[#This Row],[NETO GRAVADO]]="","",compras_mes10[[#This Row],[NETO GRAVADO]]*0.21)</f>
        <v>8677.6850999999988</v>
      </c>
      <c r="J59" s="166"/>
      <c r="K59" s="166"/>
      <c r="L59" s="166"/>
      <c r="M59" s="166"/>
      <c r="N59" s="166"/>
      <c r="O59" s="166"/>
      <c r="P59" s="167">
        <f>SUM(compras_mes10[[#This Row],[NETO GRAVADO]:[Otros / No Grav.]])</f>
        <v>49999.9951</v>
      </c>
      <c r="Q59" s="168" t="str">
        <f>IFERROR(IF(compras_mes10[[#This Row],[CUIT]]="","-",VLOOKUP(compras_mes10[[#This Row],[CUIT]],Lista_CUIT[#All],3,0)),"CUIT NO CARGADO")</f>
        <v>Equipos de Informatica</v>
      </c>
      <c r="R59" s="168">
        <f>IFERROR(IF(compras_mes10[[#This Row],[CUIT]]="","-",VLOOKUP(compras_mes10[[#This Row],[CUIT]],Lista_CUIT[#All],4,0)),"CUIT NO CARGADO")</f>
        <v>0</v>
      </c>
    </row>
    <row r="60" spans="1:18" s="158" customFormat="1" x14ac:dyDescent="0.3">
      <c r="B60" s="129">
        <v>44816</v>
      </c>
      <c r="C60" s="130">
        <v>1</v>
      </c>
      <c r="D60" s="131">
        <v>18</v>
      </c>
      <c r="E60" s="132">
        <v>3523</v>
      </c>
      <c r="F60" s="133">
        <v>30715933140</v>
      </c>
      <c r="G60" s="134" t="str">
        <f>IFERROR(IF(compras_mes10[[#This Row],[CUIT]]="","-",VLOOKUP(compras_mes10[[#This Row],[CUIT]],Lista_CUIT[#All],2,0)),"CUIT NO CARGADO")</f>
        <v>ONLINESTORE S.A.S.</v>
      </c>
      <c r="H60" s="135">
        <v>71747.929999999993</v>
      </c>
      <c r="I60" s="136">
        <f>IF(compras_mes10[[#This Row],[NETO GRAVADO]]="","",compras_mes10[[#This Row],[NETO GRAVADO]]*0.21)</f>
        <v>15067.065299999998</v>
      </c>
      <c r="J60" s="136"/>
      <c r="K60" s="136"/>
      <c r="L60" s="136"/>
      <c r="M60" s="136"/>
      <c r="N60" s="136"/>
      <c r="O60" s="136"/>
      <c r="P60" s="137">
        <f>SUM(compras_mes10[[#This Row],[NETO GRAVADO]:[Otros / No Grav.]])</f>
        <v>86814.995299999995</v>
      </c>
      <c r="Q60" s="138" t="str">
        <f>IFERROR(IF(compras_mes10[[#This Row],[CUIT]]="","-",VLOOKUP(compras_mes10[[#This Row],[CUIT]],Lista_CUIT[#All],3,0)),"CUIT NO CARGADO")</f>
        <v>Equipos de Informatica</v>
      </c>
      <c r="R60" s="138">
        <f>IFERROR(IF(compras_mes10[[#This Row],[CUIT]]="","-",VLOOKUP(compras_mes10[[#This Row],[CUIT]],Lista_CUIT[#All],4,0)),"CUIT NO CARGADO")</f>
        <v>0</v>
      </c>
    </row>
    <row r="61" spans="1:18" s="158" customFormat="1" x14ac:dyDescent="0.3">
      <c r="B61" s="159">
        <v>44831</v>
      </c>
      <c r="C61" s="160">
        <v>1</v>
      </c>
      <c r="D61" s="161">
        <v>9</v>
      </c>
      <c r="E61" s="162">
        <v>4744</v>
      </c>
      <c r="F61" s="163">
        <v>30697262063</v>
      </c>
      <c r="G61" s="164" t="str">
        <f>IFERROR(IF(compras_mes10[[#This Row],[CUIT]]="","-",VLOOKUP(compras_mes10[[#This Row],[CUIT]],Lista_CUIT[#All],2,0)),"CUIT NO CARGADO")</f>
        <v>REPRESENTACIONES TECNOLOGIC</v>
      </c>
      <c r="H61" s="165">
        <v>63520.36</v>
      </c>
      <c r="I61" s="166"/>
      <c r="J61" s="166">
        <v>6669.64</v>
      </c>
      <c r="K61" s="166"/>
      <c r="L61" s="166"/>
      <c r="M61" s="166"/>
      <c r="N61" s="166"/>
      <c r="O61" s="166"/>
      <c r="P61" s="167">
        <f>SUM(compras_mes10[[#This Row],[NETO GRAVADO]:[Otros / No Grav.]])</f>
        <v>70190</v>
      </c>
      <c r="Q61" s="168" t="str">
        <f>IFERROR(IF(compras_mes10[[#This Row],[CUIT]]="","-",VLOOKUP(compras_mes10[[#This Row],[CUIT]],Lista_CUIT[#All],3,0)),"CUIT NO CARGADO")</f>
        <v>Equipos de informatica</v>
      </c>
      <c r="R61" s="168">
        <f>IFERROR(IF(compras_mes10[[#This Row],[CUIT]]="","-",VLOOKUP(compras_mes10[[#This Row],[CUIT]],Lista_CUIT[#All],4,0)),"CUIT NO CARGADO")</f>
        <v>0</v>
      </c>
    </row>
    <row r="62" spans="1:18" x14ac:dyDescent="0.3">
      <c r="A62" s="158"/>
      <c r="B62" s="129">
        <v>44819</v>
      </c>
      <c r="C62" s="130">
        <v>1</v>
      </c>
      <c r="D62" s="131">
        <v>6</v>
      </c>
      <c r="E62" s="132">
        <v>25934</v>
      </c>
      <c r="F62" s="133">
        <v>20235723906</v>
      </c>
      <c r="G62" s="134" t="str">
        <f>IFERROR(IF(compras_mes10[[#This Row],[CUIT]]="","-",VLOOKUP(compras_mes10[[#This Row],[CUIT]],Lista_CUIT[#All],2,0)),"CUIT NO CARGADO")</f>
        <v>BURNET MICHAUT GASTON KURT</v>
      </c>
      <c r="H62" s="135">
        <v>7755.34</v>
      </c>
      <c r="I62" s="136">
        <v>500.7</v>
      </c>
      <c r="J62" s="136"/>
      <c r="K62" s="136">
        <v>563.96</v>
      </c>
      <c r="L62" s="136"/>
      <c r="M62" s="136"/>
      <c r="N62" s="136"/>
      <c r="O62" s="136"/>
      <c r="P62" s="137">
        <f>SUM(compras_mes10[[#This Row],[NETO GRAVADO]:[Otros / No Grav.]])</f>
        <v>8820</v>
      </c>
      <c r="Q62" s="138" t="str">
        <f>IFERROR(IF(compras_mes10[[#This Row],[CUIT]]="","-",VLOOKUP(compras_mes10[[#This Row],[CUIT]],Lista_CUIT[#All],3,0)),"CUIT NO CARGADO")</f>
        <v>Ferreteria</v>
      </c>
      <c r="R62" s="138">
        <f>IFERROR(IF(compras_mes10[[#This Row],[CUIT]]="","-",VLOOKUP(compras_mes10[[#This Row],[CUIT]],Lista_CUIT[#All],4,0)),"CUIT NO CARGADO")</f>
        <v>0</v>
      </c>
    </row>
    <row r="63" spans="1:18" x14ac:dyDescent="0.3">
      <c r="A63" s="158"/>
      <c r="B63" s="159">
        <v>44824</v>
      </c>
      <c r="C63" s="160">
        <v>1</v>
      </c>
      <c r="D63" s="161">
        <v>2162</v>
      </c>
      <c r="E63" s="162">
        <v>18357</v>
      </c>
      <c r="F63" s="163">
        <v>33699685459</v>
      </c>
      <c r="G63" s="164" t="str">
        <f>IFERROR(IF(compras_mes10[[#This Row],[CUIT]]="","-",VLOOKUP(compras_mes10[[#This Row],[CUIT]],Lista_CUIT[#All],2,0)),"CUIT NO CARGADO")</f>
        <v>CORREO ANDREANI SA</v>
      </c>
      <c r="H63" s="165">
        <v>1565.46</v>
      </c>
      <c r="I63" s="166">
        <f>IF(compras_mes10[[#This Row],[NETO GRAVADO]]="","",compras_mes10[[#This Row],[NETO GRAVADO]]*0.21)</f>
        <v>328.7466</v>
      </c>
      <c r="J63" s="166"/>
      <c r="K63" s="166"/>
      <c r="L63" s="166"/>
      <c r="M63" s="166"/>
      <c r="N63" s="166"/>
      <c r="O63" s="166"/>
      <c r="P63" s="167">
        <f>SUM(compras_mes10[[#This Row],[NETO GRAVADO]:[Otros / No Grav.]])</f>
        <v>1894.2066</v>
      </c>
      <c r="Q63" s="168" t="str">
        <f>IFERROR(IF(compras_mes10[[#This Row],[CUIT]]="","-",VLOOKUP(compras_mes10[[#This Row],[CUIT]],Lista_CUIT[#All],3,0)),"CUIT NO CARGADO")</f>
        <v>Flete-Logistica</v>
      </c>
      <c r="R63" s="168">
        <f>IFERROR(IF(compras_mes10[[#This Row],[CUIT]]="","-",VLOOKUP(compras_mes10[[#This Row],[CUIT]],Lista_CUIT[#All],4,0)),"CUIT NO CARGADO")</f>
        <v>0</v>
      </c>
    </row>
    <row r="64" spans="1:18" x14ac:dyDescent="0.3">
      <c r="A64" s="158"/>
      <c r="B64" s="159">
        <v>44824</v>
      </c>
      <c r="C64" s="160">
        <v>1</v>
      </c>
      <c r="D64" s="161">
        <v>2162</v>
      </c>
      <c r="E64" s="162">
        <v>18356</v>
      </c>
      <c r="F64" s="163">
        <v>33699685459</v>
      </c>
      <c r="G64" s="164" t="str">
        <f>IFERROR(IF(compras_mes10[[#This Row],[CUIT]]="","-",VLOOKUP(compras_mes10[[#This Row],[CUIT]],Lista_CUIT[#All],2,0)),"CUIT NO CARGADO")</f>
        <v>CORREO ANDREANI SA</v>
      </c>
      <c r="H64" s="165">
        <v>3056.64</v>
      </c>
      <c r="I64" s="166">
        <f>IF(compras_mes10[[#This Row],[NETO GRAVADO]]="","",compras_mes10[[#This Row],[NETO GRAVADO]]*0.21)</f>
        <v>641.89439999999991</v>
      </c>
      <c r="J64" s="166"/>
      <c r="K64" s="166"/>
      <c r="L64" s="166"/>
      <c r="M64" s="166"/>
      <c r="N64" s="166"/>
      <c r="O64" s="166"/>
      <c r="P64" s="167">
        <f>SUM(compras_mes10[[#This Row],[NETO GRAVADO]:[Otros / No Grav.]])</f>
        <v>3698.5343999999996</v>
      </c>
      <c r="Q64" s="168" t="str">
        <f>IFERROR(IF(compras_mes10[[#This Row],[CUIT]]="","-",VLOOKUP(compras_mes10[[#This Row],[CUIT]],Lista_CUIT[#All],3,0)),"CUIT NO CARGADO")</f>
        <v>Flete-Logistica</v>
      </c>
      <c r="R64" s="168">
        <f>IFERROR(IF(compras_mes10[[#This Row],[CUIT]]="","-",VLOOKUP(compras_mes10[[#This Row],[CUIT]],Lista_CUIT[#All],4,0)),"CUIT NO CARGADO")</f>
        <v>0</v>
      </c>
    </row>
    <row r="65" spans="1:18" x14ac:dyDescent="0.3">
      <c r="A65" s="158"/>
      <c r="B65" s="159">
        <v>44818</v>
      </c>
      <c r="C65" s="160">
        <v>1</v>
      </c>
      <c r="D65" s="161">
        <v>3034</v>
      </c>
      <c r="E65" s="162">
        <v>2417621</v>
      </c>
      <c r="F65" s="163">
        <v>30708574836</v>
      </c>
      <c r="G65" s="164" t="str">
        <f>IFERROR(IF(compras_mes10[[#This Row],[CUIT]]="","-",VLOOKUP(compras_mes10[[#This Row],[CUIT]],Lista_CUIT[#All],2,0)),"CUIT NO CARGADO")</f>
        <v>CORREO OFICIAL DE LA REPUBLICA ARGENTINA SOCIEDAD ANONIMA</v>
      </c>
      <c r="H65" s="165">
        <v>528.6</v>
      </c>
      <c r="I65" s="166">
        <f>IF(compras_mes10[[#This Row],[NETO GRAVADO]]="","",compras_mes10[[#This Row],[NETO GRAVADO]]*0.21)</f>
        <v>111.006</v>
      </c>
      <c r="J65" s="166"/>
      <c r="K65" s="166"/>
      <c r="L65" s="166"/>
      <c r="M65" s="166"/>
      <c r="N65" s="166"/>
      <c r="O65" s="166"/>
      <c r="P65" s="167">
        <f>SUM(compras_mes10[[#This Row],[NETO GRAVADO]:[Otros / No Grav.]])</f>
        <v>639.60599999999999</v>
      </c>
      <c r="Q65" s="168" t="str">
        <f>IFERROR(IF(compras_mes10[[#This Row],[CUIT]]="","-",VLOOKUP(compras_mes10[[#This Row],[CUIT]],Lista_CUIT[#All],3,0)),"CUIT NO CARGADO")</f>
        <v>Flete-Logistica</v>
      </c>
      <c r="R65" s="168">
        <f>IFERROR(IF(compras_mes10[[#This Row],[CUIT]]="","-",VLOOKUP(compras_mes10[[#This Row],[CUIT]],Lista_CUIT[#All],4,0)),"CUIT NO CARGADO")</f>
        <v>0</v>
      </c>
    </row>
    <row r="66" spans="1:18" x14ac:dyDescent="0.3">
      <c r="A66" s="158"/>
      <c r="B66" s="159">
        <v>44830</v>
      </c>
      <c r="C66" s="160">
        <v>1</v>
      </c>
      <c r="D66" s="161">
        <v>3034</v>
      </c>
      <c r="E66" s="162">
        <v>2472656</v>
      </c>
      <c r="F66" s="163">
        <v>30708574836</v>
      </c>
      <c r="G66" s="164" t="str">
        <f>IFERROR(IF(compras_mes10[[#This Row],[CUIT]]="","-",VLOOKUP(compras_mes10[[#This Row],[CUIT]],Lista_CUIT[#All],2,0)),"CUIT NO CARGADO")</f>
        <v>CORREO OFICIAL DE LA REPUBLICA ARGENTINA SOCIEDAD ANONIMA</v>
      </c>
      <c r="H66" s="165">
        <v>1237.3</v>
      </c>
      <c r="I66" s="166">
        <f>IF(compras_mes10[[#This Row],[NETO GRAVADO]]="","",compras_mes10[[#This Row],[NETO GRAVADO]]*0.21)</f>
        <v>259.83299999999997</v>
      </c>
      <c r="J66" s="166"/>
      <c r="K66" s="166"/>
      <c r="L66" s="166"/>
      <c r="M66" s="166"/>
      <c r="N66" s="166"/>
      <c r="O66" s="166"/>
      <c r="P66" s="167">
        <f>SUM(compras_mes10[[#This Row],[NETO GRAVADO]:[Otros / No Grav.]])</f>
        <v>1497.1329999999998</v>
      </c>
      <c r="Q66" s="168" t="str">
        <f>IFERROR(IF(compras_mes10[[#This Row],[CUIT]]="","-",VLOOKUP(compras_mes10[[#This Row],[CUIT]],Lista_CUIT[#All],3,0)),"CUIT NO CARGADO")</f>
        <v>Flete-Logistica</v>
      </c>
      <c r="R66" s="168">
        <f>IFERROR(IF(compras_mes10[[#This Row],[CUIT]]="","-",VLOOKUP(compras_mes10[[#This Row],[CUIT]],Lista_CUIT[#All],4,0)),"CUIT NO CARGADO")</f>
        <v>0</v>
      </c>
    </row>
    <row r="67" spans="1:18" x14ac:dyDescent="0.3">
      <c r="A67" s="158"/>
      <c r="B67" s="159">
        <v>44833</v>
      </c>
      <c r="C67" s="160">
        <v>1</v>
      </c>
      <c r="D67" s="161">
        <v>3034</v>
      </c>
      <c r="E67" s="162">
        <v>2493907</v>
      </c>
      <c r="F67" s="163">
        <v>30708574836</v>
      </c>
      <c r="G67" s="164" t="str">
        <f>IFERROR(IF(compras_mes10[[#This Row],[CUIT]]="","-",VLOOKUP(compras_mes10[[#This Row],[CUIT]],Lista_CUIT[#All],2,0)),"CUIT NO CARGADO")</f>
        <v>CORREO OFICIAL DE LA REPUBLICA ARGENTINA SOCIEDAD ANONIMA</v>
      </c>
      <c r="H67" s="165">
        <v>525.65</v>
      </c>
      <c r="I67" s="166">
        <f>IF(compras_mes10[[#This Row],[NETO GRAVADO]]="","",compras_mes10[[#This Row],[NETO GRAVADO]]*0.21)</f>
        <v>110.3865</v>
      </c>
      <c r="J67" s="166"/>
      <c r="K67" s="166"/>
      <c r="L67" s="166"/>
      <c r="M67" s="166"/>
      <c r="N67" s="166"/>
      <c r="O67" s="166"/>
      <c r="P67" s="167">
        <f>SUM(compras_mes10[[#This Row],[NETO GRAVADO]:[Otros / No Grav.]])</f>
        <v>636.03649999999993</v>
      </c>
      <c r="Q67" s="168" t="str">
        <f>IFERROR(IF(compras_mes10[[#This Row],[CUIT]]="","-",VLOOKUP(compras_mes10[[#This Row],[CUIT]],Lista_CUIT[#All],3,0)),"CUIT NO CARGADO")</f>
        <v>Flete-Logistica</v>
      </c>
      <c r="R67" s="168">
        <f>IFERROR(IF(compras_mes10[[#This Row],[CUIT]]="","-",VLOOKUP(compras_mes10[[#This Row],[CUIT]],Lista_CUIT[#All],4,0)),"CUIT NO CARGADO")</f>
        <v>0</v>
      </c>
    </row>
    <row r="68" spans="1:18" ht="15.75" customHeight="1" x14ac:dyDescent="0.3">
      <c r="A68" s="158"/>
      <c r="B68" s="129">
        <v>44813</v>
      </c>
      <c r="C68" s="130">
        <v>1</v>
      </c>
      <c r="D68" s="131">
        <v>301</v>
      </c>
      <c r="E68" s="132">
        <v>26875</v>
      </c>
      <c r="F68" s="133">
        <v>30686978350</v>
      </c>
      <c r="G68" s="134" t="str">
        <f>IFERROR(IF(compras_mes10[[#This Row],[CUIT]]="","-",VLOOKUP(compras_mes10[[#This Row],[CUIT]],Lista_CUIT[#All],2,0)),"CUIT NO CARGADO")</f>
        <v>SPEED BUSINESS S. A.</v>
      </c>
      <c r="H68" s="135">
        <v>3644.63</v>
      </c>
      <c r="I68" s="136">
        <f>IF(compras_mes10[[#This Row],[NETO GRAVADO]]="","",compras_mes10[[#This Row],[NETO GRAVADO]]*0.21)</f>
        <v>765.3723</v>
      </c>
      <c r="J68" s="136"/>
      <c r="K68" s="136"/>
      <c r="L68" s="136"/>
      <c r="M68" s="136"/>
      <c r="N68" s="136"/>
      <c r="O68" s="136"/>
      <c r="P68" s="137">
        <f>SUM(compras_mes10[[#This Row],[NETO GRAVADO]:[Otros / No Grav.]])</f>
        <v>4410.0023000000001</v>
      </c>
      <c r="Q68" s="138" t="str">
        <f>IFERROR(IF(compras_mes10[[#This Row],[CUIT]]="","-",VLOOKUP(compras_mes10[[#This Row],[CUIT]],Lista_CUIT[#All],3,0)),"CUIT NO CARGADO")</f>
        <v>Flete-Logistica</v>
      </c>
      <c r="R68" s="138">
        <f>IFERROR(IF(compras_mes10[[#This Row],[CUIT]]="","-",VLOOKUP(compras_mes10[[#This Row],[CUIT]],Lista_CUIT[#All],4,0)),"CUIT NO CARGADO")</f>
        <v>0</v>
      </c>
    </row>
    <row r="69" spans="1:18" ht="15.75" customHeight="1" x14ac:dyDescent="0.3">
      <c r="A69" s="158"/>
      <c r="B69" s="159">
        <v>44805</v>
      </c>
      <c r="C69" s="160">
        <v>1</v>
      </c>
      <c r="D69" s="161">
        <v>331</v>
      </c>
      <c r="E69" s="162">
        <v>394082</v>
      </c>
      <c r="F69" s="163">
        <v>30579939008</v>
      </c>
      <c r="G69" s="172" t="str">
        <f>IFERROR(IF(compras_mes10[[#This Row],[CUIT]]="","-",VLOOKUP(compras_mes10[[#This Row],[CUIT]],Lista_CUIT[#All],2,0)),"CUIT NO CARGADO")</f>
        <v>TRANSPORTES  LA  SEVILLANITA</v>
      </c>
      <c r="H69" s="165">
        <v>7217.27</v>
      </c>
      <c r="I69" s="166">
        <f>IF(compras_mes10[[#This Row],[NETO GRAVADO]]="","",compras_mes10[[#This Row],[NETO GRAVADO]]*0.21)</f>
        <v>1515.6267</v>
      </c>
      <c r="J69" s="166"/>
      <c r="K69" s="166"/>
      <c r="L69" s="166"/>
      <c r="M69" s="166"/>
      <c r="N69" s="166"/>
      <c r="O69" s="166"/>
      <c r="P69" s="173">
        <f>SUM(compras_mes10[[#This Row],[NETO GRAVADO]:[Otros / No Grav.]])</f>
        <v>8732.8967000000011</v>
      </c>
      <c r="Q69" s="174" t="str">
        <f>IFERROR(IF(compras_mes10[[#This Row],[CUIT]]="","-",VLOOKUP(compras_mes10[[#This Row],[CUIT]],Lista_CUIT[#All],3,0)),"CUIT NO CARGADO")</f>
        <v>Flete-Logistica</v>
      </c>
      <c r="R69" s="174">
        <f>IFERROR(IF(compras_mes10[[#This Row],[CUIT]]="","-",VLOOKUP(compras_mes10[[#This Row],[CUIT]],Lista_CUIT[#All],4,0)),"CUIT NO CARGADO")</f>
        <v>0</v>
      </c>
    </row>
    <row r="70" spans="1:18" x14ac:dyDescent="0.3">
      <c r="A70" s="158"/>
      <c r="B70" s="159">
        <v>44811</v>
      </c>
      <c r="C70" s="160">
        <v>1</v>
      </c>
      <c r="D70" s="161">
        <v>331</v>
      </c>
      <c r="E70" s="162">
        <v>394683</v>
      </c>
      <c r="F70" s="163">
        <v>30579939008</v>
      </c>
      <c r="G70" s="164" t="str">
        <f>IFERROR(IF(compras_mes10[[#This Row],[CUIT]]="","-",VLOOKUP(compras_mes10[[#This Row],[CUIT]],Lista_CUIT[#All],2,0)),"CUIT NO CARGADO")</f>
        <v>TRANSPORTES  LA  SEVILLANITA</v>
      </c>
      <c r="H70" s="165">
        <v>7257.27</v>
      </c>
      <c r="I70" s="166">
        <f>IF(compras_mes10[[#This Row],[NETO GRAVADO]]="","",compras_mes10[[#This Row],[NETO GRAVADO]]*0.21)</f>
        <v>1524.0267000000001</v>
      </c>
      <c r="J70" s="166"/>
      <c r="K70" s="166"/>
      <c r="L70" s="166"/>
      <c r="M70" s="166"/>
      <c r="N70" s="166"/>
      <c r="O70" s="166"/>
      <c r="P70" s="167">
        <f>SUM(compras_mes10[[#This Row],[NETO GRAVADO]:[Otros / No Grav.]])</f>
        <v>8781.2967000000008</v>
      </c>
      <c r="Q70" s="168" t="str">
        <f>IFERROR(IF(compras_mes10[[#This Row],[CUIT]]="","-",VLOOKUP(compras_mes10[[#This Row],[CUIT]],Lista_CUIT[#All],3,0)),"CUIT NO CARGADO")</f>
        <v>Flete-Logistica</v>
      </c>
      <c r="R70" s="168">
        <f>IFERROR(IF(compras_mes10[[#This Row],[CUIT]]="","-",VLOOKUP(compras_mes10[[#This Row],[CUIT]],Lista_CUIT[#All],4,0)),"CUIT NO CARGADO")</f>
        <v>0</v>
      </c>
    </row>
    <row r="71" spans="1:18" x14ac:dyDescent="0.3">
      <c r="A71" s="158"/>
      <c r="B71" s="159">
        <v>44824</v>
      </c>
      <c r="C71" s="160">
        <v>1</v>
      </c>
      <c r="D71" s="161">
        <v>3</v>
      </c>
      <c r="E71" s="162">
        <v>35936</v>
      </c>
      <c r="F71" s="163">
        <v>30714930490</v>
      </c>
      <c r="G71" s="164" t="str">
        <f>IFERROR(IF(compras_mes10[[#This Row],[CUIT]]="","-",VLOOKUP(compras_mes10[[#This Row],[CUIT]],Lista_CUIT[#All],2,0)),"CUIT NO CARGADO")</f>
        <v>APPLUS SANTA MARIA DEL BUEN</v>
      </c>
      <c r="H71" s="165">
        <v>2958.02</v>
      </c>
      <c r="I71" s="166">
        <f>IF(compras_mes10[[#This Row],[NETO GRAVADO]]="","",compras_mes10[[#This Row],[NETO GRAVADO]]*0.21)</f>
        <v>621.18419999999992</v>
      </c>
      <c r="J71" s="166"/>
      <c r="K71" s="166"/>
      <c r="L71" s="166"/>
      <c r="M71" s="166"/>
      <c r="N71" s="166"/>
      <c r="O71" s="166"/>
      <c r="P71" s="167">
        <f>SUM(compras_mes10[[#This Row],[NETO GRAVADO]:[Otros / No Grav.]])</f>
        <v>3579.2042000000001</v>
      </c>
      <c r="Q71" s="168" t="str">
        <f>IFERROR(IF(compras_mes10[[#This Row],[CUIT]]="","-",VLOOKUP(compras_mes10[[#This Row],[CUIT]],Lista_CUIT[#All],3,0)),"CUIT NO CARGADO")</f>
        <v>Gastos Varios</v>
      </c>
      <c r="R71" s="168">
        <f>IFERROR(IF(compras_mes10[[#This Row],[CUIT]]="","-",VLOOKUP(compras_mes10[[#This Row],[CUIT]],Lista_CUIT[#All],4,0)),"CUIT NO CARGADO")</f>
        <v>0</v>
      </c>
    </row>
    <row r="72" spans="1:18" x14ac:dyDescent="0.3">
      <c r="A72" s="158"/>
      <c r="B72" s="159">
        <v>44824</v>
      </c>
      <c r="C72" s="160">
        <v>1</v>
      </c>
      <c r="D72" s="161">
        <v>3</v>
      </c>
      <c r="E72" s="162">
        <v>35937</v>
      </c>
      <c r="F72" s="163">
        <v>30714930490</v>
      </c>
      <c r="G72" s="164" t="str">
        <f>IFERROR(IF(compras_mes10[[#This Row],[CUIT]]="","-",VLOOKUP(compras_mes10[[#This Row],[CUIT]],Lista_CUIT[#All],2,0)),"CUIT NO CARGADO")</f>
        <v>APPLUS SANTA MARIA DEL BUEN</v>
      </c>
      <c r="H72" s="165">
        <v>2958.02</v>
      </c>
      <c r="I72" s="166">
        <f>IF(compras_mes10[[#This Row],[NETO GRAVADO]]="","",compras_mes10[[#This Row],[NETO GRAVADO]]*0.21)</f>
        <v>621.18419999999992</v>
      </c>
      <c r="J72" s="166"/>
      <c r="K72" s="166"/>
      <c r="L72" s="166"/>
      <c r="M72" s="166"/>
      <c r="N72" s="166"/>
      <c r="O72" s="166"/>
      <c r="P72" s="167">
        <f>SUM(compras_mes10[[#This Row],[NETO GRAVADO]:[Otros / No Grav.]])</f>
        <v>3579.2042000000001</v>
      </c>
      <c r="Q72" s="168" t="str">
        <f>IFERROR(IF(compras_mes10[[#This Row],[CUIT]]="","-",VLOOKUP(compras_mes10[[#This Row],[CUIT]],Lista_CUIT[#All],3,0)),"CUIT NO CARGADO")</f>
        <v>Gastos Varios</v>
      </c>
      <c r="R72" s="168">
        <f>IFERROR(IF(compras_mes10[[#This Row],[CUIT]]="","-",VLOOKUP(compras_mes10[[#This Row],[CUIT]],Lista_CUIT[#All],4,0)),"CUIT NO CARGADO")</f>
        <v>0</v>
      </c>
    </row>
    <row r="73" spans="1:18" x14ac:dyDescent="0.3">
      <c r="A73" s="158"/>
      <c r="B73" s="159">
        <v>44822</v>
      </c>
      <c r="C73" s="160">
        <v>1</v>
      </c>
      <c r="D73" s="161">
        <v>4</v>
      </c>
      <c r="E73" s="162">
        <v>3769</v>
      </c>
      <c r="F73" s="163">
        <v>20402435330</v>
      </c>
      <c r="G73" s="164" t="str">
        <f>IFERROR(IF(compras_mes10[[#This Row],[CUIT]]="","-",VLOOKUP(compras_mes10[[#This Row],[CUIT]],Lista_CUIT[#All],2,0)),"CUIT NO CARGADO")</f>
        <v>BASCARAN GONZALO ALEJO</v>
      </c>
      <c r="H73" s="165">
        <v>2497.98</v>
      </c>
      <c r="I73" s="166"/>
      <c r="J73" s="166">
        <v>289.01</v>
      </c>
      <c r="K73" s="166"/>
      <c r="L73" s="166"/>
      <c r="M73" s="166"/>
      <c r="N73" s="166"/>
      <c r="O73" s="166"/>
      <c r="P73" s="167">
        <f>SUM(compras_mes10[[#This Row],[NETO GRAVADO]:[Otros / No Grav.]])</f>
        <v>2786.99</v>
      </c>
      <c r="Q73" s="168" t="str">
        <f>IFERROR(IF(compras_mes10[[#This Row],[CUIT]]="","-",VLOOKUP(compras_mes10[[#This Row],[CUIT]],Lista_CUIT[#All],3,0)),"CUIT NO CARGADO")</f>
        <v>Gastos Varios</v>
      </c>
      <c r="R73" s="168">
        <f>IFERROR(IF(compras_mes10[[#This Row],[CUIT]]="","-",VLOOKUP(compras_mes10[[#This Row],[CUIT]],Lista_CUIT[#All],4,0)),"CUIT NO CARGADO")</f>
        <v>0</v>
      </c>
    </row>
    <row r="74" spans="1:18" x14ac:dyDescent="0.3">
      <c r="A74" s="158"/>
      <c r="B74" s="159">
        <v>44824</v>
      </c>
      <c r="C74" s="160">
        <v>1</v>
      </c>
      <c r="D74" s="161">
        <v>113</v>
      </c>
      <c r="E74" s="162">
        <v>2925425</v>
      </c>
      <c r="F74" s="163">
        <v>30577207190</v>
      </c>
      <c r="G74" s="164" t="str">
        <f>IFERROR(IF(compras_mes10[[#This Row],[CUIT]]="","-",VLOOKUP(compras_mes10[[#This Row],[CUIT]],Lista_CUIT[#All],2,0)),"CUIT NO CARGADO")</f>
        <v>COORDINACION ECOLOGICA AREA METROPOLITANA SOCIEDAD DEL ESTADO</v>
      </c>
      <c r="H74" s="165">
        <v>1026.45</v>
      </c>
      <c r="I74" s="166">
        <f>IF(compras_mes10[[#This Row],[NETO GRAVADO]]="","",compras_mes10[[#This Row],[NETO GRAVADO]]*0.21)</f>
        <v>215.55449999999999</v>
      </c>
      <c r="J74" s="166"/>
      <c r="K74" s="166"/>
      <c r="L74" s="166"/>
      <c r="M74" s="166"/>
      <c r="N74" s="166"/>
      <c r="O74" s="166"/>
      <c r="P74" s="167">
        <f>SUM(compras_mes10[[#This Row],[NETO GRAVADO]:[Otros / No Grav.]])</f>
        <v>1242.0045</v>
      </c>
      <c r="Q74" s="168" t="str">
        <f>IFERROR(IF(compras_mes10[[#This Row],[CUIT]]="","-",VLOOKUP(compras_mes10[[#This Row],[CUIT]],Lista_CUIT[#All],3,0)),"CUIT NO CARGADO")</f>
        <v>Gastos Varios</v>
      </c>
      <c r="R74" s="168" t="str">
        <f>IFERROR(IF(compras_mes10[[#This Row],[CUIT]]="","-",VLOOKUP(compras_mes10[[#This Row],[CUIT]],Lista_CUIT[#All],4,0)),"CUIT NO CARGADO")</f>
        <v>CABA</v>
      </c>
    </row>
    <row r="75" spans="1:18" x14ac:dyDescent="0.3">
      <c r="A75" s="158"/>
      <c r="B75" s="129">
        <v>44806</v>
      </c>
      <c r="C75" s="130">
        <v>1</v>
      </c>
      <c r="D75" s="131">
        <v>8969</v>
      </c>
      <c r="E75" s="132">
        <v>422</v>
      </c>
      <c r="F75" s="133">
        <v>30590360763</v>
      </c>
      <c r="G75" s="134" t="str">
        <f>IFERROR(IF(compras_mes10[[#This Row],[CUIT]]="","-",VLOOKUP(compras_mes10[[#This Row],[CUIT]],Lista_CUIT[#All],2,0)),"CUIT NO CARGADO")</f>
        <v>CENCOSUD S.A</v>
      </c>
      <c r="H75" s="135">
        <v>20934.09</v>
      </c>
      <c r="I75" s="136">
        <f>IF(compras_mes10[[#This Row],[NETO GRAVADO]]="","",compras_mes10[[#This Row],[NETO GRAVADO]]*0.21)</f>
        <v>4396.1588999999994</v>
      </c>
      <c r="J75" s="136"/>
      <c r="K75" s="136"/>
      <c r="L75" s="136">
        <v>628.02</v>
      </c>
      <c r="M75" s="136"/>
      <c r="N75" s="136">
        <v>1256.05</v>
      </c>
      <c r="O75" s="136"/>
      <c r="P75" s="137">
        <f>SUM(compras_mes10[[#This Row],[NETO GRAVADO]:[Otros / No Grav.]])</f>
        <v>27214.318899999998</v>
      </c>
      <c r="Q75" s="138" t="str">
        <f>IFERROR(IF(compras_mes10[[#This Row],[CUIT]]="","-",VLOOKUP(compras_mes10[[#This Row],[CUIT]],Lista_CUIT[#All],3,0)),"CUIT NO CARGADO")</f>
        <v>Gastos Varios</v>
      </c>
      <c r="R75" s="138">
        <f>IFERROR(IF(compras_mes10[[#This Row],[CUIT]]="","-",VLOOKUP(compras_mes10[[#This Row],[CUIT]],Lista_CUIT[#All],4,0)),"CUIT NO CARGADO")</f>
        <v>0</v>
      </c>
    </row>
    <row r="76" spans="1:18" x14ac:dyDescent="0.3">
      <c r="A76" s="158"/>
      <c r="B76" s="129">
        <v>44818</v>
      </c>
      <c r="C76" s="130">
        <v>1</v>
      </c>
      <c r="D76" s="131">
        <v>8261</v>
      </c>
      <c r="E76" s="132">
        <v>3029</v>
      </c>
      <c r="F76" s="133">
        <v>30590360763</v>
      </c>
      <c r="G76" s="134" t="str">
        <f>IFERROR(IF(compras_mes10[[#This Row],[CUIT]]="","-",VLOOKUP(compras_mes10[[#This Row],[CUIT]],Lista_CUIT[#All],2,0)),"CUIT NO CARGADO")</f>
        <v>CENCOSUD S.A</v>
      </c>
      <c r="H76" s="135">
        <v>10823.14</v>
      </c>
      <c r="I76" s="136">
        <f>IF(compras_mes10[[#This Row],[NETO GRAVADO]]="","",compras_mes10[[#This Row],[NETO GRAVADO]]*0.21)</f>
        <v>2272.8593999999998</v>
      </c>
      <c r="J76" s="136"/>
      <c r="K76" s="136"/>
      <c r="L76" s="136">
        <v>324.69</v>
      </c>
      <c r="M76" s="136"/>
      <c r="N76" s="136">
        <v>649.39</v>
      </c>
      <c r="O76" s="136"/>
      <c r="P76" s="137">
        <f>SUM(compras_mes10[[#This Row],[NETO GRAVADO]:[Otros / No Grav.]])</f>
        <v>14070.079399999999</v>
      </c>
      <c r="Q76" s="138" t="str">
        <f>IFERROR(IF(compras_mes10[[#This Row],[CUIT]]="","-",VLOOKUP(compras_mes10[[#This Row],[CUIT]],Lista_CUIT[#All],3,0)),"CUIT NO CARGADO")</f>
        <v>Gastos Varios</v>
      </c>
      <c r="R76" s="138">
        <f>IFERROR(IF(compras_mes10[[#This Row],[CUIT]]="","-",VLOOKUP(compras_mes10[[#This Row],[CUIT]],Lista_CUIT[#All],4,0)),"CUIT NO CARGADO")</f>
        <v>0</v>
      </c>
    </row>
    <row r="77" spans="1:18" x14ac:dyDescent="0.3">
      <c r="A77" s="158"/>
      <c r="B77" s="159">
        <v>44825</v>
      </c>
      <c r="C77" s="160">
        <v>1</v>
      </c>
      <c r="D77" s="161">
        <v>9363</v>
      </c>
      <c r="E77" s="162">
        <v>2892</v>
      </c>
      <c r="F77" s="163">
        <v>30590360763</v>
      </c>
      <c r="G77" s="164" t="str">
        <f>IFERROR(IF(compras_mes10[[#This Row],[CUIT]]="","-",VLOOKUP(compras_mes10[[#This Row],[CUIT]],Lista_CUIT[#All],2,0)),"CUIT NO CARGADO")</f>
        <v>CENCOSUD S.A</v>
      </c>
      <c r="H77" s="165">
        <v>512.4</v>
      </c>
      <c r="I77" s="166">
        <f>IF(compras_mes10[[#This Row],[NETO GRAVADO]]="","",compras_mes10[[#This Row],[NETO GRAVADO]]*0.21)</f>
        <v>107.60399999999998</v>
      </c>
      <c r="J77" s="166"/>
      <c r="K77" s="166"/>
      <c r="L77" s="166"/>
      <c r="M77" s="166"/>
      <c r="N77" s="166"/>
      <c r="O77" s="166"/>
      <c r="P77" s="167">
        <f>SUM(compras_mes10[[#This Row],[NETO GRAVADO]:[Otros / No Grav.]])</f>
        <v>620.00399999999991</v>
      </c>
      <c r="Q77" s="168" t="str">
        <f>IFERROR(IF(compras_mes10[[#This Row],[CUIT]]="","-",VLOOKUP(compras_mes10[[#This Row],[CUIT]],Lista_CUIT[#All],3,0)),"CUIT NO CARGADO")</f>
        <v>Gastos Varios</v>
      </c>
      <c r="R77" s="168">
        <f>IFERROR(IF(compras_mes10[[#This Row],[CUIT]]="","-",VLOOKUP(compras_mes10[[#This Row],[CUIT]],Lista_CUIT[#All],4,0)),"CUIT NO CARGADO")</f>
        <v>0</v>
      </c>
    </row>
    <row r="78" spans="1:18" x14ac:dyDescent="0.3">
      <c r="A78" s="158"/>
      <c r="B78" s="159">
        <v>44825</v>
      </c>
      <c r="C78" s="160">
        <v>1</v>
      </c>
      <c r="D78" s="161">
        <v>9367</v>
      </c>
      <c r="E78" s="162">
        <v>3367</v>
      </c>
      <c r="F78" s="163">
        <v>30590360763</v>
      </c>
      <c r="G78" s="164" t="str">
        <f>IFERROR(IF(compras_mes10[[#This Row],[CUIT]]="","-",VLOOKUP(compras_mes10[[#This Row],[CUIT]],Lista_CUIT[#All],2,0)),"CUIT NO CARGADO")</f>
        <v>CENCOSUD S.A</v>
      </c>
      <c r="H78" s="165">
        <v>27355.37</v>
      </c>
      <c r="I78" s="166">
        <f>IF(compras_mes10[[#This Row],[NETO GRAVADO]]="","",compras_mes10[[#This Row],[NETO GRAVADO]]*0.21)</f>
        <v>5744.6277</v>
      </c>
      <c r="J78" s="166"/>
      <c r="K78" s="166"/>
      <c r="L78" s="166"/>
      <c r="M78" s="166"/>
      <c r="N78" s="166"/>
      <c r="O78" s="166"/>
      <c r="P78" s="167">
        <f>SUM(compras_mes10[[#This Row],[NETO GRAVADO]:[Otros / No Grav.]])</f>
        <v>33099.9977</v>
      </c>
      <c r="Q78" s="168" t="str">
        <f>IFERROR(IF(compras_mes10[[#This Row],[CUIT]]="","-",VLOOKUP(compras_mes10[[#This Row],[CUIT]],Lista_CUIT[#All],3,0)),"CUIT NO CARGADO")</f>
        <v>Gastos Varios</v>
      </c>
      <c r="R78" s="168">
        <f>IFERROR(IF(compras_mes10[[#This Row],[CUIT]]="","-",VLOOKUP(compras_mes10[[#This Row],[CUIT]],Lista_CUIT[#All],4,0)),"CUIT NO CARGADO")</f>
        <v>0</v>
      </c>
    </row>
    <row r="79" spans="1:18" x14ac:dyDescent="0.3">
      <c r="A79" s="158"/>
      <c r="B79" s="129">
        <v>44828</v>
      </c>
      <c r="C79" s="130">
        <v>1</v>
      </c>
      <c r="D79" s="131">
        <v>8263</v>
      </c>
      <c r="E79" s="132">
        <v>4085</v>
      </c>
      <c r="F79" s="133">
        <v>30590360763</v>
      </c>
      <c r="G79" s="134" t="str">
        <f>IFERROR(IF(compras_mes10[[#This Row],[CUIT]]="","-",VLOOKUP(compras_mes10[[#This Row],[CUIT]],Lista_CUIT[#All],2,0)),"CUIT NO CARGADO")</f>
        <v>CENCOSUD S.A</v>
      </c>
      <c r="H79" s="135">
        <v>1338.84</v>
      </c>
      <c r="I79" s="136">
        <f>IF(compras_mes10[[#This Row],[NETO GRAVADO]]="","",compras_mes10[[#This Row],[NETO GRAVADO]]*0.21)</f>
        <v>281.15639999999996</v>
      </c>
      <c r="J79" s="136"/>
      <c r="K79" s="136"/>
      <c r="L79" s="136"/>
      <c r="M79" s="136"/>
      <c r="N79" s="136">
        <v>80.33</v>
      </c>
      <c r="O79" s="136"/>
      <c r="P79" s="137">
        <f>SUM(compras_mes10[[#This Row],[NETO GRAVADO]:[Otros / No Grav.]])</f>
        <v>1700.3263999999999</v>
      </c>
      <c r="Q79" s="138" t="str">
        <f>IFERROR(IF(compras_mes10[[#This Row],[CUIT]]="","-",VLOOKUP(compras_mes10[[#This Row],[CUIT]],Lista_CUIT[#All],3,0)),"CUIT NO CARGADO")</f>
        <v>Gastos Varios</v>
      </c>
      <c r="R79" s="138">
        <f>IFERROR(IF(compras_mes10[[#This Row],[CUIT]]="","-",VLOOKUP(compras_mes10[[#This Row],[CUIT]],Lista_CUIT[#All],4,0)),"CUIT NO CARGADO")</f>
        <v>0</v>
      </c>
    </row>
    <row r="80" spans="1:18" x14ac:dyDescent="0.3">
      <c r="A80" s="158"/>
      <c r="B80" s="129">
        <v>44807</v>
      </c>
      <c r="C80" s="130">
        <v>1</v>
      </c>
      <c r="D80" s="131">
        <v>2199</v>
      </c>
      <c r="E80" s="132">
        <v>17747</v>
      </c>
      <c r="F80" s="133">
        <v>30548083156</v>
      </c>
      <c r="G80" s="134" t="str">
        <f>IFERROR(IF(compras_mes10[[#This Row],[CUIT]]="","-",VLOOKUP(compras_mes10[[#This Row],[CUIT]],Lista_CUIT[#All],2,0)),"CUIT NO CARGADO")</f>
        <v>COTO  S.A.</v>
      </c>
      <c r="H80" s="135">
        <v>4534.32</v>
      </c>
      <c r="I80" s="136">
        <v>487.39</v>
      </c>
      <c r="J80" s="136"/>
      <c r="K80" s="136">
        <v>232.41</v>
      </c>
      <c r="L80" s="136">
        <v>69.63</v>
      </c>
      <c r="M80" s="136"/>
      <c r="N80" s="136">
        <v>252.65</v>
      </c>
      <c r="O80" s="136"/>
      <c r="P80" s="137">
        <f>SUM(compras_mes10[[#This Row],[NETO GRAVADO]:[Otros / No Grav.]])</f>
        <v>5576.4</v>
      </c>
      <c r="Q80" s="138" t="str">
        <f>IFERROR(IF(compras_mes10[[#This Row],[CUIT]]="","-",VLOOKUP(compras_mes10[[#This Row],[CUIT]],Lista_CUIT[#All],3,0)),"CUIT NO CARGADO")</f>
        <v>Gastos Varios</v>
      </c>
      <c r="R80" s="138">
        <f>IFERROR(IF(compras_mes10[[#This Row],[CUIT]]="","-",VLOOKUP(compras_mes10[[#This Row],[CUIT]],Lista_CUIT[#All],4,0)),"CUIT NO CARGADO")</f>
        <v>0</v>
      </c>
    </row>
    <row r="81" spans="1:18" s="158" customFormat="1" x14ac:dyDescent="0.3">
      <c r="B81" s="129">
        <v>44812</v>
      </c>
      <c r="C81" s="130">
        <v>1</v>
      </c>
      <c r="D81" s="131">
        <v>2188</v>
      </c>
      <c r="E81" s="132">
        <v>72566</v>
      </c>
      <c r="F81" s="133">
        <v>30548083156</v>
      </c>
      <c r="G81" s="134" t="str">
        <f>IFERROR(IF(compras_mes10[[#This Row],[CUIT]]="","-",VLOOKUP(compras_mes10[[#This Row],[CUIT]],Lista_CUIT[#All],2,0)),"CUIT NO CARGADO")</f>
        <v>COTO  S.A.</v>
      </c>
      <c r="H81" s="135">
        <v>8177.26</v>
      </c>
      <c r="I81" s="136">
        <v>1654.61</v>
      </c>
      <c r="J81" s="136"/>
      <c r="K81" s="136">
        <v>31.31</v>
      </c>
      <c r="L81" s="136">
        <v>236.37</v>
      </c>
      <c r="M81" s="136"/>
      <c r="N81" s="136">
        <v>478.18</v>
      </c>
      <c r="O81" s="136"/>
      <c r="P81" s="137">
        <f>SUM(compras_mes10[[#This Row],[NETO GRAVADO]:[Otros / No Grav.]])</f>
        <v>10577.730000000001</v>
      </c>
      <c r="Q81" s="138" t="str">
        <f>IFERROR(IF(compras_mes10[[#This Row],[CUIT]]="","-",VLOOKUP(compras_mes10[[#This Row],[CUIT]],Lista_CUIT[#All],3,0)),"CUIT NO CARGADO")</f>
        <v>Gastos Varios</v>
      </c>
      <c r="R81" s="138">
        <f>IFERROR(IF(compras_mes10[[#This Row],[CUIT]]="","-",VLOOKUP(compras_mes10[[#This Row],[CUIT]],Lista_CUIT[#All],4,0)),"CUIT NO CARGADO")</f>
        <v>0</v>
      </c>
    </row>
    <row r="82" spans="1:18" s="157" customFormat="1" x14ac:dyDescent="0.3">
      <c r="A82" s="158"/>
      <c r="B82" s="129">
        <v>44812</v>
      </c>
      <c r="C82" s="130">
        <v>1</v>
      </c>
      <c r="D82" s="131">
        <v>2199</v>
      </c>
      <c r="E82" s="132">
        <v>17836</v>
      </c>
      <c r="F82" s="133">
        <v>30548083156</v>
      </c>
      <c r="G82" s="134" t="str">
        <f>IFERROR(IF(compras_mes10[[#This Row],[CUIT]]="","-",VLOOKUP(compras_mes10[[#This Row],[CUIT]],Lista_CUIT[#All],2,0)),"CUIT NO CARGADO")</f>
        <v>COTO  S.A.</v>
      </c>
      <c r="H82" s="135">
        <v>11677.77</v>
      </c>
      <c r="I82" s="136">
        <v>2029.5</v>
      </c>
      <c r="J82" s="136"/>
      <c r="K82" s="136">
        <v>211.42</v>
      </c>
      <c r="L82" s="136">
        <v>287.31</v>
      </c>
      <c r="M82" s="136"/>
      <c r="N82" s="136">
        <v>685.69</v>
      </c>
      <c r="O82" s="136"/>
      <c r="P82" s="137">
        <f>SUM(compras_mes10[[#This Row],[NETO GRAVADO]:[Otros / No Grav.]])</f>
        <v>14891.69</v>
      </c>
      <c r="Q82" s="138" t="str">
        <f>IFERROR(IF(compras_mes10[[#This Row],[CUIT]]="","-",VLOOKUP(compras_mes10[[#This Row],[CUIT]],Lista_CUIT[#All],3,0)),"CUIT NO CARGADO")</f>
        <v>Gastos Varios</v>
      </c>
      <c r="R82" s="138">
        <f>IFERROR(IF(compras_mes10[[#This Row],[CUIT]]="","-",VLOOKUP(compras_mes10[[#This Row],[CUIT]],Lista_CUIT[#All],4,0)),"CUIT NO CARGADO")</f>
        <v>0</v>
      </c>
    </row>
    <row r="83" spans="1:18" x14ac:dyDescent="0.3">
      <c r="A83" s="158"/>
      <c r="B83" s="129">
        <v>44821</v>
      </c>
      <c r="C83" s="130">
        <v>1</v>
      </c>
      <c r="D83" s="131">
        <v>2199</v>
      </c>
      <c r="E83" s="132">
        <v>17973</v>
      </c>
      <c r="F83" s="133">
        <v>30548083156</v>
      </c>
      <c r="G83" s="134" t="str">
        <f>IFERROR(IF(compras_mes10[[#This Row],[CUIT]]="","-",VLOOKUP(compras_mes10[[#This Row],[CUIT]],Lista_CUIT[#All],2,0)),"CUIT NO CARGADO")</f>
        <v>COTO  S.A.</v>
      </c>
      <c r="H83" s="135">
        <v>3419.64</v>
      </c>
      <c r="I83" s="136">
        <v>230.36</v>
      </c>
      <c r="J83" s="136"/>
      <c r="K83" s="136">
        <v>243.88</v>
      </c>
      <c r="L83" s="136"/>
      <c r="M83" s="136"/>
      <c r="N83" s="136"/>
      <c r="O83" s="136"/>
      <c r="P83" s="137">
        <f>SUM(compras_mes10[[#This Row],[NETO GRAVADO]:[Otros / No Grav.]])</f>
        <v>3893.88</v>
      </c>
      <c r="Q83" s="138" t="str">
        <f>IFERROR(IF(compras_mes10[[#This Row],[CUIT]]="","-",VLOOKUP(compras_mes10[[#This Row],[CUIT]],Lista_CUIT[#All],3,0)),"CUIT NO CARGADO")</f>
        <v>Gastos Varios</v>
      </c>
      <c r="R83" s="138">
        <f>IFERROR(IF(compras_mes10[[#This Row],[CUIT]]="","-",VLOOKUP(compras_mes10[[#This Row],[CUIT]],Lista_CUIT[#All],4,0)),"CUIT NO CARGADO")</f>
        <v>0</v>
      </c>
    </row>
    <row r="84" spans="1:18" s="158" customFormat="1" ht="13.2" customHeight="1" x14ac:dyDescent="0.3">
      <c r="B84" s="129">
        <v>44821</v>
      </c>
      <c r="C84" s="130">
        <v>1</v>
      </c>
      <c r="D84" s="131">
        <v>2188</v>
      </c>
      <c r="E84" s="132">
        <v>73109</v>
      </c>
      <c r="F84" s="133">
        <v>30548083156</v>
      </c>
      <c r="G84" s="134" t="str">
        <f>IFERROR(IF(compras_mes10[[#This Row],[CUIT]]="","-",VLOOKUP(compras_mes10[[#This Row],[CUIT]],Lista_CUIT[#All],2,0)),"CUIT NO CARGADO")</f>
        <v>COTO  S.A.</v>
      </c>
      <c r="H84" s="135">
        <v>14307.08</v>
      </c>
      <c r="I84" s="136">
        <v>2694.35</v>
      </c>
      <c r="J84" s="136"/>
      <c r="K84" s="136">
        <v>155.07</v>
      </c>
      <c r="L84" s="136">
        <v>359.28</v>
      </c>
      <c r="M84" s="136"/>
      <c r="N84" s="136">
        <v>809.07</v>
      </c>
      <c r="O84" s="136"/>
      <c r="P84" s="137">
        <f>SUM(compras_mes10[[#This Row],[NETO GRAVADO]:[Otros / No Grav.]])</f>
        <v>18324.849999999999</v>
      </c>
      <c r="Q84" s="138" t="str">
        <f>IFERROR(IF(compras_mes10[[#This Row],[CUIT]]="","-",VLOOKUP(compras_mes10[[#This Row],[CUIT]],Lista_CUIT[#All],3,0)),"CUIT NO CARGADO")</f>
        <v>Gastos Varios</v>
      </c>
      <c r="R84" s="138">
        <f>IFERROR(IF(compras_mes10[[#This Row],[CUIT]]="","-",VLOOKUP(compras_mes10[[#This Row],[CUIT]],Lista_CUIT[#All],4,0)),"CUIT NO CARGADO")</f>
        <v>0</v>
      </c>
    </row>
    <row r="85" spans="1:18" x14ac:dyDescent="0.3">
      <c r="A85" s="158"/>
      <c r="B85" s="129">
        <v>44821</v>
      </c>
      <c r="C85" s="130">
        <v>1</v>
      </c>
      <c r="D85" s="131">
        <v>2199</v>
      </c>
      <c r="E85" s="132">
        <v>17972</v>
      </c>
      <c r="F85" s="133">
        <v>30548083156</v>
      </c>
      <c r="G85" s="134" t="str">
        <f>IFERROR(IF(compras_mes10[[#This Row],[CUIT]]="","-",VLOOKUP(compras_mes10[[#This Row],[CUIT]],Lista_CUIT[#All],2,0)),"CUIT NO CARGADO")</f>
        <v>COTO  S.A.</v>
      </c>
      <c r="H85" s="135">
        <v>30371.279999999999</v>
      </c>
      <c r="I85" s="136">
        <f>IF(compras_mes10[[#This Row],[NETO GRAVADO]]="","",compras_mes10[[#This Row],[NETO GRAVADO]]*0.21)</f>
        <v>6377.9687999999996</v>
      </c>
      <c r="J85" s="136"/>
      <c r="K85" s="136"/>
      <c r="L85" s="136">
        <v>911.14</v>
      </c>
      <c r="M85" s="136"/>
      <c r="N85" s="136"/>
      <c r="O85" s="136"/>
      <c r="P85" s="137">
        <f>SUM(compras_mes10[[#This Row],[NETO GRAVADO]:[Otros / No Grav.]])</f>
        <v>37660.388800000001</v>
      </c>
      <c r="Q85" s="138" t="str">
        <f>IFERROR(IF(compras_mes10[[#This Row],[CUIT]]="","-",VLOOKUP(compras_mes10[[#This Row],[CUIT]],Lista_CUIT[#All],3,0)),"CUIT NO CARGADO")</f>
        <v>Gastos Varios</v>
      </c>
      <c r="R85" s="138">
        <f>IFERROR(IF(compras_mes10[[#This Row],[CUIT]]="","-",VLOOKUP(compras_mes10[[#This Row],[CUIT]],Lista_CUIT[#All],4,0)),"CUIT NO CARGADO")</f>
        <v>0</v>
      </c>
    </row>
    <row r="86" spans="1:18" x14ac:dyDescent="0.3">
      <c r="A86" s="158"/>
      <c r="B86" s="129">
        <v>44826</v>
      </c>
      <c r="C86" s="130">
        <v>1</v>
      </c>
      <c r="D86" s="131">
        <v>2199</v>
      </c>
      <c r="E86" s="132">
        <v>18059</v>
      </c>
      <c r="F86" s="133">
        <v>30548083156</v>
      </c>
      <c r="G86" s="134" t="str">
        <f>IFERROR(IF(compras_mes10[[#This Row],[CUIT]]="","-",VLOOKUP(compras_mes10[[#This Row],[CUIT]],Lista_CUIT[#All],2,0)),"CUIT NO CARGADO")</f>
        <v>COTO  S.A.</v>
      </c>
      <c r="H86" s="135">
        <v>5696.45</v>
      </c>
      <c r="I86" s="136">
        <v>501.14</v>
      </c>
      <c r="J86" s="136"/>
      <c r="K86" s="136">
        <v>347.56</v>
      </c>
      <c r="L86" s="136">
        <v>71.59</v>
      </c>
      <c r="M86" s="136"/>
      <c r="N86" s="136">
        <v>291.02999999999997</v>
      </c>
      <c r="O86" s="136"/>
      <c r="P86" s="137">
        <f>SUM(compras_mes10[[#This Row],[NETO GRAVADO]:[Otros / No Grav.]])</f>
        <v>6907.77</v>
      </c>
      <c r="Q86" s="138" t="str">
        <f>IFERROR(IF(compras_mes10[[#This Row],[CUIT]]="","-",VLOOKUP(compras_mes10[[#This Row],[CUIT]],Lista_CUIT[#All],3,0)),"CUIT NO CARGADO")</f>
        <v>Gastos Varios</v>
      </c>
      <c r="R86" s="138">
        <f>IFERROR(IF(compras_mes10[[#This Row],[CUIT]]="","-",VLOOKUP(compras_mes10[[#This Row],[CUIT]],Lista_CUIT[#All],4,0)),"CUIT NO CARGADO")</f>
        <v>0</v>
      </c>
    </row>
    <row r="87" spans="1:18" x14ac:dyDescent="0.3">
      <c r="A87" s="158"/>
      <c r="B87" s="129">
        <v>44826</v>
      </c>
      <c r="C87" s="130">
        <v>1</v>
      </c>
      <c r="D87" s="131">
        <v>2188</v>
      </c>
      <c r="E87" s="132">
        <v>73440</v>
      </c>
      <c r="F87" s="133">
        <v>30548083156</v>
      </c>
      <c r="G87" s="134" t="str">
        <f>IFERROR(IF(compras_mes10[[#This Row],[CUIT]]="","-",VLOOKUP(compras_mes10[[#This Row],[CUIT]],Lista_CUIT[#All],2,0)),"CUIT NO CARGADO")</f>
        <v>COTO  S.A.</v>
      </c>
      <c r="H87" s="135">
        <v>9880.93</v>
      </c>
      <c r="I87" s="136">
        <v>1977.86</v>
      </c>
      <c r="J87" s="136"/>
      <c r="K87" s="136">
        <v>48.57</v>
      </c>
      <c r="L87" s="136">
        <v>279.49</v>
      </c>
      <c r="M87" s="136"/>
      <c r="N87" s="136">
        <v>592.86</v>
      </c>
      <c r="O87" s="136"/>
      <c r="P87" s="137">
        <f>SUM(compras_mes10[[#This Row],[NETO GRAVADO]:[Otros / No Grav.]])</f>
        <v>12779.710000000001</v>
      </c>
      <c r="Q87" s="138" t="str">
        <f>IFERROR(IF(compras_mes10[[#This Row],[CUIT]]="","-",VLOOKUP(compras_mes10[[#This Row],[CUIT]],Lista_CUIT[#All],3,0)),"CUIT NO CARGADO")</f>
        <v>Gastos Varios</v>
      </c>
      <c r="R87" s="138">
        <f>IFERROR(IF(compras_mes10[[#This Row],[CUIT]]="","-",VLOOKUP(compras_mes10[[#This Row],[CUIT]],Lista_CUIT[#All],4,0)),"CUIT NO CARGADO")</f>
        <v>0</v>
      </c>
    </row>
    <row r="88" spans="1:18" x14ac:dyDescent="0.3">
      <c r="A88" s="158"/>
      <c r="B88" s="159">
        <v>44832</v>
      </c>
      <c r="C88" s="160">
        <v>1</v>
      </c>
      <c r="D88" s="161">
        <v>2188</v>
      </c>
      <c r="E88" s="162">
        <v>73795</v>
      </c>
      <c r="F88" s="163">
        <v>30548083156</v>
      </c>
      <c r="G88" s="164" t="str">
        <f>IFERROR(IF(compras_mes10[[#This Row],[CUIT]]="","-",VLOOKUP(compras_mes10[[#This Row],[CUIT]],Lista_CUIT[#All],2,0)),"CUIT NO CARGADO")</f>
        <v>COTO  S.A.</v>
      </c>
      <c r="H88" s="165">
        <v>5914.58</v>
      </c>
      <c r="I88" s="166"/>
      <c r="J88" s="166">
        <v>1194.74</v>
      </c>
      <c r="K88" s="166"/>
      <c r="L88" s="166"/>
      <c r="M88" s="166"/>
      <c r="N88" s="166"/>
      <c r="O88" s="166"/>
      <c r="P88" s="167">
        <f>SUM(compras_mes10[[#This Row],[NETO GRAVADO]:[Otros / No Grav.]])</f>
        <v>7109.32</v>
      </c>
      <c r="Q88" s="168" t="str">
        <f>IFERROR(IF(compras_mes10[[#This Row],[CUIT]]="","-",VLOOKUP(compras_mes10[[#This Row],[CUIT]],Lista_CUIT[#All],3,0)),"CUIT NO CARGADO")</f>
        <v>Gastos Varios</v>
      </c>
      <c r="R88" s="168">
        <f>IFERROR(IF(compras_mes10[[#This Row],[CUIT]]="","-",VLOOKUP(compras_mes10[[#This Row],[CUIT]],Lista_CUIT[#All],4,0)),"CUIT NO CARGADO")</f>
        <v>0</v>
      </c>
    </row>
    <row r="89" spans="1:18" x14ac:dyDescent="0.3">
      <c r="A89" s="158"/>
      <c r="B89" s="159">
        <v>44825</v>
      </c>
      <c r="C89" s="160">
        <v>1</v>
      </c>
      <c r="D89" s="161">
        <v>10</v>
      </c>
      <c r="E89" s="162">
        <v>9656</v>
      </c>
      <c r="F89" s="163">
        <v>30707153675</v>
      </c>
      <c r="G89" s="164" t="str">
        <f>IFERROR(IF(compras_mes10[[#This Row],[CUIT]]="","-",VLOOKUP(compras_mes10[[#This Row],[CUIT]],Lista_CUIT[#All],2,0)),"CUIT NO CARGADO")</f>
        <v>D.M.X S.R.L.</v>
      </c>
      <c r="H89" s="165">
        <v>3645.73</v>
      </c>
      <c r="I89" s="166">
        <f>IF(compras_mes10[[#This Row],[NETO GRAVADO]]="","",compras_mes10[[#This Row],[NETO GRAVADO]]*0.21)</f>
        <v>765.60329999999999</v>
      </c>
      <c r="J89" s="166"/>
      <c r="K89" s="166"/>
      <c r="L89" s="166"/>
      <c r="M89" s="166"/>
      <c r="N89" s="166"/>
      <c r="O89" s="166"/>
      <c r="P89" s="167">
        <f>SUM(compras_mes10[[#This Row],[NETO GRAVADO]:[Otros / No Grav.]])</f>
        <v>4411.3333000000002</v>
      </c>
      <c r="Q89" s="168" t="str">
        <f>IFERROR(IF(compras_mes10[[#This Row],[CUIT]]="","-",VLOOKUP(compras_mes10[[#This Row],[CUIT]],Lista_CUIT[#All],3,0)),"CUIT NO CARGADO")</f>
        <v>Gastos Varios</v>
      </c>
      <c r="R89" s="168">
        <f>IFERROR(IF(compras_mes10[[#This Row],[CUIT]]="","-",VLOOKUP(compras_mes10[[#This Row],[CUIT]],Lista_CUIT[#All],4,0)),"CUIT NO CARGADO")</f>
        <v>0</v>
      </c>
    </row>
    <row r="90" spans="1:18" x14ac:dyDescent="0.3">
      <c r="A90" s="158"/>
      <c r="B90" s="159">
        <v>44833</v>
      </c>
      <c r="C90" s="160">
        <v>1</v>
      </c>
      <c r="D90" s="161">
        <v>31</v>
      </c>
      <c r="E90" s="162">
        <v>1090</v>
      </c>
      <c r="F90" s="163">
        <v>30707811621</v>
      </c>
      <c r="G90" s="164" t="str">
        <f>IFERROR(IF(compras_mes10[[#This Row],[CUIT]]="","-",VLOOKUP(compras_mes10[[#This Row],[CUIT]],Lista_CUIT[#All],2,0)),"CUIT NO CARGADO")</f>
        <v>ECLERIS SRL</v>
      </c>
      <c r="H90" s="165">
        <v>29752.07</v>
      </c>
      <c r="I90" s="166">
        <f>IF(compras_mes10[[#This Row],[NETO GRAVADO]]="","",compras_mes10[[#This Row],[NETO GRAVADO]]*0.21)</f>
        <v>6247.9346999999998</v>
      </c>
      <c r="J90" s="166"/>
      <c r="K90" s="166"/>
      <c r="L90" s="166"/>
      <c r="M90" s="166"/>
      <c r="N90" s="166"/>
      <c r="O90" s="166"/>
      <c r="P90" s="167">
        <f>SUM(compras_mes10[[#This Row],[NETO GRAVADO]:[Otros / No Grav.]])</f>
        <v>36000.004699999998</v>
      </c>
      <c r="Q90" s="168" t="str">
        <f>IFERROR(IF(compras_mes10[[#This Row],[CUIT]]="","-",VLOOKUP(compras_mes10[[#This Row],[CUIT]],Lista_CUIT[#All],3,0)),"CUIT NO CARGADO")</f>
        <v>Gastos Varios</v>
      </c>
      <c r="R90" s="168">
        <f>IFERROR(IF(compras_mes10[[#This Row],[CUIT]]="","-",VLOOKUP(compras_mes10[[#This Row],[CUIT]],Lista_CUIT[#All],4,0)),"CUIT NO CARGADO")</f>
        <v>0</v>
      </c>
    </row>
    <row r="91" spans="1:18" x14ac:dyDescent="0.3">
      <c r="A91" s="158"/>
      <c r="B91" s="129">
        <v>44832</v>
      </c>
      <c r="C91" s="130">
        <v>1</v>
      </c>
      <c r="D91" s="131">
        <v>5</v>
      </c>
      <c r="E91" s="132">
        <v>18964</v>
      </c>
      <c r="F91" s="133">
        <v>30616146447</v>
      </c>
      <c r="G91" s="134" t="str">
        <f>IFERROR(IF(compras_mes10[[#This Row],[CUIT]]="","-",VLOOKUP(compras_mes10[[#This Row],[CUIT]],Lista_CUIT[#All],2,0)),"CUIT NO CARGADO")</f>
        <v>EGEO SOCIEDAD DE RESPONSABILIDAD LIMITADA</v>
      </c>
      <c r="H91" s="135">
        <v>88000</v>
      </c>
      <c r="I91" s="136">
        <f>IF(compras_mes10[[#This Row],[NETO GRAVADO]]="","",compras_mes10[[#This Row],[NETO GRAVADO]]*0.21)</f>
        <v>18480</v>
      </c>
      <c r="J91" s="136"/>
      <c r="K91" s="136"/>
      <c r="L91" s="136"/>
      <c r="M91" s="136"/>
      <c r="N91" s="136"/>
      <c r="O91" s="136"/>
      <c r="P91" s="137">
        <f>SUM(compras_mes10[[#This Row],[NETO GRAVADO]:[Otros / No Grav.]])</f>
        <v>106480</v>
      </c>
      <c r="Q91" s="138" t="str">
        <f>IFERROR(IF(compras_mes10[[#This Row],[CUIT]]="","-",VLOOKUP(compras_mes10[[#This Row],[CUIT]],Lista_CUIT[#All],3,0)),"CUIT NO CARGADO")</f>
        <v>Gastos Varios</v>
      </c>
      <c r="R91" s="138">
        <f>IFERROR(IF(compras_mes10[[#This Row],[CUIT]]="","-",VLOOKUP(compras_mes10[[#This Row],[CUIT]],Lista_CUIT[#All],4,0)),"CUIT NO CARGADO")</f>
        <v>0</v>
      </c>
    </row>
    <row r="92" spans="1:18" x14ac:dyDescent="0.3">
      <c r="A92" s="158"/>
      <c r="B92" s="159">
        <v>44824</v>
      </c>
      <c r="C92" s="160">
        <v>1</v>
      </c>
      <c r="D92" s="161">
        <v>3</v>
      </c>
      <c r="E92" s="162">
        <v>235642</v>
      </c>
      <c r="F92" s="163">
        <v>30709131865</v>
      </c>
      <c r="G92" s="164" t="str">
        <f>IFERROR(IF(compras_mes10[[#This Row],[CUIT]]="","-",VLOOKUP(compras_mes10[[#This Row],[CUIT]],Lista_CUIT[#All],2,0)),"CUIT NO CARGADO")</f>
        <v>EMPRENDIMIENTOS SATELITALES SA</v>
      </c>
      <c r="H92" s="165">
        <v>367.72</v>
      </c>
      <c r="I92" s="166">
        <f>IF(compras_mes10[[#This Row],[NETO GRAVADO]]="","",compras_mes10[[#This Row],[NETO GRAVADO]]*0.21)</f>
        <v>77.221199999999996</v>
      </c>
      <c r="J92" s="166"/>
      <c r="K92" s="166"/>
      <c r="L92" s="166"/>
      <c r="M92" s="166"/>
      <c r="N92" s="166"/>
      <c r="O92" s="166"/>
      <c r="P92" s="167">
        <f>SUM(compras_mes10[[#This Row],[NETO GRAVADO]:[Otros / No Grav.]])</f>
        <v>444.94120000000004</v>
      </c>
      <c r="Q92" s="168" t="str">
        <f>IFERROR(IF(compras_mes10[[#This Row],[CUIT]]="","-",VLOOKUP(compras_mes10[[#This Row],[CUIT]],Lista_CUIT[#All],3,0)),"CUIT NO CARGADO")</f>
        <v>Gastos Varios</v>
      </c>
      <c r="R92" s="168">
        <f>IFERROR(IF(compras_mes10[[#This Row],[CUIT]]="","-",VLOOKUP(compras_mes10[[#This Row],[CUIT]],Lista_CUIT[#All],4,0)),"CUIT NO CARGADO")</f>
        <v>0</v>
      </c>
    </row>
    <row r="93" spans="1:18" x14ac:dyDescent="0.3">
      <c r="A93" s="158"/>
      <c r="B93" s="159">
        <v>44824</v>
      </c>
      <c r="C93" s="160">
        <v>1</v>
      </c>
      <c r="D93" s="161">
        <v>3</v>
      </c>
      <c r="E93" s="162">
        <v>235643</v>
      </c>
      <c r="F93" s="163">
        <v>30709131865</v>
      </c>
      <c r="G93" s="164" t="str">
        <f>IFERROR(IF(compras_mes10[[#This Row],[CUIT]]="","-",VLOOKUP(compras_mes10[[#This Row],[CUIT]],Lista_CUIT[#All],2,0)),"CUIT NO CARGADO")</f>
        <v>EMPRENDIMIENTOS SATELITALES SA</v>
      </c>
      <c r="H93" s="165">
        <v>367.72</v>
      </c>
      <c r="I93" s="166">
        <f>IF(compras_mes10[[#This Row],[NETO GRAVADO]]="","",compras_mes10[[#This Row],[NETO GRAVADO]]*0.21)</f>
        <v>77.221199999999996</v>
      </c>
      <c r="J93" s="166"/>
      <c r="K93" s="166"/>
      <c r="L93" s="166"/>
      <c r="M93" s="166"/>
      <c r="N93" s="166"/>
      <c r="O93" s="166"/>
      <c r="P93" s="167">
        <f>SUM(compras_mes10[[#This Row],[NETO GRAVADO]:[Otros / No Grav.]])</f>
        <v>444.94120000000004</v>
      </c>
      <c r="Q93" s="168" t="str">
        <f>IFERROR(IF(compras_mes10[[#This Row],[CUIT]]="","-",VLOOKUP(compras_mes10[[#This Row],[CUIT]],Lista_CUIT[#All],3,0)),"CUIT NO CARGADO")</f>
        <v>Gastos Varios</v>
      </c>
      <c r="R93" s="168">
        <f>IFERROR(IF(compras_mes10[[#This Row],[CUIT]]="","-",VLOOKUP(compras_mes10[[#This Row],[CUIT]],Lista_CUIT[#All],4,0)),"CUIT NO CARGADO")</f>
        <v>0</v>
      </c>
    </row>
    <row r="94" spans="1:18" x14ac:dyDescent="0.3">
      <c r="A94" s="158"/>
      <c r="B94" s="159">
        <v>44827</v>
      </c>
      <c r="C94" s="160">
        <v>1</v>
      </c>
      <c r="D94" s="161">
        <v>3</v>
      </c>
      <c r="E94" s="162">
        <v>4935</v>
      </c>
      <c r="F94" s="163">
        <v>20352729451</v>
      </c>
      <c r="G94" s="164" t="str">
        <f>IFERROR(IF(compras_mes10[[#This Row],[CUIT]]="","-",VLOOKUP(compras_mes10[[#This Row],[CUIT]],Lista_CUIT[#All],2,0)),"CUIT NO CARGADO")</f>
        <v>FERRARO DARIO EZEQUIEL</v>
      </c>
      <c r="H94" s="165">
        <v>5776.86</v>
      </c>
      <c r="I94" s="166">
        <f>IF(compras_mes10[[#This Row],[NETO GRAVADO]]="","",compras_mes10[[#This Row],[NETO GRAVADO]]*0.21)</f>
        <v>1213.1405999999999</v>
      </c>
      <c r="J94" s="166"/>
      <c r="K94" s="166"/>
      <c r="L94" s="166"/>
      <c r="M94" s="166"/>
      <c r="N94" s="166"/>
      <c r="O94" s="166"/>
      <c r="P94" s="167">
        <f>SUM(compras_mes10[[#This Row],[NETO GRAVADO]:[Otros / No Grav.]])</f>
        <v>6990.0005999999994</v>
      </c>
      <c r="Q94" s="168" t="str">
        <f>IFERROR(IF(compras_mes10[[#This Row],[CUIT]]="","-",VLOOKUP(compras_mes10[[#This Row],[CUIT]],Lista_CUIT[#All],3,0)),"CUIT NO CARGADO")</f>
        <v>Gastos Varios</v>
      </c>
      <c r="R94" s="168">
        <f>IFERROR(IF(compras_mes10[[#This Row],[CUIT]]="","-",VLOOKUP(compras_mes10[[#This Row],[CUIT]],Lista_CUIT[#All],4,0)),"CUIT NO CARGADO")</f>
        <v>0</v>
      </c>
    </row>
    <row r="95" spans="1:18" x14ac:dyDescent="0.3">
      <c r="A95" s="158"/>
      <c r="B95" s="159">
        <v>44825</v>
      </c>
      <c r="C95" s="160">
        <v>1</v>
      </c>
      <c r="D95" s="161">
        <v>5</v>
      </c>
      <c r="E95" s="162">
        <v>5198</v>
      </c>
      <c r="F95" s="163">
        <v>30716620162</v>
      </c>
      <c r="G95" s="164" t="str">
        <f>IFERROR(IF(compras_mes10[[#This Row],[CUIT]]="","-",VLOOKUP(compras_mes10[[#This Row],[CUIT]],Lista_CUIT[#All],2,0)),"CUIT NO CARGADO")</f>
        <v>GERBIO</v>
      </c>
      <c r="H95" s="165">
        <v>6042.53</v>
      </c>
      <c r="I95" s="166"/>
      <c r="J95" s="166">
        <v>634.47</v>
      </c>
      <c r="K95" s="166"/>
      <c r="L95" s="166"/>
      <c r="M95" s="166"/>
      <c r="N95" s="166"/>
      <c r="O95" s="166"/>
      <c r="P95" s="167">
        <f>SUM(compras_mes10[[#This Row],[NETO GRAVADO]:[Otros / No Grav.]])</f>
        <v>6677</v>
      </c>
      <c r="Q95" s="168" t="str">
        <f>IFERROR(IF(compras_mes10[[#This Row],[CUIT]]="","-",VLOOKUP(compras_mes10[[#This Row],[CUIT]],Lista_CUIT[#All],3,0)),"CUIT NO CARGADO")</f>
        <v>Gastos Varios</v>
      </c>
      <c r="R95" s="168">
        <f>IFERROR(IF(compras_mes10[[#This Row],[CUIT]]="","-",VLOOKUP(compras_mes10[[#This Row],[CUIT]],Lista_CUIT[#All],4,0)),"CUIT NO CARGADO")</f>
        <v>0</v>
      </c>
    </row>
    <row r="96" spans="1:18" x14ac:dyDescent="0.3">
      <c r="A96" s="158"/>
      <c r="B96" s="129">
        <v>44814</v>
      </c>
      <c r="C96" s="130">
        <v>1</v>
      </c>
      <c r="D96" s="131">
        <v>8</v>
      </c>
      <c r="E96" s="132">
        <v>772</v>
      </c>
      <c r="F96" s="133">
        <v>20388915413</v>
      </c>
      <c r="G96" s="134" t="str">
        <f>IFERROR(IF(compras_mes10[[#This Row],[CUIT]]="","-",VLOOKUP(compras_mes10[[#This Row],[CUIT]],Lista_CUIT[#All],2,0)),"CUIT NO CARGADO")</f>
        <v>GONZALO  MARTIN  GUENZANI</v>
      </c>
      <c r="H96" s="135">
        <v>8350</v>
      </c>
      <c r="I96" s="136">
        <f>IF(compras_mes10[[#This Row],[NETO GRAVADO]]="","",compras_mes10[[#This Row],[NETO GRAVADO]]*0.21)</f>
        <v>1753.5</v>
      </c>
      <c r="J96" s="136"/>
      <c r="K96" s="136"/>
      <c r="L96" s="136"/>
      <c r="M96" s="136"/>
      <c r="N96" s="136"/>
      <c r="O96" s="136"/>
      <c r="P96" s="137">
        <f>SUM(compras_mes10[[#This Row],[NETO GRAVADO]:[Otros / No Grav.]])</f>
        <v>10103.5</v>
      </c>
      <c r="Q96" s="138" t="str">
        <f>IFERROR(IF(compras_mes10[[#This Row],[CUIT]]="","-",VLOOKUP(compras_mes10[[#This Row],[CUIT]],Lista_CUIT[#All],3,0)),"CUIT NO CARGADO")</f>
        <v>Gastos Varios</v>
      </c>
      <c r="R96" s="138" t="str">
        <f>IFERROR(IF(compras_mes10[[#This Row],[CUIT]]="","-",VLOOKUP(compras_mes10[[#This Row],[CUIT]],Lista_CUIT[#All],4,0)),"CUIT NO CARGADO")</f>
        <v>BUENOS AIRES</v>
      </c>
    </row>
    <row r="97" spans="1:18" x14ac:dyDescent="0.3">
      <c r="A97" s="158"/>
      <c r="B97" s="129">
        <v>44817</v>
      </c>
      <c r="C97" s="130">
        <v>1</v>
      </c>
      <c r="D97" s="131">
        <v>8</v>
      </c>
      <c r="E97" s="132">
        <v>61134</v>
      </c>
      <c r="F97" s="133">
        <v>30714295957</v>
      </c>
      <c r="G97" s="134" t="str">
        <f>IFERROR(IF(compras_mes10[[#This Row],[CUIT]]="","-",VLOOKUP(compras_mes10[[#This Row],[CUIT]],Lista_CUIT[#All],2,0)),"CUIT NO CARGADO")</f>
        <v>IT  BROKERS  S.A.</v>
      </c>
      <c r="H97" s="135">
        <v>7993.88</v>
      </c>
      <c r="I97" s="136">
        <f>IF(compras_mes10[[#This Row],[NETO GRAVADO]]="","",compras_mes10[[#This Row],[NETO GRAVADO]]*0.21)</f>
        <v>1678.7148</v>
      </c>
      <c r="J97" s="136"/>
      <c r="K97" s="136"/>
      <c r="L97" s="136"/>
      <c r="M97" s="136"/>
      <c r="N97" s="136"/>
      <c r="O97" s="136"/>
      <c r="P97" s="137">
        <f>SUM(compras_mes10[[#This Row],[NETO GRAVADO]:[Otros / No Grav.]])</f>
        <v>9672.5948000000008</v>
      </c>
      <c r="Q97" s="138" t="str">
        <f>IFERROR(IF(compras_mes10[[#This Row],[CUIT]]="","-",VLOOKUP(compras_mes10[[#This Row],[CUIT]],Lista_CUIT[#All],3,0)),"CUIT NO CARGADO")</f>
        <v>Gastos Varios</v>
      </c>
      <c r="R97" s="138">
        <f>IFERROR(IF(compras_mes10[[#This Row],[CUIT]]="","-",VLOOKUP(compras_mes10[[#This Row],[CUIT]],Lista_CUIT[#All],4,0)),"CUIT NO CARGADO")</f>
        <v>0</v>
      </c>
    </row>
    <row r="98" spans="1:18" s="158" customFormat="1" x14ac:dyDescent="0.3">
      <c r="B98" s="159">
        <v>44832</v>
      </c>
      <c r="C98" s="160">
        <v>1</v>
      </c>
      <c r="D98" s="161">
        <v>2</v>
      </c>
      <c r="E98" s="162">
        <v>1172</v>
      </c>
      <c r="F98" s="163">
        <v>20251522899</v>
      </c>
      <c r="G98" s="164" t="str">
        <f>IFERROR(IF(compras_mes10[[#This Row],[CUIT]]="","-",VLOOKUP(compras_mes10[[#This Row],[CUIT]],Lista_CUIT[#All],2,0)),"CUIT NO CARGADO")</f>
        <v>MALACASA LUIS DAMIAN</v>
      </c>
      <c r="H98" s="165">
        <v>4421.4799999999996</v>
      </c>
      <c r="I98" s="166">
        <f>IF(compras_mes10[[#This Row],[NETO GRAVADO]]="","",compras_mes10[[#This Row],[NETO GRAVADO]]*0.21)</f>
        <v>928.5107999999999</v>
      </c>
      <c r="J98" s="166"/>
      <c r="K98" s="166"/>
      <c r="L98" s="166"/>
      <c r="M98" s="166"/>
      <c r="N98" s="166"/>
      <c r="O98" s="166"/>
      <c r="P98" s="167">
        <f>SUM(compras_mes10[[#This Row],[NETO GRAVADO]:[Otros / No Grav.]])</f>
        <v>5349.9907999999996</v>
      </c>
      <c r="Q98" s="168" t="str">
        <f>IFERROR(IF(compras_mes10[[#This Row],[CUIT]]="","-",VLOOKUP(compras_mes10[[#This Row],[CUIT]],Lista_CUIT[#All],3,0)),"CUIT NO CARGADO")</f>
        <v>Gastos Varios</v>
      </c>
      <c r="R98" s="168">
        <f>IFERROR(IF(compras_mes10[[#This Row],[CUIT]]="","-",VLOOKUP(compras_mes10[[#This Row],[CUIT]],Lista_CUIT[#All],4,0)),"CUIT NO CARGADO")</f>
        <v>0</v>
      </c>
    </row>
    <row r="99" spans="1:18" x14ac:dyDescent="0.3">
      <c r="A99" s="158"/>
      <c r="B99" s="159">
        <v>44832</v>
      </c>
      <c r="C99" s="160">
        <v>1</v>
      </c>
      <c r="D99" s="161">
        <v>2</v>
      </c>
      <c r="E99" s="162">
        <v>1190</v>
      </c>
      <c r="F99" s="163">
        <v>20251522899</v>
      </c>
      <c r="G99" s="164" t="str">
        <f>IFERROR(IF(compras_mes10[[#This Row],[CUIT]]="","-",VLOOKUP(compras_mes10[[#This Row],[CUIT]],Lista_CUIT[#All],2,0)),"CUIT NO CARGADO")</f>
        <v>MALACASA LUIS DAMIAN</v>
      </c>
      <c r="H99" s="165">
        <v>6983.48</v>
      </c>
      <c r="I99" s="166">
        <f>IF(compras_mes10[[#This Row],[NETO GRAVADO]]="","",compras_mes10[[#This Row],[NETO GRAVADO]]*0.21)</f>
        <v>1466.5307999999998</v>
      </c>
      <c r="J99" s="166"/>
      <c r="K99" s="166"/>
      <c r="L99" s="166"/>
      <c r="M99" s="166"/>
      <c r="N99" s="166"/>
      <c r="O99" s="166"/>
      <c r="P99" s="167">
        <f>SUM(compras_mes10[[#This Row],[NETO GRAVADO]:[Otros / No Grav.]])</f>
        <v>8450.0108</v>
      </c>
      <c r="Q99" s="168" t="str">
        <f>IFERROR(IF(compras_mes10[[#This Row],[CUIT]]="","-",VLOOKUP(compras_mes10[[#This Row],[CUIT]],Lista_CUIT[#All],3,0)),"CUIT NO CARGADO")</f>
        <v>Gastos Varios</v>
      </c>
      <c r="R99" s="168">
        <f>IFERROR(IF(compras_mes10[[#This Row],[CUIT]]="","-",VLOOKUP(compras_mes10[[#This Row],[CUIT]],Lista_CUIT[#All],4,0)),"CUIT NO CARGADO")</f>
        <v>0</v>
      </c>
    </row>
    <row r="100" spans="1:18" x14ac:dyDescent="0.3">
      <c r="A100" s="158"/>
      <c r="B100" s="159">
        <v>44832</v>
      </c>
      <c r="C100" s="160">
        <v>1</v>
      </c>
      <c r="D100" s="161">
        <v>2</v>
      </c>
      <c r="E100" s="162">
        <v>1191</v>
      </c>
      <c r="F100" s="163">
        <v>20251522899</v>
      </c>
      <c r="G100" s="164" t="str">
        <f>IFERROR(IF(compras_mes10[[#This Row],[CUIT]]="","-",VLOOKUP(compras_mes10[[#This Row],[CUIT]],Lista_CUIT[#All],2,0)),"CUIT NO CARGADO")</f>
        <v>MALACASA LUIS DAMIAN</v>
      </c>
      <c r="H100" s="165">
        <v>6983.48</v>
      </c>
      <c r="I100" s="166">
        <f>IF(compras_mes10[[#This Row],[NETO GRAVADO]]="","",compras_mes10[[#This Row],[NETO GRAVADO]]*0.21)</f>
        <v>1466.5307999999998</v>
      </c>
      <c r="J100" s="166"/>
      <c r="K100" s="166"/>
      <c r="L100" s="166"/>
      <c r="M100" s="166"/>
      <c r="N100" s="166"/>
      <c r="O100" s="166"/>
      <c r="P100" s="167">
        <f>SUM(compras_mes10[[#This Row],[NETO GRAVADO]:[Otros / No Grav.]])</f>
        <v>8450.0108</v>
      </c>
      <c r="Q100" s="168" t="str">
        <f>IFERROR(IF(compras_mes10[[#This Row],[CUIT]]="","-",VLOOKUP(compras_mes10[[#This Row],[CUIT]],Lista_CUIT[#All],3,0)),"CUIT NO CARGADO")</f>
        <v>Gastos Varios</v>
      </c>
      <c r="R100" s="168">
        <f>IFERROR(IF(compras_mes10[[#This Row],[CUIT]]="","-",VLOOKUP(compras_mes10[[#This Row],[CUIT]],Lista_CUIT[#All],4,0)),"CUIT NO CARGADO")</f>
        <v>0</v>
      </c>
    </row>
    <row r="101" spans="1:18" x14ac:dyDescent="0.3">
      <c r="A101" s="158"/>
      <c r="B101" s="159">
        <v>44832</v>
      </c>
      <c r="C101" s="160">
        <v>1</v>
      </c>
      <c r="D101" s="161">
        <v>2</v>
      </c>
      <c r="E101" s="162">
        <v>1192</v>
      </c>
      <c r="F101" s="163">
        <v>20251522899</v>
      </c>
      <c r="G101" s="164" t="str">
        <f>IFERROR(IF(compras_mes10[[#This Row],[CUIT]]="","-",VLOOKUP(compras_mes10[[#This Row],[CUIT]],Lista_CUIT[#All],2,0)),"CUIT NO CARGADO")</f>
        <v>MALACASA LUIS DAMIAN</v>
      </c>
      <c r="H101" s="165">
        <v>6983.48</v>
      </c>
      <c r="I101" s="166">
        <f>IF(compras_mes10[[#This Row],[NETO GRAVADO]]="","",compras_mes10[[#This Row],[NETO GRAVADO]]*0.21)</f>
        <v>1466.5307999999998</v>
      </c>
      <c r="J101" s="166"/>
      <c r="K101" s="166"/>
      <c r="L101" s="166"/>
      <c r="M101" s="166"/>
      <c r="N101" s="166"/>
      <c r="O101" s="166"/>
      <c r="P101" s="167">
        <f>SUM(compras_mes10[[#This Row],[NETO GRAVADO]:[Otros / No Grav.]])</f>
        <v>8450.0108</v>
      </c>
      <c r="Q101" s="168" t="str">
        <f>IFERROR(IF(compras_mes10[[#This Row],[CUIT]]="","-",VLOOKUP(compras_mes10[[#This Row],[CUIT]],Lista_CUIT[#All],3,0)),"CUIT NO CARGADO")</f>
        <v>Gastos Varios</v>
      </c>
      <c r="R101" s="168">
        <f>IFERROR(IF(compras_mes10[[#This Row],[CUIT]]="","-",VLOOKUP(compras_mes10[[#This Row],[CUIT]],Lista_CUIT[#All],4,0)),"CUIT NO CARGADO")</f>
        <v>0</v>
      </c>
    </row>
    <row r="102" spans="1:18" x14ac:dyDescent="0.3">
      <c r="A102" s="158"/>
      <c r="B102" s="159">
        <v>44832</v>
      </c>
      <c r="C102" s="160">
        <v>1</v>
      </c>
      <c r="D102" s="161">
        <v>2</v>
      </c>
      <c r="E102" s="162">
        <v>1200</v>
      </c>
      <c r="F102" s="163">
        <v>20251522899</v>
      </c>
      <c r="G102" s="164" t="str">
        <f>IFERROR(IF(compras_mes10[[#This Row],[CUIT]]="","-",VLOOKUP(compras_mes10[[#This Row],[CUIT]],Lista_CUIT[#All],2,0)),"CUIT NO CARGADO")</f>
        <v>MALACASA LUIS DAMIAN</v>
      </c>
      <c r="H102" s="165">
        <v>6983.48</v>
      </c>
      <c r="I102" s="166">
        <f>IF(compras_mes10[[#This Row],[NETO GRAVADO]]="","",compras_mes10[[#This Row],[NETO GRAVADO]]*0.21)</f>
        <v>1466.5307999999998</v>
      </c>
      <c r="J102" s="166"/>
      <c r="K102" s="166"/>
      <c r="L102" s="166"/>
      <c r="M102" s="166"/>
      <c r="N102" s="166"/>
      <c r="O102" s="166"/>
      <c r="P102" s="167">
        <f>SUM(compras_mes10[[#This Row],[NETO GRAVADO]:[Otros / No Grav.]])</f>
        <v>8450.0108</v>
      </c>
      <c r="Q102" s="168" t="str">
        <f>IFERROR(IF(compras_mes10[[#This Row],[CUIT]]="","-",VLOOKUP(compras_mes10[[#This Row],[CUIT]],Lista_CUIT[#All],3,0)),"CUIT NO CARGADO")</f>
        <v>Gastos Varios</v>
      </c>
      <c r="R102" s="168">
        <f>IFERROR(IF(compras_mes10[[#This Row],[CUIT]]="","-",VLOOKUP(compras_mes10[[#This Row],[CUIT]],Lista_CUIT[#All],4,0)),"CUIT NO CARGADO")</f>
        <v>0</v>
      </c>
    </row>
    <row r="103" spans="1:18" x14ac:dyDescent="0.3">
      <c r="A103" s="158"/>
      <c r="B103" s="159">
        <v>44832</v>
      </c>
      <c r="C103" s="160">
        <v>1</v>
      </c>
      <c r="D103" s="161">
        <v>2</v>
      </c>
      <c r="E103" s="162">
        <v>1201</v>
      </c>
      <c r="F103" s="163">
        <v>20251522899</v>
      </c>
      <c r="G103" s="164" t="str">
        <f>IFERROR(IF(compras_mes10[[#This Row],[CUIT]]="","-",VLOOKUP(compras_mes10[[#This Row],[CUIT]],Lista_CUIT[#All],2,0)),"CUIT NO CARGADO")</f>
        <v>MALACASA LUIS DAMIAN</v>
      </c>
      <c r="H103" s="165">
        <v>6983.48</v>
      </c>
      <c r="I103" s="166">
        <f>IF(compras_mes10[[#This Row],[NETO GRAVADO]]="","",compras_mes10[[#This Row],[NETO GRAVADO]]*0.21)</f>
        <v>1466.5307999999998</v>
      </c>
      <c r="J103" s="166"/>
      <c r="K103" s="166"/>
      <c r="L103" s="166"/>
      <c r="M103" s="166"/>
      <c r="N103" s="166"/>
      <c r="O103" s="166"/>
      <c r="P103" s="167">
        <f>SUM(compras_mes10[[#This Row],[NETO GRAVADO]:[Otros / No Grav.]])</f>
        <v>8450.0108</v>
      </c>
      <c r="Q103" s="168" t="str">
        <f>IFERROR(IF(compras_mes10[[#This Row],[CUIT]]="","-",VLOOKUP(compras_mes10[[#This Row],[CUIT]],Lista_CUIT[#All],3,0)),"CUIT NO CARGADO")</f>
        <v>Gastos Varios</v>
      </c>
      <c r="R103" s="168">
        <f>IFERROR(IF(compras_mes10[[#This Row],[CUIT]]="","-",VLOOKUP(compras_mes10[[#This Row],[CUIT]],Lista_CUIT[#All],4,0)),"CUIT NO CARGADO")</f>
        <v>0</v>
      </c>
    </row>
    <row r="104" spans="1:18" x14ac:dyDescent="0.3">
      <c r="A104" s="158"/>
      <c r="B104" s="159">
        <v>44832</v>
      </c>
      <c r="C104" s="160">
        <v>1</v>
      </c>
      <c r="D104" s="161">
        <v>2</v>
      </c>
      <c r="E104" s="162">
        <v>1202</v>
      </c>
      <c r="F104" s="163">
        <v>20251522899</v>
      </c>
      <c r="G104" s="164" t="str">
        <f>IFERROR(IF(compras_mes10[[#This Row],[CUIT]]="","-",VLOOKUP(compras_mes10[[#This Row],[CUIT]],Lista_CUIT[#All],2,0)),"CUIT NO CARGADO")</f>
        <v>MALACASA LUIS DAMIAN</v>
      </c>
      <c r="H104" s="165">
        <v>6983.48</v>
      </c>
      <c r="I104" s="166">
        <f>IF(compras_mes10[[#This Row],[NETO GRAVADO]]="","",compras_mes10[[#This Row],[NETO GRAVADO]]*0.21)</f>
        <v>1466.5307999999998</v>
      </c>
      <c r="J104" s="166"/>
      <c r="K104" s="166"/>
      <c r="L104" s="166"/>
      <c r="M104" s="166"/>
      <c r="N104" s="166"/>
      <c r="O104" s="166"/>
      <c r="P104" s="167">
        <f>SUM(compras_mes10[[#This Row],[NETO GRAVADO]:[Otros / No Grav.]])</f>
        <v>8450.0108</v>
      </c>
      <c r="Q104" s="168" t="str">
        <f>IFERROR(IF(compras_mes10[[#This Row],[CUIT]]="","-",VLOOKUP(compras_mes10[[#This Row],[CUIT]],Lista_CUIT[#All],3,0)),"CUIT NO CARGADO")</f>
        <v>Gastos Varios</v>
      </c>
      <c r="R104" s="168">
        <f>IFERROR(IF(compras_mes10[[#This Row],[CUIT]]="","-",VLOOKUP(compras_mes10[[#This Row],[CUIT]],Lista_CUIT[#All],4,0)),"CUIT NO CARGADO")</f>
        <v>0</v>
      </c>
    </row>
    <row r="105" spans="1:18" x14ac:dyDescent="0.3">
      <c r="A105" s="158"/>
      <c r="B105" s="139">
        <v>44826</v>
      </c>
      <c r="C105" s="140">
        <v>1</v>
      </c>
      <c r="D105" s="141">
        <v>13</v>
      </c>
      <c r="E105" s="142">
        <v>3677</v>
      </c>
      <c r="F105" s="143">
        <v>30707880224</v>
      </c>
      <c r="G105" s="144" t="str">
        <f>IFERROR(IF(compras_mes10[[#This Row],[CUIT]]="","-",VLOOKUP(compras_mes10[[#This Row],[CUIT]],Lista_CUIT[#All],2,0)),"CUIT NO CARGADO")</f>
        <v>MANESA S.A.</v>
      </c>
      <c r="H105" s="149">
        <v>505.61</v>
      </c>
      <c r="I105" s="145">
        <f>IF(compras_mes10[[#This Row],[NETO GRAVADO]]="","",compras_mes10[[#This Row],[NETO GRAVADO]]*0.21)</f>
        <v>106.1781</v>
      </c>
      <c r="J105" s="145"/>
      <c r="K105" s="145"/>
      <c r="L105" s="145"/>
      <c r="M105" s="145"/>
      <c r="N105" s="145"/>
      <c r="O105" s="145">
        <v>6.53</v>
      </c>
      <c r="P105" s="146">
        <f>SUM(compras_mes10[[#This Row],[NETO GRAVADO]:[Otros / No Grav.]])</f>
        <v>618.31809999999996</v>
      </c>
      <c r="Q105" s="147" t="str">
        <f>IFERROR(IF(compras_mes10[[#This Row],[CUIT]]="","-",VLOOKUP(compras_mes10[[#This Row],[CUIT]],Lista_CUIT[#All],3,0)),"CUIT NO CARGADO")</f>
        <v>Gastos Varios</v>
      </c>
      <c r="R105" s="147">
        <f>IFERROR(IF(compras_mes10[[#This Row],[CUIT]]="","-",VLOOKUP(compras_mes10[[#This Row],[CUIT]],Lista_CUIT[#All],4,0)),"CUIT NO CARGADO")</f>
        <v>0</v>
      </c>
    </row>
    <row r="106" spans="1:18" x14ac:dyDescent="0.3">
      <c r="A106" s="158"/>
      <c r="B106" s="139">
        <v>44806</v>
      </c>
      <c r="C106" s="140">
        <v>1</v>
      </c>
      <c r="D106" s="141">
        <v>1</v>
      </c>
      <c r="E106" s="142">
        <v>16139</v>
      </c>
      <c r="F106" s="143">
        <v>20173025557</v>
      </c>
      <c r="G106" s="144" t="str">
        <f>IFERROR(IF(compras_mes10[[#This Row],[CUIT]]="","-",VLOOKUP(compras_mes10[[#This Row],[CUIT]],Lista_CUIT[#All],2,0)),"CUIT NO CARGADO")</f>
        <v>MARAUDA HECTOR</v>
      </c>
      <c r="H106" s="149">
        <v>661.16</v>
      </c>
      <c r="I106" s="145">
        <f>IF(compras_mes10[[#This Row],[NETO GRAVADO]]="","",compras_mes10[[#This Row],[NETO GRAVADO]]*0.21)</f>
        <v>138.84359999999998</v>
      </c>
      <c r="J106" s="150"/>
      <c r="K106" s="150"/>
      <c r="L106" s="150"/>
      <c r="M106" s="150"/>
      <c r="N106" s="150"/>
      <c r="O106" s="150"/>
      <c r="P106" s="146">
        <f>SUM(compras_mes10[[#This Row],[NETO GRAVADO]:[Otros / No Grav.]])</f>
        <v>800.00360000000001</v>
      </c>
      <c r="Q106" s="147" t="str">
        <f>IFERROR(IF(compras_mes10[[#This Row],[CUIT]]="","-",VLOOKUP(compras_mes10[[#This Row],[CUIT]],Lista_CUIT[#All],3,0)),"CUIT NO CARGADO")</f>
        <v>Gastos Varios</v>
      </c>
      <c r="R106" s="147">
        <f>IFERROR(IF(compras_mes10[[#This Row],[CUIT]]="","-",VLOOKUP(compras_mes10[[#This Row],[CUIT]],Lista_CUIT[#All],4,0)),"CUIT NO CARGADO")</f>
        <v>0</v>
      </c>
    </row>
    <row r="107" spans="1:18" x14ac:dyDescent="0.3">
      <c r="A107" s="158"/>
      <c r="B107" s="159">
        <v>44830</v>
      </c>
      <c r="C107" s="160">
        <v>1</v>
      </c>
      <c r="D107" s="161">
        <v>5</v>
      </c>
      <c r="E107" s="162">
        <v>2490</v>
      </c>
      <c r="F107" s="163">
        <v>20367393042</v>
      </c>
      <c r="G107" s="164" t="str">
        <f>IFERROR(IF(compras_mes10[[#This Row],[CUIT]]="","-",VLOOKUP(compras_mes10[[#This Row],[CUIT]],Lista_CUIT[#All],2,0)),"CUIT NO CARGADO")</f>
        <v>RITACCO RODRIGO</v>
      </c>
      <c r="H107" s="165">
        <v>48743.8</v>
      </c>
      <c r="I107" s="166">
        <f>IF(compras_mes10[[#This Row],[NETO GRAVADO]]="","",compras_mes10[[#This Row],[NETO GRAVADO]]*0.21)</f>
        <v>10236.198</v>
      </c>
      <c r="J107" s="166"/>
      <c r="K107" s="166"/>
      <c r="L107" s="166"/>
      <c r="M107" s="166"/>
      <c r="N107" s="166"/>
      <c r="O107" s="166"/>
      <c r="P107" s="167">
        <f>SUM(compras_mes10[[#This Row],[NETO GRAVADO]:[Otros / No Grav.]])</f>
        <v>58979.998000000007</v>
      </c>
      <c r="Q107" s="168" t="str">
        <f>IFERROR(IF(compras_mes10[[#This Row],[CUIT]]="","-",VLOOKUP(compras_mes10[[#This Row],[CUIT]],Lista_CUIT[#All],3,0)),"CUIT NO CARGADO")</f>
        <v>Gastos Varios</v>
      </c>
      <c r="R107" s="168">
        <f>IFERROR(IF(compras_mes10[[#This Row],[CUIT]]="","-",VLOOKUP(compras_mes10[[#This Row],[CUIT]],Lista_CUIT[#All],4,0)),"CUIT NO CARGADO")</f>
        <v>0</v>
      </c>
    </row>
    <row r="108" spans="1:18" x14ac:dyDescent="0.3">
      <c r="A108" s="158"/>
      <c r="B108" s="159">
        <v>44823</v>
      </c>
      <c r="C108" s="160">
        <v>1</v>
      </c>
      <c r="D108" s="161">
        <v>2000</v>
      </c>
      <c r="E108" s="162">
        <v>6203</v>
      </c>
      <c r="F108" s="163">
        <v>20263507690</v>
      </c>
      <c r="G108" s="164" t="str">
        <f>IFERROR(IF(compras_mes10[[#This Row],[CUIT]]="","-",VLOOKUP(compras_mes10[[#This Row],[CUIT]],Lista_CUIT[#All],2,0)),"CUIT NO CARGADO")</f>
        <v>ROTONDO  MARCELO  ANDRES</v>
      </c>
      <c r="H108" s="165">
        <v>7768.53</v>
      </c>
      <c r="I108" s="166">
        <f>IF(compras_mes10[[#This Row],[NETO GRAVADO]]="","",compras_mes10[[#This Row],[NETO GRAVADO]]*0.21)</f>
        <v>1631.3912999999998</v>
      </c>
      <c r="J108" s="166"/>
      <c r="K108" s="166"/>
      <c r="L108" s="166"/>
      <c r="M108" s="166"/>
      <c r="N108" s="166"/>
      <c r="O108" s="166"/>
      <c r="P108" s="167">
        <f>SUM(compras_mes10[[#This Row],[NETO GRAVADO]:[Otros / No Grav.]])</f>
        <v>9399.9213</v>
      </c>
      <c r="Q108" s="168" t="str">
        <f>IFERROR(IF(compras_mes10[[#This Row],[CUIT]]="","-",VLOOKUP(compras_mes10[[#This Row],[CUIT]],Lista_CUIT[#All],3,0)),"CUIT NO CARGADO")</f>
        <v>Gastos Varios</v>
      </c>
      <c r="R108" s="168" t="str">
        <f>IFERROR(IF(compras_mes10[[#This Row],[CUIT]]="","-",VLOOKUP(compras_mes10[[#This Row],[CUIT]],Lista_CUIT[#All],4,0)),"CUIT NO CARGADO")</f>
        <v>BS as</v>
      </c>
    </row>
    <row r="109" spans="1:18" x14ac:dyDescent="0.3">
      <c r="A109" s="158"/>
      <c r="B109" s="159">
        <v>44813</v>
      </c>
      <c r="C109" s="160">
        <v>1</v>
      </c>
      <c r="D109" s="161">
        <v>8</v>
      </c>
      <c r="E109" s="162">
        <v>122507</v>
      </c>
      <c r="F109" s="163">
        <v>33708907869</v>
      </c>
      <c r="G109" s="164" t="str">
        <f>IFERROR(IF(compras_mes10[[#This Row],[CUIT]]="","-",VLOOKUP(compras_mes10[[#This Row],[CUIT]],Lista_CUIT[#All],2,0)),"CUIT NO CARGADO")</f>
        <v>SERCAP  INSUMOS  S.R.L.</v>
      </c>
      <c r="H109" s="165">
        <v>27811.57</v>
      </c>
      <c r="I109" s="166">
        <f>IF(compras_mes10[[#This Row],[NETO GRAVADO]]="","",compras_mes10[[#This Row],[NETO GRAVADO]]*0.21)</f>
        <v>5840.4296999999997</v>
      </c>
      <c r="J109" s="166"/>
      <c r="K109" s="166"/>
      <c r="L109" s="166"/>
      <c r="M109" s="166"/>
      <c r="N109" s="166"/>
      <c r="O109" s="166"/>
      <c r="P109" s="167">
        <f>SUM(compras_mes10[[#This Row],[NETO GRAVADO]:[Otros / No Grav.]])</f>
        <v>33651.9997</v>
      </c>
      <c r="Q109" s="168" t="str">
        <f>IFERROR(IF(compras_mes10[[#This Row],[CUIT]]="","-",VLOOKUP(compras_mes10[[#This Row],[CUIT]],Lista_CUIT[#All],3,0)),"CUIT NO CARGADO")</f>
        <v>Gastos Varios</v>
      </c>
      <c r="R109" s="168">
        <f>IFERROR(IF(compras_mes10[[#This Row],[CUIT]]="","-",VLOOKUP(compras_mes10[[#This Row],[CUIT]],Lista_CUIT[#All],4,0)),"CUIT NO CARGADO")</f>
        <v>0</v>
      </c>
    </row>
    <row r="110" spans="1:18" x14ac:dyDescent="0.3">
      <c r="A110" s="158"/>
      <c r="B110" s="159">
        <v>44834</v>
      </c>
      <c r="C110" s="160">
        <v>1</v>
      </c>
      <c r="D110" s="161">
        <v>1</v>
      </c>
      <c r="E110" s="162">
        <v>670</v>
      </c>
      <c r="F110" s="163">
        <v>20428598211</v>
      </c>
      <c r="G110" s="164" t="str">
        <f>IFERROR(IF(compras_mes10[[#This Row],[CUIT]]="","-",VLOOKUP(compras_mes10[[#This Row],[CUIT]],Lista_CUIT[#All],2,0)),"CUIT NO CARGADO")</f>
        <v>BERNAVEI CARLOS FABRICIO</v>
      </c>
      <c r="H110" s="165">
        <v>36198.379999999997</v>
      </c>
      <c r="I110" s="166">
        <f>IF(compras_mes10[[#This Row],[NETO GRAVADO]]="","",compras_mes10[[#This Row],[NETO GRAVADO]]*0.21)</f>
        <v>7601.6597999999994</v>
      </c>
      <c r="J110" s="166"/>
      <c r="K110" s="166"/>
      <c r="L110" s="166"/>
      <c r="M110" s="166"/>
      <c r="N110" s="166"/>
      <c r="O110" s="166"/>
      <c r="P110" s="167">
        <f>SUM(compras_mes10[[#This Row],[NETO GRAVADO]:[Otros / No Grav.]])</f>
        <v>43800.039799999999</v>
      </c>
      <c r="Q110" s="168" t="str">
        <f>IFERROR(IF(compras_mes10[[#This Row],[CUIT]]="","-",VLOOKUP(compras_mes10[[#This Row],[CUIT]],Lista_CUIT[#All],3,0)),"CUIT NO CARGADO")</f>
        <v>Gtos Comercializacion</v>
      </c>
      <c r="R110" s="168">
        <f>IFERROR(IF(compras_mes10[[#This Row],[CUIT]]="","-",VLOOKUP(compras_mes10[[#This Row],[CUIT]],Lista_CUIT[#All],4,0)),"CUIT NO CARGADO")</f>
        <v>0</v>
      </c>
    </row>
    <row r="111" spans="1:18" x14ac:dyDescent="0.3">
      <c r="A111" s="158"/>
      <c r="B111" s="159">
        <v>44805</v>
      </c>
      <c r="C111" s="160">
        <v>1</v>
      </c>
      <c r="D111" s="161">
        <v>3</v>
      </c>
      <c r="E111" s="162">
        <v>1067</v>
      </c>
      <c r="F111" s="163">
        <v>30715434276</v>
      </c>
      <c r="G111" s="172" t="str">
        <f>IFERROR(IF(compras_mes10[[#This Row],[CUIT]]="","-",VLOOKUP(compras_mes10[[#This Row],[CUIT]],Lista_CUIT[#All],2,0)),"CUIT NO CARGADO")</f>
        <v>BRUAYAFA  S.A.</v>
      </c>
      <c r="H111" s="165">
        <v>11500</v>
      </c>
      <c r="I111" s="166">
        <f>IF(compras_mes10[[#This Row],[NETO GRAVADO]]="","",compras_mes10[[#This Row],[NETO GRAVADO]]*0.21)</f>
        <v>2415</v>
      </c>
      <c r="J111" s="166"/>
      <c r="K111" s="166"/>
      <c r="L111" s="166"/>
      <c r="M111" s="166"/>
      <c r="N111" s="166"/>
      <c r="O111" s="166"/>
      <c r="P111" s="173">
        <f>SUM(compras_mes10[[#This Row],[NETO GRAVADO]:[Otros / No Grav.]])</f>
        <v>13915</v>
      </c>
      <c r="Q111" s="174" t="str">
        <f>IFERROR(IF(compras_mes10[[#This Row],[CUIT]]="","-",VLOOKUP(compras_mes10[[#This Row],[CUIT]],Lista_CUIT[#All],3,0)),"CUIT NO CARGADO")</f>
        <v>Gtos Comercializacion</v>
      </c>
      <c r="R111" s="174">
        <f>IFERROR(IF(compras_mes10[[#This Row],[CUIT]]="","-",VLOOKUP(compras_mes10[[#This Row],[CUIT]],Lista_CUIT[#All],4,0)),"CUIT NO CARGADO")</f>
        <v>0</v>
      </c>
    </row>
    <row r="112" spans="1:18" x14ac:dyDescent="0.3">
      <c r="A112" s="158"/>
      <c r="B112" s="159">
        <v>44823</v>
      </c>
      <c r="C112" s="160">
        <v>3</v>
      </c>
      <c r="D112" s="161">
        <v>3</v>
      </c>
      <c r="E112" s="162">
        <v>149</v>
      </c>
      <c r="F112" s="163">
        <v>30715434276</v>
      </c>
      <c r="G112" s="164" t="str">
        <f>IFERROR(IF(compras_mes10[[#This Row],[CUIT]]="","-",VLOOKUP(compras_mes10[[#This Row],[CUIT]],Lista_CUIT[#All],2,0)),"CUIT NO CARGADO")</f>
        <v>BRUAYAFA  S.A.</v>
      </c>
      <c r="H112" s="165">
        <v>-333990.40000000002</v>
      </c>
      <c r="I112" s="166">
        <f>IF(compras_mes10[[#This Row],[NETO GRAVADO]]="","",compras_mes10[[#This Row],[NETO GRAVADO]]*0.21)</f>
        <v>-70137.983999999997</v>
      </c>
      <c r="J112" s="166"/>
      <c r="K112" s="166"/>
      <c r="L112" s="166"/>
      <c r="M112" s="166"/>
      <c r="N112" s="166"/>
      <c r="O112" s="166"/>
      <c r="P112" s="167">
        <f>SUM(compras_mes10[[#This Row],[NETO GRAVADO]:[Otros / No Grav.]])</f>
        <v>-404128.38400000002</v>
      </c>
      <c r="Q112" s="168" t="str">
        <f>IFERROR(IF(compras_mes10[[#This Row],[CUIT]]="","-",VLOOKUP(compras_mes10[[#This Row],[CUIT]],Lista_CUIT[#All],3,0)),"CUIT NO CARGADO")</f>
        <v>Gtos Comercializacion</v>
      </c>
      <c r="R112" s="168">
        <f>IFERROR(IF(compras_mes10[[#This Row],[CUIT]]="","-",VLOOKUP(compras_mes10[[#This Row],[CUIT]],Lista_CUIT[#All],4,0)),"CUIT NO CARGADO")</f>
        <v>0</v>
      </c>
    </row>
    <row r="113" spans="1:18" x14ac:dyDescent="0.3">
      <c r="A113" s="158"/>
      <c r="B113" s="159">
        <v>44823</v>
      </c>
      <c r="C113" s="160">
        <v>1</v>
      </c>
      <c r="D113" s="161">
        <v>3</v>
      </c>
      <c r="E113" s="162">
        <v>1101</v>
      </c>
      <c r="F113" s="163">
        <v>30715434276</v>
      </c>
      <c r="G113" s="164" t="str">
        <f>IFERROR(IF(compras_mes10[[#This Row],[CUIT]]="","-",VLOOKUP(compras_mes10[[#This Row],[CUIT]],Lista_CUIT[#All],2,0)),"CUIT NO CARGADO")</f>
        <v>BRUAYAFA  S.A.</v>
      </c>
      <c r="H113" s="165">
        <v>333990.40000000002</v>
      </c>
      <c r="I113" s="166">
        <f>IF(compras_mes10[[#This Row],[NETO GRAVADO]]="","",compras_mes10[[#This Row],[NETO GRAVADO]]*0.21)</f>
        <v>70137.983999999997</v>
      </c>
      <c r="J113" s="166"/>
      <c r="K113" s="166"/>
      <c r="L113" s="166"/>
      <c r="M113" s="166"/>
      <c r="N113" s="166"/>
      <c r="O113" s="166"/>
      <c r="P113" s="167">
        <f>SUM(compras_mes10[[#This Row],[NETO GRAVADO]:[Otros / No Grav.]])</f>
        <v>404128.38400000002</v>
      </c>
      <c r="Q113" s="168" t="str">
        <f>IFERROR(IF(compras_mes10[[#This Row],[CUIT]]="","-",VLOOKUP(compras_mes10[[#This Row],[CUIT]],Lista_CUIT[#All],3,0)),"CUIT NO CARGADO")</f>
        <v>Gtos Comercializacion</v>
      </c>
      <c r="R113" s="168">
        <f>IFERROR(IF(compras_mes10[[#This Row],[CUIT]]="","-",VLOOKUP(compras_mes10[[#This Row],[CUIT]],Lista_CUIT[#All],4,0)),"CUIT NO CARGADO")</f>
        <v>0</v>
      </c>
    </row>
    <row r="114" spans="1:18" x14ac:dyDescent="0.3">
      <c r="A114" s="158"/>
      <c r="B114" s="159">
        <v>44823</v>
      </c>
      <c r="C114" s="160">
        <v>1</v>
      </c>
      <c r="D114" s="161">
        <v>3</v>
      </c>
      <c r="E114" s="162">
        <v>1102</v>
      </c>
      <c r="F114" s="163">
        <v>30715434276</v>
      </c>
      <c r="G114" s="164" t="str">
        <f>IFERROR(IF(compras_mes10[[#This Row],[CUIT]]="","-",VLOOKUP(compras_mes10[[#This Row],[CUIT]],Lista_CUIT[#All],2,0)),"CUIT NO CARGADO")</f>
        <v>BRUAYAFA  S.A.</v>
      </c>
      <c r="H114" s="165">
        <v>384676</v>
      </c>
      <c r="I114" s="166">
        <f>IF(compras_mes10[[#This Row],[NETO GRAVADO]]="","",compras_mes10[[#This Row],[NETO GRAVADO]]*0.21)</f>
        <v>80781.959999999992</v>
      </c>
      <c r="J114" s="166"/>
      <c r="K114" s="166"/>
      <c r="L114" s="166"/>
      <c r="M114" s="166"/>
      <c r="N114" s="166"/>
      <c r="O114" s="166"/>
      <c r="P114" s="167">
        <f>SUM(compras_mes10[[#This Row],[NETO GRAVADO]:[Otros / No Grav.]])</f>
        <v>465457.95999999996</v>
      </c>
      <c r="Q114" s="168" t="str">
        <f>IFERROR(IF(compras_mes10[[#This Row],[CUIT]]="","-",VLOOKUP(compras_mes10[[#This Row],[CUIT]],Lista_CUIT[#All],3,0)),"CUIT NO CARGADO")</f>
        <v>Gtos Comercializacion</v>
      </c>
      <c r="R114" s="168">
        <f>IFERROR(IF(compras_mes10[[#This Row],[CUIT]]="","-",VLOOKUP(compras_mes10[[#This Row],[CUIT]],Lista_CUIT[#All],4,0)),"CUIT NO CARGADO")</f>
        <v>0</v>
      </c>
    </row>
    <row r="115" spans="1:18" x14ac:dyDescent="0.3">
      <c r="A115" s="158"/>
      <c r="B115" s="159">
        <v>44820</v>
      </c>
      <c r="C115" s="160">
        <v>1</v>
      </c>
      <c r="D115" s="161">
        <v>2</v>
      </c>
      <c r="E115" s="162">
        <v>255</v>
      </c>
      <c r="F115" s="163">
        <v>20229538366</v>
      </c>
      <c r="G115" s="164" t="str">
        <f>IFERROR(IF(compras_mes10[[#This Row],[CUIT]]="","-",VLOOKUP(compras_mes10[[#This Row],[CUIT]],Lista_CUIT[#All],2,0)),"CUIT NO CARGADO")</f>
        <v>MARE JOSE JUAN FRANCISCO</v>
      </c>
      <c r="H115" s="165">
        <v>43750</v>
      </c>
      <c r="I115" s="166">
        <f>IF(compras_mes10[[#This Row],[NETO GRAVADO]]="","",compras_mes10[[#This Row],[NETO GRAVADO]]*0.21)</f>
        <v>9187.5</v>
      </c>
      <c r="J115" s="166"/>
      <c r="K115" s="166"/>
      <c r="L115" s="166"/>
      <c r="M115" s="166"/>
      <c r="N115" s="166"/>
      <c r="O115" s="166"/>
      <c r="P115" s="167">
        <f>SUM(compras_mes10[[#This Row],[NETO GRAVADO]:[Otros / No Grav.]])</f>
        <v>52937.5</v>
      </c>
      <c r="Q115" s="168" t="str">
        <f>IFERROR(IF(compras_mes10[[#This Row],[CUIT]]="","-",VLOOKUP(compras_mes10[[#This Row],[CUIT]],Lista_CUIT[#All],3,0)),"CUIT NO CARGADO")</f>
        <v>Gtos Comercializacion</v>
      </c>
      <c r="R115" s="168">
        <f>IFERROR(IF(compras_mes10[[#This Row],[CUIT]]="","-",VLOOKUP(compras_mes10[[#This Row],[CUIT]],Lista_CUIT[#All],4,0)),"CUIT NO CARGADO")</f>
        <v>0</v>
      </c>
    </row>
    <row r="116" spans="1:18" x14ac:dyDescent="0.3">
      <c r="A116" s="158"/>
      <c r="B116" s="159">
        <v>44833</v>
      </c>
      <c r="C116" s="160">
        <v>3</v>
      </c>
      <c r="D116" s="161">
        <v>27</v>
      </c>
      <c r="E116" s="162">
        <v>27728</v>
      </c>
      <c r="F116" s="163">
        <v>30703088534</v>
      </c>
      <c r="G116" s="164" t="str">
        <f>IFERROR(IF(compras_mes10[[#This Row],[CUIT]]="","-",VLOOKUP(compras_mes10[[#This Row],[CUIT]],Lista_CUIT[#All],2,0)),"CUIT NO CARGADO")</f>
        <v>MERCADO LIBRE SRL</v>
      </c>
      <c r="H116" s="165">
        <v>-584.41999999999996</v>
      </c>
      <c r="I116" s="166">
        <f>IF(compras_mes10[[#This Row],[NETO GRAVADO]]="","",compras_mes10[[#This Row],[NETO GRAVADO]]*0.21)</f>
        <v>-122.72819999999999</v>
      </c>
      <c r="J116" s="166"/>
      <c r="K116" s="166"/>
      <c r="L116" s="166"/>
      <c r="M116" s="166"/>
      <c r="N116" s="166"/>
      <c r="O116" s="166"/>
      <c r="P116" s="167">
        <f>SUM(compras_mes10[[#This Row],[NETO GRAVADO]:[Otros / No Grav.]])</f>
        <v>-707.14819999999997</v>
      </c>
      <c r="Q116" s="168" t="str">
        <f>IFERROR(IF(compras_mes10[[#This Row],[CUIT]]="","-",VLOOKUP(compras_mes10[[#This Row],[CUIT]],Lista_CUIT[#All],3,0)),"CUIT NO CARGADO")</f>
        <v>Gtos Comercializacion</v>
      </c>
      <c r="R116" s="168">
        <f>IFERROR(IF(compras_mes10[[#This Row],[CUIT]]="","-",VLOOKUP(compras_mes10[[#This Row],[CUIT]],Lista_CUIT[#All],4,0)),"CUIT NO CARGADO")</f>
        <v>0</v>
      </c>
    </row>
    <row r="117" spans="1:18" x14ac:dyDescent="0.3">
      <c r="A117" s="158"/>
      <c r="B117" s="159">
        <v>44833</v>
      </c>
      <c r="C117" s="160">
        <v>1</v>
      </c>
      <c r="D117" s="161">
        <v>27</v>
      </c>
      <c r="E117" s="162">
        <v>634700</v>
      </c>
      <c r="F117" s="163">
        <v>30703088534</v>
      </c>
      <c r="G117" s="164" t="str">
        <f>IFERROR(IF(compras_mes10[[#This Row],[CUIT]]="","-",VLOOKUP(compras_mes10[[#This Row],[CUIT]],Lista_CUIT[#All],2,0)),"CUIT NO CARGADO")</f>
        <v>MERCADO LIBRE SRL</v>
      </c>
      <c r="H117" s="165">
        <v>185821.27</v>
      </c>
      <c r="I117" s="166">
        <f>IF(compras_mes10[[#This Row],[NETO GRAVADO]]="","",compras_mes10[[#This Row],[NETO GRAVADO]]*0.21)</f>
        <v>39022.466699999997</v>
      </c>
      <c r="J117" s="166"/>
      <c r="K117" s="166"/>
      <c r="L117" s="166"/>
      <c r="M117" s="166"/>
      <c r="N117" s="166"/>
      <c r="O117" s="166"/>
      <c r="P117" s="167">
        <f>SUM(compras_mes10[[#This Row],[NETO GRAVADO]:[Otros / No Grav.]])</f>
        <v>224843.73669999998</v>
      </c>
      <c r="Q117" s="168" t="str">
        <f>IFERROR(IF(compras_mes10[[#This Row],[CUIT]]="","-",VLOOKUP(compras_mes10[[#This Row],[CUIT]],Lista_CUIT[#All],3,0)),"CUIT NO CARGADO")</f>
        <v>Gtos Comercializacion</v>
      </c>
      <c r="R117" s="168">
        <f>IFERROR(IF(compras_mes10[[#This Row],[CUIT]]="","-",VLOOKUP(compras_mes10[[#This Row],[CUIT]],Lista_CUIT[#All],4,0)),"CUIT NO CARGADO")</f>
        <v>0</v>
      </c>
    </row>
    <row r="118" spans="1:18" x14ac:dyDescent="0.3">
      <c r="A118" s="158"/>
      <c r="B118" s="159">
        <v>44819</v>
      </c>
      <c r="C118" s="160">
        <v>1</v>
      </c>
      <c r="D118" s="161">
        <v>4</v>
      </c>
      <c r="E118" s="162">
        <v>17833</v>
      </c>
      <c r="F118" s="163">
        <v>30552433595</v>
      </c>
      <c r="G118" s="164" t="str">
        <f>IFERROR(IF(compras_mes10[[#This Row],[CUIT]]="","-",VLOOKUP(compras_mes10[[#This Row],[CUIT]],Lista_CUIT[#All],2,0)),"CUIT NO CARGADO")</f>
        <v>PIROPLAST  S.R.L.</v>
      </c>
      <c r="H118" s="165">
        <v>314464.5</v>
      </c>
      <c r="I118" s="166">
        <f>IF(compras_mes10[[#This Row],[NETO GRAVADO]]="","",compras_mes10[[#This Row],[NETO GRAVADO]]*0.21)</f>
        <v>66037.544999999998</v>
      </c>
      <c r="J118" s="166"/>
      <c r="K118" s="166"/>
      <c r="L118" s="166"/>
      <c r="M118" s="166"/>
      <c r="N118" s="166"/>
      <c r="O118" s="166"/>
      <c r="P118" s="167">
        <f>SUM(compras_mes10[[#This Row],[NETO GRAVADO]:[Otros / No Grav.]])</f>
        <v>380502.04499999998</v>
      </c>
      <c r="Q118" s="168" t="str">
        <f>IFERROR(IF(compras_mes10[[#This Row],[CUIT]]="","-",VLOOKUP(compras_mes10[[#This Row],[CUIT]],Lista_CUIT[#All],3,0)),"CUIT NO CARGADO")</f>
        <v>Gtos Comercializacion</v>
      </c>
      <c r="R118" s="168">
        <f>IFERROR(IF(compras_mes10[[#This Row],[CUIT]]="","-",VLOOKUP(compras_mes10[[#This Row],[CUIT]],Lista_CUIT[#All],4,0)),"CUIT NO CARGADO")</f>
        <v>0</v>
      </c>
    </row>
    <row r="119" spans="1:18" x14ac:dyDescent="0.3">
      <c r="A119" s="158"/>
      <c r="B119" s="159">
        <v>44826</v>
      </c>
      <c r="C119" s="160">
        <v>1</v>
      </c>
      <c r="D119" s="161">
        <v>4</v>
      </c>
      <c r="E119" s="162">
        <v>17886</v>
      </c>
      <c r="F119" s="163">
        <v>30552433595</v>
      </c>
      <c r="G119" s="164" t="str">
        <f>IFERROR(IF(compras_mes10[[#This Row],[CUIT]]="","-",VLOOKUP(compras_mes10[[#This Row],[CUIT]],Lista_CUIT[#All],2,0)),"CUIT NO CARGADO")</f>
        <v>PIROPLAST  S.R.L.</v>
      </c>
      <c r="H119" s="165">
        <v>220384.5</v>
      </c>
      <c r="I119" s="166">
        <f>IF(compras_mes10[[#This Row],[NETO GRAVADO]]="","",compras_mes10[[#This Row],[NETO GRAVADO]]*0.21)</f>
        <v>46280.744999999995</v>
      </c>
      <c r="J119" s="166"/>
      <c r="K119" s="166"/>
      <c r="L119" s="166"/>
      <c r="M119" s="166"/>
      <c r="N119" s="166"/>
      <c r="O119" s="166"/>
      <c r="P119" s="167">
        <f>SUM(compras_mes10[[#This Row],[NETO GRAVADO]:[Otros / No Grav.]])</f>
        <v>266665.245</v>
      </c>
      <c r="Q119" s="168" t="str">
        <f>IFERROR(IF(compras_mes10[[#This Row],[CUIT]]="","-",VLOOKUP(compras_mes10[[#This Row],[CUIT]],Lista_CUIT[#All],3,0)),"CUIT NO CARGADO")</f>
        <v>Gtos Comercializacion</v>
      </c>
      <c r="R119" s="168">
        <f>IFERROR(IF(compras_mes10[[#This Row],[CUIT]]="","-",VLOOKUP(compras_mes10[[#This Row],[CUIT]],Lista_CUIT[#All],4,0)),"CUIT NO CARGADO")</f>
        <v>0</v>
      </c>
    </row>
    <row r="120" spans="1:18" x14ac:dyDescent="0.3">
      <c r="A120" s="158"/>
      <c r="B120" s="159">
        <v>44832</v>
      </c>
      <c r="C120" s="160">
        <v>1</v>
      </c>
      <c r="D120" s="161">
        <v>4</v>
      </c>
      <c r="E120" s="162">
        <v>17941</v>
      </c>
      <c r="F120" s="163">
        <v>30552433595</v>
      </c>
      <c r="G120" s="164" t="str">
        <f>IFERROR(IF(compras_mes10[[#This Row],[CUIT]]="","-",VLOOKUP(compras_mes10[[#This Row],[CUIT]],Lista_CUIT[#All],2,0)),"CUIT NO CARGADO")</f>
        <v>PIROPLAST  S.R.L.</v>
      </c>
      <c r="H120" s="165">
        <v>300530.25</v>
      </c>
      <c r="I120" s="166">
        <f>IF(compras_mes10[[#This Row],[NETO GRAVADO]]="","",compras_mes10[[#This Row],[NETO GRAVADO]]*0.21)</f>
        <v>63111.352500000001</v>
      </c>
      <c r="J120" s="166"/>
      <c r="K120" s="166"/>
      <c r="L120" s="166"/>
      <c r="M120" s="166"/>
      <c r="N120" s="166"/>
      <c r="O120" s="166"/>
      <c r="P120" s="167">
        <f>SUM(compras_mes10[[#This Row],[NETO GRAVADO]:[Otros / No Grav.]])</f>
        <v>363641.60249999998</v>
      </c>
      <c r="Q120" s="168" t="str">
        <f>IFERROR(IF(compras_mes10[[#This Row],[CUIT]]="","-",VLOOKUP(compras_mes10[[#This Row],[CUIT]],Lista_CUIT[#All],3,0)),"CUIT NO CARGADO")</f>
        <v>Gtos Comercializacion</v>
      </c>
      <c r="R120" s="168">
        <f>IFERROR(IF(compras_mes10[[#This Row],[CUIT]]="","-",VLOOKUP(compras_mes10[[#This Row],[CUIT]],Lista_CUIT[#All],4,0)),"CUIT NO CARGADO")</f>
        <v>0</v>
      </c>
    </row>
    <row r="121" spans="1:18" x14ac:dyDescent="0.3">
      <c r="A121" s="158"/>
      <c r="B121" s="159">
        <v>44814</v>
      </c>
      <c r="C121" s="160">
        <v>1</v>
      </c>
      <c r="D121" s="161">
        <v>6</v>
      </c>
      <c r="E121" s="162">
        <v>12817184</v>
      </c>
      <c r="F121" s="163">
        <v>30620177497</v>
      </c>
      <c r="G121" s="164" t="str">
        <f>IFERROR(IF(compras_mes10[[#This Row],[CUIT]]="","-",VLOOKUP(compras_mes10[[#This Row],[CUIT]],Lista_CUIT[#All],2,0)),"CUIT NO CARGADO")</f>
        <v>POSNET SRL</v>
      </c>
      <c r="H121" s="165">
        <v>2500</v>
      </c>
      <c r="I121" s="166">
        <f>IF(compras_mes10[[#This Row],[NETO GRAVADO]]="","",compras_mes10[[#This Row],[NETO GRAVADO]]*0.21)</f>
        <v>525</v>
      </c>
      <c r="J121" s="166"/>
      <c r="K121" s="166"/>
      <c r="L121" s="166"/>
      <c r="M121" s="166"/>
      <c r="N121" s="166"/>
      <c r="O121" s="166"/>
      <c r="P121" s="167">
        <f>SUM(compras_mes10[[#This Row],[NETO GRAVADO]:[Otros / No Grav.]])</f>
        <v>3025</v>
      </c>
      <c r="Q121" s="168" t="str">
        <f>IFERROR(IF(compras_mes10[[#This Row],[CUIT]]="","-",VLOOKUP(compras_mes10[[#This Row],[CUIT]],Lista_CUIT[#All],3,0)),"CUIT NO CARGADO")</f>
        <v>Gtos Comercializacion</v>
      </c>
      <c r="R121" s="168">
        <f>IFERROR(IF(compras_mes10[[#This Row],[CUIT]]="","-",VLOOKUP(compras_mes10[[#This Row],[CUIT]],Lista_CUIT[#All],4,0)),"CUIT NO CARGADO")</f>
        <v>0</v>
      </c>
    </row>
    <row r="122" spans="1:18" x14ac:dyDescent="0.3">
      <c r="A122" s="158"/>
      <c r="B122" s="159">
        <v>44814</v>
      </c>
      <c r="C122" s="160">
        <v>1</v>
      </c>
      <c r="D122" s="161">
        <v>6</v>
      </c>
      <c r="E122" s="162">
        <v>12817205</v>
      </c>
      <c r="F122" s="163">
        <v>30620177497</v>
      </c>
      <c r="G122" s="164" t="str">
        <f>IFERROR(IF(compras_mes10[[#This Row],[CUIT]]="","-",VLOOKUP(compras_mes10[[#This Row],[CUIT]],Lista_CUIT[#All],2,0)),"CUIT NO CARGADO")</f>
        <v>POSNET SRL</v>
      </c>
      <c r="H122" s="165">
        <v>2500</v>
      </c>
      <c r="I122" s="166">
        <f>IF(compras_mes10[[#This Row],[NETO GRAVADO]]="","",compras_mes10[[#This Row],[NETO GRAVADO]]*0.21)</f>
        <v>525</v>
      </c>
      <c r="J122" s="166"/>
      <c r="K122" s="166"/>
      <c r="L122" s="166"/>
      <c r="M122" s="166"/>
      <c r="N122" s="166"/>
      <c r="O122" s="166"/>
      <c r="P122" s="167">
        <f>SUM(compras_mes10[[#This Row],[NETO GRAVADO]:[Otros / No Grav.]])</f>
        <v>3025</v>
      </c>
      <c r="Q122" s="168" t="str">
        <f>IFERROR(IF(compras_mes10[[#This Row],[CUIT]]="","-",VLOOKUP(compras_mes10[[#This Row],[CUIT]],Lista_CUIT[#All],3,0)),"CUIT NO CARGADO")</f>
        <v>Gtos Comercializacion</v>
      </c>
      <c r="R122" s="168">
        <f>IFERROR(IF(compras_mes10[[#This Row],[CUIT]]="","-",VLOOKUP(compras_mes10[[#This Row],[CUIT]],Lista_CUIT[#All],4,0)),"CUIT NO CARGADO")</f>
        <v>0</v>
      </c>
    </row>
    <row r="123" spans="1:18" x14ac:dyDescent="0.3">
      <c r="A123" s="158"/>
      <c r="B123" s="159">
        <v>44814</v>
      </c>
      <c r="C123" s="160">
        <v>1</v>
      </c>
      <c r="D123" s="161">
        <v>6</v>
      </c>
      <c r="E123" s="162">
        <v>12817224</v>
      </c>
      <c r="F123" s="163">
        <v>30620177497</v>
      </c>
      <c r="G123" s="164" t="str">
        <f>IFERROR(IF(compras_mes10[[#This Row],[CUIT]]="","-",VLOOKUP(compras_mes10[[#This Row],[CUIT]],Lista_CUIT[#All],2,0)),"CUIT NO CARGADO")</f>
        <v>POSNET SRL</v>
      </c>
      <c r="H123" s="165">
        <v>2500</v>
      </c>
      <c r="I123" s="166">
        <f>IF(compras_mes10[[#This Row],[NETO GRAVADO]]="","",compras_mes10[[#This Row],[NETO GRAVADO]]*0.21)</f>
        <v>525</v>
      </c>
      <c r="J123" s="166"/>
      <c r="K123" s="166"/>
      <c r="L123" s="166"/>
      <c r="M123" s="166"/>
      <c r="N123" s="166"/>
      <c r="O123" s="166"/>
      <c r="P123" s="167">
        <f>SUM(compras_mes10[[#This Row],[NETO GRAVADO]:[Otros / No Grav.]])</f>
        <v>3025</v>
      </c>
      <c r="Q123" s="168" t="str">
        <f>IFERROR(IF(compras_mes10[[#This Row],[CUIT]]="","-",VLOOKUP(compras_mes10[[#This Row],[CUIT]],Lista_CUIT[#All],3,0)),"CUIT NO CARGADO")</f>
        <v>Gtos Comercializacion</v>
      </c>
      <c r="R123" s="168">
        <f>IFERROR(IF(compras_mes10[[#This Row],[CUIT]]="","-",VLOOKUP(compras_mes10[[#This Row],[CUIT]],Lista_CUIT[#All],4,0)),"CUIT NO CARGADO")</f>
        <v>0</v>
      </c>
    </row>
    <row r="124" spans="1:18" x14ac:dyDescent="0.3">
      <c r="A124" s="158"/>
      <c r="B124" s="159">
        <v>44814</v>
      </c>
      <c r="C124" s="160">
        <v>1</v>
      </c>
      <c r="D124" s="161">
        <v>6</v>
      </c>
      <c r="E124" s="162">
        <v>12817248</v>
      </c>
      <c r="F124" s="163">
        <v>30620177497</v>
      </c>
      <c r="G124" s="164" t="str">
        <f>IFERROR(IF(compras_mes10[[#This Row],[CUIT]]="","-",VLOOKUP(compras_mes10[[#This Row],[CUIT]],Lista_CUIT[#All],2,0)),"CUIT NO CARGADO")</f>
        <v>POSNET SRL</v>
      </c>
      <c r="H124" s="165">
        <v>7500</v>
      </c>
      <c r="I124" s="166">
        <f>IF(compras_mes10[[#This Row],[NETO GRAVADO]]="","",compras_mes10[[#This Row],[NETO GRAVADO]]*0.21)</f>
        <v>1575</v>
      </c>
      <c r="J124" s="166"/>
      <c r="K124" s="166"/>
      <c r="L124" s="166"/>
      <c r="M124" s="166"/>
      <c r="N124" s="166"/>
      <c r="O124" s="166"/>
      <c r="P124" s="167">
        <f>SUM(compras_mes10[[#This Row],[NETO GRAVADO]:[Otros / No Grav.]])</f>
        <v>9075</v>
      </c>
      <c r="Q124" s="168" t="str">
        <f>IFERROR(IF(compras_mes10[[#This Row],[CUIT]]="","-",VLOOKUP(compras_mes10[[#This Row],[CUIT]],Lista_CUIT[#All],3,0)),"CUIT NO CARGADO")</f>
        <v>Gtos Comercializacion</v>
      </c>
      <c r="R124" s="168">
        <f>IFERROR(IF(compras_mes10[[#This Row],[CUIT]]="","-",VLOOKUP(compras_mes10[[#This Row],[CUIT]],Lista_CUIT[#All],4,0)),"CUIT NO CARGADO")</f>
        <v>0</v>
      </c>
    </row>
    <row r="125" spans="1:18" x14ac:dyDescent="0.3">
      <c r="A125" s="158"/>
      <c r="B125" s="159">
        <v>44823</v>
      </c>
      <c r="C125" s="160">
        <v>1</v>
      </c>
      <c r="D125" s="161">
        <v>3</v>
      </c>
      <c r="E125" s="162">
        <v>29685</v>
      </c>
      <c r="F125" s="163">
        <v>30714012734</v>
      </c>
      <c r="G125" s="164" t="str">
        <f>IFERROR(IF(compras_mes10[[#This Row],[CUIT]]="","-",VLOOKUP(compras_mes10[[#This Row],[CUIT]],Lista_CUIT[#All],2,0)),"CUIT NO CARGADO")</f>
        <v>BKL S.A.</v>
      </c>
      <c r="H125" s="165">
        <v>235560</v>
      </c>
      <c r="I125" s="166">
        <f>IF(compras_mes10[[#This Row],[NETO GRAVADO]]="","",compras_mes10[[#This Row],[NETO GRAVADO]]*0.21)</f>
        <v>49467.6</v>
      </c>
      <c r="J125" s="166"/>
      <c r="K125" s="166"/>
      <c r="L125" s="166"/>
      <c r="M125" s="166"/>
      <c r="N125" s="166"/>
      <c r="O125" s="166"/>
      <c r="P125" s="167">
        <f>SUM(compras_mes10[[#This Row],[NETO GRAVADO]:[Otros / No Grav.]])</f>
        <v>285027.59999999998</v>
      </c>
      <c r="Q125" s="168" t="str">
        <f>IFERROR(IF(compras_mes10[[#This Row],[CUIT]]="","-",VLOOKUP(compras_mes10[[#This Row],[CUIT]],Lista_CUIT[#All],3,0)),"CUIT NO CARGADO")</f>
        <v>Librería</v>
      </c>
      <c r="R125" s="168">
        <f>IFERROR(IF(compras_mes10[[#This Row],[CUIT]]="","-",VLOOKUP(compras_mes10[[#This Row],[CUIT]],Lista_CUIT[#All],4,0)),"CUIT NO CARGADO")</f>
        <v>0</v>
      </c>
    </row>
    <row r="126" spans="1:18" x14ac:dyDescent="0.3">
      <c r="A126" s="158"/>
      <c r="B126" s="159">
        <v>44824</v>
      </c>
      <c r="C126" s="160">
        <v>1</v>
      </c>
      <c r="D126" s="161">
        <v>24</v>
      </c>
      <c r="E126" s="162">
        <v>40136</v>
      </c>
      <c r="F126" s="163">
        <v>30707838260</v>
      </c>
      <c r="G126" s="164" t="str">
        <f>IFERROR(IF(compras_mes10[[#This Row],[CUIT]]="","-",VLOOKUP(compras_mes10[[#This Row],[CUIT]],Lista_CUIT[#All],2,0)),"CUIT NO CARGADO")</f>
        <v>EL INSUMO S.R.L.</v>
      </c>
      <c r="H126" s="165">
        <v>8057.85</v>
      </c>
      <c r="I126" s="166">
        <f>IF(compras_mes10[[#This Row],[NETO GRAVADO]]="","",compras_mes10[[#This Row],[NETO GRAVADO]]*0.21)</f>
        <v>1692.1485</v>
      </c>
      <c r="J126" s="166"/>
      <c r="K126" s="166"/>
      <c r="L126" s="166"/>
      <c r="M126" s="166"/>
      <c r="N126" s="166"/>
      <c r="O126" s="166"/>
      <c r="P126" s="167">
        <f>SUM(compras_mes10[[#This Row],[NETO GRAVADO]:[Otros / No Grav.]])</f>
        <v>9749.9984999999997</v>
      </c>
      <c r="Q126" s="168" t="str">
        <f>IFERROR(IF(compras_mes10[[#This Row],[CUIT]]="","-",VLOOKUP(compras_mes10[[#This Row],[CUIT]],Lista_CUIT[#All],3,0)),"CUIT NO CARGADO")</f>
        <v>Librería</v>
      </c>
      <c r="R126" s="168">
        <f>IFERROR(IF(compras_mes10[[#This Row],[CUIT]]="","-",VLOOKUP(compras_mes10[[#This Row],[CUIT]],Lista_CUIT[#All],4,0)),"CUIT NO CARGADO")</f>
        <v>0</v>
      </c>
    </row>
    <row r="127" spans="1:18" x14ac:dyDescent="0.3">
      <c r="A127" s="158"/>
      <c r="B127" s="159">
        <v>44823</v>
      </c>
      <c r="C127" s="160">
        <v>1</v>
      </c>
      <c r="D127" s="161">
        <v>4</v>
      </c>
      <c r="E127" s="162">
        <v>3527</v>
      </c>
      <c r="F127" s="163">
        <v>20283638783</v>
      </c>
      <c r="G127" s="164" t="str">
        <f>IFERROR(IF(compras_mes10[[#This Row],[CUIT]]="","-",VLOOKUP(compras_mes10[[#This Row],[CUIT]],Lista_CUIT[#All],2,0)),"CUIT NO CARGADO")</f>
        <v>GONZALEZ ALBERTO DANIEL</v>
      </c>
      <c r="H127" s="165">
        <v>5165.5</v>
      </c>
      <c r="I127" s="166">
        <f>IF(compras_mes10[[#This Row],[NETO GRAVADO]]="","",compras_mes10[[#This Row],[NETO GRAVADO]]*0.21)</f>
        <v>1084.7549999999999</v>
      </c>
      <c r="J127" s="166"/>
      <c r="K127" s="166"/>
      <c r="L127" s="166"/>
      <c r="M127" s="166"/>
      <c r="N127" s="166"/>
      <c r="O127" s="166"/>
      <c r="P127" s="167">
        <f>SUM(compras_mes10[[#This Row],[NETO GRAVADO]:[Otros / No Grav.]])</f>
        <v>6250.2550000000001</v>
      </c>
      <c r="Q127" s="168" t="str">
        <f>IFERROR(IF(compras_mes10[[#This Row],[CUIT]]="","-",VLOOKUP(compras_mes10[[#This Row],[CUIT]],Lista_CUIT[#All],3,0)),"CUIT NO CARGADO")</f>
        <v>Librería</v>
      </c>
      <c r="R127" s="168">
        <f>IFERROR(IF(compras_mes10[[#This Row],[CUIT]]="","-",VLOOKUP(compras_mes10[[#This Row],[CUIT]],Lista_CUIT[#All],4,0)),"CUIT NO CARGADO")</f>
        <v>0</v>
      </c>
    </row>
    <row r="128" spans="1:18" x14ac:dyDescent="0.3">
      <c r="A128" s="158"/>
      <c r="B128" s="159">
        <v>44827</v>
      </c>
      <c r="C128" s="160">
        <v>1</v>
      </c>
      <c r="D128" s="161">
        <v>3</v>
      </c>
      <c r="E128" s="162">
        <v>5966</v>
      </c>
      <c r="F128" s="163">
        <v>30711894809</v>
      </c>
      <c r="G128" s="164" t="str">
        <f>IFERROR(IF(compras_mes10[[#This Row],[CUIT]]="","-",VLOOKUP(compras_mes10[[#This Row],[CUIT]],Lista_CUIT[#All],2,0)),"CUIT NO CARGADO")</f>
        <v>GUIDO IGNACIO TORINO Y MARTIN ALEJO FERNANDEZ S.H.</v>
      </c>
      <c r="H128" s="165">
        <v>2412</v>
      </c>
      <c r="I128" s="166">
        <f>IF(compras_mes10[[#This Row],[NETO GRAVADO]]="","",compras_mes10[[#This Row],[NETO GRAVADO]]*0.21)</f>
        <v>506.52</v>
      </c>
      <c r="J128" s="166"/>
      <c r="K128" s="166"/>
      <c r="L128" s="166"/>
      <c r="M128" s="166"/>
      <c r="N128" s="166"/>
      <c r="O128" s="166"/>
      <c r="P128" s="167">
        <f>SUM(compras_mes10[[#This Row],[NETO GRAVADO]:[Otros / No Grav.]])</f>
        <v>2918.52</v>
      </c>
      <c r="Q128" s="168" t="str">
        <f>IFERROR(IF(compras_mes10[[#This Row],[CUIT]]="","-",VLOOKUP(compras_mes10[[#This Row],[CUIT]],Lista_CUIT[#All],3,0)),"CUIT NO CARGADO")</f>
        <v>Librería</v>
      </c>
      <c r="R128" s="168">
        <f>IFERROR(IF(compras_mes10[[#This Row],[CUIT]]="","-",VLOOKUP(compras_mes10[[#This Row],[CUIT]],Lista_CUIT[#All],4,0)),"CUIT NO CARGADO")</f>
        <v>0</v>
      </c>
    </row>
    <row r="129" spans="1:18" x14ac:dyDescent="0.3">
      <c r="A129" s="158"/>
      <c r="B129" s="159">
        <v>44827</v>
      </c>
      <c r="C129" s="160">
        <v>1</v>
      </c>
      <c r="D129" s="161">
        <v>3</v>
      </c>
      <c r="E129" s="162">
        <v>5965</v>
      </c>
      <c r="F129" s="163">
        <v>30711894809</v>
      </c>
      <c r="G129" s="164" t="str">
        <f>IFERROR(IF(compras_mes10[[#This Row],[CUIT]]="","-",VLOOKUP(compras_mes10[[#This Row],[CUIT]],Lista_CUIT[#All],2,0)),"CUIT NO CARGADO")</f>
        <v>GUIDO IGNACIO TORINO Y MARTIN ALEJO FERNANDEZ S.H.</v>
      </c>
      <c r="H129" s="165">
        <v>3980</v>
      </c>
      <c r="I129" s="166">
        <f>IF(compras_mes10[[#This Row],[NETO GRAVADO]]="","",compras_mes10[[#This Row],[NETO GRAVADO]]*0.21)</f>
        <v>835.8</v>
      </c>
      <c r="J129" s="166"/>
      <c r="K129" s="166"/>
      <c r="L129" s="166"/>
      <c r="M129" s="166"/>
      <c r="N129" s="166"/>
      <c r="O129" s="166"/>
      <c r="P129" s="167">
        <f>SUM(compras_mes10[[#This Row],[NETO GRAVADO]:[Otros / No Grav.]])</f>
        <v>4815.8</v>
      </c>
      <c r="Q129" s="168" t="str">
        <f>IFERROR(IF(compras_mes10[[#This Row],[CUIT]]="","-",VLOOKUP(compras_mes10[[#This Row],[CUIT]],Lista_CUIT[#All],3,0)),"CUIT NO CARGADO")</f>
        <v>Librería</v>
      </c>
      <c r="R129" s="168">
        <f>IFERROR(IF(compras_mes10[[#This Row],[CUIT]]="","-",VLOOKUP(compras_mes10[[#This Row],[CUIT]],Lista_CUIT[#All],4,0)),"CUIT NO CARGADO")</f>
        <v>0</v>
      </c>
    </row>
    <row r="130" spans="1:18" x14ac:dyDescent="0.3">
      <c r="A130" s="158"/>
      <c r="B130" s="159">
        <v>44819</v>
      </c>
      <c r="C130" s="160">
        <v>1</v>
      </c>
      <c r="D130" s="161">
        <v>10</v>
      </c>
      <c r="E130" s="162">
        <v>1564</v>
      </c>
      <c r="F130" s="163">
        <v>23127284369</v>
      </c>
      <c r="G130" s="164" t="str">
        <f>IFERROR(IF(compras_mes10[[#This Row],[CUIT]]="","-",VLOOKUP(compras_mes10[[#This Row],[CUIT]],Lista_CUIT[#All],2,0)),"CUIT NO CARGADO")</f>
        <v>DEALER  FX  -  MONTORRO  D.</v>
      </c>
      <c r="H130" s="165">
        <v>17355.310000000001</v>
      </c>
      <c r="I130" s="166">
        <f>IF(compras_mes10[[#This Row],[NETO GRAVADO]]="","",compras_mes10[[#This Row],[NETO GRAVADO]]*0.21)</f>
        <v>3644.6151</v>
      </c>
      <c r="J130" s="166"/>
      <c r="K130" s="166"/>
      <c r="L130" s="166"/>
      <c r="M130" s="166"/>
      <c r="N130" s="166"/>
      <c r="O130" s="166"/>
      <c r="P130" s="167">
        <f>SUM(compras_mes10[[#This Row],[NETO GRAVADO]:[Otros / No Grav.]])</f>
        <v>20999.9251</v>
      </c>
      <c r="Q130" s="168" t="str">
        <f>IFERROR(IF(compras_mes10[[#This Row],[CUIT]]="","-",VLOOKUP(compras_mes10[[#This Row],[CUIT]],Lista_CUIT[#All],3,0)),"CUIT NO CARGADO")</f>
        <v>Librería</v>
      </c>
      <c r="R130" s="168">
        <f>IFERROR(IF(compras_mes10[[#This Row],[CUIT]]="","-",VLOOKUP(compras_mes10[[#This Row],[CUIT]],Lista_CUIT[#All],4,0)),"CUIT NO CARGADO")</f>
        <v>0</v>
      </c>
    </row>
    <row r="131" spans="1:18" x14ac:dyDescent="0.3">
      <c r="A131" s="158"/>
      <c r="B131" s="159">
        <v>44824</v>
      </c>
      <c r="C131" s="160">
        <v>1</v>
      </c>
      <c r="D131" s="161">
        <v>10</v>
      </c>
      <c r="E131" s="162">
        <v>1573</v>
      </c>
      <c r="F131" s="163">
        <v>23127284369</v>
      </c>
      <c r="G131" s="164" t="str">
        <f>IFERROR(IF(compras_mes10[[#This Row],[CUIT]]="","-",VLOOKUP(compras_mes10[[#This Row],[CUIT]],Lista_CUIT[#All],2,0)),"CUIT NO CARGADO")</f>
        <v>DEALER  FX  -  MONTORRO  D.</v>
      </c>
      <c r="H131" s="165">
        <v>5488.62</v>
      </c>
      <c r="I131" s="166">
        <f>IF(compras_mes10[[#This Row],[NETO GRAVADO]]="","",compras_mes10[[#This Row],[NETO GRAVADO]]*0.21)</f>
        <v>1152.6101999999998</v>
      </c>
      <c r="J131" s="166"/>
      <c r="K131" s="166"/>
      <c r="L131" s="166"/>
      <c r="M131" s="166"/>
      <c r="N131" s="166"/>
      <c r="O131" s="166"/>
      <c r="P131" s="167">
        <f>SUM(compras_mes10[[#This Row],[NETO GRAVADO]:[Otros / No Grav.]])</f>
        <v>6641.2302</v>
      </c>
      <c r="Q131" s="168" t="str">
        <f>IFERROR(IF(compras_mes10[[#This Row],[CUIT]]="","-",VLOOKUP(compras_mes10[[#This Row],[CUIT]],Lista_CUIT[#All],3,0)),"CUIT NO CARGADO")</f>
        <v>Librería</v>
      </c>
      <c r="R131" s="168">
        <f>IFERROR(IF(compras_mes10[[#This Row],[CUIT]]="","-",VLOOKUP(compras_mes10[[#This Row],[CUIT]],Lista_CUIT[#All],4,0)),"CUIT NO CARGADO")</f>
        <v>0</v>
      </c>
    </row>
    <row r="132" spans="1:18" x14ac:dyDescent="0.3">
      <c r="B132" s="159">
        <v>44827</v>
      </c>
      <c r="C132" s="160">
        <v>1</v>
      </c>
      <c r="D132" s="161">
        <v>9</v>
      </c>
      <c r="E132" s="162">
        <v>14524</v>
      </c>
      <c r="F132" s="163">
        <v>30646811062</v>
      </c>
      <c r="G132" s="164" t="str">
        <f>IFERROR(IF(compras_mes10[[#This Row],[CUIT]]="","-",VLOOKUP(compras_mes10[[#This Row],[CUIT]],Lista_CUIT[#All],2,0)),"CUIT NO CARGADO")</f>
        <v>POLINORTE S A</v>
      </c>
      <c r="H132" s="165">
        <v>18851.599999999999</v>
      </c>
      <c r="I132" s="166">
        <f>IF(compras_mes10[[#This Row],[NETO GRAVADO]]="","",compras_mes10[[#This Row],[NETO GRAVADO]]*0.21)</f>
        <v>3958.8359999999993</v>
      </c>
      <c r="J132" s="166"/>
      <c r="K132" s="166"/>
      <c r="L132" s="166"/>
      <c r="M132" s="166"/>
      <c r="N132" s="166"/>
      <c r="O132" s="166"/>
      <c r="P132" s="167">
        <f>SUM(compras_mes10[[#This Row],[NETO GRAVADO]:[Otros / No Grav.]])</f>
        <v>22810.435999999998</v>
      </c>
      <c r="Q132" s="168" t="str">
        <f>IFERROR(IF(compras_mes10[[#This Row],[CUIT]]="","-",VLOOKUP(compras_mes10[[#This Row],[CUIT]],Lista_CUIT[#All],3,0)),"CUIT NO CARGADO")</f>
        <v>Librería</v>
      </c>
      <c r="R132" s="168">
        <f>IFERROR(IF(compras_mes10[[#This Row],[CUIT]]="","-",VLOOKUP(compras_mes10[[#This Row],[CUIT]],Lista_CUIT[#All],4,0)),"CUIT NO CARGADO")</f>
        <v>0</v>
      </c>
    </row>
    <row r="133" spans="1:18" x14ac:dyDescent="0.3">
      <c r="B133" s="159">
        <v>44814</v>
      </c>
      <c r="C133" s="160">
        <v>1</v>
      </c>
      <c r="D133" s="161">
        <v>4</v>
      </c>
      <c r="E133" s="162">
        <v>8650</v>
      </c>
      <c r="F133" s="163">
        <v>30714069639</v>
      </c>
      <c r="G133" s="164" t="str">
        <f>IFERROR(IF(compras_mes10[[#This Row],[CUIT]]="","-",VLOOKUP(compras_mes10[[#This Row],[CUIT]],Lista_CUIT[#All],2,0)),"CUIT NO CARGADO")</f>
        <v>ANGEL ANIBALY EZEQUIEL  LAREO SH</v>
      </c>
      <c r="H133" s="165">
        <v>698.46</v>
      </c>
      <c r="I133" s="166">
        <f>IF(compras_mes10[[#This Row],[NETO GRAVADO]]="","",compras_mes10[[#This Row],[NETO GRAVADO]]*0.21)</f>
        <v>146.67660000000001</v>
      </c>
      <c r="J133" s="166"/>
      <c r="K133" s="166"/>
      <c r="L133" s="166"/>
      <c r="M133" s="166"/>
      <c r="N133" s="166"/>
      <c r="O133" s="166"/>
      <c r="P133" s="167">
        <f>SUM(compras_mes10[[#This Row],[NETO GRAVADO]:[Otros / No Grav.]])</f>
        <v>845.13660000000004</v>
      </c>
      <c r="Q133" s="168" t="str">
        <f>IFERROR(IF(compras_mes10[[#This Row],[CUIT]]="","-",VLOOKUP(compras_mes10[[#This Row],[CUIT]],Lista_CUIT[#All],3,0)),"CUIT NO CARGADO")</f>
        <v>Mantenimiento</v>
      </c>
      <c r="R133" s="168">
        <f>IFERROR(IF(compras_mes10[[#This Row],[CUIT]]="","-",VLOOKUP(compras_mes10[[#This Row],[CUIT]],Lista_CUIT[#All],4,0)),"CUIT NO CARGADO")</f>
        <v>0</v>
      </c>
    </row>
    <row r="134" spans="1:18" x14ac:dyDescent="0.3">
      <c r="B134" s="159">
        <v>44827</v>
      </c>
      <c r="C134" s="160">
        <v>1</v>
      </c>
      <c r="D134" s="161">
        <v>19</v>
      </c>
      <c r="E134" s="162">
        <v>8443</v>
      </c>
      <c r="F134" s="163">
        <v>30710634390</v>
      </c>
      <c r="G134" s="164" t="str">
        <f>IFERROR(IF(compras_mes10[[#This Row],[CUIT]]="","-",VLOOKUP(compras_mes10[[#This Row],[CUIT]],Lista_CUIT[#All],2,0)),"CUIT NO CARGADO")</f>
        <v>BAREGUER S.A.</v>
      </c>
      <c r="H134" s="165">
        <v>72088.69</v>
      </c>
      <c r="I134" s="166"/>
      <c r="J134" s="166">
        <v>7569.31</v>
      </c>
      <c r="K134" s="166"/>
      <c r="L134" s="166"/>
      <c r="M134" s="166"/>
      <c r="N134" s="166"/>
      <c r="O134" s="166"/>
      <c r="P134" s="167">
        <f>SUM(compras_mes10[[#This Row],[NETO GRAVADO]:[Otros / No Grav.]])</f>
        <v>79658</v>
      </c>
      <c r="Q134" s="168" t="str">
        <f>IFERROR(IF(compras_mes10[[#This Row],[CUIT]]="","-",VLOOKUP(compras_mes10[[#This Row],[CUIT]],Lista_CUIT[#All],3,0)),"CUIT NO CARGADO")</f>
        <v>Mantenimiento</v>
      </c>
      <c r="R134" s="168">
        <f>IFERROR(IF(compras_mes10[[#This Row],[CUIT]]="","-",VLOOKUP(compras_mes10[[#This Row],[CUIT]],Lista_CUIT[#All],4,0)),"CUIT NO CARGADO")</f>
        <v>0</v>
      </c>
    </row>
    <row r="135" spans="1:18" x14ac:dyDescent="0.3">
      <c r="B135" s="159">
        <v>44789</v>
      </c>
      <c r="C135" s="160">
        <v>1</v>
      </c>
      <c r="D135" s="161">
        <v>3</v>
      </c>
      <c r="E135" s="162">
        <v>1711</v>
      </c>
      <c r="F135" s="163">
        <v>24109521716</v>
      </c>
      <c r="G135" s="164" t="str">
        <f>IFERROR(IF(compras_mes10[[#This Row],[CUIT]]="","-",VLOOKUP(compras_mes10[[#This Row],[CUIT]],Lista_CUIT[#All],2,0)),"CUIT NO CARGADO")</f>
        <v>BERON  RItARD0  HECTOR</v>
      </c>
      <c r="H135" s="171">
        <v>5157.03</v>
      </c>
      <c r="I135" s="166">
        <f>IF(compras_mes10[[#This Row],[NETO GRAVADO]]="","",compras_mes10[[#This Row],[NETO GRAVADO]]*0.21)</f>
        <v>1082.9762999999998</v>
      </c>
      <c r="J135" s="169"/>
      <c r="K135" s="169"/>
      <c r="L135" s="169"/>
      <c r="M135" s="169"/>
      <c r="N135" s="169"/>
      <c r="O135" s="169"/>
      <c r="P135" s="167">
        <f>SUM(compras_mes10[[#This Row],[NETO GRAVADO]:[Otros / No Grav.]])</f>
        <v>6240.0062999999991</v>
      </c>
      <c r="Q135" s="168" t="str">
        <f>IFERROR(IF(compras_mes10[[#This Row],[CUIT]]="","-",VLOOKUP(compras_mes10[[#This Row],[CUIT]],Lista_CUIT[#All],3,0)),"CUIT NO CARGADO")</f>
        <v>Mantenimiento</v>
      </c>
      <c r="R135" s="168">
        <f>IFERROR(IF(compras_mes10[[#This Row],[CUIT]]="","-",VLOOKUP(compras_mes10[[#This Row],[CUIT]],Lista_CUIT[#All],4,0)),"CUIT NO CARGADO")</f>
        <v>0</v>
      </c>
    </row>
    <row r="136" spans="1:18" x14ac:dyDescent="0.3">
      <c r="B136" s="159">
        <v>44817</v>
      </c>
      <c r="C136" s="160">
        <v>1</v>
      </c>
      <c r="D136" s="161">
        <v>6</v>
      </c>
      <c r="E136" s="162">
        <v>4153</v>
      </c>
      <c r="F136" s="163">
        <v>30714971782</v>
      </c>
      <c r="G136" s="164" t="str">
        <f>IFERROR(IF(compras_mes10[[#This Row],[CUIT]]="","-",VLOOKUP(compras_mes10[[#This Row],[CUIT]],Lista_CUIT[#All],2,0)),"CUIT NO CARGADO")</f>
        <v>PINTOS SCHMIDT ALDANA MARCELA Y SACK ADRIANA CRISTINA SH</v>
      </c>
      <c r="H136" s="165">
        <v>6143.47</v>
      </c>
      <c r="I136" s="166">
        <f>IF(compras_mes10[[#This Row],[NETO GRAVADO]]="","",compras_mes10[[#This Row],[NETO GRAVADO]]*0.21)</f>
        <v>1290.1287</v>
      </c>
      <c r="J136" s="166"/>
      <c r="K136" s="166"/>
      <c r="L136" s="166"/>
      <c r="M136" s="166"/>
      <c r="N136" s="166"/>
      <c r="O136" s="166"/>
      <c r="P136" s="167">
        <f>SUM(compras_mes10[[#This Row],[NETO GRAVADO]:[Otros / No Grav.]])</f>
        <v>7433.5987000000005</v>
      </c>
      <c r="Q136" s="168" t="str">
        <f>IFERROR(IF(compras_mes10[[#This Row],[CUIT]]="","-",VLOOKUP(compras_mes10[[#This Row],[CUIT]],Lista_CUIT[#All],3,0)),"CUIT NO CARGADO")</f>
        <v>Mantenimiento</v>
      </c>
      <c r="R136" s="168">
        <f>IFERROR(IF(compras_mes10[[#This Row],[CUIT]]="","-",VLOOKUP(compras_mes10[[#This Row],[CUIT]],Lista_CUIT[#All],4,0)),"CUIT NO CARGADO")</f>
        <v>0</v>
      </c>
    </row>
    <row r="137" spans="1:18" x14ac:dyDescent="0.3">
      <c r="B137" s="159">
        <v>44812</v>
      </c>
      <c r="C137" s="160">
        <v>1</v>
      </c>
      <c r="D137" s="161">
        <v>2</v>
      </c>
      <c r="E137" s="162">
        <v>53567</v>
      </c>
      <c r="F137" s="163">
        <v>30504507870</v>
      </c>
      <c r="G137" s="164" t="str">
        <f>IFERROR(IF(compras_mes10[[#This Row],[CUIT]]="","-",VLOOKUP(compras_mes10[[#This Row],[CUIT]],Lista_CUIT[#All],2,0)),"CUIT NO CARGADO")</f>
        <v>FABRIQUIMICA S.A.U.</v>
      </c>
      <c r="H137" s="165">
        <f>960*146.5</f>
        <v>140640</v>
      </c>
      <c r="I137" s="166">
        <f>IF(compras_mes10[[#This Row],[NETO GRAVADO]]="","",compras_mes10[[#This Row],[NETO GRAVADO]]*0.21)</f>
        <v>29534.399999999998</v>
      </c>
      <c r="J137" s="166"/>
      <c r="K137" s="166"/>
      <c r="L137" s="166"/>
      <c r="M137" s="166"/>
      <c r="N137" s="166"/>
      <c r="O137" s="166"/>
      <c r="P137" s="167">
        <f>SUM(compras_mes10[[#This Row],[NETO GRAVADO]:[Otros / No Grav.]])</f>
        <v>170174.4</v>
      </c>
      <c r="Q137" s="168" t="str">
        <f>IFERROR(IF(compras_mes10[[#This Row],[CUIT]]="","-",VLOOKUP(compras_mes10[[#This Row],[CUIT]],Lista_CUIT[#All],3,0)),"CUIT NO CARGADO")</f>
        <v>Materia Prima</v>
      </c>
      <c r="R137" s="168">
        <f>IFERROR(IF(compras_mes10[[#This Row],[CUIT]]="","-",VLOOKUP(compras_mes10[[#This Row],[CUIT]],Lista_CUIT[#All],4,0)),"CUIT NO CARGADO")</f>
        <v>0</v>
      </c>
    </row>
    <row r="138" spans="1:18" x14ac:dyDescent="0.3">
      <c r="B138" s="159">
        <v>44813</v>
      </c>
      <c r="C138" s="160">
        <v>1</v>
      </c>
      <c r="D138" s="161">
        <v>9</v>
      </c>
      <c r="E138" s="162">
        <v>4762</v>
      </c>
      <c r="F138" s="163">
        <v>30714863815</v>
      </c>
      <c r="G138" s="164" t="str">
        <f>IFERROR(IF(compras_mes10[[#This Row],[CUIT]]="","-",VLOOKUP(compras_mes10[[#This Row],[CUIT]],Lista_CUIT[#All],2,0)),"CUIT NO CARGADO")</f>
        <v>QUANTUM QUIMICA S.R.L.</v>
      </c>
      <c r="H138" s="165">
        <f>565.12*147.5</f>
        <v>83355.199999999997</v>
      </c>
      <c r="I138" s="166">
        <f>IF(compras_mes10[[#This Row],[NETO GRAVADO]]="","",compras_mes10[[#This Row],[NETO GRAVADO]]*0.21)</f>
        <v>17504.592000000001</v>
      </c>
      <c r="J138" s="166"/>
      <c r="K138" s="166"/>
      <c r="L138" s="166"/>
      <c r="M138" s="166"/>
      <c r="N138" s="166"/>
      <c r="O138" s="166"/>
      <c r="P138" s="167">
        <f>SUM(compras_mes10[[#This Row],[NETO GRAVADO]:[Otros / No Grav.]])</f>
        <v>100859.792</v>
      </c>
      <c r="Q138" s="168" t="str">
        <f>IFERROR(IF(compras_mes10[[#This Row],[CUIT]]="","-",VLOOKUP(compras_mes10[[#This Row],[CUIT]],Lista_CUIT[#All],3,0)),"CUIT NO CARGADO")</f>
        <v>Materia Prima</v>
      </c>
      <c r="R138" s="168">
        <f>IFERROR(IF(compras_mes10[[#This Row],[CUIT]]="","-",VLOOKUP(compras_mes10[[#This Row],[CUIT]],Lista_CUIT[#All],4,0)),"CUIT NO CARGADO")</f>
        <v>0</v>
      </c>
    </row>
    <row r="139" spans="1:18" x14ac:dyDescent="0.3">
      <c r="B139" s="159">
        <v>44817</v>
      </c>
      <c r="C139" s="160">
        <v>1</v>
      </c>
      <c r="D139" s="161">
        <v>9</v>
      </c>
      <c r="E139" s="162">
        <v>4769</v>
      </c>
      <c r="F139" s="163">
        <v>30714863815</v>
      </c>
      <c r="G139" s="164" t="str">
        <f>IFERROR(IF(compras_mes10[[#This Row],[CUIT]]="","-",VLOOKUP(compras_mes10[[#This Row],[CUIT]],Lista_CUIT[#All],2,0)),"CUIT NO CARGADO")</f>
        <v>QUANTUM QUIMICA S.R.L.</v>
      </c>
      <c r="H139" s="165">
        <f>975*148.75</f>
        <v>145031.25</v>
      </c>
      <c r="I139" s="166">
        <f>IF(compras_mes10[[#This Row],[NETO GRAVADO]]="","",compras_mes10[[#This Row],[NETO GRAVADO]]*0.21)</f>
        <v>30456.5625</v>
      </c>
      <c r="J139" s="166"/>
      <c r="K139" s="166"/>
      <c r="L139" s="166"/>
      <c r="M139" s="166"/>
      <c r="N139" s="166"/>
      <c r="O139" s="166"/>
      <c r="P139" s="167">
        <f>SUM(compras_mes10[[#This Row],[NETO GRAVADO]:[Otros / No Grav.]])</f>
        <v>175487.8125</v>
      </c>
      <c r="Q139" s="168" t="str">
        <f>IFERROR(IF(compras_mes10[[#This Row],[CUIT]]="","-",VLOOKUP(compras_mes10[[#This Row],[CUIT]],Lista_CUIT[#All],3,0)),"CUIT NO CARGADO")</f>
        <v>Materia Prima</v>
      </c>
      <c r="R139" s="168">
        <f>IFERROR(IF(compras_mes10[[#This Row],[CUIT]]="","-",VLOOKUP(compras_mes10[[#This Row],[CUIT]],Lista_CUIT[#All],4,0)),"CUIT NO CARGADO")</f>
        <v>0</v>
      </c>
    </row>
    <row r="140" spans="1:18" x14ac:dyDescent="0.3">
      <c r="B140" s="159">
        <v>44805</v>
      </c>
      <c r="C140" s="160">
        <v>1</v>
      </c>
      <c r="D140" s="161">
        <v>6</v>
      </c>
      <c r="E140" s="162">
        <v>2197</v>
      </c>
      <c r="F140" s="163">
        <v>30574603788</v>
      </c>
      <c r="G140" s="172" t="str">
        <f>IFERROR(IF(compras_mes10[[#This Row],[CUIT]]="","-",VLOOKUP(compras_mes10[[#This Row],[CUIT]],Lista_CUIT[#All],2,0)),"CUIT NO CARGADO")</f>
        <v>Codac SRL</v>
      </c>
      <c r="H140" s="165">
        <v>735212</v>
      </c>
      <c r="I140" s="166">
        <f>IF(compras_mes10[[#This Row],[NETO GRAVADO]]="","",compras_mes10[[#This Row],[NETO GRAVADO]]*0.21)</f>
        <v>154394.51999999999</v>
      </c>
      <c r="J140" s="166"/>
      <c r="K140" s="166"/>
      <c r="L140" s="166"/>
      <c r="M140" s="166"/>
      <c r="N140" s="166"/>
      <c r="O140" s="166"/>
      <c r="P140" s="173">
        <f>SUM(compras_mes10[[#This Row],[NETO GRAVADO]:[Otros / No Grav.]])</f>
        <v>889606.52</v>
      </c>
      <c r="Q140" s="174" t="str">
        <f>IFERROR(IF(compras_mes10[[#This Row],[CUIT]]="","-",VLOOKUP(compras_mes10[[#This Row],[CUIT]],Lista_CUIT[#All],3,0)),"CUIT NO CARGADO")</f>
        <v>Mercaderia</v>
      </c>
      <c r="R140" s="174">
        <f>IFERROR(IF(compras_mes10[[#This Row],[CUIT]]="","-",VLOOKUP(compras_mes10[[#This Row],[CUIT]],Lista_CUIT[#All],4,0)),"CUIT NO CARGADO")</f>
        <v>0</v>
      </c>
    </row>
    <row r="141" spans="1:18" x14ac:dyDescent="0.3">
      <c r="B141" s="159">
        <v>44819</v>
      </c>
      <c r="C141" s="160">
        <v>1</v>
      </c>
      <c r="D141" s="161">
        <v>6</v>
      </c>
      <c r="E141" s="162">
        <v>2223</v>
      </c>
      <c r="F141" s="163">
        <v>30574603788</v>
      </c>
      <c r="G141" s="164" t="str">
        <f>IFERROR(IF(compras_mes10[[#This Row],[CUIT]]="","-",VLOOKUP(compras_mes10[[#This Row],[CUIT]],Lista_CUIT[#All],2,0)),"CUIT NO CARGADO")</f>
        <v>Codac SRL</v>
      </c>
      <c r="H141" s="165">
        <v>671974</v>
      </c>
      <c r="I141" s="166">
        <f>IF(compras_mes10[[#This Row],[NETO GRAVADO]]="","",compras_mes10[[#This Row],[NETO GRAVADO]]*0.21)</f>
        <v>141114.54</v>
      </c>
      <c r="J141" s="166"/>
      <c r="K141" s="166"/>
      <c r="L141" s="166"/>
      <c r="M141" s="166"/>
      <c r="N141" s="166"/>
      <c r="O141" s="166"/>
      <c r="P141" s="167">
        <f>SUM(compras_mes10[[#This Row],[NETO GRAVADO]:[Otros / No Grav.]])</f>
        <v>813088.54</v>
      </c>
      <c r="Q141" s="168" t="str">
        <f>IFERROR(IF(compras_mes10[[#This Row],[CUIT]]="","-",VLOOKUP(compras_mes10[[#This Row],[CUIT]],Lista_CUIT[#All],3,0)),"CUIT NO CARGADO")</f>
        <v>Mercaderia</v>
      </c>
      <c r="R141" s="168">
        <f>IFERROR(IF(compras_mes10[[#This Row],[CUIT]]="","-",VLOOKUP(compras_mes10[[#This Row],[CUIT]],Lista_CUIT[#All],4,0)),"CUIT NO CARGADO")</f>
        <v>0</v>
      </c>
    </row>
    <row r="142" spans="1:18" x14ac:dyDescent="0.3">
      <c r="B142" s="159">
        <v>44818</v>
      </c>
      <c r="C142" s="160">
        <v>1</v>
      </c>
      <c r="D142" s="161">
        <v>3</v>
      </c>
      <c r="E142" s="162">
        <v>3204</v>
      </c>
      <c r="F142" s="163">
        <v>30714618977</v>
      </c>
      <c r="G142" s="164" t="str">
        <f>IFERROR(IF(compras_mes10[[#This Row],[CUIT]]="","-",VLOOKUP(compras_mes10[[#This Row],[CUIT]],Lista_CUIT[#All],2,0)),"CUIT NO CARGADO")</f>
        <v>DISTRIBUIDORA N.G. S.A.</v>
      </c>
      <c r="H142" s="165">
        <v>67800</v>
      </c>
      <c r="I142" s="166">
        <f>IF(compras_mes10[[#This Row],[NETO GRAVADO]]="","",compras_mes10[[#This Row],[NETO GRAVADO]]*0.21)</f>
        <v>14238</v>
      </c>
      <c r="J142" s="166"/>
      <c r="K142" s="166"/>
      <c r="L142" s="166"/>
      <c r="M142" s="166"/>
      <c r="N142" s="166"/>
      <c r="O142" s="166"/>
      <c r="P142" s="167">
        <f>SUM(compras_mes10[[#This Row],[NETO GRAVADO]:[Otros / No Grav.]])</f>
        <v>82038</v>
      </c>
      <c r="Q142" s="168" t="str">
        <f>IFERROR(IF(compras_mes10[[#This Row],[CUIT]]="","-",VLOOKUP(compras_mes10[[#This Row],[CUIT]],Lista_CUIT[#All],3,0)),"CUIT NO CARGADO")</f>
        <v>Mercaderia</v>
      </c>
      <c r="R142" s="168">
        <f>IFERROR(IF(compras_mes10[[#This Row],[CUIT]]="","-",VLOOKUP(compras_mes10[[#This Row],[CUIT]],Lista_CUIT[#All],4,0)),"CUIT NO CARGADO")</f>
        <v>0</v>
      </c>
    </row>
    <row r="143" spans="1:18" x14ac:dyDescent="0.3">
      <c r="A143" s="158"/>
      <c r="B143" s="159">
        <v>44826</v>
      </c>
      <c r="C143" s="160">
        <v>1</v>
      </c>
      <c r="D143" s="161">
        <v>3</v>
      </c>
      <c r="E143" s="162">
        <v>3216</v>
      </c>
      <c r="F143" s="163">
        <v>30714618977</v>
      </c>
      <c r="G143" s="164" t="str">
        <f>IFERROR(IF(compras_mes10[[#This Row],[CUIT]]="","-",VLOOKUP(compras_mes10[[#This Row],[CUIT]],Lista_CUIT[#All],2,0)),"CUIT NO CARGADO")</f>
        <v>DISTRIBUIDORA N.G. S.A.</v>
      </c>
      <c r="H143" s="165">
        <v>663000</v>
      </c>
      <c r="I143" s="166">
        <f>IF(compras_mes10[[#This Row],[NETO GRAVADO]]="","",compras_mes10[[#This Row],[NETO GRAVADO]]*0.21)</f>
        <v>139230</v>
      </c>
      <c r="J143" s="166"/>
      <c r="K143" s="166"/>
      <c r="L143" s="166"/>
      <c r="M143" s="166"/>
      <c r="N143" s="166"/>
      <c r="O143" s="166"/>
      <c r="P143" s="167">
        <f>SUM(compras_mes10[[#This Row],[NETO GRAVADO]:[Otros / No Grav.]])</f>
        <v>802230</v>
      </c>
      <c r="Q143" s="168" t="str">
        <f>IFERROR(IF(compras_mes10[[#This Row],[CUIT]]="","-",VLOOKUP(compras_mes10[[#This Row],[CUIT]],Lista_CUIT[#All],3,0)),"CUIT NO CARGADO")</f>
        <v>Mercaderia</v>
      </c>
      <c r="R143" s="168">
        <f>IFERROR(IF(compras_mes10[[#This Row],[CUIT]]="","-",VLOOKUP(compras_mes10[[#This Row],[CUIT]],Lista_CUIT[#All],4,0)),"CUIT NO CARGADO")</f>
        <v>0</v>
      </c>
    </row>
    <row r="144" spans="1:18" s="157" customFormat="1" x14ac:dyDescent="0.3">
      <c r="A144" s="158"/>
      <c r="B144" s="159">
        <v>44817</v>
      </c>
      <c r="C144" s="160">
        <v>1</v>
      </c>
      <c r="D144" s="161">
        <v>9</v>
      </c>
      <c r="E144" s="162">
        <v>696</v>
      </c>
      <c r="F144" s="163">
        <v>30710446047</v>
      </c>
      <c r="G144" s="164" t="str">
        <f>IFERROR(IF(compras_mes10[[#This Row],[CUIT]]="","-",VLOOKUP(compras_mes10[[#This Row],[CUIT]],Lista_CUIT[#All],2,0)),"CUIT NO CARGADO")</f>
        <v>ENSAMBLE GRAFICO S.H.</v>
      </c>
      <c r="H144" s="165">
        <v>479895</v>
      </c>
      <c r="I144" s="166">
        <f>IF(compras_mes10[[#This Row],[NETO GRAVADO]]="","",compras_mes10[[#This Row],[NETO GRAVADO]]*0.21)</f>
        <v>100777.95</v>
      </c>
      <c r="J144" s="166"/>
      <c r="K144" s="166"/>
      <c r="L144" s="166"/>
      <c r="M144" s="166"/>
      <c r="N144" s="166"/>
      <c r="O144" s="166"/>
      <c r="P144" s="167">
        <f>SUM(compras_mes10[[#This Row],[NETO GRAVADO]:[Otros / No Grav.]])</f>
        <v>580672.94999999995</v>
      </c>
      <c r="Q144" s="168" t="str">
        <f>IFERROR(IF(compras_mes10[[#This Row],[CUIT]]="","-",VLOOKUP(compras_mes10[[#This Row],[CUIT]],Lista_CUIT[#All],3,0)),"CUIT NO CARGADO")</f>
        <v>Mercaderia</v>
      </c>
      <c r="R144" s="168">
        <f>IFERROR(IF(compras_mes10[[#This Row],[CUIT]]="","-",VLOOKUP(compras_mes10[[#This Row],[CUIT]],Lista_CUIT[#All],4,0)),"CUIT NO CARGADO")</f>
        <v>0</v>
      </c>
    </row>
    <row r="145" spans="1:18" s="158" customFormat="1" x14ac:dyDescent="0.3">
      <c r="B145" s="159">
        <v>44827</v>
      </c>
      <c r="C145" s="160">
        <v>1</v>
      </c>
      <c r="D145" s="161">
        <v>10</v>
      </c>
      <c r="E145" s="162">
        <v>9158</v>
      </c>
      <c r="F145" s="163">
        <v>30708157755</v>
      </c>
      <c r="G145" s="164" t="str">
        <f>IFERROR(IF(compras_mes10[[#This Row],[CUIT]]="","-",VLOOKUP(compras_mes10[[#This Row],[CUIT]],Lista_CUIT[#All],2,0)),"CUIT NO CARGADO")</f>
        <v>EXPOENVASE  S.R.L.</v>
      </c>
      <c r="H145" s="165">
        <v>74640</v>
      </c>
      <c r="I145" s="166">
        <f>IF(compras_mes10[[#This Row],[NETO GRAVADO]]="","",compras_mes10[[#This Row],[NETO GRAVADO]]*0.21)</f>
        <v>15674.4</v>
      </c>
      <c r="J145" s="166"/>
      <c r="K145" s="166"/>
      <c r="L145" s="166"/>
      <c r="M145" s="166"/>
      <c r="N145" s="166"/>
      <c r="O145" s="166"/>
      <c r="P145" s="167">
        <f>SUM(compras_mes10[[#This Row],[NETO GRAVADO]:[Otros / No Grav.]])</f>
        <v>90314.4</v>
      </c>
      <c r="Q145" s="168" t="str">
        <f>IFERROR(IF(compras_mes10[[#This Row],[CUIT]]="","-",VLOOKUP(compras_mes10[[#This Row],[CUIT]],Lista_CUIT[#All],3,0)),"CUIT NO CARGADO")</f>
        <v>Mercaderia</v>
      </c>
      <c r="R145" s="168">
        <f>IFERROR(IF(compras_mes10[[#This Row],[CUIT]]="","-",VLOOKUP(compras_mes10[[#This Row],[CUIT]],Lista_CUIT[#All],4,0)),"CUIT NO CARGADO")</f>
        <v>0</v>
      </c>
    </row>
    <row r="146" spans="1:18" x14ac:dyDescent="0.3">
      <c r="A146" s="158"/>
      <c r="B146" s="159">
        <v>44810</v>
      </c>
      <c r="C146" s="160">
        <v>1</v>
      </c>
      <c r="D146" s="161">
        <v>4</v>
      </c>
      <c r="E146" s="162">
        <v>36076</v>
      </c>
      <c r="F146" s="163">
        <v>30585948817</v>
      </c>
      <c r="G146" s="164" t="str">
        <f>IFERROR(IF(compras_mes10[[#This Row],[CUIT]]="","-",VLOOKUP(compras_mes10[[#This Row],[CUIT]],Lista_CUIT[#All],2,0)),"CUIT NO CARGADO")</f>
        <v xml:space="preserve">GLASCAR </v>
      </c>
      <c r="H146" s="165">
        <v>140937.89000000001</v>
      </c>
      <c r="I146" s="166">
        <f>IF(compras_mes10[[#This Row],[NETO GRAVADO]]="","",compras_mes10[[#This Row],[NETO GRAVADO]]*0.21)</f>
        <v>29596.956900000001</v>
      </c>
      <c r="J146" s="166"/>
      <c r="K146" s="166"/>
      <c r="L146" s="166"/>
      <c r="M146" s="166"/>
      <c r="N146" s="166"/>
      <c r="O146" s="166"/>
      <c r="P146" s="167">
        <f>SUM(compras_mes10[[#This Row],[NETO GRAVADO]:[Otros / No Grav.]])</f>
        <v>170534.8469</v>
      </c>
      <c r="Q146" s="168" t="str">
        <f>IFERROR(IF(compras_mes10[[#This Row],[CUIT]]="","-",VLOOKUP(compras_mes10[[#This Row],[CUIT]],Lista_CUIT[#All],3,0)),"CUIT NO CARGADO")</f>
        <v>Mercaderia</v>
      </c>
      <c r="R146" s="168">
        <f>IFERROR(IF(compras_mes10[[#This Row],[CUIT]]="","-",VLOOKUP(compras_mes10[[#This Row],[CUIT]],Lista_CUIT[#All],4,0)),"CUIT NO CARGADO")</f>
        <v>0</v>
      </c>
    </row>
    <row r="147" spans="1:18" s="157" customFormat="1" x14ac:dyDescent="0.3">
      <c r="A147" s="158"/>
      <c r="B147" s="159">
        <v>44810</v>
      </c>
      <c r="C147" s="160">
        <v>1</v>
      </c>
      <c r="D147" s="161">
        <v>4</v>
      </c>
      <c r="E147" s="162">
        <v>36077</v>
      </c>
      <c r="F147" s="163">
        <v>30585948817</v>
      </c>
      <c r="G147" s="164" t="str">
        <f>IFERROR(IF(compras_mes10[[#This Row],[CUIT]]="","-",VLOOKUP(compras_mes10[[#This Row],[CUIT]],Lista_CUIT[#All],2,0)),"CUIT NO CARGADO")</f>
        <v xml:space="preserve">GLASCAR </v>
      </c>
      <c r="H147" s="165">
        <v>260477.67</v>
      </c>
      <c r="I147" s="166">
        <f>IF(compras_mes10[[#This Row],[NETO GRAVADO]]="","",compras_mes10[[#This Row],[NETO GRAVADO]]*0.21)</f>
        <v>54700.310700000002</v>
      </c>
      <c r="J147" s="166"/>
      <c r="K147" s="166"/>
      <c r="L147" s="166"/>
      <c r="M147" s="166"/>
      <c r="N147" s="166"/>
      <c r="O147" s="166"/>
      <c r="P147" s="167">
        <f>SUM(compras_mes10[[#This Row],[NETO GRAVADO]:[Otros / No Grav.]])</f>
        <v>315177.98070000001</v>
      </c>
      <c r="Q147" s="168" t="str">
        <f>IFERROR(IF(compras_mes10[[#This Row],[CUIT]]="","-",VLOOKUP(compras_mes10[[#This Row],[CUIT]],Lista_CUIT[#All],3,0)),"CUIT NO CARGADO")</f>
        <v>Mercaderia</v>
      </c>
      <c r="R147" s="168">
        <f>IFERROR(IF(compras_mes10[[#This Row],[CUIT]]="","-",VLOOKUP(compras_mes10[[#This Row],[CUIT]],Lista_CUIT[#All],4,0)),"CUIT NO CARGADO")</f>
        <v>0</v>
      </c>
    </row>
    <row r="148" spans="1:18" x14ac:dyDescent="0.3">
      <c r="A148" s="158"/>
      <c r="B148" s="159">
        <v>44812</v>
      </c>
      <c r="C148" s="160">
        <v>1</v>
      </c>
      <c r="D148" s="161">
        <v>4</v>
      </c>
      <c r="E148" s="162">
        <v>36100</v>
      </c>
      <c r="F148" s="163">
        <v>30585948817</v>
      </c>
      <c r="G148" s="164" t="str">
        <f>IFERROR(IF(compras_mes10[[#This Row],[CUIT]]="","-",VLOOKUP(compras_mes10[[#This Row],[CUIT]],Lista_CUIT[#All],2,0)),"CUIT NO CARGADO")</f>
        <v xml:space="preserve">GLASCAR </v>
      </c>
      <c r="H148" s="165">
        <v>1149411.45</v>
      </c>
      <c r="I148" s="166">
        <f>IF(compras_mes10[[#This Row],[NETO GRAVADO]]="","",compras_mes10[[#This Row],[NETO GRAVADO]]*0.21)</f>
        <v>241376.40449999998</v>
      </c>
      <c r="J148" s="166"/>
      <c r="K148" s="166"/>
      <c r="L148" s="166"/>
      <c r="M148" s="166"/>
      <c r="N148" s="166"/>
      <c r="O148" s="166"/>
      <c r="P148" s="167">
        <f>SUM(compras_mes10[[#This Row],[NETO GRAVADO]:[Otros / No Grav.]])</f>
        <v>1390787.8544999999</v>
      </c>
      <c r="Q148" s="168" t="str">
        <f>IFERROR(IF(compras_mes10[[#This Row],[CUIT]]="","-",VLOOKUP(compras_mes10[[#This Row],[CUIT]],Lista_CUIT[#All],3,0)),"CUIT NO CARGADO")</f>
        <v>Mercaderia</v>
      </c>
      <c r="R148" s="168">
        <f>IFERROR(IF(compras_mes10[[#This Row],[CUIT]]="","-",VLOOKUP(compras_mes10[[#This Row],[CUIT]],Lista_CUIT[#All],4,0)),"CUIT NO CARGADO")</f>
        <v>0</v>
      </c>
    </row>
    <row r="149" spans="1:18" x14ac:dyDescent="0.3">
      <c r="A149" s="158"/>
      <c r="B149" s="159">
        <v>44817</v>
      </c>
      <c r="C149" s="160">
        <v>1</v>
      </c>
      <c r="D149" s="161">
        <v>4</v>
      </c>
      <c r="E149" s="162">
        <v>36183</v>
      </c>
      <c r="F149" s="163">
        <v>30585948817</v>
      </c>
      <c r="G149" s="164" t="str">
        <f>IFERROR(IF(compras_mes10[[#This Row],[CUIT]]="","-",VLOOKUP(compras_mes10[[#This Row],[CUIT]],Lista_CUIT[#All],2,0)),"CUIT NO CARGADO")</f>
        <v xml:space="preserve">GLASCAR </v>
      </c>
      <c r="H149" s="165">
        <v>415005.87</v>
      </c>
      <c r="I149" s="166">
        <f>IF(compras_mes10[[#This Row],[NETO GRAVADO]]="","",compras_mes10[[#This Row],[NETO GRAVADO]]*0.21)</f>
        <v>87151.232699999993</v>
      </c>
      <c r="J149" s="166"/>
      <c r="K149" s="166"/>
      <c r="L149" s="166"/>
      <c r="M149" s="166"/>
      <c r="N149" s="166"/>
      <c r="O149" s="166"/>
      <c r="P149" s="167">
        <f>SUM(compras_mes10[[#This Row],[NETO GRAVADO]:[Otros / No Grav.]])</f>
        <v>502157.10269999999</v>
      </c>
      <c r="Q149" s="168" t="str">
        <f>IFERROR(IF(compras_mes10[[#This Row],[CUIT]]="","-",VLOOKUP(compras_mes10[[#This Row],[CUIT]],Lista_CUIT[#All],3,0)),"CUIT NO CARGADO")</f>
        <v>Mercaderia</v>
      </c>
      <c r="R149" s="168">
        <f>IFERROR(IF(compras_mes10[[#This Row],[CUIT]]="","-",VLOOKUP(compras_mes10[[#This Row],[CUIT]],Lista_CUIT[#All],4,0)),"CUIT NO CARGADO")</f>
        <v>0</v>
      </c>
    </row>
    <row r="150" spans="1:18" s="157" customFormat="1" x14ac:dyDescent="0.3">
      <c r="A150" s="158"/>
      <c r="B150" s="159">
        <v>44802</v>
      </c>
      <c r="C150" s="160">
        <v>1</v>
      </c>
      <c r="D150" s="161">
        <v>4</v>
      </c>
      <c r="E150" s="162">
        <v>1649</v>
      </c>
      <c r="F150" s="163">
        <v>30715946250</v>
      </c>
      <c r="G150" s="164" t="str">
        <f>IFERROR(IF(compras_mes10[[#This Row],[CUIT]]="","-",VLOOKUP(compras_mes10[[#This Row],[CUIT]],Lista_CUIT[#All],2,0)),"CUIT NO CARGADO")</f>
        <v>GLOBAL  AESTHETICS  PRODUCTS</v>
      </c>
      <c r="H150" s="171">
        <v>816371.4</v>
      </c>
      <c r="I150" s="169">
        <f>IF(compras_mes10[[#This Row],[NETO GRAVADO]]="","",compras_mes10[[#This Row],[NETO GRAVADO]]*0.21)</f>
        <v>171437.99400000001</v>
      </c>
      <c r="J150" s="169"/>
      <c r="K150" s="169"/>
      <c r="L150" s="169"/>
      <c r="M150" s="169"/>
      <c r="N150" s="169"/>
      <c r="O150" s="169"/>
      <c r="P150" s="167">
        <f>SUM(compras_mes10[[#This Row],[NETO GRAVADO]:[Otros / No Grav.]])</f>
        <v>987809.39400000009</v>
      </c>
      <c r="Q150" s="168" t="str">
        <f>IFERROR(IF(compras_mes10[[#This Row],[CUIT]]="","-",VLOOKUP(compras_mes10[[#This Row],[CUIT]],Lista_CUIT[#All],3,0)),"CUIT NO CARGADO")</f>
        <v>Mercaderia</v>
      </c>
      <c r="R150" s="168">
        <f>IFERROR(IF(compras_mes10[[#This Row],[CUIT]]="","-",VLOOKUP(compras_mes10[[#This Row],[CUIT]],Lista_CUIT[#All],4,0)),"CUIT NO CARGADO")</f>
        <v>0</v>
      </c>
    </row>
    <row r="151" spans="1:18" x14ac:dyDescent="0.3">
      <c r="A151" s="158"/>
      <c r="B151" s="159">
        <v>44819</v>
      </c>
      <c r="C151" s="160">
        <v>1</v>
      </c>
      <c r="D151" s="161">
        <v>4</v>
      </c>
      <c r="E151" s="162">
        <v>1674</v>
      </c>
      <c r="F151" s="163">
        <v>30715946250</v>
      </c>
      <c r="G151" s="164" t="str">
        <f>IFERROR(IF(compras_mes10[[#This Row],[CUIT]]="","-",VLOOKUP(compras_mes10[[#This Row],[CUIT]],Lista_CUIT[#All],2,0)),"CUIT NO CARGADO")</f>
        <v>GLOBAL  AESTHETICS  PRODUCTS</v>
      </c>
      <c r="H151" s="165">
        <v>568800</v>
      </c>
      <c r="I151" s="166">
        <f>IF(compras_mes10[[#This Row],[NETO GRAVADO]]="","",compras_mes10[[#This Row],[NETO GRAVADO]]*0.21)</f>
        <v>119448</v>
      </c>
      <c r="J151" s="166"/>
      <c r="K151" s="166"/>
      <c r="L151" s="166"/>
      <c r="M151" s="166"/>
      <c r="N151" s="166"/>
      <c r="O151" s="166"/>
      <c r="P151" s="167">
        <f>SUM(compras_mes10[[#This Row],[NETO GRAVADO]:[Otros / No Grav.]])</f>
        <v>688248</v>
      </c>
      <c r="Q151" s="168" t="str">
        <f>IFERROR(IF(compras_mes10[[#This Row],[CUIT]]="","-",VLOOKUP(compras_mes10[[#This Row],[CUIT]],Lista_CUIT[#All],3,0)),"CUIT NO CARGADO")</f>
        <v>Mercaderia</v>
      </c>
      <c r="R151" s="168">
        <f>IFERROR(IF(compras_mes10[[#This Row],[CUIT]]="","-",VLOOKUP(compras_mes10[[#This Row],[CUIT]],Lista_CUIT[#All],4,0)),"CUIT NO CARGADO")</f>
        <v>0</v>
      </c>
    </row>
    <row r="152" spans="1:18" x14ac:dyDescent="0.3">
      <c r="B152" s="159">
        <v>44805</v>
      </c>
      <c r="C152" s="160">
        <v>1</v>
      </c>
      <c r="D152" s="161">
        <v>2</v>
      </c>
      <c r="E152" s="162">
        <v>871</v>
      </c>
      <c r="F152" s="163">
        <v>20172319743</v>
      </c>
      <c r="G152" s="172" t="str">
        <f>IFERROR(IF(compras_mes10[[#This Row],[CUIT]]="","-",VLOOKUP(compras_mes10[[#This Row],[CUIT]],Lista_CUIT[#All],2,0)),"CUIT NO CARGADO")</f>
        <v>IACONIS SERGIO OMAR</v>
      </c>
      <c r="H152" s="165">
        <v>196300</v>
      </c>
      <c r="I152" s="166">
        <f>IF(compras_mes10[[#This Row],[NETO GRAVADO]]="","",compras_mes10[[#This Row],[NETO GRAVADO]]*0.21)</f>
        <v>41223</v>
      </c>
      <c r="J152" s="166"/>
      <c r="K152" s="166"/>
      <c r="L152" s="166"/>
      <c r="M152" s="166"/>
      <c r="N152" s="166"/>
      <c r="O152" s="166"/>
      <c r="P152" s="173">
        <f>SUM(compras_mes10[[#This Row],[NETO GRAVADO]:[Otros / No Grav.]])</f>
        <v>237523</v>
      </c>
      <c r="Q152" s="174" t="str">
        <f>IFERROR(IF(compras_mes10[[#This Row],[CUIT]]="","-",VLOOKUP(compras_mes10[[#This Row],[CUIT]],Lista_CUIT[#All],3,0)),"CUIT NO CARGADO")</f>
        <v>Mercaderia</v>
      </c>
      <c r="R152" s="174" t="str">
        <f>IFERROR(IF(compras_mes10[[#This Row],[CUIT]]="","-",VLOOKUP(compras_mes10[[#This Row],[CUIT]],Lista_CUIT[#All],4,0)),"CUIT NO CARGADO")</f>
        <v>BS AS</v>
      </c>
    </row>
    <row r="153" spans="1:18" x14ac:dyDescent="0.3">
      <c r="B153" s="159">
        <v>44820</v>
      </c>
      <c r="C153" s="160">
        <v>1</v>
      </c>
      <c r="D153" s="161">
        <v>3</v>
      </c>
      <c r="E153" s="162">
        <v>6221</v>
      </c>
      <c r="F153" s="163">
        <v>30708006420</v>
      </c>
      <c r="G153" s="164" t="str">
        <f>IFERROR(IF(compras_mes10[[#This Row],[CUIT]]="","-",VLOOKUP(compras_mes10[[#This Row],[CUIT]],Lista_CUIT[#All],2,0)),"CUIT NO CARGADO")</f>
        <v>MEDILEA  S.A.</v>
      </c>
      <c r="H153" s="165">
        <v>346725</v>
      </c>
      <c r="I153" s="166">
        <f>IF(compras_mes10[[#This Row],[NETO GRAVADO]]="","",compras_mes10[[#This Row],[NETO GRAVADO]]*0.21)</f>
        <v>72812.25</v>
      </c>
      <c r="J153" s="166"/>
      <c r="K153" s="166"/>
      <c r="L153" s="166"/>
      <c r="M153" s="166"/>
      <c r="N153" s="166"/>
      <c r="O153" s="166"/>
      <c r="P153" s="167">
        <f>SUM(compras_mes10[[#This Row],[NETO GRAVADO]:[Otros / No Grav.]])</f>
        <v>419537.25</v>
      </c>
      <c r="Q153" s="168" t="str">
        <f>IFERROR(IF(compras_mes10[[#This Row],[CUIT]]="","-",VLOOKUP(compras_mes10[[#This Row],[CUIT]],Lista_CUIT[#All],3,0)),"CUIT NO CARGADO")</f>
        <v>Mercaderia</v>
      </c>
      <c r="R153" s="168">
        <f>IFERROR(IF(compras_mes10[[#This Row],[CUIT]]="","-",VLOOKUP(compras_mes10[[#This Row],[CUIT]],Lista_CUIT[#All],4,0)),"CUIT NO CARGADO")</f>
        <v>0</v>
      </c>
    </row>
    <row r="154" spans="1:18" x14ac:dyDescent="0.3">
      <c r="B154" s="159">
        <v>44832</v>
      </c>
      <c r="C154" s="160">
        <v>1</v>
      </c>
      <c r="D154" s="161">
        <v>2</v>
      </c>
      <c r="E154" s="162">
        <v>4928</v>
      </c>
      <c r="F154" s="163">
        <v>23180288899</v>
      </c>
      <c r="G154" s="164" t="str">
        <f>IFERROR(IF(compras_mes10[[#This Row],[CUIT]]="","-",VLOOKUP(compras_mes10[[#This Row],[CUIT]],Lista_CUIT[#All],2,0)),"CUIT NO CARGADO")</f>
        <v>ROMERO EMILIO</v>
      </c>
      <c r="H154" s="165">
        <v>224700</v>
      </c>
      <c r="I154" s="166">
        <f>IF(compras_mes10[[#This Row],[NETO GRAVADO]]="","",compras_mes10[[#This Row],[NETO GRAVADO]]*0.21)</f>
        <v>47187</v>
      </c>
      <c r="J154" s="166"/>
      <c r="K154" s="166"/>
      <c r="L154" s="166"/>
      <c r="M154" s="166"/>
      <c r="N154" s="166"/>
      <c r="O154" s="166"/>
      <c r="P154" s="167">
        <f>SUM(compras_mes10[[#This Row],[NETO GRAVADO]:[Otros / No Grav.]])</f>
        <v>271887</v>
      </c>
      <c r="Q154" s="168" t="str">
        <f>IFERROR(IF(compras_mes10[[#This Row],[CUIT]]="","-",VLOOKUP(compras_mes10[[#This Row],[CUIT]],Lista_CUIT[#All],3,0)),"CUIT NO CARGADO")</f>
        <v>Mercaderia</v>
      </c>
      <c r="R154" s="168" t="str">
        <f>IFERROR(IF(compras_mes10[[#This Row],[CUIT]]="","-",VLOOKUP(compras_mes10[[#This Row],[CUIT]],Lista_CUIT[#All],4,0)),"CUIT NO CARGADO")</f>
        <v>BUENOS AIRES</v>
      </c>
    </row>
    <row r="155" spans="1:18" x14ac:dyDescent="0.3">
      <c r="B155" s="159">
        <v>44813</v>
      </c>
      <c r="C155" s="160">
        <v>1</v>
      </c>
      <c r="D155" s="161">
        <v>2</v>
      </c>
      <c r="E155" s="162">
        <v>3143</v>
      </c>
      <c r="F155" s="163">
        <v>30629863571</v>
      </c>
      <c r="G155" s="164" t="str">
        <f>IFERROR(IF(compras_mes10[[#This Row],[CUIT]]="","-",VLOOKUP(compras_mes10[[#This Row],[CUIT]],Lista_CUIT[#All],2,0)),"CUIT NO CARGADO")</f>
        <v>TECNIMAR S R L</v>
      </c>
      <c r="H155" s="165">
        <v>314736</v>
      </c>
      <c r="I155" s="166">
        <f>IF(compras_mes10[[#This Row],[NETO GRAVADO]]="","",compras_mes10[[#This Row],[NETO GRAVADO]]*0.21)</f>
        <v>66094.559999999998</v>
      </c>
      <c r="J155" s="166"/>
      <c r="K155" s="166"/>
      <c r="L155" s="166"/>
      <c r="M155" s="166"/>
      <c r="N155" s="166"/>
      <c r="O155" s="166"/>
      <c r="P155" s="167">
        <f>SUM(compras_mes10[[#This Row],[NETO GRAVADO]:[Otros / No Grav.]])</f>
        <v>380830.56</v>
      </c>
      <c r="Q155" s="168" t="str">
        <f>IFERROR(IF(compras_mes10[[#This Row],[CUIT]]="","-",VLOOKUP(compras_mes10[[#This Row],[CUIT]],Lista_CUIT[#All],3,0)),"CUIT NO CARGADO")</f>
        <v>Mercaderia</v>
      </c>
      <c r="R155" s="168">
        <f>IFERROR(IF(compras_mes10[[#This Row],[CUIT]]="","-",VLOOKUP(compras_mes10[[#This Row],[CUIT]],Lista_CUIT[#All],4,0)),"CUIT NO CARGADO")</f>
        <v>0</v>
      </c>
    </row>
    <row r="156" spans="1:18" x14ac:dyDescent="0.3">
      <c r="B156" s="159">
        <v>44819</v>
      </c>
      <c r="C156" s="160">
        <v>1</v>
      </c>
      <c r="D156" s="161">
        <v>2</v>
      </c>
      <c r="E156" s="162">
        <v>3147</v>
      </c>
      <c r="F156" s="163">
        <v>30629863571</v>
      </c>
      <c r="G156" s="164" t="str">
        <f>IFERROR(IF(compras_mes10[[#This Row],[CUIT]]="","-",VLOOKUP(compras_mes10[[#This Row],[CUIT]],Lista_CUIT[#All],2,0)),"CUIT NO CARGADO")</f>
        <v>TECNIMAR S R L</v>
      </c>
      <c r="H156" s="165">
        <v>225573</v>
      </c>
      <c r="I156" s="166">
        <f>IF(compras_mes10[[#This Row],[NETO GRAVADO]]="","",compras_mes10[[#This Row],[NETO GRAVADO]]*0.21)</f>
        <v>47370.33</v>
      </c>
      <c r="J156" s="166"/>
      <c r="K156" s="166"/>
      <c r="L156" s="166"/>
      <c r="M156" s="166"/>
      <c r="N156" s="166"/>
      <c r="O156" s="166"/>
      <c r="P156" s="167">
        <f>SUM(compras_mes10[[#This Row],[NETO GRAVADO]:[Otros / No Grav.]])</f>
        <v>272943.33</v>
      </c>
      <c r="Q156" s="168" t="str">
        <f>IFERROR(IF(compras_mes10[[#This Row],[CUIT]]="","-",VLOOKUP(compras_mes10[[#This Row],[CUIT]],Lista_CUIT[#All],3,0)),"CUIT NO CARGADO")</f>
        <v>Mercaderia</v>
      </c>
      <c r="R156" s="168">
        <f>IFERROR(IF(compras_mes10[[#This Row],[CUIT]]="","-",VLOOKUP(compras_mes10[[#This Row],[CUIT]],Lista_CUIT[#All],4,0)),"CUIT NO CARGADO")</f>
        <v>0</v>
      </c>
    </row>
    <row r="157" spans="1:18" s="158" customFormat="1" x14ac:dyDescent="0.3">
      <c r="B157" s="159">
        <v>44824</v>
      </c>
      <c r="C157" s="160">
        <v>1</v>
      </c>
      <c r="D157" s="161">
        <v>2</v>
      </c>
      <c r="E157" s="162">
        <v>3150</v>
      </c>
      <c r="F157" s="163">
        <v>30629863571</v>
      </c>
      <c r="G157" s="164" t="str">
        <f>IFERROR(IF(compras_mes10[[#This Row],[CUIT]]="","-",VLOOKUP(compras_mes10[[#This Row],[CUIT]],Lista_CUIT[#All],2,0)),"CUIT NO CARGADO")</f>
        <v>TECNIMAR S R L</v>
      </c>
      <c r="H157" s="165">
        <v>296399</v>
      </c>
      <c r="I157" s="166">
        <f>IF(compras_mes10[[#This Row],[NETO GRAVADO]]="","",compras_mes10[[#This Row],[NETO GRAVADO]]*0.21)</f>
        <v>62243.79</v>
      </c>
      <c r="J157" s="166"/>
      <c r="K157" s="166"/>
      <c r="L157" s="166"/>
      <c r="M157" s="166"/>
      <c r="N157" s="166"/>
      <c r="O157" s="166"/>
      <c r="P157" s="167">
        <f>SUM(compras_mes10[[#This Row],[NETO GRAVADO]:[Otros / No Grav.]])</f>
        <v>358642.79</v>
      </c>
      <c r="Q157" s="168" t="str">
        <f>IFERROR(IF(compras_mes10[[#This Row],[CUIT]]="","-",VLOOKUP(compras_mes10[[#This Row],[CUIT]],Lista_CUIT[#All],3,0)),"CUIT NO CARGADO")</f>
        <v>Mercaderia</v>
      </c>
      <c r="R157" s="168">
        <f>IFERROR(IF(compras_mes10[[#This Row],[CUIT]]="","-",VLOOKUP(compras_mes10[[#This Row],[CUIT]],Lista_CUIT[#All],4,0)),"CUIT NO CARGADO")</f>
        <v>0</v>
      </c>
    </row>
    <row r="158" spans="1:18" x14ac:dyDescent="0.3">
      <c r="B158" s="159">
        <v>44830</v>
      </c>
      <c r="C158" s="160">
        <v>1</v>
      </c>
      <c r="D158" s="161">
        <v>2</v>
      </c>
      <c r="E158" s="162">
        <v>3155</v>
      </c>
      <c r="F158" s="163">
        <v>30629863571</v>
      </c>
      <c r="G158" s="164" t="str">
        <f>IFERROR(IF(compras_mes10[[#This Row],[CUIT]]="","-",VLOOKUP(compras_mes10[[#This Row],[CUIT]],Lista_CUIT[#All],2,0)),"CUIT NO CARGADO")</f>
        <v>TECNIMAR S R L</v>
      </c>
      <c r="H158" s="165">
        <v>405782</v>
      </c>
      <c r="I158" s="166">
        <f>IF(compras_mes10[[#This Row],[NETO GRAVADO]]="","",compras_mes10[[#This Row],[NETO GRAVADO]]*0.21)</f>
        <v>85214.22</v>
      </c>
      <c r="J158" s="166"/>
      <c r="K158" s="166"/>
      <c r="L158" s="166"/>
      <c r="M158" s="166"/>
      <c r="N158" s="166"/>
      <c r="O158" s="166"/>
      <c r="P158" s="167">
        <f>SUM(compras_mes10[[#This Row],[NETO GRAVADO]:[Otros / No Grav.]])</f>
        <v>490996.22</v>
      </c>
      <c r="Q158" s="168" t="str">
        <f>IFERROR(IF(compras_mes10[[#This Row],[CUIT]]="","-",VLOOKUP(compras_mes10[[#This Row],[CUIT]],Lista_CUIT[#All],3,0)),"CUIT NO CARGADO")</f>
        <v>Mercaderia</v>
      </c>
      <c r="R158" s="168">
        <f>IFERROR(IF(compras_mes10[[#This Row],[CUIT]]="","-",VLOOKUP(compras_mes10[[#This Row],[CUIT]],Lista_CUIT[#All],4,0)),"CUIT NO CARGADO")</f>
        <v>0</v>
      </c>
    </row>
    <row r="159" spans="1:18" x14ac:dyDescent="0.3">
      <c r="B159" s="129">
        <v>44831</v>
      </c>
      <c r="C159" s="130">
        <v>1</v>
      </c>
      <c r="D159" s="131">
        <v>2</v>
      </c>
      <c r="E159" s="132">
        <v>1993</v>
      </c>
      <c r="F159" s="133">
        <v>30715811622</v>
      </c>
      <c r="G159" s="134" t="str">
        <f>IFERROR(IF(compras_mes10[[#This Row],[CUIT]]="","-",VLOOKUP(compras_mes10[[#This Row],[CUIT]],Lista_CUIT[#All],2,0)),"CUIT NO CARGADO")</f>
        <v>VTEC  S.R.L.</v>
      </c>
      <c r="H159" s="135">
        <v>236886.1</v>
      </c>
      <c r="I159" s="136">
        <v>18981.900000000001</v>
      </c>
      <c r="J159" s="136">
        <v>15382.09</v>
      </c>
      <c r="K159" s="136"/>
      <c r="L159" s="136"/>
      <c r="M159" s="136"/>
      <c r="N159" s="136"/>
      <c r="O159" s="136"/>
      <c r="P159" s="137">
        <f>SUM(compras_mes10[[#This Row],[NETO GRAVADO]:[Otros / No Grav.]])</f>
        <v>271250.09000000003</v>
      </c>
      <c r="Q159" s="138" t="str">
        <f>IFERROR(IF(compras_mes10[[#This Row],[CUIT]]="","-",VLOOKUP(compras_mes10[[#This Row],[CUIT]],Lista_CUIT[#All],3,0)),"CUIT NO CARGADO")</f>
        <v>Mercaderia</v>
      </c>
      <c r="R159" s="138">
        <f>IFERROR(IF(compras_mes10[[#This Row],[CUIT]]="","-",VLOOKUP(compras_mes10[[#This Row],[CUIT]],Lista_CUIT[#All],4,0)),"CUIT NO CARGADO")</f>
        <v>0</v>
      </c>
    </row>
    <row r="160" spans="1:18" s="158" customFormat="1" x14ac:dyDescent="0.3">
      <c r="B160" s="159">
        <v>44807</v>
      </c>
      <c r="C160" s="160">
        <v>1</v>
      </c>
      <c r="D160" s="161">
        <v>50</v>
      </c>
      <c r="E160" s="162">
        <v>2738934</v>
      </c>
      <c r="F160" s="163">
        <v>30714112836</v>
      </c>
      <c r="G160" s="164" t="str">
        <f>IFERROR(IF(compras_mes10[[#This Row],[CUIT]]="","-",VLOOKUP(compras_mes10[[#This Row],[CUIT]],Lista_CUIT[#All],2,0)),"CUIT NO CARGADO")</f>
        <v>AUTOPISTAS DE BS AS</v>
      </c>
      <c r="H160" s="165">
        <v>786.78</v>
      </c>
      <c r="I160" s="166">
        <f>IF(compras_mes10[[#This Row],[NETO GRAVADO]]="","",compras_mes10[[#This Row],[NETO GRAVADO]]*0.21)</f>
        <v>165.22379999999998</v>
      </c>
      <c r="J160" s="166"/>
      <c r="K160" s="166"/>
      <c r="L160" s="166"/>
      <c r="M160" s="166"/>
      <c r="N160" s="166"/>
      <c r="O160" s="166"/>
      <c r="P160" s="167">
        <f>SUM(compras_mes10[[#This Row],[NETO GRAVADO]:[Otros / No Grav.]])</f>
        <v>952.00379999999996</v>
      </c>
      <c r="Q160" s="168" t="str">
        <f>IFERROR(IF(compras_mes10[[#This Row],[CUIT]]="","-",VLOOKUP(compras_mes10[[#This Row],[CUIT]],Lista_CUIT[#All],3,0)),"CUIT NO CARGADO")</f>
        <v>Peaje</v>
      </c>
      <c r="R160" s="168">
        <f>IFERROR(IF(compras_mes10[[#This Row],[CUIT]]="","-",VLOOKUP(compras_mes10[[#This Row],[CUIT]],Lista_CUIT[#All],4,0)),"CUIT NO CARGADO")</f>
        <v>0</v>
      </c>
    </row>
    <row r="161" spans="1:18" x14ac:dyDescent="0.3">
      <c r="B161" s="159">
        <v>44806</v>
      </c>
      <c r="C161" s="160">
        <v>1</v>
      </c>
      <c r="D161" s="161">
        <v>711</v>
      </c>
      <c r="E161" s="162">
        <v>3350317</v>
      </c>
      <c r="F161" s="163">
        <v>30677237119</v>
      </c>
      <c r="G161" s="175" t="str">
        <f>IFERROR(IF(compras_mes10[[#This Row],[CUIT]]="","-",VLOOKUP(compras_mes10[[#This Row],[CUIT]],Lista_CUIT[#All],2,0)),"CUIT NO CARGADO")</f>
        <v>AUTOPISTAS DEL SOL S A</v>
      </c>
      <c r="H161" s="165">
        <v>3071.87</v>
      </c>
      <c r="I161" s="170">
        <f>IF(compras_mes10[[#This Row],[NETO GRAVADO]]="","",compras_mes10[[#This Row],[NETO GRAVADO]]*0.21)</f>
        <v>645.09269999999992</v>
      </c>
      <c r="J161" s="166"/>
      <c r="K161" s="166"/>
      <c r="L161" s="166"/>
      <c r="M161" s="166"/>
      <c r="N161" s="166"/>
      <c r="O161" s="166">
        <v>92.16</v>
      </c>
      <c r="P161" s="177">
        <f>SUM(compras_mes10[[#This Row],[NETO GRAVADO]:[Otros / No Grav.]])</f>
        <v>3809.1226999999999</v>
      </c>
      <c r="Q161" s="178" t="str">
        <f>IFERROR(IF(compras_mes10[[#This Row],[CUIT]]="","-",VLOOKUP(compras_mes10[[#This Row],[CUIT]],Lista_CUIT[#All],3,0)),"CUIT NO CARGADO")</f>
        <v>Peaje</v>
      </c>
      <c r="R161" s="178">
        <f>IFERROR(IF(compras_mes10[[#This Row],[CUIT]]="","-",VLOOKUP(compras_mes10[[#This Row],[CUIT]],Lista_CUIT[#All],4,0)),"CUIT NO CARGADO")</f>
        <v>0</v>
      </c>
    </row>
    <row r="162" spans="1:18" x14ac:dyDescent="0.3">
      <c r="B162" s="159">
        <v>44822</v>
      </c>
      <c r="C162" s="160">
        <v>1</v>
      </c>
      <c r="D162" s="161">
        <v>711</v>
      </c>
      <c r="E162" s="162">
        <v>3406169</v>
      </c>
      <c r="F162" s="163">
        <v>30677237119</v>
      </c>
      <c r="G162" s="164" t="str">
        <f>IFERROR(IF(compras_mes10[[#This Row],[CUIT]]="","-",VLOOKUP(compras_mes10[[#This Row],[CUIT]],Lista_CUIT[#All],2,0)),"CUIT NO CARGADO")</f>
        <v>AUTOPISTAS DEL SOL S A</v>
      </c>
      <c r="H162" s="165">
        <v>2382.63</v>
      </c>
      <c r="I162" s="166">
        <f>IF(compras_mes10[[#This Row],[NETO GRAVADO]]="","",compras_mes10[[#This Row],[NETO GRAVADO]]*0.21)</f>
        <v>500.35230000000001</v>
      </c>
      <c r="J162" s="166"/>
      <c r="K162" s="166"/>
      <c r="L162" s="166"/>
      <c r="M162" s="166"/>
      <c r="N162" s="166"/>
      <c r="O162" s="166">
        <v>71.48</v>
      </c>
      <c r="P162" s="167">
        <f>SUM(compras_mes10[[#This Row],[NETO GRAVADO]:[Otros / No Grav.]])</f>
        <v>2954.4623000000001</v>
      </c>
      <c r="Q162" s="168" t="str">
        <f>IFERROR(IF(compras_mes10[[#This Row],[CUIT]]="","-",VLOOKUP(compras_mes10[[#This Row],[CUIT]],Lista_CUIT[#All],3,0)),"CUIT NO CARGADO")</f>
        <v>Peaje</v>
      </c>
      <c r="R162" s="168">
        <f>IFERROR(IF(compras_mes10[[#This Row],[CUIT]]="","-",VLOOKUP(compras_mes10[[#This Row],[CUIT]],Lista_CUIT[#All],4,0)),"CUIT NO CARGADO")</f>
        <v>0</v>
      </c>
    </row>
    <row r="163" spans="1:18" x14ac:dyDescent="0.3">
      <c r="B163" s="159">
        <v>44809</v>
      </c>
      <c r="C163" s="160">
        <v>1</v>
      </c>
      <c r="D163" s="161">
        <v>5014</v>
      </c>
      <c r="E163" s="162">
        <v>288361</v>
      </c>
      <c r="F163" s="163">
        <v>30574876474</v>
      </c>
      <c r="G163" s="164" t="str">
        <f>IFERROR(IF(compras_mes10[[#This Row],[CUIT]]="","-",VLOOKUP(compras_mes10[[#This Row],[CUIT]],Lista_CUIT[#All],2,0)),"CUIT NO CARGADO")</f>
        <v>AUTOPISTAS URBANAS S A</v>
      </c>
      <c r="H163" s="165">
        <v>8488.83</v>
      </c>
      <c r="I163" s="166">
        <f>IF(compras_mes10[[#This Row],[NETO GRAVADO]]="","",compras_mes10[[#This Row],[NETO GRAVADO]]*0.21)</f>
        <v>1782.6542999999999</v>
      </c>
      <c r="J163" s="166"/>
      <c r="K163" s="166"/>
      <c r="L163" s="166"/>
      <c r="M163" s="166"/>
      <c r="N163" s="166"/>
      <c r="O163" s="166"/>
      <c r="P163" s="167">
        <f>SUM(compras_mes10[[#This Row],[NETO GRAVADO]:[Otros / No Grav.]])</f>
        <v>10271.4843</v>
      </c>
      <c r="Q163" s="168" t="str">
        <f>IFERROR(IF(compras_mes10[[#This Row],[CUIT]]="","-",VLOOKUP(compras_mes10[[#This Row],[CUIT]],Lista_CUIT[#All],3,0)),"CUIT NO CARGADO")</f>
        <v>Peaje</v>
      </c>
      <c r="R163" s="168">
        <f>IFERROR(IF(compras_mes10[[#This Row],[CUIT]]="","-",VLOOKUP(compras_mes10[[#This Row],[CUIT]],Lista_CUIT[#All],4,0)),"CUIT NO CARGADO")</f>
        <v>0</v>
      </c>
    </row>
    <row r="164" spans="1:18" x14ac:dyDescent="0.3">
      <c r="B164" s="159">
        <v>44823</v>
      </c>
      <c r="C164" s="160">
        <v>1</v>
      </c>
      <c r="D164" s="161">
        <v>5014</v>
      </c>
      <c r="E164" s="162">
        <v>295891</v>
      </c>
      <c r="F164" s="163">
        <v>30574876474</v>
      </c>
      <c r="G164" s="164" t="str">
        <f>IFERROR(IF(compras_mes10[[#This Row],[CUIT]]="","-",VLOOKUP(compras_mes10[[#This Row],[CUIT]],Lista_CUIT[#All],2,0)),"CUIT NO CARGADO")</f>
        <v>AUTOPISTAS URBANAS S A</v>
      </c>
      <c r="H164" s="165">
        <v>9297.7099999999991</v>
      </c>
      <c r="I164" s="166">
        <f>IF(compras_mes10[[#This Row],[NETO GRAVADO]]="","",compras_mes10[[#This Row],[NETO GRAVADO]]*0.21)</f>
        <v>1952.5190999999998</v>
      </c>
      <c r="J164" s="166"/>
      <c r="K164" s="166"/>
      <c r="L164" s="166"/>
      <c r="M164" s="166"/>
      <c r="N164" s="166"/>
      <c r="O164" s="166"/>
      <c r="P164" s="167">
        <f>SUM(compras_mes10[[#This Row],[NETO GRAVADO]:[Otros / No Grav.]])</f>
        <v>11250.229099999999</v>
      </c>
      <c r="Q164" s="168" t="str">
        <f>IFERROR(IF(compras_mes10[[#This Row],[CUIT]]="","-",VLOOKUP(compras_mes10[[#This Row],[CUIT]],Lista_CUIT[#All],3,0)),"CUIT NO CARGADO")</f>
        <v>Peaje</v>
      </c>
      <c r="R164" s="168">
        <f>IFERROR(IF(compras_mes10[[#This Row],[CUIT]]="","-",VLOOKUP(compras_mes10[[#This Row],[CUIT]],Lista_CUIT[#All],4,0)),"CUIT NO CARGADO")</f>
        <v>0</v>
      </c>
    </row>
    <row r="165" spans="1:18" x14ac:dyDescent="0.3">
      <c r="B165" s="159">
        <v>44827</v>
      </c>
      <c r="C165" s="160">
        <v>1</v>
      </c>
      <c r="D165" s="161">
        <v>700</v>
      </c>
      <c r="E165" s="162">
        <v>641220</v>
      </c>
      <c r="F165" s="163">
        <v>30715804812</v>
      </c>
      <c r="G165" s="164" t="str">
        <f>IFERROR(IF(compras_mes10[[#This Row],[CUIT]]="","-",VLOOKUP(compras_mes10[[#This Row],[CUIT]],Lista_CUIT[#All],2,0)),"CUIT NO CARGADO")</f>
        <v>CORREDORES VIALES SOCIEDAD ANONIMA</v>
      </c>
      <c r="H165" s="165">
        <v>773.55</v>
      </c>
      <c r="I165" s="166">
        <f>IF(compras_mes10[[#This Row],[NETO GRAVADO]]="","",compras_mes10[[#This Row],[NETO GRAVADO]]*0.21)</f>
        <v>162.44549999999998</v>
      </c>
      <c r="J165" s="166"/>
      <c r="K165" s="166"/>
      <c r="L165" s="166"/>
      <c r="M165" s="166"/>
      <c r="N165" s="166"/>
      <c r="O165" s="166"/>
      <c r="P165" s="167">
        <f>SUM(compras_mes10[[#This Row],[NETO GRAVADO]:[Otros / No Grav.]])</f>
        <v>935.99549999999999</v>
      </c>
      <c r="Q165" s="168" t="str">
        <f>IFERROR(IF(compras_mes10[[#This Row],[CUIT]]="","-",VLOOKUP(compras_mes10[[#This Row],[CUIT]],Lista_CUIT[#All],3,0)),"CUIT NO CARGADO")</f>
        <v>Peaje</v>
      </c>
      <c r="R165" s="168">
        <f>IFERROR(IF(compras_mes10[[#This Row],[CUIT]]="","-",VLOOKUP(compras_mes10[[#This Row],[CUIT]],Lista_CUIT[#All],4,0)),"CUIT NO CARGADO")</f>
        <v>0</v>
      </c>
    </row>
    <row r="166" spans="1:18" x14ac:dyDescent="0.3">
      <c r="B166" s="159">
        <v>44806</v>
      </c>
      <c r="C166" s="160">
        <v>1</v>
      </c>
      <c r="D166" s="161">
        <v>629</v>
      </c>
      <c r="E166" s="162">
        <v>3511717</v>
      </c>
      <c r="F166" s="163">
        <v>30663498513</v>
      </c>
      <c r="G166" s="164" t="str">
        <f>IFERROR(IF(compras_mes10[[#This Row],[CUIT]]="","-",VLOOKUP(compras_mes10[[#This Row],[CUIT]],Lista_CUIT[#All],2,0)),"CUIT NO CARGADO")</f>
        <v>GRUPO CONCES. DEL OESTE SA</v>
      </c>
      <c r="H166" s="165">
        <v>1526.43</v>
      </c>
      <c r="I166" s="166">
        <f>IF(compras_mes10[[#This Row],[NETO GRAVADO]]="","",compras_mes10[[#This Row],[NETO GRAVADO]]*0.21)</f>
        <v>320.55029999999999</v>
      </c>
      <c r="J166" s="166"/>
      <c r="K166" s="166"/>
      <c r="L166" s="166"/>
      <c r="M166" s="166"/>
      <c r="N166" s="166"/>
      <c r="O166" s="166"/>
      <c r="P166" s="167">
        <f>SUM(compras_mes10[[#This Row],[NETO GRAVADO]:[Otros / No Grav.]])</f>
        <v>1846.9803000000002</v>
      </c>
      <c r="Q166" s="168" t="str">
        <f>IFERROR(IF(compras_mes10[[#This Row],[CUIT]]="","-",VLOOKUP(compras_mes10[[#This Row],[CUIT]],Lista_CUIT[#All],3,0)),"CUIT NO CARGADO")</f>
        <v>Peaje</v>
      </c>
      <c r="R166" s="168">
        <f>IFERROR(IF(compras_mes10[[#This Row],[CUIT]]="","-",VLOOKUP(compras_mes10[[#This Row],[CUIT]],Lista_CUIT[#All],4,0)),"CUIT NO CARGADO")</f>
        <v>0</v>
      </c>
    </row>
    <row r="167" spans="1:18" x14ac:dyDescent="0.3">
      <c r="B167" s="159">
        <v>44822</v>
      </c>
      <c r="C167" s="160">
        <v>1</v>
      </c>
      <c r="D167" s="161">
        <v>629</v>
      </c>
      <c r="E167" s="162">
        <v>3550625</v>
      </c>
      <c r="F167" s="163">
        <v>30663498513</v>
      </c>
      <c r="G167" s="164" t="str">
        <f>IFERROR(IF(compras_mes10[[#This Row],[CUIT]]="","-",VLOOKUP(compras_mes10[[#This Row],[CUIT]],Lista_CUIT[#All],2,0)),"CUIT NO CARGADO")</f>
        <v>GRUPO CONCES. DEL OESTE SA</v>
      </c>
      <c r="H167" s="165">
        <v>1863.63</v>
      </c>
      <c r="I167" s="166">
        <f>IF(compras_mes10[[#This Row],[NETO GRAVADO]]="","",compras_mes10[[#This Row],[NETO GRAVADO]]*0.21)</f>
        <v>391.3623</v>
      </c>
      <c r="J167" s="166"/>
      <c r="K167" s="166"/>
      <c r="L167" s="166"/>
      <c r="M167" s="166"/>
      <c r="N167" s="166"/>
      <c r="O167" s="166"/>
      <c r="P167" s="167">
        <f>SUM(compras_mes10[[#This Row],[NETO GRAVADO]:[Otros / No Grav.]])</f>
        <v>2254.9922999999999</v>
      </c>
      <c r="Q167" s="168" t="str">
        <f>IFERROR(IF(compras_mes10[[#This Row],[CUIT]]="","-",VLOOKUP(compras_mes10[[#This Row],[CUIT]],Lista_CUIT[#All],3,0)),"CUIT NO CARGADO")</f>
        <v>Peaje</v>
      </c>
      <c r="R167" s="168">
        <f>IFERROR(IF(compras_mes10[[#This Row],[CUIT]]="","-",VLOOKUP(compras_mes10[[#This Row],[CUIT]],Lista_CUIT[#All],4,0)),"CUIT NO CARGADO")</f>
        <v>0</v>
      </c>
    </row>
    <row r="168" spans="1:18" x14ac:dyDescent="0.3">
      <c r="B168" s="159">
        <v>44826</v>
      </c>
      <c r="C168" s="160">
        <v>1</v>
      </c>
      <c r="D168" s="161">
        <v>10</v>
      </c>
      <c r="E168" s="162">
        <v>150</v>
      </c>
      <c r="F168" s="163">
        <v>27316594676</v>
      </c>
      <c r="G168" s="164" t="str">
        <f>IFERROR(IF(compras_mes10[[#This Row],[CUIT]]="","-",VLOOKUP(compras_mes10[[#This Row],[CUIT]],Lista_CUIT[#All],2,0)),"CUIT NO CARGADO")</f>
        <v>GOLDIN DAIANA</v>
      </c>
      <c r="H168" s="165">
        <v>21340</v>
      </c>
      <c r="I168" s="166">
        <f>IF(compras_mes10[[#This Row],[NETO GRAVADO]]="","",compras_mes10[[#This Row],[NETO GRAVADO]]*0.21)</f>
        <v>4481.3999999999996</v>
      </c>
      <c r="J168" s="166"/>
      <c r="K168" s="166"/>
      <c r="L168" s="166"/>
      <c r="M168" s="166"/>
      <c r="N168" s="166"/>
      <c r="O168" s="166"/>
      <c r="P168" s="167">
        <f>SUM(compras_mes10[[#This Row],[NETO GRAVADO]:[Otros / No Grav.]])</f>
        <v>25821.4</v>
      </c>
      <c r="Q168" s="168" t="str">
        <f>IFERROR(IF(compras_mes10[[#This Row],[CUIT]]="","-",VLOOKUP(compras_mes10[[#This Row],[CUIT]],Lista_CUIT[#All],3,0)),"CUIT NO CARGADO")</f>
        <v>Publicidad</v>
      </c>
      <c r="R168" s="168">
        <f>IFERROR(IF(compras_mes10[[#This Row],[CUIT]]="","-",VLOOKUP(compras_mes10[[#This Row],[CUIT]],Lista_CUIT[#All],4,0)),"CUIT NO CARGADO")</f>
        <v>0</v>
      </c>
    </row>
    <row r="169" spans="1:18" x14ac:dyDescent="0.3">
      <c r="B169" s="159">
        <v>44834</v>
      </c>
      <c r="C169" s="160">
        <v>1</v>
      </c>
      <c r="D169" s="161">
        <v>10</v>
      </c>
      <c r="E169" s="162">
        <v>160</v>
      </c>
      <c r="F169" s="163">
        <v>27316594676</v>
      </c>
      <c r="G169" s="164" t="str">
        <f>IFERROR(IF(compras_mes10[[#This Row],[CUIT]]="","-",VLOOKUP(compras_mes10[[#This Row],[CUIT]],Lista_CUIT[#All],2,0)),"CUIT NO CARGADO")</f>
        <v>GOLDIN DAIANA</v>
      </c>
      <c r="H169" s="165">
        <v>28670</v>
      </c>
      <c r="I169" s="166">
        <f>IF(compras_mes10[[#This Row],[NETO GRAVADO]]="","",compras_mes10[[#This Row],[NETO GRAVADO]]*0.21)</f>
        <v>6020.7</v>
      </c>
      <c r="J169" s="166"/>
      <c r="K169" s="166"/>
      <c r="L169" s="166"/>
      <c r="M169" s="166"/>
      <c r="N169" s="166"/>
      <c r="O169" s="166"/>
      <c r="P169" s="167">
        <f>SUM(compras_mes10[[#This Row],[NETO GRAVADO]:[Otros / No Grav.]])</f>
        <v>34690.699999999997</v>
      </c>
      <c r="Q169" s="168" t="str">
        <f>IFERROR(IF(compras_mes10[[#This Row],[CUIT]]="","-",VLOOKUP(compras_mes10[[#This Row],[CUIT]],Lista_CUIT[#All],3,0)),"CUIT NO CARGADO")</f>
        <v>Publicidad</v>
      </c>
      <c r="R169" s="168">
        <f>IFERROR(IF(compras_mes10[[#This Row],[CUIT]]="","-",VLOOKUP(compras_mes10[[#This Row],[CUIT]],Lista_CUIT[#All],4,0)),"CUIT NO CARGADO")</f>
        <v>0</v>
      </c>
    </row>
    <row r="170" spans="1:18" x14ac:dyDescent="0.3">
      <c r="B170" s="159">
        <v>44831</v>
      </c>
      <c r="C170" s="160">
        <v>1</v>
      </c>
      <c r="D170" s="161">
        <v>4</v>
      </c>
      <c r="E170" s="162">
        <v>1971</v>
      </c>
      <c r="F170" s="163">
        <v>30693213262</v>
      </c>
      <c r="G170" s="164" t="str">
        <f>IFERROR(IF(compras_mes10[[#This Row],[CUIT]]="","-",VLOOKUP(compras_mes10[[#This Row],[CUIT]],Lista_CUIT[#All],2,0)),"CUIT NO CARGADO")</f>
        <v>HENSCHEL ALEJANDRO Y VICCO LUCAS SOCIDADDE HECHO</v>
      </c>
      <c r="H170" s="165">
        <v>9917.36</v>
      </c>
      <c r="I170" s="166">
        <f>IF(compras_mes10[[#This Row],[NETO GRAVADO]]="","",compras_mes10[[#This Row],[NETO GRAVADO]]*0.21)</f>
        <v>2082.6455999999998</v>
      </c>
      <c r="J170" s="166"/>
      <c r="K170" s="166"/>
      <c r="L170" s="166"/>
      <c r="M170" s="166"/>
      <c r="N170" s="166"/>
      <c r="O170" s="166"/>
      <c r="P170" s="167">
        <f>SUM(compras_mes10[[#This Row],[NETO GRAVADO]:[Otros / No Grav.]])</f>
        <v>12000.0056</v>
      </c>
      <c r="Q170" s="168" t="str">
        <f>IFERROR(IF(compras_mes10[[#This Row],[CUIT]]="","-",VLOOKUP(compras_mes10[[#This Row],[CUIT]],Lista_CUIT[#All],3,0)),"CUIT NO CARGADO")</f>
        <v>Publicidad</v>
      </c>
      <c r="R170" s="168">
        <f>IFERROR(IF(compras_mes10[[#This Row],[CUIT]]="","-",VLOOKUP(compras_mes10[[#This Row],[CUIT]],Lista_CUIT[#All],4,0)),"CUIT NO CARGADO")</f>
        <v>0</v>
      </c>
    </row>
    <row r="171" spans="1:18" x14ac:dyDescent="0.3">
      <c r="B171" s="159">
        <v>44818</v>
      </c>
      <c r="C171" s="160">
        <v>1</v>
      </c>
      <c r="D171" s="161">
        <v>3</v>
      </c>
      <c r="E171" s="162">
        <v>939</v>
      </c>
      <c r="F171" s="163">
        <v>30714389064</v>
      </c>
      <c r="G171" s="164" t="str">
        <f>IFERROR(IF(compras_mes10[[#This Row],[CUIT]]="","-",VLOOKUP(compras_mes10[[#This Row],[CUIT]],Lista_CUIT[#All],2,0)),"CUIT NO CARGADO")</f>
        <v>LATINLED S.R.L.</v>
      </c>
      <c r="H171" s="165">
        <v>353000</v>
      </c>
      <c r="I171" s="166">
        <f>IF(compras_mes10[[#This Row],[NETO GRAVADO]]="","",compras_mes10[[#This Row],[NETO GRAVADO]]*0.21)</f>
        <v>74130</v>
      </c>
      <c r="J171" s="166"/>
      <c r="K171" s="166"/>
      <c r="L171" s="166"/>
      <c r="M171" s="166"/>
      <c r="N171" s="166"/>
      <c r="O171" s="166"/>
      <c r="P171" s="167">
        <f>SUM(compras_mes10[[#This Row],[NETO GRAVADO]:[Otros / No Grav.]])</f>
        <v>427130</v>
      </c>
      <c r="Q171" s="168" t="str">
        <f>IFERROR(IF(compras_mes10[[#This Row],[CUIT]]="","-",VLOOKUP(compras_mes10[[#This Row],[CUIT]],Lista_CUIT[#All],3,0)),"CUIT NO CARGADO")</f>
        <v>Publicidad</v>
      </c>
      <c r="R171" s="168">
        <f>IFERROR(IF(compras_mes10[[#This Row],[CUIT]]="","-",VLOOKUP(compras_mes10[[#This Row],[CUIT]],Lista_CUIT[#All],4,0)),"CUIT NO CARGADO")</f>
        <v>0</v>
      </c>
    </row>
    <row r="172" spans="1:18" x14ac:dyDescent="0.3">
      <c r="B172" s="159">
        <v>44825</v>
      </c>
      <c r="C172" s="160">
        <v>1</v>
      </c>
      <c r="D172" s="161">
        <v>17</v>
      </c>
      <c r="E172" s="162">
        <v>880</v>
      </c>
      <c r="F172" s="163">
        <v>20334579019</v>
      </c>
      <c r="G172" s="164" t="str">
        <f>IFERROR(IF(compras_mes10[[#This Row],[CUIT]]="","-",VLOOKUP(compras_mes10[[#This Row],[CUIT]],Lista_CUIT[#All],2,0)),"CUIT NO CARGADO")</f>
        <v>QUINTEROS EMANUEL</v>
      </c>
      <c r="H172" s="165">
        <v>3793.39</v>
      </c>
      <c r="I172" s="166">
        <f>IF(compras_mes10[[#This Row],[NETO GRAVADO]]="","",compras_mes10[[#This Row],[NETO GRAVADO]]*0.21)</f>
        <v>796.61189999999999</v>
      </c>
      <c r="J172" s="166"/>
      <c r="K172" s="166"/>
      <c r="L172" s="166"/>
      <c r="M172" s="166"/>
      <c r="N172" s="166"/>
      <c r="O172" s="166"/>
      <c r="P172" s="167">
        <f>SUM(compras_mes10[[#This Row],[NETO GRAVADO]:[Otros / No Grav.]])</f>
        <v>4590.0019000000002</v>
      </c>
      <c r="Q172" s="168" t="str">
        <f>IFERROR(IF(compras_mes10[[#This Row],[CUIT]]="","-",VLOOKUP(compras_mes10[[#This Row],[CUIT]],Lista_CUIT[#All],3,0)),"CUIT NO CARGADO")</f>
        <v>Regalos Empresariales</v>
      </c>
      <c r="R172" s="168">
        <f>IFERROR(IF(compras_mes10[[#This Row],[CUIT]]="","-",VLOOKUP(compras_mes10[[#This Row],[CUIT]],Lista_CUIT[#All],4,0)),"CUIT NO CARGADO")</f>
        <v>0</v>
      </c>
    </row>
    <row r="173" spans="1:18" x14ac:dyDescent="0.3">
      <c r="A173" s="158"/>
      <c r="B173" s="159">
        <v>44825</v>
      </c>
      <c r="C173" s="160">
        <v>1</v>
      </c>
      <c r="D173" s="161">
        <v>5</v>
      </c>
      <c r="E173" s="162">
        <v>2603781</v>
      </c>
      <c r="F173" s="163">
        <v>30702652975</v>
      </c>
      <c r="G173" s="164" t="str">
        <f>IFERROR(IF(compras_mes10[[#This Row],[CUIT]]="","-",VLOOKUP(compras_mes10[[#This Row],[CUIT]],Lista_CUIT[#All],2,0)),"CUIT NO CARGADO")</f>
        <v>NSS SA</v>
      </c>
      <c r="H173" s="165">
        <v>3510</v>
      </c>
      <c r="I173" s="166">
        <f>IF(compras_mes10[[#This Row],[NETO GRAVADO]]="","",compras_mes10[[#This Row],[NETO GRAVADO]]*0.21)</f>
        <v>737.1</v>
      </c>
      <c r="J173" s="166"/>
      <c r="K173" s="166"/>
      <c r="L173" s="166"/>
      <c r="M173" s="166"/>
      <c r="N173" s="166"/>
      <c r="O173" s="166"/>
      <c r="P173" s="167">
        <f>SUM(compras_mes10[[#This Row],[NETO GRAVADO]:[Otros / No Grav.]])</f>
        <v>4247.1000000000004</v>
      </c>
      <c r="Q173" s="168" t="str">
        <f>IFERROR(IF(compras_mes10[[#This Row],[CUIT]]="","-",VLOOKUP(compras_mes10[[#This Row],[CUIT]],Lista_CUIT[#All],3,0)),"CUIT NO CARGADO")</f>
        <v>Servicios Gas, Luz, etc.</v>
      </c>
      <c r="R173" s="168">
        <f>IFERROR(IF(compras_mes10[[#This Row],[CUIT]]="","-",VLOOKUP(compras_mes10[[#This Row],[CUIT]],Lista_CUIT[#All],4,0)),"CUIT NO CARGADO")</f>
        <v>0</v>
      </c>
    </row>
    <row r="174" spans="1:18" x14ac:dyDescent="0.3">
      <c r="A174" s="158"/>
      <c r="B174" s="159">
        <v>44809</v>
      </c>
      <c r="C174" s="160">
        <v>1</v>
      </c>
      <c r="D174" s="161">
        <v>63</v>
      </c>
      <c r="E174" s="162">
        <v>2071966</v>
      </c>
      <c r="F174" s="163">
        <v>30640897267</v>
      </c>
      <c r="G174" s="164" t="str">
        <f>IFERROR(IF(compras_mes10[[#This Row],[CUIT]]="","-",VLOOKUP(compras_mes10[[#This Row],[CUIT]],Lista_CUIT[#All],2,0)),"CUIT NO CARGADO")</f>
        <v>TELECENTRO S.A.</v>
      </c>
      <c r="H174" s="165">
        <v>5596.53</v>
      </c>
      <c r="I174" s="166">
        <f>IF(compras_mes10[[#This Row],[NETO GRAVADO]]="","",compras_mes10[[#This Row],[NETO GRAVADO]]*0.21)</f>
        <v>1175.2712999999999</v>
      </c>
      <c r="J174" s="166"/>
      <c r="K174" s="166"/>
      <c r="L174" s="166"/>
      <c r="M174" s="166"/>
      <c r="N174" s="166"/>
      <c r="O174" s="166"/>
      <c r="P174" s="167">
        <f>SUM(compras_mes10[[#This Row],[NETO GRAVADO]:[Otros / No Grav.]])</f>
        <v>6771.8012999999992</v>
      </c>
      <c r="Q174" s="168" t="str">
        <f>IFERROR(IF(compras_mes10[[#This Row],[CUIT]]="","-",VLOOKUP(compras_mes10[[#This Row],[CUIT]],Lista_CUIT[#All],3,0)),"CUIT NO CARGADO")</f>
        <v>Servicios Gas, Luz, etc.</v>
      </c>
      <c r="R174" s="168">
        <f>IFERROR(IF(compras_mes10[[#This Row],[CUIT]]="","-",VLOOKUP(compras_mes10[[#This Row],[CUIT]],Lista_CUIT[#All],4,0)),"CUIT NO CARGADO")</f>
        <v>0</v>
      </c>
    </row>
    <row r="175" spans="1:18" s="157" customFormat="1" x14ac:dyDescent="0.3">
      <c r="A175" s="158"/>
      <c r="B175" s="159">
        <v>44809</v>
      </c>
      <c r="C175" s="160">
        <v>1</v>
      </c>
      <c r="D175" s="161">
        <v>63</v>
      </c>
      <c r="E175" s="162">
        <v>2072600</v>
      </c>
      <c r="F175" s="163">
        <v>30640897267</v>
      </c>
      <c r="G175" s="164" t="str">
        <f>IFERROR(IF(compras_mes10[[#This Row],[CUIT]]="","-",VLOOKUP(compras_mes10[[#This Row],[CUIT]],Lista_CUIT[#All],2,0)),"CUIT NO CARGADO")</f>
        <v>TELECENTRO S.A.</v>
      </c>
      <c r="H175" s="165">
        <v>5596.53</v>
      </c>
      <c r="I175" s="166">
        <f>IF(compras_mes10[[#This Row],[NETO GRAVADO]]="","",compras_mes10[[#This Row],[NETO GRAVADO]]*0.21)</f>
        <v>1175.2712999999999</v>
      </c>
      <c r="J175" s="166"/>
      <c r="K175" s="166"/>
      <c r="L175" s="166"/>
      <c r="M175" s="166"/>
      <c r="N175" s="166"/>
      <c r="O175" s="166"/>
      <c r="P175" s="167">
        <f>SUM(compras_mes10[[#This Row],[NETO GRAVADO]:[Otros / No Grav.]])</f>
        <v>6771.8012999999992</v>
      </c>
      <c r="Q175" s="168" t="str">
        <f>IFERROR(IF(compras_mes10[[#This Row],[CUIT]]="","-",VLOOKUP(compras_mes10[[#This Row],[CUIT]],Lista_CUIT[#All],3,0)),"CUIT NO CARGADO")</f>
        <v>Servicios Gas, Luz, etc.</v>
      </c>
      <c r="R175" s="168">
        <f>IFERROR(IF(compras_mes10[[#This Row],[CUIT]]="","-",VLOOKUP(compras_mes10[[#This Row],[CUIT]],Lista_CUIT[#All],4,0)),"CUIT NO CARGADO")</f>
        <v>0</v>
      </c>
    </row>
    <row r="176" spans="1:18" x14ac:dyDescent="0.3">
      <c r="A176" s="158"/>
      <c r="B176" s="159">
        <v>44814</v>
      </c>
      <c r="C176" s="160">
        <v>1</v>
      </c>
      <c r="D176" s="161">
        <v>6364</v>
      </c>
      <c r="E176" s="162">
        <v>6747015</v>
      </c>
      <c r="F176" s="163">
        <v>30639453738</v>
      </c>
      <c r="G176" s="164" t="str">
        <f>IFERROR(IF(compras_mes10[[#This Row],[CUIT]]="","-",VLOOKUP(compras_mes10[[#This Row],[CUIT]],Lista_CUIT[#All],2,0)),"CUIT NO CARGADO")</f>
        <v>TELECOM ARG SA</v>
      </c>
      <c r="H176" s="165">
        <v>50791.08</v>
      </c>
      <c r="I176" s="166">
        <v>10272.379999999999</v>
      </c>
      <c r="J176" s="166">
        <v>505.57</v>
      </c>
      <c r="K176" s="166"/>
      <c r="L176" s="166">
        <v>1523.66</v>
      </c>
      <c r="M176" s="166"/>
      <c r="N176" s="166">
        <v>2830.4</v>
      </c>
      <c r="O176" s="166">
        <v>2.54</v>
      </c>
      <c r="P176" s="167">
        <f>SUM(compras_mes10[[#This Row],[NETO GRAVADO]:[Otros / No Grav.]])</f>
        <v>65925.62999999999</v>
      </c>
      <c r="Q176" s="168" t="str">
        <f>IFERROR(IF(compras_mes10[[#This Row],[CUIT]]="","-",VLOOKUP(compras_mes10[[#This Row],[CUIT]],Lista_CUIT[#All],3,0)),"CUIT NO CARGADO")</f>
        <v>Servicios Gas, Luz, etc.</v>
      </c>
      <c r="R176" s="168">
        <f>IFERROR(IF(compras_mes10[[#This Row],[CUIT]]="","-",VLOOKUP(compras_mes10[[#This Row],[CUIT]],Lista_CUIT[#All],4,0)),"CUIT NO CARGADO")</f>
        <v>0</v>
      </c>
    </row>
    <row r="177" spans="1:18" x14ac:dyDescent="0.3">
      <c r="A177" s="158"/>
      <c r="B177" s="159">
        <v>44819</v>
      </c>
      <c r="C177" s="160">
        <v>1</v>
      </c>
      <c r="D177" s="161">
        <v>4264</v>
      </c>
      <c r="E177" s="162">
        <v>387685</v>
      </c>
      <c r="F177" s="163">
        <v>30639453738</v>
      </c>
      <c r="G177" s="164" t="str">
        <f>IFERROR(IF(compras_mes10[[#This Row],[CUIT]]="","-",VLOOKUP(compras_mes10[[#This Row],[CUIT]],Lista_CUIT[#All],2,0)),"CUIT NO CARGADO")</f>
        <v>TELECOM ARG SA</v>
      </c>
      <c r="H177" s="165">
        <v>3180</v>
      </c>
      <c r="I177" s="166">
        <f>IF(compras_mes10[[#This Row],[NETO GRAVADO]]="","",compras_mes10[[#This Row],[NETO GRAVADO]]*0.21)</f>
        <v>667.8</v>
      </c>
      <c r="J177" s="166"/>
      <c r="K177" s="166"/>
      <c r="L177" s="166"/>
      <c r="M177" s="166"/>
      <c r="N177" s="166"/>
      <c r="O177" s="166"/>
      <c r="P177" s="167">
        <f>SUM(compras_mes10[[#This Row],[NETO GRAVADO]:[Otros / No Grav.]])</f>
        <v>3847.8</v>
      </c>
      <c r="Q177" s="168" t="str">
        <f>IFERROR(IF(compras_mes10[[#This Row],[CUIT]]="","-",VLOOKUP(compras_mes10[[#This Row],[CUIT]],Lista_CUIT[#All],3,0)),"CUIT NO CARGADO")</f>
        <v>Servicios Gas, Luz, etc.</v>
      </c>
      <c r="R177" s="168">
        <f>IFERROR(IF(compras_mes10[[#This Row],[CUIT]]="","-",VLOOKUP(compras_mes10[[#This Row],[CUIT]],Lista_CUIT[#All],4,0)),"CUIT NO CARGADO")</f>
        <v>0</v>
      </c>
    </row>
    <row r="178" spans="1:18" x14ac:dyDescent="0.3">
      <c r="A178" s="158"/>
      <c r="B178" s="159">
        <v>44819</v>
      </c>
      <c r="C178" s="160">
        <v>1</v>
      </c>
      <c r="D178" s="161">
        <v>4264</v>
      </c>
      <c r="E178" s="162">
        <v>381176</v>
      </c>
      <c r="F178" s="163">
        <v>30639453738</v>
      </c>
      <c r="G178" s="164" t="str">
        <f>IFERROR(IF(compras_mes10[[#This Row],[CUIT]]="","-",VLOOKUP(compras_mes10[[#This Row],[CUIT]],Lista_CUIT[#All],2,0)),"CUIT NO CARGADO")</f>
        <v>TELECOM ARG SA</v>
      </c>
      <c r="H178" s="165">
        <v>5430</v>
      </c>
      <c r="I178" s="166">
        <f>IF(compras_mes10[[#This Row],[NETO GRAVADO]]="","",compras_mes10[[#This Row],[NETO GRAVADO]]*0.21)</f>
        <v>1140.3</v>
      </c>
      <c r="J178" s="166"/>
      <c r="K178" s="166"/>
      <c r="L178" s="166"/>
      <c r="M178" s="166"/>
      <c r="N178" s="166"/>
      <c r="O178" s="166"/>
      <c r="P178" s="167">
        <f>SUM(compras_mes10[[#This Row],[NETO GRAVADO]:[Otros / No Grav.]])</f>
        <v>6570.3</v>
      </c>
      <c r="Q178" s="168" t="str">
        <f>IFERROR(IF(compras_mes10[[#This Row],[CUIT]]="","-",VLOOKUP(compras_mes10[[#This Row],[CUIT]],Lista_CUIT[#All],3,0)),"CUIT NO CARGADO")</f>
        <v>Servicios Gas, Luz, etc.</v>
      </c>
      <c r="R178" s="168">
        <f>IFERROR(IF(compras_mes10[[#This Row],[CUIT]]="","-",VLOOKUP(compras_mes10[[#This Row],[CUIT]],Lista_CUIT[#All],4,0)),"CUIT NO CARGADO")</f>
        <v>0</v>
      </c>
    </row>
    <row r="179" spans="1:18" x14ac:dyDescent="0.3">
      <c r="A179" s="158"/>
      <c r="B179" s="159">
        <v>44819</v>
      </c>
      <c r="C179" s="160">
        <v>1</v>
      </c>
      <c r="D179" s="161">
        <v>4264</v>
      </c>
      <c r="E179" s="162">
        <v>427841</v>
      </c>
      <c r="F179" s="163">
        <v>30639453738</v>
      </c>
      <c r="G179" s="164" t="str">
        <f>IFERROR(IF(compras_mes10[[#This Row],[CUIT]]="","-",VLOOKUP(compras_mes10[[#This Row],[CUIT]],Lista_CUIT[#All],2,0)),"CUIT NO CARGADO")</f>
        <v>TELECOM ARG SA</v>
      </c>
      <c r="H179" s="165">
        <v>7450</v>
      </c>
      <c r="I179" s="166">
        <f>IF(compras_mes10[[#This Row],[NETO GRAVADO]]="","",compras_mes10[[#This Row],[NETO GRAVADO]]*0.21)</f>
        <v>1564.5</v>
      </c>
      <c r="J179" s="166"/>
      <c r="K179" s="166"/>
      <c r="L179" s="166"/>
      <c r="M179" s="166"/>
      <c r="N179" s="166"/>
      <c r="O179" s="166"/>
      <c r="P179" s="167">
        <f>SUM(compras_mes10[[#This Row],[NETO GRAVADO]:[Otros / No Grav.]])</f>
        <v>9014.5</v>
      </c>
      <c r="Q179" s="168" t="str">
        <f>IFERROR(IF(compras_mes10[[#This Row],[CUIT]]="","-",VLOOKUP(compras_mes10[[#This Row],[CUIT]],Lista_CUIT[#All],3,0)),"CUIT NO CARGADO")</f>
        <v>Servicios Gas, Luz, etc.</v>
      </c>
      <c r="R179" s="168">
        <f>IFERROR(IF(compras_mes10[[#This Row],[CUIT]]="","-",VLOOKUP(compras_mes10[[#This Row],[CUIT]],Lista_CUIT[#All],4,0)),"CUIT NO CARGADO")</f>
        <v>0</v>
      </c>
    </row>
    <row r="180" spans="1:18" x14ac:dyDescent="0.3">
      <c r="A180" s="158"/>
      <c r="B180" s="159">
        <v>44807</v>
      </c>
      <c r="C180" s="160">
        <v>1</v>
      </c>
      <c r="D180" s="161">
        <v>943</v>
      </c>
      <c r="E180" s="162">
        <v>1175203</v>
      </c>
      <c r="F180" s="163">
        <v>30639453975</v>
      </c>
      <c r="G180" s="164" t="str">
        <f>IFERROR(IF(compras_mes10[[#This Row],[CUIT]]="","-",VLOOKUP(compras_mes10[[#This Row],[CUIT]],Lista_CUIT[#All],2,0)),"CUIT NO CARGADO")</f>
        <v>TELEFONICA DE ARG S.A.</v>
      </c>
      <c r="H180" s="165">
        <v>10222.280000000001</v>
      </c>
      <c r="I180" s="166"/>
      <c r="J180" s="166">
        <v>2760.02</v>
      </c>
      <c r="K180" s="166"/>
      <c r="L180" s="166"/>
      <c r="M180" s="166"/>
      <c r="N180" s="166"/>
      <c r="O180" s="166"/>
      <c r="P180" s="167">
        <f>SUM(compras_mes10[[#This Row],[NETO GRAVADO]:[Otros / No Grav.]])</f>
        <v>12982.300000000001</v>
      </c>
      <c r="Q180" s="168" t="str">
        <f>IFERROR(IF(compras_mes10[[#This Row],[CUIT]]="","-",VLOOKUP(compras_mes10[[#This Row],[CUIT]],Lista_CUIT[#All],3,0)),"CUIT NO CARGADO")</f>
        <v>Servicios Gas, Luz, etc.</v>
      </c>
      <c r="R180" s="168">
        <f>IFERROR(IF(compras_mes10[[#This Row],[CUIT]]="","-",VLOOKUP(compras_mes10[[#This Row],[CUIT]],Lista_CUIT[#All],4,0)),"CUIT NO CARGADO")</f>
        <v>0</v>
      </c>
    </row>
    <row r="181" spans="1:18" x14ac:dyDescent="0.3">
      <c r="B181" s="159">
        <v>44813</v>
      </c>
      <c r="C181" s="160">
        <v>1</v>
      </c>
      <c r="D181" s="161">
        <v>948</v>
      </c>
      <c r="E181" s="162">
        <v>752263</v>
      </c>
      <c r="F181" s="163">
        <v>30639453975</v>
      </c>
      <c r="G181" s="164" t="str">
        <f>IFERROR(IF(compras_mes10[[#This Row],[CUIT]]="","-",VLOOKUP(compras_mes10[[#This Row],[CUIT]],Lista_CUIT[#All],2,0)),"CUIT NO CARGADO")</f>
        <v>TELEFONICA DE ARG S.A.</v>
      </c>
      <c r="H181" s="165">
        <v>3019.22</v>
      </c>
      <c r="I181" s="166"/>
      <c r="J181" s="166">
        <v>815.19</v>
      </c>
      <c r="K181" s="166"/>
      <c r="L181" s="166"/>
      <c r="M181" s="166"/>
      <c r="N181" s="166"/>
      <c r="O181" s="166"/>
      <c r="P181" s="167">
        <f>SUM(compras_mes10[[#This Row],[NETO GRAVADO]:[Otros / No Grav.]])</f>
        <v>3834.41</v>
      </c>
      <c r="Q181" s="168" t="str">
        <f>IFERROR(IF(compras_mes10[[#This Row],[CUIT]]="","-",VLOOKUP(compras_mes10[[#This Row],[CUIT]],Lista_CUIT[#All],3,0)),"CUIT NO CARGADO")</f>
        <v>Servicios Gas, Luz, etc.</v>
      </c>
      <c r="R181" s="168">
        <f>IFERROR(IF(compras_mes10[[#This Row],[CUIT]]="","-",VLOOKUP(compras_mes10[[#This Row],[CUIT]],Lista_CUIT[#All],4,0)),"CUIT NO CARGADO")</f>
        <v>0</v>
      </c>
    </row>
    <row r="182" spans="1:18" x14ac:dyDescent="0.3">
      <c r="B182" s="159">
        <v>44718</v>
      </c>
      <c r="C182" s="160">
        <v>1</v>
      </c>
      <c r="D182" s="161">
        <v>2</v>
      </c>
      <c r="E182" s="162">
        <v>30517</v>
      </c>
      <c r="F182" s="163">
        <v>33714232199</v>
      </c>
      <c r="G182" s="164" t="str">
        <f>IFERROR(IF(compras_mes10[[#This Row],[CUIT]]="","-",VLOOKUP(compras_mes10[[#This Row],[CUIT]],Lista_CUIT[#All],2,0)),"CUIT NO CARGADO")</f>
        <v>NUAGE SYSTEMS S.A</v>
      </c>
      <c r="H182" s="165">
        <v>21006.86</v>
      </c>
      <c r="I182" s="169">
        <f>IF(compras_mes10[[#This Row],[NETO GRAVADO]]="","",compras_mes10[[#This Row],[NETO GRAVADO]]*0.21)</f>
        <v>4411.4405999999999</v>
      </c>
      <c r="J182" s="169"/>
      <c r="K182" s="169"/>
      <c r="L182" s="169"/>
      <c r="M182" s="169"/>
      <c r="N182" s="169"/>
      <c r="O182" s="169"/>
      <c r="P182" s="167">
        <f>SUM(compras_mes10[[#This Row],[NETO GRAVADO]:[Otros / No Grav.]])</f>
        <v>25418.300600000002</v>
      </c>
      <c r="Q182" s="168" t="str">
        <f>IFERROR(IF(compras_mes10[[#This Row],[CUIT]]="","-",VLOOKUP(compras_mes10[[#This Row],[CUIT]],Lista_CUIT[#All],3,0)),"CUIT NO CARGADO")</f>
        <v>Servicios Informatica</v>
      </c>
      <c r="R182" s="168">
        <f>IFERROR(IF(compras_mes10[[#This Row],[CUIT]]="","-",VLOOKUP(compras_mes10[[#This Row],[CUIT]],Lista_CUIT[#All],4,0)),"CUIT NO CARGADO")</f>
        <v>0</v>
      </c>
    </row>
    <row r="183" spans="1:18" x14ac:dyDescent="0.3">
      <c r="B183" s="159">
        <v>44747</v>
      </c>
      <c r="C183" s="160">
        <v>1</v>
      </c>
      <c r="D183" s="161">
        <v>2</v>
      </c>
      <c r="E183" s="162">
        <v>30898</v>
      </c>
      <c r="F183" s="163">
        <v>33714232199</v>
      </c>
      <c r="G183" s="164" t="str">
        <f>IFERROR(IF(compras_mes10[[#This Row],[CUIT]]="","-",VLOOKUP(compras_mes10[[#This Row],[CUIT]],Lista_CUIT[#All],2,0)),"CUIT NO CARGADO")</f>
        <v>NUAGE SYSTEMS S.A</v>
      </c>
      <c r="H183" s="171">
        <v>19257</v>
      </c>
      <c r="I183" s="169">
        <f>IF(compras_mes10[[#This Row],[NETO GRAVADO]]="","",compras_mes10[[#This Row],[NETO GRAVADO]]*0.21)</f>
        <v>4043.97</v>
      </c>
      <c r="J183" s="169"/>
      <c r="K183" s="169"/>
      <c r="L183" s="169"/>
      <c r="M183" s="169"/>
      <c r="N183" s="169"/>
      <c r="O183" s="169"/>
      <c r="P183" s="167">
        <f>SUM(compras_mes10[[#This Row],[NETO GRAVADO]:[Otros / No Grav.]])</f>
        <v>23300.97</v>
      </c>
      <c r="Q183" s="168" t="str">
        <f>IFERROR(IF(compras_mes10[[#This Row],[CUIT]]="","-",VLOOKUP(compras_mes10[[#This Row],[CUIT]],Lista_CUIT[#All],3,0)),"CUIT NO CARGADO")</f>
        <v>Servicios Informatica</v>
      </c>
      <c r="R183" s="168">
        <f>IFERROR(IF(compras_mes10[[#This Row],[CUIT]]="","-",VLOOKUP(compras_mes10[[#This Row],[CUIT]],Lista_CUIT[#All],4,0)),"CUIT NO CARGADO")</f>
        <v>0</v>
      </c>
    </row>
    <row r="184" spans="1:18" x14ac:dyDescent="0.3">
      <c r="B184" s="159">
        <v>44776</v>
      </c>
      <c r="C184" s="160">
        <v>1</v>
      </c>
      <c r="D184" s="161">
        <v>2</v>
      </c>
      <c r="E184" s="162">
        <v>31292</v>
      </c>
      <c r="F184" s="163">
        <v>33714232199</v>
      </c>
      <c r="G184" s="164" t="str">
        <f>IFERROR(IF(compras_mes10[[#This Row],[CUIT]]="","-",VLOOKUP(compras_mes10[[#This Row],[CUIT]],Lista_CUIT[#All],2,0)),"CUIT NO CARGADO")</f>
        <v>NUAGE SYSTEMS S.A</v>
      </c>
      <c r="H184" s="171">
        <v>23147.67</v>
      </c>
      <c r="I184" s="166">
        <f>IF(compras_mes10[[#This Row],[NETO GRAVADO]]="","",compras_mes10[[#This Row],[NETO GRAVADO]]*0.21)</f>
        <v>4861.0106999999998</v>
      </c>
      <c r="J184" s="169"/>
      <c r="K184" s="169"/>
      <c r="L184" s="169"/>
      <c r="M184" s="169"/>
      <c r="N184" s="169"/>
      <c r="O184" s="169"/>
      <c r="P184" s="167">
        <f>SUM(compras_mes10[[#This Row],[NETO GRAVADO]:[Otros / No Grav.]])</f>
        <v>28008.680699999997</v>
      </c>
      <c r="Q184" s="168" t="str">
        <f>IFERROR(IF(compras_mes10[[#This Row],[CUIT]]="","-",VLOOKUP(compras_mes10[[#This Row],[CUIT]],Lista_CUIT[#All],3,0)),"CUIT NO CARGADO")</f>
        <v>Servicios Informatica</v>
      </c>
      <c r="R184" s="168">
        <f>IFERROR(IF(compras_mes10[[#This Row],[CUIT]]="","-",VLOOKUP(compras_mes10[[#This Row],[CUIT]],Lista_CUIT[#All],4,0)),"CUIT NO CARGADO")</f>
        <v>0</v>
      </c>
    </row>
    <row r="185" spans="1:18" x14ac:dyDescent="0.3">
      <c r="B185" s="159">
        <v>44809</v>
      </c>
      <c r="C185" s="160">
        <v>1</v>
      </c>
      <c r="D185" s="161">
        <v>2</v>
      </c>
      <c r="E185" s="162">
        <v>31686</v>
      </c>
      <c r="F185" s="163">
        <v>33714232199</v>
      </c>
      <c r="G185" s="164" t="str">
        <f>IFERROR(IF(compras_mes10[[#This Row],[CUIT]]="","-",VLOOKUP(compras_mes10[[#This Row],[CUIT]],Lista_CUIT[#All],2,0)),"CUIT NO CARGADO")</f>
        <v>NUAGE SYSTEMS S.A</v>
      </c>
      <c r="H185" s="165">
        <v>30512.83</v>
      </c>
      <c r="I185" s="166">
        <f>IF(compras_mes10[[#This Row],[NETO GRAVADO]]="","",compras_mes10[[#This Row],[NETO GRAVADO]]*0.21)</f>
        <v>6407.6943000000001</v>
      </c>
      <c r="J185" s="166"/>
      <c r="K185" s="166"/>
      <c r="L185" s="166"/>
      <c r="M185" s="166"/>
      <c r="N185" s="166"/>
      <c r="O185" s="166"/>
      <c r="P185" s="167">
        <f>SUM(compras_mes10[[#This Row],[NETO GRAVADO]:[Otros / No Grav.]])</f>
        <v>36920.524300000005</v>
      </c>
      <c r="Q185" s="168" t="str">
        <f>IFERROR(IF(compras_mes10[[#This Row],[CUIT]]="","-",VLOOKUP(compras_mes10[[#This Row],[CUIT]],Lista_CUIT[#All],3,0)),"CUIT NO CARGADO")</f>
        <v>Servicios Informatica</v>
      </c>
      <c r="R185" s="168">
        <f>IFERROR(IF(compras_mes10[[#This Row],[CUIT]]="","-",VLOOKUP(compras_mes10[[#This Row],[CUIT]],Lista_CUIT[#All],4,0)),"CUIT NO CARGADO")</f>
        <v>0</v>
      </c>
    </row>
    <row r="186" spans="1:18" x14ac:dyDescent="0.3">
      <c r="B186" s="92" t="s">
        <v>83</v>
      </c>
      <c r="C186" s="92"/>
      <c r="D186" s="92"/>
      <c r="E186" s="92"/>
      <c r="F186" s="92"/>
      <c r="G186" s="93"/>
      <c r="H186" s="94">
        <f>SUBTOTAL(109,compras_mes10[NETO GRAVADO])</f>
        <v>13257861.689999999</v>
      </c>
      <c r="I186" s="94">
        <f>SUBTOTAL(109,compras_mes10[IVA 21 %])</f>
        <v>2604684.8035000004</v>
      </c>
      <c r="J186" s="94">
        <f>SUBTOTAL(109,compras_mes10[IVA 27%])</f>
        <v>92409.180000000022</v>
      </c>
      <c r="K186" s="94">
        <f>SUBTOTAL(109,compras_mes10[IVA 10,5%])</f>
        <v>1834.1799999999998</v>
      </c>
      <c r="L186" s="94">
        <f>SUBTOTAL(109,compras_mes10[PERC. IVA])</f>
        <v>4691.18</v>
      </c>
      <c r="M186" s="94">
        <f>SUBTOTAL(109,compras_mes10[PERC IIBB 
BS AS])</f>
        <v>0</v>
      </c>
      <c r="N186" s="94">
        <f>SUBTOTAL(109,compras_mes10[PERC. IIBB CABA])</f>
        <v>8175.07</v>
      </c>
      <c r="O186" s="94">
        <f>SUBTOTAL(109,compras_mes10[Otros / No Grav.])</f>
        <v>6148.2</v>
      </c>
      <c r="P186" s="94">
        <f>SUBTOTAL(109,compras_mes10[TOTAL])</f>
        <v>15975804.303499999</v>
      </c>
      <c r="Q186" s="92"/>
      <c r="R186" s="92"/>
    </row>
    <row r="187" spans="1:18" x14ac:dyDescent="0.3">
      <c r="B187" s="36"/>
      <c r="C187" s="37"/>
      <c r="D187" s="38"/>
      <c r="E187" s="39"/>
      <c r="F187" s="40"/>
      <c r="G187" s="41"/>
      <c r="H187" s="42"/>
      <c r="I187" s="43"/>
      <c r="J187" s="43"/>
      <c r="K187" s="43"/>
      <c r="L187" s="43"/>
      <c r="M187" s="43"/>
      <c r="N187" s="43"/>
      <c r="O187" s="43"/>
      <c r="P187" s="44"/>
      <c r="Q187" s="45"/>
      <c r="R187" s="45"/>
    </row>
    <row r="188" spans="1:18" x14ac:dyDescent="0.3">
      <c r="B188" s="36"/>
      <c r="C188" s="37"/>
      <c r="D188" s="38"/>
      <c r="E188" s="39"/>
      <c r="F188" s="40"/>
      <c r="G188" s="41"/>
      <c r="H188" s="42"/>
      <c r="I188" s="43"/>
      <c r="J188" s="43"/>
      <c r="K188" s="43"/>
      <c r="L188" s="43"/>
      <c r="M188" s="43"/>
      <c r="N188" s="43"/>
      <c r="O188" s="43"/>
      <c r="P188" s="44"/>
      <c r="Q188" s="45"/>
      <c r="R188" s="45"/>
    </row>
    <row r="189" spans="1:18" x14ac:dyDescent="0.3">
      <c r="B189" s="36"/>
      <c r="C189" s="37"/>
      <c r="D189" s="38"/>
      <c r="E189" s="39"/>
      <c r="F189" s="40"/>
      <c r="G189" s="41"/>
      <c r="H189" s="42"/>
      <c r="I189" s="43"/>
      <c r="J189" s="43"/>
      <c r="K189" s="43"/>
      <c r="L189" s="43"/>
      <c r="M189" s="43"/>
      <c r="N189" s="43"/>
      <c r="O189" s="43"/>
      <c r="P189" s="44"/>
      <c r="Q189" s="45"/>
      <c r="R189" s="45"/>
    </row>
    <row r="190" spans="1:18" x14ac:dyDescent="0.3">
      <c r="B190" s="36"/>
      <c r="C190" s="37"/>
      <c r="D190" s="38"/>
      <c r="E190" s="39"/>
      <c r="F190" s="40"/>
      <c r="G190" s="41"/>
      <c r="H190" s="42"/>
      <c r="I190" s="43"/>
      <c r="J190" s="43"/>
      <c r="K190" s="43"/>
      <c r="L190" s="43"/>
    </row>
    <row r="191" spans="1:18" ht="21" x14ac:dyDescent="0.3">
      <c r="D191" s="441" t="s">
        <v>15</v>
      </c>
      <c r="E191" s="441"/>
      <c r="F191" s="441"/>
      <c r="G191" s="441"/>
      <c r="H191" s="441"/>
      <c r="I191" s="441"/>
      <c r="J191" s="441"/>
      <c r="K191" s="441"/>
      <c r="L191" s="441"/>
    </row>
    <row r="192" spans="1:18" ht="15.6" x14ac:dyDescent="0.3">
      <c r="D192" s="69" t="s">
        <v>0</v>
      </c>
      <c r="E192" s="70" t="s">
        <v>26</v>
      </c>
      <c r="F192" s="70" t="s">
        <v>16</v>
      </c>
      <c r="G192" s="70" t="s">
        <v>5</v>
      </c>
      <c r="H192" s="70" t="s">
        <v>17</v>
      </c>
      <c r="I192" s="70" t="s">
        <v>7</v>
      </c>
      <c r="J192" s="71" t="s">
        <v>18</v>
      </c>
      <c r="K192" s="71" t="s">
        <v>19</v>
      </c>
      <c r="L192" s="72" t="s">
        <v>20</v>
      </c>
    </row>
    <row r="193" spans="4:12" x14ac:dyDescent="0.3">
      <c r="D193" s="46">
        <v>44833</v>
      </c>
      <c r="E193" s="76">
        <v>30092022</v>
      </c>
      <c r="F193" s="76" t="s">
        <v>95</v>
      </c>
      <c r="G193" s="77">
        <f>extracto_banco_mes10[[#This Row],[IVA 21%]]*100/21</f>
        <v>49174.857142857138</v>
      </c>
      <c r="H193" s="77">
        <v>10326.719999999999</v>
      </c>
      <c r="I193" s="77"/>
      <c r="J193" s="77"/>
      <c r="K193" s="77">
        <v>1234.99</v>
      </c>
      <c r="L193" s="77">
        <v>2738.84</v>
      </c>
    </row>
    <row r="194" spans="4:12" x14ac:dyDescent="0.3">
      <c r="D194" s="46">
        <v>44834</v>
      </c>
      <c r="E194" s="75"/>
      <c r="F194" s="76" t="s">
        <v>96</v>
      </c>
      <c r="G194" s="77">
        <f>extracto_banco_mes10[[#This Row],[IVA 21%]]*100/21</f>
        <v>1834.952380952381</v>
      </c>
      <c r="H194" s="77">
        <v>385.34</v>
      </c>
      <c r="I194" s="77"/>
      <c r="J194" s="77"/>
      <c r="K194" s="77">
        <v>914.62</v>
      </c>
      <c r="L194" s="77">
        <v>5001.3100000000004</v>
      </c>
    </row>
    <row r="195" spans="4:12" x14ac:dyDescent="0.3">
      <c r="D195" s="46">
        <v>44834</v>
      </c>
      <c r="E195" s="179"/>
      <c r="F195" s="76" t="s">
        <v>97</v>
      </c>
      <c r="G195" s="180">
        <f>extracto_banco_mes10[[#This Row],[IVA 21%]]*100/21</f>
        <v>1238.5238095238094</v>
      </c>
      <c r="H195" s="180">
        <v>260.08999999999997</v>
      </c>
      <c r="I195" s="180"/>
      <c r="J195" s="180">
        <v>6910.239999999998</v>
      </c>
      <c r="K195" s="180"/>
      <c r="L195" s="180"/>
    </row>
    <row r="196" spans="4:12" x14ac:dyDescent="0.3">
      <c r="D196" s="46">
        <v>44834</v>
      </c>
      <c r="E196" s="179"/>
      <c r="F196" s="76" t="s">
        <v>101</v>
      </c>
      <c r="G196" s="180">
        <f>extracto_banco_mes10[[#This Row],[IVA 21%]]*100/21</f>
        <v>15681.095238095239</v>
      </c>
      <c r="H196" s="180">
        <v>3293.03</v>
      </c>
      <c r="I196" s="180"/>
      <c r="J196" s="180"/>
      <c r="K196" s="180"/>
      <c r="L196" s="180"/>
    </row>
    <row r="197" spans="4:12" x14ac:dyDescent="0.3">
      <c r="D197" s="46">
        <v>44834</v>
      </c>
      <c r="E197" s="179"/>
      <c r="F197" s="76" t="s">
        <v>98</v>
      </c>
      <c r="G197" s="180">
        <v>285407.00999999995</v>
      </c>
      <c r="H197" s="180">
        <v>23041.735400000001</v>
      </c>
      <c r="I197" s="180">
        <v>18446.846750000004</v>
      </c>
      <c r="J197" s="180">
        <v>243019.80999999997</v>
      </c>
      <c r="K197" s="180">
        <v>3756.69</v>
      </c>
      <c r="L197" s="180"/>
    </row>
    <row r="198" spans="4:12" x14ac:dyDescent="0.3">
      <c r="D198" s="46">
        <v>44834</v>
      </c>
      <c r="E198" s="179"/>
      <c r="F198" s="76" t="s">
        <v>99</v>
      </c>
      <c r="G198" s="180">
        <v>13495</v>
      </c>
      <c r="H198" s="180">
        <v>2833.95</v>
      </c>
      <c r="I198" s="180"/>
      <c r="J198" s="180"/>
      <c r="K198" s="180"/>
      <c r="L198" s="180"/>
    </row>
    <row r="199" spans="4:12" x14ac:dyDescent="0.3">
      <c r="D199" s="46">
        <v>44834</v>
      </c>
      <c r="E199" s="75"/>
      <c r="F199" s="76" t="s">
        <v>100</v>
      </c>
      <c r="G199" s="77">
        <v>4500</v>
      </c>
      <c r="H199" s="77">
        <v>945</v>
      </c>
      <c r="I199" s="77"/>
      <c r="J199" s="77"/>
      <c r="K199" s="77">
        <v>135</v>
      </c>
      <c r="L199" s="77"/>
    </row>
    <row r="200" spans="4:12" x14ac:dyDescent="0.3">
      <c r="D200" s="430" t="s">
        <v>83</v>
      </c>
      <c r="E200" s="431"/>
      <c r="F200" s="431"/>
      <c r="G200" s="432">
        <f>SUBTOTAL(109,extracto_banco_mes10[NETO])</f>
        <v>371331.43857142853</v>
      </c>
      <c r="H200" s="432">
        <f>SUBTOTAL(109,extracto_banco_mes10[IVA 21%])</f>
        <v>41085.865399999995</v>
      </c>
      <c r="I200" s="432">
        <f>SUBTOTAL(109,extracto_banco_mes10[IVA 10,5%])</f>
        <v>18446.846750000004</v>
      </c>
      <c r="J200" s="432">
        <f>SUBTOTAL(109,extracto_banco_mes10[RET IIBB CABA])</f>
        <v>249930.04999999996</v>
      </c>
      <c r="K200" s="432">
        <f>SUBTOTAL(109,extracto_banco_mes10[PERC IVA])</f>
        <v>6041.3</v>
      </c>
      <c r="L200" s="432">
        <f>SUBTOTAL(109,extracto_banco_mes10[PERC IIBB])</f>
        <v>7740.1500000000005</v>
      </c>
    </row>
    <row r="204" spans="4:12" ht="21" x14ac:dyDescent="0.3">
      <c r="D204" s="441" t="s">
        <v>25</v>
      </c>
      <c r="E204" s="441"/>
      <c r="F204" s="441"/>
      <c r="G204" s="441"/>
      <c r="H204" s="441"/>
      <c r="I204" s="441"/>
      <c r="J204" s="441"/>
      <c r="K204" s="441"/>
    </row>
    <row r="205" spans="4:12" x14ac:dyDescent="0.3">
      <c r="D205" s="47" t="s">
        <v>0</v>
      </c>
      <c r="E205" s="47" t="s">
        <v>2</v>
      </c>
      <c r="F205" s="47" t="s">
        <v>56</v>
      </c>
      <c r="G205" s="47" t="s">
        <v>3</v>
      </c>
      <c r="H205" s="47" t="s">
        <v>4</v>
      </c>
      <c r="I205" s="48" t="s">
        <v>10</v>
      </c>
      <c r="J205" s="47" t="s">
        <v>13</v>
      </c>
      <c r="K205" s="47" t="s">
        <v>38</v>
      </c>
    </row>
    <row r="206" spans="4:12" x14ac:dyDescent="0.3">
      <c r="D206" s="46">
        <v>44809</v>
      </c>
      <c r="E206" s="38">
        <v>1</v>
      </c>
      <c r="F206" s="39">
        <v>4</v>
      </c>
      <c r="G206" s="40">
        <v>30717223299</v>
      </c>
      <c r="H206" s="151" t="str">
        <f>IFERROR(IF(factura_c_mes10[[#This Row],[CUIT]]="","-",VLOOKUP(factura_c_mes10[[#This Row],[CUIT]],Lista_CUIT[#All],2,0)),"CUIT NO CARGADO")</f>
        <v>ACEPYM</v>
      </c>
      <c r="I206" s="152">
        <v>280000</v>
      </c>
      <c r="J206" s="153" t="str">
        <f>IFERROR(IF(factura_c_mes10[[#This Row],[CUIT]]="","-",VLOOKUP(factura_c_mes10[[#This Row],[CUIT]],Lista_CUIT[#All],3,0)),"CUIT NO CARGADO")</f>
        <v>Mercaderia</v>
      </c>
      <c r="K206" s="153">
        <f>IFERROR(IF(factura_c_mes10[[#This Row],[CUIT]]="","-",VLOOKUP(factura_c_mes10[[#This Row],[CUIT]],Lista_CUIT[#All],4,0)),"CUIT NO CARGADO")</f>
        <v>0</v>
      </c>
    </row>
    <row r="207" spans="4:12" x14ac:dyDescent="0.3">
      <c r="D207" s="46">
        <v>44816</v>
      </c>
      <c r="E207" s="38">
        <v>2</v>
      </c>
      <c r="F207" s="39">
        <v>7</v>
      </c>
      <c r="G207" s="40">
        <v>20231009524</v>
      </c>
      <c r="H207" s="151" t="str">
        <f>IFERROR(IF(factura_c_mes10[[#This Row],[CUIT]]="","-",VLOOKUP(factura_c_mes10[[#This Row],[CUIT]],Lista_CUIT[#All],2,0)),"CUIT NO CARGADO")</f>
        <v>RAMOS PATRICIO SEBASTIAN</v>
      </c>
      <c r="I207" s="152">
        <v>95000</v>
      </c>
      <c r="J207" s="153" t="str">
        <f>IFERROR(IF(factura_c_mes10[[#This Row],[CUIT]]="","-",VLOOKUP(factura_c_mes10[[#This Row],[CUIT]],Lista_CUIT[#All],3,0)),"CUIT NO CARGADO")</f>
        <v>Mercaderia</v>
      </c>
      <c r="K207" s="153">
        <f>IFERROR(IF(factura_c_mes10[[#This Row],[CUIT]]="","-",VLOOKUP(factura_c_mes10[[#This Row],[CUIT]],Lista_CUIT[#All],4,0)),"CUIT NO CARGADO")</f>
        <v>0</v>
      </c>
    </row>
    <row r="208" spans="4:12" x14ac:dyDescent="0.3">
      <c r="D208" s="46">
        <v>44831</v>
      </c>
      <c r="E208" s="38">
        <v>2</v>
      </c>
      <c r="F208" s="39">
        <v>10</v>
      </c>
      <c r="G208" s="40">
        <v>20231009524</v>
      </c>
      <c r="H208" s="151" t="str">
        <f>IFERROR(IF(factura_c_mes10[[#This Row],[CUIT]]="","-",VLOOKUP(factura_c_mes10[[#This Row],[CUIT]],Lista_CUIT[#All],2,0)),"CUIT NO CARGADO")</f>
        <v>RAMOS PATRICIO SEBASTIAN</v>
      </c>
      <c r="I208" s="152">
        <v>95000</v>
      </c>
      <c r="J208" s="153" t="str">
        <f>IFERROR(IF(factura_c_mes10[[#This Row],[CUIT]]="","-",VLOOKUP(factura_c_mes10[[#This Row],[CUIT]],Lista_CUIT[#All],3,0)),"CUIT NO CARGADO")</f>
        <v>Mercaderia</v>
      </c>
      <c r="K208" s="153">
        <f>IFERROR(IF(factura_c_mes10[[#This Row],[CUIT]]="","-",VLOOKUP(factura_c_mes10[[#This Row],[CUIT]],Lista_CUIT[#All],4,0)),"CUIT NO CARGADO")</f>
        <v>0</v>
      </c>
    </row>
    <row r="209" spans="4:11" x14ac:dyDescent="0.3">
      <c r="D209" s="46">
        <v>44825</v>
      </c>
      <c r="E209" s="38">
        <v>1</v>
      </c>
      <c r="F209" s="39">
        <v>74</v>
      </c>
      <c r="G209" s="40">
        <v>20959750611</v>
      </c>
      <c r="H209" s="151" t="str">
        <f>IFERROR(IF(factura_c_mes10[[#This Row],[CUIT]]="","-",VLOOKUP(factura_c_mes10[[#This Row],[CUIT]],Lista_CUIT[#All],2,0)),"CUIT NO CARGADO")</f>
        <v>MANTILLA ALECIO JEAN FRANKO</v>
      </c>
      <c r="I209" s="152">
        <v>239960</v>
      </c>
      <c r="J209" s="153" t="str">
        <f>IFERROR(IF(factura_c_mes10[[#This Row],[CUIT]]="","-",VLOOKUP(factura_c_mes10[[#This Row],[CUIT]],Lista_CUIT[#All],3,0)),"CUIT NO CARGADO")</f>
        <v>Mercaderia</v>
      </c>
      <c r="K209" s="153">
        <f>IFERROR(IF(factura_c_mes10[[#This Row],[CUIT]]="","-",VLOOKUP(factura_c_mes10[[#This Row],[CUIT]],Lista_CUIT[#All],4,0)),"CUIT NO CARGADO")</f>
        <v>0</v>
      </c>
    </row>
    <row r="210" spans="4:11" x14ac:dyDescent="0.3">
      <c r="D210" s="46">
        <v>44806</v>
      </c>
      <c r="E210" s="38">
        <v>2</v>
      </c>
      <c r="F210" s="39">
        <v>89</v>
      </c>
      <c r="G210" s="40">
        <v>27065444777</v>
      </c>
      <c r="H210" s="151" t="str">
        <f>IFERROR(IF(factura_c_mes10[[#This Row],[CUIT]]="","-",VLOOKUP(factura_c_mes10[[#This Row],[CUIT]],Lista_CUIT[#All],2,0)),"CUIT NO CARGADO")</f>
        <v>CARNEVALE MABEL HAYDEE</v>
      </c>
      <c r="I210" s="152">
        <v>25000</v>
      </c>
      <c r="J210" s="153" t="str">
        <f>IFERROR(IF(factura_c_mes10[[#This Row],[CUIT]]="","-",VLOOKUP(factura_c_mes10[[#This Row],[CUIT]],Lista_CUIT[#All],3,0)),"CUIT NO CARGADO")</f>
        <v xml:space="preserve">Gastos Mantenimiento </v>
      </c>
      <c r="K210" s="153">
        <f>IFERROR(IF(factura_c_mes10[[#This Row],[CUIT]]="","-",VLOOKUP(factura_c_mes10[[#This Row],[CUIT]],Lista_CUIT[#All],4,0)),"CUIT NO CARGADO")</f>
        <v>0</v>
      </c>
    </row>
    <row r="211" spans="4:11" x14ac:dyDescent="0.3">
      <c r="D211" s="46">
        <v>44811</v>
      </c>
      <c r="E211" s="38">
        <v>2</v>
      </c>
      <c r="F211" s="39">
        <v>186</v>
      </c>
      <c r="G211" s="40">
        <v>23319210954</v>
      </c>
      <c r="H211" s="151" t="str">
        <f>IFERROR(IF(factura_c_mes10[[#This Row],[CUIT]]="","-",VLOOKUP(factura_c_mes10[[#This Row],[CUIT]],Lista_CUIT[#All],2,0)),"CUIT NO CARGADO")</f>
        <v>CAFFARATTI ROMINA PAOLA</v>
      </c>
      <c r="I211" s="152">
        <v>6100</v>
      </c>
      <c r="J211" s="153" t="str">
        <f>IFERROR(IF(factura_c_mes10[[#This Row],[CUIT]]="","-",VLOOKUP(factura_c_mes10[[#This Row],[CUIT]],Lista_CUIT[#All],3,0)),"CUIT NO CARGADO")</f>
        <v>Honorarios Contables</v>
      </c>
      <c r="K211" s="153">
        <f>IFERROR(IF(factura_c_mes10[[#This Row],[CUIT]]="","-",VLOOKUP(factura_c_mes10[[#This Row],[CUIT]],Lista_CUIT[#All],4,0)),"CUIT NO CARGADO")</f>
        <v>0</v>
      </c>
    </row>
    <row r="212" spans="4:11" x14ac:dyDescent="0.3">
      <c r="D212" s="46">
        <v>44811</v>
      </c>
      <c r="E212" s="38">
        <v>2</v>
      </c>
      <c r="F212" s="39">
        <v>187</v>
      </c>
      <c r="G212" s="40">
        <v>23319210954</v>
      </c>
      <c r="H212" s="151" t="str">
        <f>IFERROR(IF(factura_c_mes10[[#This Row],[CUIT]]="","-",VLOOKUP(factura_c_mes10[[#This Row],[CUIT]],Lista_CUIT[#All],2,0)),"CUIT NO CARGADO")</f>
        <v>CAFFARATTI ROMINA PAOLA</v>
      </c>
      <c r="I212" s="152">
        <v>10300</v>
      </c>
      <c r="J212" s="153" t="str">
        <f>IFERROR(IF(factura_c_mes10[[#This Row],[CUIT]]="","-",VLOOKUP(factura_c_mes10[[#This Row],[CUIT]],Lista_CUIT[#All],3,0)),"CUIT NO CARGADO")</f>
        <v>Honorarios Contables</v>
      </c>
      <c r="K212" s="153">
        <f>IFERROR(IF(factura_c_mes10[[#This Row],[CUIT]]="","-",VLOOKUP(factura_c_mes10[[#This Row],[CUIT]],Lista_CUIT[#All],4,0)),"CUIT NO CARGADO")</f>
        <v>0</v>
      </c>
    </row>
    <row r="213" spans="4:11" x14ac:dyDescent="0.3">
      <c r="D213" s="46">
        <v>44813</v>
      </c>
      <c r="E213" s="38">
        <v>3</v>
      </c>
      <c r="F213" s="39">
        <v>348</v>
      </c>
      <c r="G213" s="40">
        <v>20210551574</v>
      </c>
      <c r="H213" s="151" t="str">
        <f>IFERROR(IF(factura_c_mes10[[#This Row],[CUIT]]="","-",VLOOKUP(factura_c_mes10[[#This Row],[CUIT]],Lista_CUIT[#All],2,0)),"CUIT NO CARGADO")</f>
        <v>REUS JORGE DIEGO</v>
      </c>
      <c r="I213" s="152">
        <v>30000</v>
      </c>
      <c r="J213" s="153" t="str">
        <f>IFERROR(IF(factura_c_mes10[[#This Row],[CUIT]]="","-",VLOOKUP(factura_c_mes10[[#This Row],[CUIT]],Lista_CUIT[#All],3,0)),"CUIT NO CARGADO")</f>
        <v>Honorarios Juridicos</v>
      </c>
      <c r="K213" s="153">
        <f>IFERROR(IF(factura_c_mes10[[#This Row],[CUIT]]="","-",VLOOKUP(factura_c_mes10[[#This Row],[CUIT]],Lista_CUIT[#All],4,0)),"CUIT NO CARGADO")</f>
        <v>0</v>
      </c>
    </row>
    <row r="214" spans="4:11" x14ac:dyDescent="0.3">
      <c r="D214" s="46">
        <v>44812</v>
      </c>
      <c r="E214" s="38">
        <v>3</v>
      </c>
      <c r="F214" s="39">
        <v>2221</v>
      </c>
      <c r="G214" s="40">
        <v>27301511669</v>
      </c>
      <c r="H214" s="151" t="str">
        <f>IFERROR(IF(factura_c_mes10[[#This Row],[CUIT]]="","-",VLOOKUP(factura_c_mes10[[#This Row],[CUIT]],Lista_CUIT[#All],2,0)),"CUIT NO CARGADO")</f>
        <v>BAMBOZZI MARIANGEL</v>
      </c>
      <c r="I214" s="152">
        <v>4140.62</v>
      </c>
      <c r="J214" s="153" t="str">
        <f>IFERROR(IF(factura_c_mes10[[#This Row],[CUIT]]="","-",VLOOKUP(factura_c_mes10[[#This Row],[CUIT]],Lista_CUIT[#All],3,0)),"CUIT NO CARGADO")</f>
        <v>Gastos Varios</v>
      </c>
      <c r="K214" s="153">
        <f>IFERROR(IF(factura_c_mes10[[#This Row],[CUIT]]="","-",VLOOKUP(factura_c_mes10[[#This Row],[CUIT]],Lista_CUIT[#All],4,0)),"CUIT NO CARGADO")</f>
        <v>0</v>
      </c>
    </row>
    <row r="215" spans="4:11" x14ac:dyDescent="0.3">
      <c r="D215" s="46">
        <v>44833</v>
      </c>
      <c r="E215" s="38">
        <v>4</v>
      </c>
      <c r="F215" s="39">
        <v>3318</v>
      </c>
      <c r="G215" s="40">
        <v>30709245682</v>
      </c>
      <c r="H215" s="151" t="str">
        <f>IFERROR(IF(factura_c_mes10[[#This Row],[CUIT]]="","-",VLOOKUP(factura_c_mes10[[#This Row],[CUIT]],Lista_CUIT[#All],2,0)),"CUIT NO CARGADO")</f>
        <v>SOLAR GAS S.A.</v>
      </c>
      <c r="I215" s="152">
        <v>690</v>
      </c>
      <c r="J215" s="153" t="str">
        <f>IFERROR(IF(factura_c_mes10[[#This Row],[CUIT]]="","-",VLOOKUP(factura_c_mes10[[#This Row],[CUIT]],Lista_CUIT[#All],3,0)),"CUIT NO CARGADO")</f>
        <v>Alquiler</v>
      </c>
      <c r="K215" s="153">
        <f>IFERROR(IF(factura_c_mes10[[#This Row],[CUIT]]="","-",VLOOKUP(factura_c_mes10[[#This Row],[CUIT]],Lista_CUIT[#All],4,0)),"CUIT NO CARGADO")</f>
        <v>0</v>
      </c>
    </row>
    <row r="216" spans="4:11" x14ac:dyDescent="0.3">
      <c r="D216" s="46">
        <v>44816</v>
      </c>
      <c r="E216" s="38">
        <v>3</v>
      </c>
      <c r="F216" s="39">
        <v>4362</v>
      </c>
      <c r="G216" s="40">
        <v>30700950057</v>
      </c>
      <c r="H216" s="151" t="str">
        <f>IFERROR(IF(factura_c_mes10[[#This Row],[CUIT]]="","-",VLOOKUP(factura_c_mes10[[#This Row],[CUIT]],Lista_CUIT[#All],2,0)),"CUIT NO CARGADO")</f>
        <v>DOCSOUND S R L</v>
      </c>
      <c r="I216" s="152">
        <v>2500</v>
      </c>
      <c r="J216" s="153" t="str">
        <f>IFERROR(IF(factura_c_mes10[[#This Row],[CUIT]]="","-",VLOOKUP(factura_c_mes10[[#This Row],[CUIT]],Lista_CUIT[#All],3,0)),"CUIT NO CARGADO")</f>
        <v>Gastos Varios</v>
      </c>
      <c r="K216" s="153">
        <f>IFERROR(IF(factura_c_mes10[[#This Row],[CUIT]]="","-",VLOOKUP(factura_c_mes10[[#This Row],[CUIT]],Lista_CUIT[#All],4,0)),"CUIT NO CARGADO")</f>
        <v>0</v>
      </c>
    </row>
    <row r="217" spans="4:11" x14ac:dyDescent="0.3">
      <c r="D217" s="46">
        <v>44819</v>
      </c>
      <c r="E217" s="38">
        <v>8</v>
      </c>
      <c r="F217" s="39">
        <v>4943</v>
      </c>
      <c r="G217" s="40">
        <v>30710234937</v>
      </c>
      <c r="H217" s="49" t="str">
        <f>IFERROR(IF(factura_c_mes10[[#This Row],[CUIT]]="","-",VLOOKUP(factura_c_mes10[[#This Row],[CUIT]],Lista_CUIT[#All],2,0)),"CUIT NO CARGADO")</f>
        <v>NEUMATICOS GIAMBRUNI SRL</v>
      </c>
      <c r="I217" s="77">
        <v>2200</v>
      </c>
      <c r="J217" s="50" t="str">
        <f>IFERROR(IF(factura_c_mes10[[#This Row],[CUIT]]="","-",VLOOKUP(factura_c_mes10[[#This Row],[CUIT]],Lista_CUIT[#All],3,0)),"CUIT NO CARGADO")</f>
        <v>Mantenimiento Auto</v>
      </c>
      <c r="K217" s="50">
        <f>IFERROR(IF(factura_c_mes10[[#This Row],[CUIT]]="","-",VLOOKUP(factura_c_mes10[[#This Row],[CUIT]],Lista_CUIT[#All],4,0)),"CUIT NO CARGADO")</f>
        <v>0</v>
      </c>
    </row>
    <row r="218" spans="4:11" x14ac:dyDescent="0.3">
      <c r="D218" s="46">
        <v>44833</v>
      </c>
      <c r="E218" s="38">
        <v>9</v>
      </c>
      <c r="F218" s="39">
        <v>20441</v>
      </c>
      <c r="G218" s="40">
        <v>30686321866</v>
      </c>
      <c r="H218" s="151" t="str">
        <f>IFERROR(IF(factura_c_mes10[[#This Row],[CUIT]]="","-",VLOOKUP(factura_c_mes10[[#This Row],[CUIT]],Lista_CUIT[#All],2,0)),"CUIT NO CARGADO")</f>
        <v>SERVICIOS EAR SRL</v>
      </c>
      <c r="I218" s="152">
        <v>760</v>
      </c>
      <c r="J218" s="153" t="str">
        <f>IFERROR(IF(factura_c_mes10[[#This Row],[CUIT]]="","-",VLOOKUP(factura_c_mes10[[#This Row],[CUIT]],Lista_CUIT[#All],3,0)),"CUIT NO CARGADO")</f>
        <v>Combustible</v>
      </c>
      <c r="K218" s="153">
        <f>IFERROR(IF(factura_c_mes10[[#This Row],[CUIT]]="","-",VLOOKUP(factura_c_mes10[[#This Row],[CUIT]],Lista_CUIT[#All],4,0)),"CUIT NO CARGADO")</f>
        <v>0</v>
      </c>
    </row>
    <row r="219" spans="4:11" x14ac:dyDescent="0.3">
      <c r="D219" s="46">
        <v>44827</v>
      </c>
      <c r="E219" s="38">
        <v>21</v>
      </c>
      <c r="F219" s="39">
        <v>52958</v>
      </c>
      <c r="G219" s="40">
        <v>30515800219</v>
      </c>
      <c r="H219" s="49" t="str">
        <f>IFERROR(IF(factura_c_mes10[[#This Row],[CUIT]]="","-",VLOOKUP(factura_c_mes10[[#This Row],[CUIT]],Lista_CUIT[#All],2,0)),"CUIT NO CARGADO")</f>
        <v>INCAT SRL</v>
      </c>
      <c r="I219" s="77">
        <v>700.11</v>
      </c>
      <c r="J219" s="50" t="str">
        <f>IFERROR(IF(factura_c_mes10[[#This Row],[CUIT]]="","-",VLOOKUP(factura_c_mes10[[#This Row],[CUIT]],Lista_CUIT[#All],3,0)),"CUIT NO CARGADO")</f>
        <v>Combustible</v>
      </c>
      <c r="K219" s="50">
        <f>IFERROR(IF(factura_c_mes10[[#This Row],[CUIT]]="","-",VLOOKUP(factura_c_mes10[[#This Row],[CUIT]],Lista_CUIT[#All],4,0)),"CUIT NO CARGADO")</f>
        <v>0</v>
      </c>
    </row>
    <row r="220" spans="4:11" x14ac:dyDescent="0.3">
      <c r="D220" s="46">
        <v>44815</v>
      </c>
      <c r="E220" s="38">
        <v>7</v>
      </c>
      <c r="F220" s="39">
        <v>256189</v>
      </c>
      <c r="G220" s="40">
        <v>20259150249</v>
      </c>
      <c r="H220" s="151" t="str">
        <f>IFERROR(IF(factura_c_mes10[[#This Row],[CUIT]]="","-",VLOOKUP(factura_c_mes10[[#This Row],[CUIT]],Lista_CUIT[#All],2,0)),"CUIT NO CARGADO")</f>
        <v>BIANCHI CRISTIAN MAXIMILIANO</v>
      </c>
      <c r="I220" s="152">
        <v>10290</v>
      </c>
      <c r="J220" s="153" t="str">
        <f>IFERROR(IF(factura_c_mes10[[#This Row],[CUIT]]="","-",VLOOKUP(factura_c_mes10[[#This Row],[CUIT]],Lista_CUIT[#All],3,0)),"CUIT NO CARGADO")</f>
        <v>Ferreteria</v>
      </c>
      <c r="K220" s="153">
        <f>IFERROR(IF(factura_c_mes10[[#This Row],[CUIT]]="","-",VLOOKUP(factura_c_mes10[[#This Row],[CUIT]],Lista_CUIT[#All],4,0)),"CUIT NO CARGADO")</f>
        <v>0</v>
      </c>
    </row>
    <row r="221" spans="4:11" x14ac:dyDescent="0.3">
      <c r="D221" s="46">
        <v>44815</v>
      </c>
      <c r="E221" s="38">
        <v>7</v>
      </c>
      <c r="F221" s="39">
        <v>256190</v>
      </c>
      <c r="G221" s="40">
        <v>20259150249</v>
      </c>
      <c r="H221" s="151" t="str">
        <f>IFERROR(IF(factura_c_mes10[[#This Row],[CUIT]]="","-",VLOOKUP(factura_c_mes10[[#This Row],[CUIT]],Lista_CUIT[#All],2,0)),"CUIT NO CARGADO")</f>
        <v>BIANCHI CRISTIAN MAXIMILIANO</v>
      </c>
      <c r="I221" s="152">
        <v>10290</v>
      </c>
      <c r="J221" s="153" t="str">
        <f>IFERROR(IF(factura_c_mes10[[#This Row],[CUIT]]="","-",VLOOKUP(factura_c_mes10[[#This Row],[CUIT]],Lista_CUIT[#All],3,0)),"CUIT NO CARGADO")</f>
        <v>Ferreteria</v>
      </c>
      <c r="K221" s="153">
        <f>IFERROR(IF(factura_c_mes10[[#This Row],[CUIT]]="","-",VLOOKUP(factura_c_mes10[[#This Row],[CUIT]],Lista_CUIT[#All],4,0)),"CUIT NO CARGADO")</f>
        <v>0</v>
      </c>
    </row>
    <row r="222" spans="4:11" x14ac:dyDescent="0.3">
      <c r="D222" s="46">
        <v>44815</v>
      </c>
      <c r="E222" s="38">
        <v>7</v>
      </c>
      <c r="F222" s="39">
        <v>256191</v>
      </c>
      <c r="G222" s="40">
        <v>20259150249</v>
      </c>
      <c r="H222" s="151" t="str">
        <f>IFERROR(IF(factura_c_mes10[[#This Row],[CUIT]]="","-",VLOOKUP(factura_c_mes10[[#This Row],[CUIT]],Lista_CUIT[#All],2,0)),"CUIT NO CARGADO")</f>
        <v>BIANCHI CRISTIAN MAXIMILIANO</v>
      </c>
      <c r="I222" s="152">
        <v>10290</v>
      </c>
      <c r="J222" s="153" t="str">
        <f>IFERROR(IF(factura_c_mes10[[#This Row],[CUIT]]="","-",VLOOKUP(factura_c_mes10[[#This Row],[CUIT]],Lista_CUIT[#All],3,0)),"CUIT NO CARGADO")</f>
        <v>Ferreteria</v>
      </c>
      <c r="K222" s="153">
        <f>IFERROR(IF(factura_c_mes10[[#This Row],[CUIT]]="","-",VLOOKUP(factura_c_mes10[[#This Row],[CUIT]],Lista_CUIT[#All],4,0)),"CUIT NO CARGADO")</f>
        <v>0</v>
      </c>
    </row>
    <row r="223" spans="4:11" x14ac:dyDescent="0.3">
      <c r="D223" s="46">
        <v>44820</v>
      </c>
      <c r="E223" s="38">
        <v>2033</v>
      </c>
      <c r="F223" s="39">
        <v>507717</v>
      </c>
      <c r="G223" s="40">
        <v>30516186670</v>
      </c>
      <c r="H223" s="49" t="str">
        <f>IFERROR(IF(factura_c_mes10[[#This Row],[CUIT]]="","-",VLOOKUP(factura_c_mes10[[#This Row],[CUIT]],Lista_CUIT[#All],2,0)),"CUIT NO CARGADO")</f>
        <v>DEHEZA S.A.I.C.F. e I.</v>
      </c>
      <c r="I223" s="77">
        <v>600.69000000000005</v>
      </c>
      <c r="J223" s="50" t="str">
        <f>IFERROR(IF(factura_c_mes10[[#This Row],[CUIT]]="","-",VLOOKUP(factura_c_mes10[[#This Row],[CUIT]],Lista_CUIT[#All],3,0)),"CUIT NO CARGADO")</f>
        <v>Combustible</v>
      </c>
      <c r="K223" s="50">
        <f>IFERROR(IF(factura_c_mes10[[#This Row],[CUIT]]="","-",VLOOKUP(factura_c_mes10[[#This Row],[CUIT]],Lista_CUIT[#All],4,0)),"CUIT NO CARGADO")</f>
        <v>0</v>
      </c>
    </row>
    <row r="224" spans="4:11" x14ac:dyDescent="0.3">
      <c r="D224" s="46">
        <v>44816</v>
      </c>
      <c r="E224" s="38">
        <v>2036</v>
      </c>
      <c r="F224" s="39">
        <v>603774</v>
      </c>
      <c r="G224" s="40">
        <v>30516186670</v>
      </c>
      <c r="H224" s="49" t="str">
        <f>IFERROR(IF(factura_c_mes10[[#This Row],[CUIT]]="","-",VLOOKUP(factura_c_mes10[[#This Row],[CUIT]],Lista_CUIT[#All],2,0)),"CUIT NO CARGADO")</f>
        <v>DEHEZA S.A.I.C.F. e I.</v>
      </c>
      <c r="I224" s="77">
        <v>799.89</v>
      </c>
      <c r="J224" s="50" t="str">
        <f>IFERROR(IF(factura_c_mes10[[#This Row],[CUIT]]="","-",VLOOKUP(factura_c_mes10[[#This Row],[CUIT]],Lista_CUIT[#All],3,0)),"CUIT NO CARGADO")</f>
        <v>Combustible</v>
      </c>
      <c r="K224" s="50">
        <f>IFERROR(IF(factura_c_mes10[[#This Row],[CUIT]]="","-",VLOOKUP(factura_c_mes10[[#This Row],[CUIT]],Lista_CUIT[#All],4,0)),"CUIT NO CARGADO")</f>
        <v>0</v>
      </c>
    </row>
    <row r="225" spans="2:18" x14ac:dyDescent="0.3">
      <c r="D225" s="46">
        <v>44805</v>
      </c>
      <c r="E225" s="38">
        <v>1</v>
      </c>
      <c r="F225" s="39">
        <v>2497</v>
      </c>
      <c r="G225" s="40">
        <v>20166640173</v>
      </c>
      <c r="H225" s="151" t="str">
        <f>IFERROR(IF(factura_c_mes10[[#This Row],[CUIT]]="","-",VLOOKUP(factura_c_mes10[[#This Row],[CUIT]],Lista_CUIT[#All],2,0)),"CUIT NO CARGADO")</f>
        <v>CARREÑO MARCELO GUILLERMO</v>
      </c>
      <c r="I225" s="152">
        <v>1800</v>
      </c>
      <c r="J225" s="153" t="str">
        <f>IFERROR(IF(factura_c_mes10[[#This Row],[CUIT]]="","-",VLOOKUP(factura_c_mes10[[#This Row],[CUIT]],Lista_CUIT[#All],3,0)),"CUIT NO CARGADO")</f>
        <v>Mantenimiento Auto</v>
      </c>
      <c r="K225" s="153">
        <f>IFERROR(IF(factura_c_mes10[[#This Row],[CUIT]]="","-",VLOOKUP(factura_c_mes10[[#This Row],[CUIT]],Lista_CUIT[#All],4,0)),"CUIT NO CARGADO")</f>
        <v>0</v>
      </c>
    </row>
    <row r="226" spans="2:18" x14ac:dyDescent="0.3">
      <c r="D226" s="46">
        <v>44813</v>
      </c>
      <c r="E226" s="38">
        <v>3</v>
      </c>
      <c r="F226" s="39">
        <v>348</v>
      </c>
      <c r="G226" s="40">
        <v>20210551574</v>
      </c>
      <c r="H226" s="151" t="str">
        <f>IFERROR(IF(factura_c_mes10[[#This Row],[CUIT]]="","-",VLOOKUP(factura_c_mes10[[#This Row],[CUIT]],Lista_CUIT[#All],2,0)),"CUIT NO CARGADO")</f>
        <v>REUS JORGE DIEGO</v>
      </c>
      <c r="I226" s="152">
        <v>30000</v>
      </c>
      <c r="J226" s="153" t="str">
        <f>IFERROR(IF(factura_c_mes10[[#This Row],[CUIT]]="","-",VLOOKUP(factura_c_mes10[[#This Row],[CUIT]],Lista_CUIT[#All],3,0)),"CUIT NO CARGADO")</f>
        <v>Honorarios Juridicos</v>
      </c>
      <c r="K226" s="153">
        <f>IFERROR(IF(factura_c_mes10[[#This Row],[CUIT]]="","-",VLOOKUP(factura_c_mes10[[#This Row],[CUIT]],Lista_CUIT[#All],4,0)),"CUIT NO CARGADO")</f>
        <v>0</v>
      </c>
    </row>
    <row r="227" spans="2:18" x14ac:dyDescent="0.3">
      <c r="D227" s="46">
        <v>44806</v>
      </c>
      <c r="E227" s="38">
        <v>2</v>
      </c>
      <c r="F227" s="39">
        <v>89</v>
      </c>
      <c r="G227" s="40">
        <v>27065444777</v>
      </c>
      <c r="H227" s="151" t="str">
        <f>IFERROR(IF(factura_c_mes10[[#This Row],[CUIT]]="","-",VLOOKUP(factura_c_mes10[[#This Row],[CUIT]],Lista_CUIT[#All],2,0)),"CUIT NO CARGADO")</f>
        <v>CARNEVALE MABEL HAYDEE</v>
      </c>
      <c r="I227" s="152">
        <v>25000</v>
      </c>
      <c r="J227" s="153" t="str">
        <f>IFERROR(IF(factura_c_mes10[[#This Row],[CUIT]]="","-",VLOOKUP(factura_c_mes10[[#This Row],[CUIT]],Lista_CUIT[#All],3,0)),"CUIT NO CARGADO")</f>
        <v xml:space="preserve">Gastos Mantenimiento </v>
      </c>
      <c r="K227" s="153">
        <f>IFERROR(IF(factura_c_mes10[[#This Row],[CUIT]]="","-",VLOOKUP(factura_c_mes10[[#This Row],[CUIT]],Lista_CUIT[#All],4,0)),"CUIT NO CARGADO")</f>
        <v>0</v>
      </c>
    </row>
    <row r="228" spans="2:18" x14ac:dyDescent="0.3">
      <c r="D228" s="46">
        <v>44809</v>
      </c>
      <c r="E228" s="38">
        <v>1</v>
      </c>
      <c r="F228" s="39">
        <v>4</v>
      </c>
      <c r="G228" s="40">
        <v>30717223299</v>
      </c>
      <c r="H228" s="151" t="str">
        <f>IFERROR(IF(factura_c_mes10[[#This Row],[CUIT]]="","-",VLOOKUP(factura_c_mes10[[#This Row],[CUIT]],Lista_CUIT[#All],2,0)),"CUIT NO CARGADO")</f>
        <v>ACEPYM</v>
      </c>
      <c r="I228" s="152">
        <v>280000</v>
      </c>
      <c r="J228" s="153" t="str">
        <f>IFERROR(IF(factura_c_mes10[[#This Row],[CUIT]]="","-",VLOOKUP(factura_c_mes10[[#This Row],[CUIT]],Lista_CUIT[#All],3,0)),"CUIT NO CARGADO")</f>
        <v>Mercaderia</v>
      </c>
      <c r="K228" s="153">
        <f>IFERROR(IF(factura_c_mes10[[#This Row],[CUIT]]="","-",VLOOKUP(factura_c_mes10[[#This Row],[CUIT]],Lista_CUIT[#All],4,0)),"CUIT NO CARGADO")</f>
        <v>0</v>
      </c>
    </row>
    <row r="229" spans="2:18" x14ac:dyDescent="0.3">
      <c r="D229" s="154" t="s">
        <v>83</v>
      </c>
      <c r="E229" s="154"/>
      <c r="F229" s="154"/>
      <c r="G229" s="154"/>
      <c r="H229" s="155"/>
      <c r="I229" s="156">
        <f>SUBTOTAL(109,factura_c_mes10[TOTAL])</f>
        <v>1161421.31</v>
      </c>
      <c r="J229" s="154"/>
      <c r="K229" s="154"/>
    </row>
    <row r="230" spans="2:18" x14ac:dyDescent="0.3">
      <c r="B230" s="52"/>
      <c r="C230" s="52"/>
      <c r="L230" s="52"/>
      <c r="M230" s="52"/>
      <c r="N230" s="52"/>
      <c r="O230" s="52"/>
      <c r="P230" s="52"/>
      <c r="Q230" s="52"/>
      <c r="R230" s="52"/>
    </row>
    <row r="235" spans="2:18" ht="25.8" x14ac:dyDescent="0.3">
      <c r="B235" s="456" t="s">
        <v>29</v>
      </c>
      <c r="C235" s="456"/>
      <c r="D235" s="456"/>
      <c r="E235" s="456"/>
      <c r="F235" s="456"/>
      <c r="G235" s="456"/>
      <c r="H235" s="456"/>
      <c r="I235" s="456"/>
      <c r="J235" s="456"/>
      <c r="K235" s="452">
        <f>N1</f>
        <v>44805</v>
      </c>
      <c r="L235" s="452"/>
      <c r="M235" s="452"/>
    </row>
    <row r="237" spans="2:18" ht="21" x14ac:dyDescent="0.3">
      <c r="B237" s="449" t="s">
        <v>30</v>
      </c>
      <c r="C237" s="449"/>
    </row>
    <row r="238" spans="2:18" ht="15.6" x14ac:dyDescent="0.3">
      <c r="B238" s="56" t="s">
        <v>0</v>
      </c>
      <c r="C238" s="57" t="s">
        <v>1</v>
      </c>
      <c r="D238" s="57" t="s">
        <v>21</v>
      </c>
      <c r="E238" s="57" t="s">
        <v>22</v>
      </c>
      <c r="F238" s="57" t="s">
        <v>3</v>
      </c>
      <c r="G238" s="57" t="s">
        <v>4</v>
      </c>
      <c r="H238" s="57" t="s">
        <v>23</v>
      </c>
      <c r="I238" s="57" t="s">
        <v>17</v>
      </c>
      <c r="J238" s="57" t="s">
        <v>7</v>
      </c>
      <c r="K238" s="57" t="s">
        <v>24</v>
      </c>
      <c r="L238" s="57" t="s">
        <v>10</v>
      </c>
      <c r="M238" s="58" t="s">
        <v>38</v>
      </c>
    </row>
    <row r="239" spans="2:18" x14ac:dyDescent="0.3">
      <c r="B239" s="36"/>
      <c r="C239" s="37"/>
      <c r="D239" s="38"/>
      <c r="E239" s="39"/>
      <c r="F239" s="40"/>
      <c r="G239" s="95" t="str">
        <f>IFERROR(IF(venta_a_mes10[[#This Row],[CUIT]]="","-",VLOOKUP(venta_a_mes10[[#This Row],[CUIT]],Lista_CUIT[#All],2,0)),"CUIT NO CARGADO")</f>
        <v>-</v>
      </c>
      <c r="H239" s="96"/>
      <c r="I239" s="97">
        <f>venta_a_mes10[[#This Row],[IMPORTE NETO]]*0.21</f>
        <v>0</v>
      </c>
      <c r="J239" s="61"/>
      <c r="K239" s="61"/>
      <c r="L239" s="61">
        <f>SUM(venta_a_mes10[[#This Row],[IMPORTE NETO]:[EXENTO]])</f>
        <v>0</v>
      </c>
      <c r="M239" s="55"/>
    </row>
    <row r="240" spans="2:18" x14ac:dyDescent="0.3">
      <c r="B240" s="36"/>
      <c r="C240" s="37"/>
      <c r="D240" s="38"/>
      <c r="E240" s="39"/>
      <c r="F240" s="40"/>
      <c r="G240" s="95" t="str">
        <f>IFERROR(IF(venta_a_mes10[[#This Row],[CUIT]]="","-",VLOOKUP(venta_a_mes10[[#This Row],[CUIT]],Lista_CUIT[#All],2,0)),"CUIT NO CARGADO")</f>
        <v>-</v>
      </c>
      <c r="H240" s="96"/>
      <c r="I240" s="97">
        <f>venta_a_mes10[[#This Row],[IMPORTE NETO]]*0.21</f>
        <v>0</v>
      </c>
      <c r="J240" s="61"/>
      <c r="K240" s="61"/>
      <c r="L240" s="61">
        <f>SUM(venta_a_mes10[[#This Row],[IMPORTE NETO]:[EXENTO]])</f>
        <v>0</v>
      </c>
      <c r="M240" s="55"/>
    </row>
    <row r="241" spans="2:13" x14ac:dyDescent="0.3">
      <c r="B241" s="36"/>
      <c r="C241" s="37"/>
      <c r="D241" s="38"/>
      <c r="E241" s="39"/>
      <c r="F241" s="40"/>
      <c r="G241" s="95" t="str">
        <f>IFERROR(IF(venta_a_mes10[[#This Row],[CUIT]]="","-",VLOOKUP(venta_a_mes10[[#This Row],[CUIT]],Lista_CUIT[#All],2,0)),"CUIT NO CARGADO")</f>
        <v>-</v>
      </c>
      <c r="H241" s="96"/>
      <c r="I241" s="97">
        <f>venta_a_mes10[[#This Row],[IMPORTE NETO]]*0.21</f>
        <v>0</v>
      </c>
      <c r="J241" s="61"/>
      <c r="K241" s="61"/>
      <c r="L241" s="61">
        <f>SUM(venta_a_mes10[[#This Row],[IMPORTE NETO]:[EXENTO]])</f>
        <v>0</v>
      </c>
      <c r="M241" s="55"/>
    </row>
    <row r="242" spans="2:13" x14ac:dyDescent="0.3">
      <c r="B242" s="36"/>
      <c r="C242" s="37"/>
      <c r="D242" s="38"/>
      <c r="E242" s="39"/>
      <c r="F242" s="40"/>
      <c r="G242" s="95" t="str">
        <f>IFERROR(IF(venta_a_mes10[[#This Row],[CUIT]]="","-",VLOOKUP(venta_a_mes10[[#This Row],[CUIT]],Lista_CUIT[#All],2,0)),"CUIT NO CARGADO")</f>
        <v>-</v>
      </c>
      <c r="H242" s="96"/>
      <c r="I242" s="97">
        <f>venta_a_mes10[[#This Row],[IMPORTE NETO]]*0.21</f>
        <v>0</v>
      </c>
      <c r="J242" s="61"/>
      <c r="K242" s="61"/>
      <c r="L242" s="61">
        <f>SUM(venta_a_mes10[[#This Row],[IMPORTE NETO]:[EXENTO]])</f>
        <v>0</v>
      </c>
      <c r="M242" s="55"/>
    </row>
    <row r="243" spans="2:13" x14ac:dyDescent="0.3">
      <c r="B243" s="36"/>
      <c r="C243" s="37"/>
      <c r="D243" s="38"/>
      <c r="E243" s="39"/>
      <c r="F243" s="40"/>
      <c r="G243" s="95" t="str">
        <f>IFERROR(IF(venta_a_mes10[[#This Row],[CUIT]]="","-",VLOOKUP(venta_a_mes10[[#This Row],[CUIT]],Lista_CUIT[#All],2,0)),"CUIT NO CARGADO")</f>
        <v>-</v>
      </c>
      <c r="H243" s="96"/>
      <c r="I243" s="97">
        <f>venta_a_mes10[[#This Row],[IMPORTE NETO]]*0.21</f>
        <v>0</v>
      </c>
      <c r="J243" s="61"/>
      <c r="K243" s="61"/>
      <c r="L243" s="61">
        <f>SUM(venta_a_mes10[[#This Row],[IMPORTE NETO]:[EXENTO]])</f>
        <v>0</v>
      </c>
      <c r="M243" s="55"/>
    </row>
    <row r="244" spans="2:13" x14ac:dyDescent="0.3">
      <c r="B244" s="36"/>
      <c r="C244" s="37"/>
      <c r="D244" s="38"/>
      <c r="E244" s="39"/>
      <c r="F244" s="40"/>
      <c r="G244" s="95" t="str">
        <f>IFERROR(IF(venta_a_mes10[[#This Row],[CUIT]]="","-",VLOOKUP(venta_a_mes10[[#This Row],[CUIT]],Lista_CUIT[#All],2,0)),"CUIT NO CARGADO")</f>
        <v>-</v>
      </c>
      <c r="H244" s="96"/>
      <c r="I244" s="97">
        <f>venta_a_mes10[[#This Row],[IMPORTE NETO]]*0.21</f>
        <v>0</v>
      </c>
      <c r="J244" s="61"/>
      <c r="K244" s="61"/>
      <c r="L244" s="61">
        <f>SUM(venta_a_mes10[[#This Row],[IMPORTE NETO]:[EXENTO]])</f>
        <v>0</v>
      </c>
      <c r="M244" s="55"/>
    </row>
    <row r="245" spans="2:13" x14ac:dyDescent="0.3">
      <c r="B245" s="36"/>
      <c r="C245" s="37"/>
      <c r="D245" s="38"/>
      <c r="E245" s="39"/>
      <c r="F245" s="40"/>
      <c r="G245" s="95" t="str">
        <f>IFERROR(IF(venta_a_mes10[[#This Row],[CUIT]]="","-",VLOOKUP(venta_a_mes10[[#This Row],[CUIT]],Lista_CUIT[#All],2,0)),"CUIT NO CARGADO")</f>
        <v>-</v>
      </c>
      <c r="H245" s="96"/>
      <c r="I245" s="97">
        <f>venta_a_mes10[[#This Row],[IMPORTE NETO]]*0.21</f>
        <v>0</v>
      </c>
      <c r="J245" s="61"/>
      <c r="K245" s="61"/>
      <c r="L245" s="61">
        <f>SUM(venta_a_mes10[[#This Row],[IMPORTE NETO]:[EXENTO]])</f>
        <v>0</v>
      </c>
      <c r="M245" s="59"/>
    </row>
    <row r="246" spans="2:13" x14ac:dyDescent="0.3">
      <c r="B246" s="98"/>
      <c r="C246" s="99"/>
      <c r="D246" s="100"/>
      <c r="E246" s="101"/>
      <c r="F246" s="102"/>
      <c r="G246" s="95" t="str">
        <f>IFERROR(IF(venta_a_mes10[[#This Row],[CUIT]]="","-",VLOOKUP(venta_a_mes10[[#This Row],[CUIT]],Lista_CUIT[#All],2,0)),"CUIT NO CARGADO")</f>
        <v>-</v>
      </c>
      <c r="H246" s="103"/>
      <c r="I246" s="104">
        <f>venta_a_mes10[[#This Row],[IMPORTE NETO]]*0.21</f>
        <v>0</v>
      </c>
      <c r="J246" s="68"/>
      <c r="K246" s="68"/>
      <c r="L246" s="68">
        <f>SUM(venta_a_mes10[[#This Row],[IMPORTE NETO]:[EXENTO]])</f>
        <v>0</v>
      </c>
      <c r="M246" s="59"/>
    </row>
    <row r="247" spans="2:13" x14ac:dyDescent="0.3">
      <c r="B247" s="105"/>
      <c r="C247" s="106"/>
      <c r="D247" s="107"/>
      <c r="E247" s="108"/>
      <c r="F247" s="109"/>
      <c r="G247" s="95" t="str">
        <f>IFERROR(IF(venta_a_mes10[[#This Row],[CUIT]]="","-",VLOOKUP(venta_a_mes10[[#This Row],[CUIT]],Lista_CUIT[#All],2,0)),"CUIT NO CARGADO")</f>
        <v>-</v>
      </c>
      <c r="H247" s="96"/>
      <c r="I247" s="97">
        <f>venta_a_mes10[[#This Row],[IMPORTE NETO]]*0.21</f>
        <v>0</v>
      </c>
      <c r="J247" s="61"/>
      <c r="K247" s="61"/>
      <c r="L247" s="61">
        <f>SUM(venta_a_mes10[[#This Row],[IMPORTE NETO]:[EXENTO]])</f>
        <v>0</v>
      </c>
      <c r="M247" s="55"/>
    </row>
    <row r="248" spans="2:13" x14ac:dyDescent="0.3">
      <c r="B248" s="62" t="s">
        <v>83</v>
      </c>
      <c r="C248" s="63"/>
      <c r="D248" s="63"/>
      <c r="E248" s="63"/>
      <c r="F248" s="63"/>
      <c r="G248" s="63"/>
      <c r="H248" s="65">
        <f>SUBTOTAL(109,venta_a_mes10[IMPORTE NETO])</f>
        <v>0</v>
      </c>
      <c r="I248" s="66">
        <f>SUBTOTAL(109,venta_a_mes10[IVA 21%])</f>
        <v>0</v>
      </c>
      <c r="J248" s="67">
        <f>SUBTOTAL(109,venta_a_mes10[IVA 10,5%])</f>
        <v>0</v>
      </c>
      <c r="K248" s="67">
        <f>SUBTOTAL(109,venta_a_mes10[EXENTO])</f>
        <v>0</v>
      </c>
      <c r="L248" s="67">
        <f>SUBTOTAL(109,venta_a_mes10[TOTAL])</f>
        <v>0</v>
      </c>
      <c r="M248" s="64">
        <f>SUBTOTAL(103,venta_a_mes10[Provincia])</f>
        <v>0</v>
      </c>
    </row>
    <row r="251" spans="2:13" ht="21" x14ac:dyDescent="0.3">
      <c r="B251" s="449" t="s">
        <v>31</v>
      </c>
      <c r="C251" s="449"/>
    </row>
    <row r="252" spans="2:13" ht="15.6" x14ac:dyDescent="0.3">
      <c r="B252" s="56" t="s">
        <v>0</v>
      </c>
      <c r="C252" s="57" t="s">
        <v>1</v>
      </c>
      <c r="D252" s="57" t="s">
        <v>21</v>
      </c>
      <c r="E252" s="57" t="s">
        <v>22</v>
      </c>
      <c r="F252" s="57" t="s">
        <v>3</v>
      </c>
      <c r="G252" s="57" t="s">
        <v>4</v>
      </c>
      <c r="H252" s="57" t="s">
        <v>23</v>
      </c>
      <c r="I252" s="57" t="s">
        <v>17</v>
      </c>
      <c r="J252" s="57" t="s">
        <v>7</v>
      </c>
      <c r="K252" s="57" t="s">
        <v>24</v>
      </c>
      <c r="L252" s="57" t="s">
        <v>10</v>
      </c>
      <c r="M252" s="58" t="s">
        <v>38</v>
      </c>
    </row>
    <row r="253" spans="2:13" x14ac:dyDescent="0.3">
      <c r="B253" s="36"/>
      <c r="C253" s="37"/>
      <c r="D253" s="38"/>
      <c r="E253" s="39"/>
      <c r="F253" s="40"/>
      <c r="G253" s="1" t="str">
        <f>IFERROR(IF(ventas_b_mes10[[#This Row],[CUIT]]="","-",VLOOKUP(ventas_b_mes10[[#This Row],[CUIT]],Lista_CUIT[#All],2,0)),"CUIT NO CARGADO")</f>
        <v>-</v>
      </c>
      <c r="H253" s="60"/>
      <c r="I253" s="60"/>
      <c r="J253" s="60"/>
      <c r="K253" s="60"/>
      <c r="L253" s="60">
        <f>SUM(ventas_b_mes10[[#This Row],[IMPORTE NETO]:[EXENTO]])</f>
        <v>0</v>
      </c>
      <c r="M253" s="55"/>
    </row>
    <row r="254" spans="2:13" x14ac:dyDescent="0.3">
      <c r="B254" s="36"/>
      <c r="C254" s="37"/>
      <c r="D254" s="38"/>
      <c r="E254" s="39"/>
      <c r="F254" s="40"/>
      <c r="G254" s="1"/>
      <c r="H254" s="60"/>
      <c r="I254" s="60"/>
      <c r="J254" s="60"/>
      <c r="K254" s="60"/>
      <c r="L254" s="60">
        <f>SUM(ventas_b_mes10[[#This Row],[IMPORTE NETO]:[EXENTO]])</f>
        <v>0</v>
      </c>
      <c r="M254" s="55"/>
    </row>
    <row r="255" spans="2:13" x14ac:dyDescent="0.3">
      <c r="B255" s="36"/>
      <c r="C255" s="37"/>
      <c r="D255" s="38"/>
      <c r="E255" s="39"/>
      <c r="F255" s="40"/>
      <c r="G255" s="1"/>
      <c r="H255" s="60"/>
      <c r="I255" s="60"/>
      <c r="J255" s="60"/>
      <c r="K255" s="60"/>
      <c r="L255" s="60">
        <f>SUM(ventas_b_mes10[[#This Row],[IMPORTE NETO]:[EXENTO]])</f>
        <v>0</v>
      </c>
      <c r="M255" s="55"/>
    </row>
    <row r="256" spans="2:13" x14ac:dyDescent="0.3">
      <c r="B256" s="36"/>
      <c r="C256" s="37"/>
      <c r="D256" s="38"/>
      <c r="E256" s="39"/>
      <c r="F256" s="40"/>
      <c r="G256" s="1"/>
      <c r="H256" s="60"/>
      <c r="I256" s="60"/>
      <c r="J256" s="60"/>
      <c r="K256" s="60"/>
      <c r="L256" s="60">
        <f>SUM(ventas_b_mes10[[#This Row],[IMPORTE NETO]:[EXENTO]])</f>
        <v>0</v>
      </c>
      <c r="M256" s="55"/>
    </row>
    <row r="257" spans="2:13" x14ac:dyDescent="0.3">
      <c r="B257" s="36"/>
      <c r="C257" s="37"/>
      <c r="D257" s="38"/>
      <c r="E257" s="39"/>
      <c r="F257" s="40"/>
      <c r="G257" s="1"/>
      <c r="H257" s="60"/>
      <c r="I257" s="60"/>
      <c r="J257" s="60"/>
      <c r="K257" s="60"/>
      <c r="L257" s="60">
        <f>SUM(ventas_b_mes10[[#This Row],[IMPORTE NETO]:[EXENTO]])</f>
        <v>0</v>
      </c>
      <c r="M257" s="55"/>
    </row>
    <row r="258" spans="2:13" x14ac:dyDescent="0.3">
      <c r="B258" s="36"/>
      <c r="C258" s="37"/>
      <c r="D258" s="38"/>
      <c r="E258" s="39"/>
      <c r="F258" s="40"/>
      <c r="G258" s="1"/>
      <c r="H258" s="60"/>
      <c r="I258" s="60"/>
      <c r="J258" s="60"/>
      <c r="K258" s="60"/>
      <c r="L258" s="60">
        <f>SUM(ventas_b_mes10[[#This Row],[IMPORTE NETO]:[EXENTO]])</f>
        <v>0</v>
      </c>
      <c r="M258" s="55"/>
    </row>
    <row r="259" spans="2:13" x14ac:dyDescent="0.3">
      <c r="B259" s="62" t="s">
        <v>83</v>
      </c>
      <c r="C259" s="63"/>
      <c r="D259" s="63"/>
      <c r="E259" s="63"/>
      <c r="F259" s="63"/>
      <c r="G259" s="63"/>
      <c r="H259" s="73">
        <f>SUBTOTAL(109,ventas_b_mes10[IMPORTE NETO])</f>
        <v>0</v>
      </c>
      <c r="I259" s="73">
        <f>SUBTOTAL(109,ventas_b_mes10[IVA 21%])</f>
        <v>0</v>
      </c>
      <c r="J259" s="74">
        <f>SUBTOTAL(109,ventas_b_mes10[IVA 10,5%])</f>
        <v>0</v>
      </c>
      <c r="K259" s="74">
        <f>SUBTOTAL(109,ventas_b_mes10[EXENTO])</f>
        <v>0</v>
      </c>
      <c r="L259" s="74">
        <f>SUBTOTAL(109,ventas_b_mes10[TOTAL])</f>
        <v>0</v>
      </c>
      <c r="M259" s="64">
        <f>SUBTOTAL(103,ventas_b_mes10[Provincia])</f>
        <v>0</v>
      </c>
    </row>
    <row r="266" spans="2:13" ht="15" thickBot="1" x14ac:dyDescent="0.35"/>
    <row r="267" spans="2:13" ht="15" thickTop="1" x14ac:dyDescent="0.3">
      <c r="C267" s="447" t="s">
        <v>48</v>
      </c>
      <c r="D267" s="447"/>
      <c r="E267" s="447"/>
      <c r="F267" s="447"/>
      <c r="G267" s="447"/>
      <c r="H267" s="29"/>
      <c r="I267" s="29"/>
      <c r="J267" s="29"/>
    </row>
    <row r="268" spans="2:13" ht="15.6" x14ac:dyDescent="0.3">
      <c r="C268" s="110" t="s">
        <v>49</v>
      </c>
      <c r="D268" s="111" t="s">
        <v>50</v>
      </c>
      <c r="E268" s="111" t="s">
        <v>85</v>
      </c>
      <c r="F268" s="111" t="s">
        <v>3</v>
      </c>
      <c r="G268" s="111" t="s">
        <v>4</v>
      </c>
      <c r="H268" s="112" t="s">
        <v>51</v>
      </c>
      <c r="I268" s="112" t="s">
        <v>52</v>
      </c>
      <c r="J268" s="112" t="s">
        <v>53</v>
      </c>
      <c r="K268" s="112" t="s">
        <v>54</v>
      </c>
      <c r="L268" s="112" t="s">
        <v>55</v>
      </c>
    </row>
    <row r="269" spans="2:13" x14ac:dyDescent="0.3">
      <c r="C269" s="113"/>
      <c r="D269" s="114"/>
      <c r="E269" s="114"/>
      <c r="F269" s="115"/>
      <c r="G269" s="49" t="str">
        <f>IFERROR(IF(Retenciones_mes10[[#This Row],[CUIT]]="","-",VLOOKUP(Retenciones_mes10[[#This Row],[CUIT]],Lista_CUIT[#All],2,0)),"CUIT NO CARGADO")</f>
        <v>-</v>
      </c>
      <c r="H269" s="116"/>
      <c r="I269" s="116"/>
      <c r="J269" s="116"/>
      <c r="K269" s="116"/>
      <c r="L269" s="116"/>
    </row>
    <row r="270" spans="2:13" x14ac:dyDescent="0.3">
      <c r="C270" s="113"/>
      <c r="D270" s="114"/>
      <c r="E270" s="114"/>
      <c r="F270" s="115"/>
      <c r="G270" s="49" t="str">
        <f>IFERROR(IF(Retenciones_mes10[[#This Row],[CUIT]]="","-",VLOOKUP(Retenciones_mes10[[#This Row],[CUIT]],Lista_CUIT[#All],2,0)),"CUIT NO CARGADO")</f>
        <v>-</v>
      </c>
      <c r="H270" s="116"/>
      <c r="I270" s="116"/>
      <c r="J270" s="116"/>
      <c r="K270" s="116"/>
      <c r="L270" s="116"/>
    </row>
    <row r="271" spans="2:13" x14ac:dyDescent="0.3">
      <c r="C271" s="113"/>
      <c r="D271" s="114"/>
      <c r="E271" s="114"/>
      <c r="F271" s="115"/>
      <c r="G271" s="49" t="str">
        <f>IFERROR(IF(Retenciones_mes10[[#This Row],[CUIT]]="","-",VLOOKUP(Retenciones_mes10[[#This Row],[CUIT]],Lista_CUIT[#All],2,0)),"CUIT NO CARGADO")</f>
        <v>-</v>
      </c>
      <c r="H271" s="116"/>
      <c r="I271" s="116"/>
      <c r="J271" s="116"/>
      <c r="K271" s="116"/>
      <c r="L271" s="116"/>
    </row>
    <row r="272" spans="2:13" x14ac:dyDescent="0.3">
      <c r="C272" s="113"/>
      <c r="D272" s="114"/>
      <c r="E272" s="114"/>
      <c r="F272" s="115"/>
      <c r="G272" s="49" t="str">
        <f>IFERROR(IF(Retenciones_mes10[[#This Row],[CUIT]]="","-",VLOOKUP(Retenciones_mes10[[#This Row],[CUIT]],Lista_CUIT[#All],2,0)),"CUIT NO CARGADO")</f>
        <v>-</v>
      </c>
      <c r="H272" s="116"/>
      <c r="I272" s="116"/>
      <c r="J272" s="116"/>
      <c r="K272" s="116"/>
      <c r="L272" s="116"/>
    </row>
    <row r="273" spans="3:7" x14ac:dyDescent="0.3">
      <c r="D273" s="114"/>
      <c r="E273" s="114"/>
      <c r="G273" s="49" t="str">
        <f>IFERROR(IF(Retenciones_mes10[[#This Row],[CUIT]]="","-",VLOOKUP(Retenciones_mes10[[#This Row],[CUIT]],Lista_CUIT[#All],2,0)),"CUIT NO CARGADO")</f>
        <v>-</v>
      </c>
    </row>
    <row r="274" spans="3:7" x14ac:dyDescent="0.3">
      <c r="C274" s="30"/>
    </row>
  </sheetData>
  <mergeCells count="20">
    <mergeCell ref="C267:G267"/>
    <mergeCell ref="B4:E4"/>
    <mergeCell ref="G4:H4"/>
    <mergeCell ref="J4:K4"/>
    <mergeCell ref="M4:N4"/>
    <mergeCell ref="D204:K204"/>
    <mergeCell ref="B235:J235"/>
    <mergeCell ref="K235:M235"/>
    <mergeCell ref="B237:C237"/>
    <mergeCell ref="B251:C251"/>
    <mergeCell ref="P4:R4"/>
    <mergeCell ref="D191:L191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253:L258">
      <formula1>IF($C253=8,H253&lt;0,H253&gt;=0)</formula1>
    </dataValidation>
    <dataValidation type="custom" allowBlank="1" showInputMessage="1" showErrorMessage="1" sqref="L244:L245">
      <formula1>IF($C186=3,L186&lt;0,L186&gt;=0)</formula1>
    </dataValidation>
    <dataValidation type="custom" allowBlank="1" showInputMessage="1" showErrorMessage="1" sqref="L241:L243">
      <formula1>IF($C13=3,L13&lt;0,L13&gt;=0)</formula1>
    </dataValidation>
    <dataValidation type="custom" allowBlank="1" showInputMessage="1" showErrorMessage="1" sqref="L239:L240">
      <formula1>IF($C9=3,L9&lt;0,L9&gt;=0)</formula1>
    </dataValidation>
    <dataValidation type="whole" allowBlank="1" showInputMessage="1" showErrorMessage="1" sqref="C253:C258">
      <formula1>6</formula1>
      <formula2>8</formula2>
    </dataValidation>
    <dataValidation type="custom" allowBlank="1" showInputMessage="1" showErrorMessage="1" sqref="H239:K239 H241:K241 H243:K243 H245:K245">
      <formula1>IF($C239=3,H239&lt;0,H239&gt;=0)</formula1>
    </dataValidation>
    <dataValidation type="whole" allowBlank="1" showInputMessage="1" showErrorMessage="1" sqref="C187:C190 C239:C247 C9:C185">
      <formula1>1</formula1>
      <formula2>3</formula2>
    </dataValidation>
    <dataValidation type="date" allowBlank="1" showInputMessage="1" showErrorMessage="1" sqref="B9:B185 B239:B247 B253:B258 B187:B190 D206:D228 D193:D199">
      <formula1>40179</formula1>
      <formula2>TODAY()</formula2>
    </dataValidation>
    <dataValidation type="whole" allowBlank="1" showInputMessage="1" showErrorMessage="1" sqref="F253:F258 F239:F247 G206:G228 F9:F185">
      <formula1>20000000000</formula1>
      <formula2>33999999999</formula2>
    </dataValidation>
    <dataValidation type="whole" allowBlank="1" showInputMessage="1" showErrorMessage="1" sqref="E253:E258 E239:E247 F206:F228 E9:E185">
      <formula1>1</formula1>
      <formula2>99999999</formula2>
    </dataValidation>
    <dataValidation type="whole" allowBlank="1" showInputMessage="1" showErrorMessage="1" sqref="D253:D258 D239:D247 E206:E228 D9:D185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85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>
    <tabColor theme="9" tint="0.79998168889431442"/>
  </sheetPr>
  <dimension ref="A1:Z3035"/>
  <sheetViews>
    <sheetView showGridLines="0" topLeftCell="D136" zoomScale="80" zoomScaleNormal="80" workbookViewId="0">
      <selection activeCell="G164" sqref="G164"/>
    </sheetView>
  </sheetViews>
  <sheetFormatPr baseColWidth="10" defaultColWidth="0" defaultRowHeight="14.4" x14ac:dyDescent="0.3"/>
  <cols>
    <col min="1" max="1" width="1.6640625" customWidth="1"/>
    <col min="2" max="2" width="13" customWidth="1"/>
    <col min="3" max="3" width="8.109375" customWidth="1"/>
    <col min="4" max="4" width="11" customWidth="1"/>
    <col min="5" max="5" width="12.44140625" customWidth="1"/>
    <col min="6" max="6" width="17.6640625" customWidth="1"/>
    <col min="7" max="7" width="31" customWidth="1"/>
    <col min="8" max="8" width="16.33203125" customWidth="1"/>
    <col min="9" max="9" width="14.88671875" customWidth="1"/>
    <col min="10" max="10" width="17.88671875" customWidth="1"/>
    <col min="11" max="11" width="12" customWidth="1"/>
    <col min="12" max="12" width="15" customWidth="1"/>
    <col min="13" max="13" width="18" customWidth="1"/>
    <col min="14" max="14" width="20.6640625" customWidth="1"/>
    <col min="15" max="15" width="18.5546875" customWidth="1"/>
    <col min="16" max="16" width="16.6640625" customWidth="1"/>
    <col min="17" max="17" width="21.33203125" bestFit="1" customWidth="1"/>
    <col min="18" max="18" width="14.33203125" customWidth="1"/>
    <col min="19" max="19" width="15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3"/>
      <c r="B1" s="450" t="s">
        <v>28</v>
      </c>
      <c r="C1" s="450"/>
      <c r="D1" s="450"/>
      <c r="E1" s="450"/>
      <c r="F1" s="450"/>
      <c r="G1" s="457" t="str">
        <f>'Ene-22'!G1:M1</f>
        <v>EUROARGENTINA</v>
      </c>
      <c r="H1" s="457"/>
      <c r="I1" s="457"/>
      <c r="J1" s="457"/>
      <c r="K1" s="457"/>
      <c r="L1" s="457"/>
      <c r="M1" s="457"/>
      <c r="N1" s="448">
        <f>EDATE('Ene-22'!N1,10)</f>
        <v>44866</v>
      </c>
      <c r="O1" s="448"/>
      <c r="P1" s="448"/>
      <c r="Q1" s="448"/>
      <c r="R1" s="448"/>
    </row>
    <row r="2" spans="1:26" ht="15" customHeight="1" x14ac:dyDescent="0.3"/>
    <row r="3" spans="1:26" ht="26.4" customHeight="1" x14ac:dyDescent="0.3">
      <c r="B3" s="453" t="s">
        <v>47</v>
      </c>
      <c r="C3" s="453"/>
      <c r="D3" s="453"/>
      <c r="E3" s="453"/>
      <c r="F3" s="34"/>
      <c r="G3" s="453" t="s">
        <v>37</v>
      </c>
      <c r="H3" s="453"/>
      <c r="I3" s="34"/>
      <c r="J3" s="445" t="s">
        <v>14</v>
      </c>
      <c r="K3" s="445"/>
      <c r="L3" s="34"/>
      <c r="M3" s="445" t="s">
        <v>12</v>
      </c>
      <c r="N3" s="445"/>
      <c r="O3" s="34"/>
      <c r="P3" s="444" t="s">
        <v>82</v>
      </c>
      <c r="Q3" s="444"/>
      <c r="R3" s="444"/>
    </row>
    <row r="4" spans="1:26" ht="25.2" customHeight="1" x14ac:dyDescent="0.4">
      <c r="B4" s="454" t="e">
        <f>SUM(compras_mes11[[#Totals],[NETO GRAVADO]])+#REF!</f>
        <v>#REF!</v>
      </c>
      <c r="C4" s="454"/>
      <c r="D4" s="454"/>
      <c r="E4" s="454"/>
      <c r="F4" s="35"/>
      <c r="G4" s="455" t="e">
        <f>compras_mes11[[#Totals],[IVA 21 %]]+compras_mes11[[#Totals],[IVA 27%]]+compras_mes11[[#Totals],[IVA 10,5%]]+#REF!+#REF!</f>
        <v>#REF!</v>
      </c>
      <c r="H4" s="455"/>
      <c r="I4" s="35"/>
      <c r="J4" s="446">
        <f>venta_a_mes11[[#Totals],[IMPORTE NETO]]+ventas_b_mes11[[#Totals],[IMPORTE NETO]]</f>
        <v>24881246.349999968</v>
      </c>
      <c r="K4" s="446"/>
      <c r="L4" s="35"/>
      <c r="M4" s="446">
        <f>venta_a_mes11[[#Totals],[IVA 21%]]+venta_a_mes11[[#Totals],[IVA 10,5%]]+ventas_b_mes11[[#Totals],[IVA 21%]]+ventas_b_mes11[[#Totals],[IVA 10,5%]]</f>
        <v>5215792.8650999963</v>
      </c>
      <c r="N4" s="446"/>
      <c r="O4" s="35"/>
      <c r="P4" s="442" t="e">
        <f>G4-M4</f>
        <v>#REF!</v>
      </c>
      <c r="Q4" s="443"/>
      <c r="R4" s="443"/>
    </row>
    <row r="5" spans="1:26" ht="8.25" customHeight="1" x14ac:dyDescent="0.3"/>
    <row r="6" spans="1:26" ht="20.25" customHeight="1" x14ac:dyDescent="0.3">
      <c r="G6" s="193" t="s">
        <v>104</v>
      </c>
      <c r="H6" s="158"/>
      <c r="I6" s="158"/>
    </row>
    <row r="7" spans="1:26" s="2" customFormat="1" ht="10.95" customHeight="1" x14ac:dyDescent="0.3">
      <c r="B7" s="36"/>
      <c r="C7" s="37"/>
      <c r="D7" s="38"/>
      <c r="E7" s="39"/>
      <c r="F7" s="40"/>
      <c r="G7" s="41"/>
      <c r="H7" s="42"/>
      <c r="I7" s="43"/>
      <c r="J7" s="43"/>
      <c r="K7" s="43"/>
      <c r="L7" s="43"/>
      <c r="M7" s="43"/>
      <c r="N7" s="43"/>
      <c r="O7" s="43"/>
      <c r="P7" s="44"/>
      <c r="Q7" s="45"/>
      <c r="R7" s="45"/>
      <c r="T7"/>
      <c r="U7"/>
      <c r="V7"/>
      <c r="W7"/>
      <c r="X7"/>
      <c r="Y7"/>
      <c r="Z7"/>
    </row>
    <row r="8" spans="1:26" ht="38.4" customHeight="1" x14ac:dyDescent="0.3">
      <c r="B8" s="80" t="s">
        <v>0</v>
      </c>
      <c r="C8" s="80" t="s">
        <v>1</v>
      </c>
      <c r="D8" s="80" t="s">
        <v>2</v>
      </c>
      <c r="E8" s="80" t="s">
        <v>27</v>
      </c>
      <c r="F8" s="80" t="s">
        <v>3</v>
      </c>
      <c r="G8" s="80" t="s">
        <v>4</v>
      </c>
      <c r="H8" s="80" t="s">
        <v>34</v>
      </c>
      <c r="I8" s="80" t="s">
        <v>35</v>
      </c>
      <c r="J8" s="80" t="s">
        <v>6</v>
      </c>
      <c r="K8" s="80" t="s">
        <v>7</v>
      </c>
      <c r="L8" s="80" t="s">
        <v>8</v>
      </c>
      <c r="M8" s="80" t="s">
        <v>33</v>
      </c>
      <c r="N8" s="80" t="s">
        <v>9</v>
      </c>
      <c r="O8" s="80" t="s">
        <v>36</v>
      </c>
      <c r="P8" s="80" t="s">
        <v>10</v>
      </c>
      <c r="Q8" s="80" t="s">
        <v>11</v>
      </c>
      <c r="R8" s="80" t="s">
        <v>38</v>
      </c>
    </row>
    <row r="9" spans="1:26" x14ac:dyDescent="0.3">
      <c r="B9" s="36"/>
      <c r="C9" s="37"/>
      <c r="D9" s="38"/>
      <c r="E9" s="39"/>
      <c r="F9" s="40"/>
      <c r="G9" s="41" t="str">
        <f>IFERROR(IF(compras_mes11[[#This Row],[CUIT]]="","-",VLOOKUP(compras_mes11[[#This Row],[CUIT]],Lista_CUIT[#All],2,0)),"CUIT NO CARGADO")</f>
        <v>-</v>
      </c>
      <c r="H9" s="42"/>
      <c r="I9" s="81" t="str">
        <f>IF(compras_mes11[[#This Row],[NETO GRAVADO]]="","",compras_mes11[[#This Row],[NETO GRAVADO]]*0.21)</f>
        <v/>
      </c>
      <c r="J9" s="81"/>
      <c r="K9" s="81"/>
      <c r="L9" s="81"/>
      <c r="M9" s="81"/>
      <c r="N9" s="81"/>
      <c r="O9" s="81"/>
      <c r="P9" s="44">
        <f>SUM(compras_mes11[[#This Row],[NETO GRAVADO]:[Otros / No Grav.]])</f>
        <v>0</v>
      </c>
      <c r="Q9" s="45" t="str">
        <f>IFERROR(IF(compras_mes11[[#This Row],[CUIT]]="","-",VLOOKUP(compras_mes11[[#This Row],[CUIT]],Lista_CUIT[#All],3,0)),"CUIT NO CARGADO")</f>
        <v>-</v>
      </c>
      <c r="R9" s="45" t="str">
        <f>IFERROR(IF(compras_mes11[[#This Row],[CUIT]]="","-",VLOOKUP(compras_mes11[[#This Row],[CUIT]],Lista_CUIT[#All],4,0)),"CUIT NO CARGADO")</f>
        <v>-</v>
      </c>
    </row>
    <row r="10" spans="1:26" x14ac:dyDescent="0.3">
      <c r="B10" s="181"/>
      <c r="C10" s="182"/>
      <c r="D10" s="183"/>
      <c r="E10" s="184"/>
      <c r="F10" s="185"/>
      <c r="G10" s="186" t="str">
        <f>IFERROR(IF(compras_mes11[[#This Row],[CUIT]]="","-",VLOOKUP(compras_mes11[[#This Row],[CUIT]],Lista_CUIT[#All],2,0)),"CUIT NO CARGADO")</f>
        <v>-</v>
      </c>
      <c r="H10" s="191"/>
      <c r="I10" s="187" t="str">
        <f>IF(compras_mes11[[#This Row],[NETO GRAVADO]]="","",compras_mes11[[#This Row],[NETO GRAVADO]]*0.21)</f>
        <v/>
      </c>
      <c r="J10" s="187"/>
      <c r="K10" s="187"/>
      <c r="L10" s="187"/>
      <c r="M10" s="187"/>
      <c r="N10" s="187"/>
      <c r="O10" s="187"/>
      <c r="P10" s="188">
        <f>SUM(compras_mes11[[#This Row],[NETO GRAVADO]:[Otros / No Grav.]])</f>
        <v>0</v>
      </c>
      <c r="Q10" s="189" t="str">
        <f>IFERROR(IF(compras_mes11[[#This Row],[CUIT]]="","-",VLOOKUP(compras_mes11[[#This Row],[CUIT]],Lista_CUIT[#All],3,0)),"CUIT NO CARGADO")</f>
        <v>-</v>
      </c>
      <c r="R10" s="189" t="str">
        <f>IFERROR(IF(compras_mes11[[#This Row],[CUIT]]="","-",VLOOKUP(compras_mes11[[#This Row],[CUIT]],Lista_CUIT[#All],4,0)),"CUIT NO CARGADO")</f>
        <v>-</v>
      </c>
    </row>
    <row r="11" spans="1:26" x14ac:dyDescent="0.3">
      <c r="B11" s="181"/>
      <c r="C11" s="182"/>
      <c r="D11" s="183"/>
      <c r="E11" s="184"/>
      <c r="F11" s="185"/>
      <c r="G11" s="186" t="str">
        <f>IFERROR(IF(compras_mes11[[#This Row],[CUIT]]="","-",VLOOKUP(compras_mes11[[#This Row],[CUIT]],Lista_CUIT[#All],2,0)),"CUIT NO CARGADO")</f>
        <v>-</v>
      </c>
      <c r="H11" s="196"/>
      <c r="I11" s="187" t="str">
        <f>IF(compras_mes11[[#This Row],[NETO GRAVADO]]="","",compras_mes11[[#This Row],[NETO GRAVADO]]*0.21)</f>
        <v/>
      </c>
      <c r="J11" s="187"/>
      <c r="K11" s="187"/>
      <c r="L11" s="187"/>
      <c r="M11" s="187"/>
      <c r="N11" s="187"/>
      <c r="O11" s="187"/>
      <c r="P11" s="188">
        <f>SUM(compras_mes11[[#This Row],[NETO GRAVADO]:[Otros / No Grav.]])</f>
        <v>0</v>
      </c>
      <c r="Q11" s="189" t="str">
        <f>IFERROR(IF(compras_mes11[[#This Row],[CUIT]]="","-",VLOOKUP(compras_mes11[[#This Row],[CUIT]],Lista_CUIT[#All],3,0)),"CUIT NO CARGADO")</f>
        <v>-</v>
      </c>
      <c r="R11" s="189" t="str">
        <f>IFERROR(IF(compras_mes11[[#This Row],[CUIT]]="","-",VLOOKUP(compras_mes11[[#This Row],[CUIT]],Lista_CUIT[#All],4,0)),"CUIT NO CARGADO")</f>
        <v>-</v>
      </c>
    </row>
    <row r="12" spans="1:26" x14ac:dyDescent="0.3">
      <c r="B12" s="181"/>
      <c r="C12" s="182"/>
      <c r="D12" s="183"/>
      <c r="E12" s="184"/>
      <c r="F12" s="185"/>
      <c r="G12" s="186" t="str">
        <f>IFERROR(IF(compras_mes11[[#This Row],[CUIT]]="","-",VLOOKUP(compras_mes11[[#This Row],[CUIT]],Lista_CUIT[#All],2,0)),"CUIT NO CARGADO")</f>
        <v>-</v>
      </c>
      <c r="H12" s="196"/>
      <c r="I12" s="187" t="str">
        <f>IF(compras_mes11[[#This Row],[NETO GRAVADO]]="","",compras_mes11[[#This Row],[NETO GRAVADO]]*0.21)</f>
        <v/>
      </c>
      <c r="J12" s="187"/>
      <c r="K12" s="187"/>
      <c r="L12" s="187"/>
      <c r="M12" s="187"/>
      <c r="N12" s="187"/>
      <c r="O12" s="187"/>
      <c r="P12" s="188">
        <f>SUM(compras_mes11[[#This Row],[NETO GRAVADO]:[Otros / No Grav.]])</f>
        <v>0</v>
      </c>
      <c r="Q12" s="189" t="str">
        <f>IFERROR(IF(compras_mes11[[#This Row],[CUIT]]="","-",VLOOKUP(compras_mes11[[#This Row],[CUIT]],Lista_CUIT[#All],3,0)),"CUIT NO CARGADO")</f>
        <v>-</v>
      </c>
      <c r="R12" s="189" t="str">
        <f>IFERROR(IF(compras_mes11[[#This Row],[CUIT]]="","-",VLOOKUP(compras_mes11[[#This Row],[CUIT]],Lista_CUIT[#All],4,0)),"CUIT NO CARGADO")</f>
        <v>-</v>
      </c>
    </row>
    <row r="13" spans="1:26" x14ac:dyDescent="0.3">
      <c r="B13" s="36">
        <v>44836</v>
      </c>
      <c r="C13" s="37">
        <v>1</v>
      </c>
      <c r="D13" s="38">
        <v>1</v>
      </c>
      <c r="E13" s="39">
        <v>306</v>
      </c>
      <c r="F13" s="40">
        <v>20131206144</v>
      </c>
      <c r="G13" s="41" t="str">
        <f>IFERROR(IF(compras_mes11[[#This Row],[CUIT]]="","-",VLOOKUP(compras_mes11[[#This Row],[CUIT]],Lista_CUIT[#All],2,0)),"CUIT NO CARGADO")</f>
        <v>CHAMORRO MANUEL</v>
      </c>
      <c r="H13" s="190">
        <v>60000</v>
      </c>
      <c r="I13" s="81">
        <f>IF(compras_mes11[[#This Row],[NETO GRAVADO]]="","",compras_mes11[[#This Row],[NETO GRAVADO]]*0.21)</f>
        <v>12600</v>
      </c>
      <c r="J13" s="81"/>
      <c r="K13" s="81"/>
      <c r="L13" s="81"/>
      <c r="M13" s="81"/>
      <c r="N13" s="81"/>
      <c r="O13" s="81"/>
      <c r="P13" s="44">
        <f>SUM(compras_mes11[[#This Row],[NETO GRAVADO]:[Otros / No Grav.]])</f>
        <v>72600</v>
      </c>
      <c r="Q13" s="45" t="str">
        <f>IFERROR(IF(compras_mes11[[#This Row],[CUIT]]="","-",VLOOKUP(compras_mes11[[#This Row],[CUIT]],Lista_CUIT[#All],3,0)),"CUIT NO CARGADO")</f>
        <v>Alquiler</v>
      </c>
      <c r="R13" s="45">
        <f>IFERROR(IF(compras_mes11[[#This Row],[CUIT]]="","-",VLOOKUP(compras_mes11[[#This Row],[CUIT]],Lista_CUIT[#All],4,0)),"CUIT NO CARGADO")</f>
        <v>0</v>
      </c>
    </row>
    <row r="14" spans="1:26" x14ac:dyDescent="0.3">
      <c r="B14" s="181">
        <v>44838</v>
      </c>
      <c r="C14" s="37">
        <v>1</v>
      </c>
      <c r="D14" s="183">
        <v>1</v>
      </c>
      <c r="E14" s="184">
        <v>53</v>
      </c>
      <c r="F14" s="185">
        <v>30716010313</v>
      </c>
      <c r="G14" s="186" t="str">
        <f>IFERROR(IF(compras_mes11[[#This Row],[CUIT]]="","-",VLOOKUP(compras_mes11[[#This Row],[CUIT]],Lista_CUIT[#All],2,0)),"CUIT NO CARGADO")</f>
        <v>H UNO 1469 S.A.</v>
      </c>
      <c r="H14" s="190">
        <v>38400</v>
      </c>
      <c r="I14" s="187">
        <f>IF(compras_mes11[[#This Row],[NETO GRAVADO]]="","",compras_mes11[[#This Row],[NETO GRAVADO]]*0.21)</f>
        <v>8064</v>
      </c>
      <c r="J14" s="187"/>
      <c r="K14" s="187"/>
      <c r="L14" s="187"/>
      <c r="M14" s="187"/>
      <c r="N14" s="187"/>
      <c r="O14" s="187"/>
      <c r="P14" s="188">
        <f>SUM(compras_mes11[[#This Row],[NETO GRAVADO]:[Otros / No Grav.]])</f>
        <v>46464</v>
      </c>
      <c r="Q14" s="189" t="str">
        <f>IFERROR(IF(compras_mes11[[#This Row],[CUIT]]="","-",VLOOKUP(compras_mes11[[#This Row],[CUIT]],Lista_CUIT[#All],3,0)),"CUIT NO CARGADO")</f>
        <v>Alquiler</v>
      </c>
      <c r="R14" s="189">
        <f>IFERROR(IF(compras_mes11[[#This Row],[CUIT]]="","-",VLOOKUP(compras_mes11[[#This Row],[CUIT]],Lista_CUIT[#All],4,0)),"CUIT NO CARGADO")</f>
        <v>0</v>
      </c>
    </row>
    <row r="15" spans="1:26" x14ac:dyDescent="0.3">
      <c r="B15" s="181">
        <v>44838</v>
      </c>
      <c r="C15" s="37">
        <v>1</v>
      </c>
      <c r="D15" s="183">
        <v>2</v>
      </c>
      <c r="E15" s="184">
        <v>179</v>
      </c>
      <c r="F15" s="185">
        <v>27309896063</v>
      </c>
      <c r="G15" s="186" t="str">
        <f>IFERROR(IF(compras_mes11[[#This Row],[CUIT]]="","-",VLOOKUP(compras_mes11[[#This Row],[CUIT]],Lista_CUIT[#All],2,0)),"CUIT NO CARGADO")</f>
        <v>BATTELLINI MARIA SOLEDAD</v>
      </c>
      <c r="H15" s="190">
        <v>35000</v>
      </c>
      <c r="I15" s="187">
        <f>IF(compras_mes11[[#This Row],[NETO GRAVADO]]="","",compras_mes11[[#This Row],[NETO GRAVADO]]*0.21)</f>
        <v>7350</v>
      </c>
      <c r="J15" s="187"/>
      <c r="K15" s="187"/>
      <c r="L15" s="187"/>
      <c r="M15" s="187"/>
      <c r="N15" s="187"/>
      <c r="O15" s="187"/>
      <c r="P15" s="188">
        <f>SUM(compras_mes11[[#This Row],[NETO GRAVADO]:[Otros / No Grav.]])</f>
        <v>42350</v>
      </c>
      <c r="Q15" s="189" t="str">
        <f>IFERROR(IF(compras_mes11[[#This Row],[CUIT]]="","-",VLOOKUP(compras_mes11[[#This Row],[CUIT]],Lista_CUIT[#All],3,0)),"CUIT NO CARGADO")</f>
        <v>Alquiler</v>
      </c>
      <c r="R15" s="189">
        <f>IFERROR(IF(compras_mes11[[#This Row],[CUIT]]="","-",VLOOKUP(compras_mes11[[#This Row],[CUIT]],Lista_CUIT[#All],4,0)),"CUIT NO CARGADO")</f>
        <v>0</v>
      </c>
    </row>
    <row r="16" spans="1:26" x14ac:dyDescent="0.3">
      <c r="B16" s="181">
        <v>44862</v>
      </c>
      <c r="C16" s="37">
        <v>1</v>
      </c>
      <c r="D16" s="183">
        <v>1</v>
      </c>
      <c r="E16" s="184">
        <v>518</v>
      </c>
      <c r="F16" s="185">
        <v>30715048066</v>
      </c>
      <c r="G16" s="186" t="str">
        <f>IFERROR(IF(compras_mes11[[#This Row],[CUIT]]="","-",VLOOKUP(compras_mes11[[#This Row],[CUIT]],Lista_CUIT[#All],2,0)),"CUIT NO CARGADO")</f>
        <v>ROLLS Y EMPANADAS SA</v>
      </c>
      <c r="H16" s="190">
        <v>315210</v>
      </c>
      <c r="I16" s="187">
        <f>IF(compras_mes11[[#This Row],[NETO GRAVADO]]="","",compras_mes11[[#This Row],[NETO GRAVADO]]*0.21)</f>
        <v>66194.099999999991</v>
      </c>
      <c r="J16" s="187"/>
      <c r="K16" s="187"/>
      <c r="L16" s="187"/>
      <c r="M16" s="187"/>
      <c r="N16" s="187"/>
      <c r="O16" s="187"/>
      <c r="P16" s="188">
        <f>SUM(compras_mes11[[#This Row],[NETO GRAVADO]:[Otros / No Grav.]])</f>
        <v>381404.1</v>
      </c>
      <c r="Q16" s="189" t="str">
        <f>IFERROR(IF(compras_mes11[[#This Row],[CUIT]]="","-",VLOOKUP(compras_mes11[[#This Row],[CUIT]],Lista_CUIT[#All],3,0)),"CUIT NO CARGADO")</f>
        <v>Catering</v>
      </c>
      <c r="R16" s="189">
        <f>IFERROR(IF(compras_mes11[[#This Row],[CUIT]]="","-",VLOOKUP(compras_mes11[[#This Row],[CUIT]],Lista_CUIT[#All],4,0)),"CUIT NO CARGADO")</f>
        <v>0</v>
      </c>
    </row>
    <row r="17" spans="2:18" x14ac:dyDescent="0.3">
      <c r="B17" s="181">
        <v>44862</v>
      </c>
      <c r="C17" s="37">
        <v>1</v>
      </c>
      <c r="D17" s="183">
        <v>1</v>
      </c>
      <c r="E17" s="184">
        <v>519</v>
      </c>
      <c r="F17" s="185">
        <v>30715048066</v>
      </c>
      <c r="G17" s="186" t="str">
        <f>IFERROR(IF(compras_mes11[[#This Row],[CUIT]]="","-",VLOOKUP(compras_mes11[[#This Row],[CUIT]],Lista_CUIT[#All],2,0)),"CUIT NO CARGADO")</f>
        <v>ROLLS Y EMPANADAS SA</v>
      </c>
      <c r="H17" s="190">
        <v>230630</v>
      </c>
      <c r="I17" s="187">
        <f>IF(compras_mes11[[#This Row],[NETO GRAVADO]]="","",compras_mes11[[#This Row],[NETO GRAVADO]]*0.21)</f>
        <v>48432.299999999996</v>
      </c>
      <c r="J17" s="187"/>
      <c r="K17" s="187"/>
      <c r="L17" s="187"/>
      <c r="M17" s="187"/>
      <c r="N17" s="187"/>
      <c r="O17" s="187"/>
      <c r="P17" s="188">
        <f>SUM(compras_mes11[[#This Row],[NETO GRAVADO]:[Otros / No Grav.]])</f>
        <v>279062.3</v>
      </c>
      <c r="Q17" s="189" t="str">
        <f>IFERROR(IF(compras_mes11[[#This Row],[CUIT]]="","-",VLOOKUP(compras_mes11[[#This Row],[CUIT]],Lista_CUIT[#All],3,0)),"CUIT NO CARGADO")</f>
        <v>Catering</v>
      </c>
      <c r="R17" s="189">
        <f>IFERROR(IF(compras_mes11[[#This Row],[CUIT]]="","-",VLOOKUP(compras_mes11[[#This Row],[CUIT]],Lista_CUIT[#All],4,0)),"CUIT NO CARGADO")</f>
        <v>0</v>
      </c>
    </row>
    <row r="18" spans="2:18" x14ac:dyDescent="0.3">
      <c r="B18" s="36">
        <v>44837</v>
      </c>
      <c r="C18" s="37">
        <v>1</v>
      </c>
      <c r="D18" s="38">
        <v>4</v>
      </c>
      <c r="E18" s="39">
        <v>12</v>
      </c>
      <c r="F18" s="40">
        <v>30717535649</v>
      </c>
      <c r="G18" s="41" t="str">
        <f>IFERROR(IF(compras_mes11[[#This Row],[CUIT]]="","-",VLOOKUP(compras_mes11[[#This Row],[CUIT]],Lista_CUIT[#All],2,0)),"CUIT NO CARGADO")</f>
        <v>NIMUR RSL</v>
      </c>
      <c r="H18" s="197">
        <v>3198.4</v>
      </c>
      <c r="I18" s="81">
        <f>IF(compras_mes11[[#This Row],[NETO GRAVADO]]="","",compras_mes11[[#This Row],[NETO GRAVADO]]*0.21)</f>
        <v>671.66399999999999</v>
      </c>
      <c r="J18" s="81"/>
      <c r="K18" s="81"/>
      <c r="L18" s="81"/>
      <c r="M18" s="81"/>
      <c r="N18" s="81"/>
      <c r="O18" s="81">
        <v>730.47</v>
      </c>
      <c r="P18" s="44">
        <f>SUM(compras_mes11[[#This Row],[NETO GRAVADO]:[Otros / No Grav.]])</f>
        <v>4600.5340000000006</v>
      </c>
      <c r="Q18" s="45" t="str">
        <f>IFERROR(IF(compras_mes11[[#This Row],[CUIT]]="","-",VLOOKUP(compras_mes11[[#This Row],[CUIT]],Lista_CUIT[#All],3,0)),"CUIT NO CARGADO")</f>
        <v>Combustible</v>
      </c>
      <c r="R18" s="45">
        <f>IFERROR(IF(compras_mes11[[#This Row],[CUIT]]="","-",VLOOKUP(compras_mes11[[#This Row],[CUIT]],Lista_CUIT[#All],4,0)),"CUIT NO CARGADO")</f>
        <v>0</v>
      </c>
    </row>
    <row r="19" spans="2:18" ht="14.4" customHeight="1" x14ac:dyDescent="0.3">
      <c r="B19" s="198">
        <v>44837</v>
      </c>
      <c r="C19" s="199">
        <v>1</v>
      </c>
      <c r="D19" s="200">
        <v>12</v>
      </c>
      <c r="E19" s="201">
        <v>9951</v>
      </c>
      <c r="F19" s="202">
        <v>30696131003</v>
      </c>
      <c r="G19" s="172" t="str">
        <f>IFERROR(IF(compras_mes11[[#This Row],[CUIT]]="","-",VLOOKUP(compras_mes11[[#This Row],[CUIT]],Lista_CUIT[#All],2,0)),"CUIT NO CARGADO")</f>
        <v>PETROLFE  S.A.</v>
      </c>
      <c r="H19" s="204">
        <v>17396.09</v>
      </c>
      <c r="I19" s="166">
        <f>IF(compras_mes11[[#This Row],[NETO GRAVADO]]="","",compras_mes11[[#This Row],[NETO GRAVADO]]*0.21)</f>
        <v>3653.1788999999999</v>
      </c>
      <c r="J19" s="166"/>
      <c r="K19" s="166"/>
      <c r="L19" s="166"/>
      <c r="M19" s="166"/>
      <c r="N19" s="166"/>
      <c r="O19" s="166">
        <v>4436.42</v>
      </c>
      <c r="P19" s="173">
        <f>SUM(compras_mes11[[#This Row],[NETO GRAVADO]:[Otros / No Grav.]])</f>
        <v>25485.688900000001</v>
      </c>
      <c r="Q19" s="174" t="str">
        <f>IFERROR(IF(compras_mes11[[#This Row],[CUIT]]="","-",VLOOKUP(compras_mes11[[#This Row],[CUIT]],Lista_CUIT[#All],3,0)),"CUIT NO CARGADO")</f>
        <v>Combustible</v>
      </c>
      <c r="R19" s="174">
        <f>IFERROR(IF(compras_mes11[[#This Row],[CUIT]]="","-",VLOOKUP(compras_mes11[[#This Row],[CUIT]],Lista_CUIT[#All],4,0)),"CUIT NO CARGADO")</f>
        <v>0</v>
      </c>
    </row>
    <row r="20" spans="2:18" x14ac:dyDescent="0.3">
      <c r="B20" s="198">
        <v>44837</v>
      </c>
      <c r="C20" s="199">
        <v>1</v>
      </c>
      <c r="D20" s="200">
        <v>4</v>
      </c>
      <c r="E20" s="201">
        <v>51280</v>
      </c>
      <c r="F20" s="202">
        <v>30713628804</v>
      </c>
      <c r="G20" s="172" t="str">
        <f>IFERROR(IF(compras_mes11[[#This Row],[CUIT]]="","-",VLOOKUP(compras_mes11[[#This Row],[CUIT]],Lista_CUIT[#All],2,0)),"CUIT NO CARGADO")</f>
        <v>GNC AU VILLA MARIA SRL</v>
      </c>
      <c r="H20" s="204">
        <v>6831.82</v>
      </c>
      <c r="I20" s="166">
        <f>IF(compras_mes11[[#This Row],[NETO GRAVADO]]="","",compras_mes11[[#This Row],[NETO GRAVADO]]*0.21)</f>
        <v>1434.6822</v>
      </c>
      <c r="J20" s="166"/>
      <c r="K20" s="166"/>
      <c r="L20" s="166"/>
      <c r="M20" s="166"/>
      <c r="N20" s="166"/>
      <c r="O20" s="166">
        <v>1534.18</v>
      </c>
      <c r="P20" s="173">
        <f>SUM(compras_mes11[[#This Row],[NETO GRAVADO]:[Otros / No Grav.]])</f>
        <v>9800.6821999999993</v>
      </c>
      <c r="Q20" s="174" t="str">
        <f>IFERROR(IF(compras_mes11[[#This Row],[CUIT]]="","-",VLOOKUP(compras_mes11[[#This Row],[CUIT]],Lista_CUIT[#All],3,0)),"CUIT NO CARGADO")</f>
        <v>Combustible</v>
      </c>
      <c r="R20" s="174">
        <f>IFERROR(IF(compras_mes11[[#This Row],[CUIT]]="","-",VLOOKUP(compras_mes11[[#This Row],[CUIT]],Lista_CUIT[#All],4,0)),"CUIT NO CARGADO")</f>
        <v>0</v>
      </c>
    </row>
    <row r="21" spans="2:18" x14ac:dyDescent="0.3">
      <c r="B21" s="198">
        <v>44841</v>
      </c>
      <c r="C21" s="199">
        <v>1</v>
      </c>
      <c r="D21" s="200">
        <v>25</v>
      </c>
      <c r="E21" s="201">
        <v>3608</v>
      </c>
      <c r="F21" s="202">
        <v>30695243673</v>
      </c>
      <c r="G21" s="172" t="str">
        <f>IFERROR(IF(compras_mes11[[#This Row],[CUIT]]="","-",VLOOKUP(compras_mes11[[#This Row],[CUIT]],Lista_CUIT[#All],2,0)),"CUIT NO CARGADO")</f>
        <v>YAPAY SRL</v>
      </c>
      <c r="H21" s="204">
        <v>587.17999999999995</v>
      </c>
      <c r="I21" s="166">
        <f>IF(compras_mes11[[#This Row],[NETO GRAVADO]]="","",compras_mes11[[#This Row],[NETO GRAVADO]]*0.21)</f>
        <v>123.30779999999999</v>
      </c>
      <c r="J21" s="166"/>
      <c r="K21" s="166"/>
      <c r="L21" s="166"/>
      <c r="M21" s="166"/>
      <c r="N21" s="166"/>
      <c r="O21" s="166">
        <v>124.74</v>
      </c>
      <c r="P21" s="173">
        <f>SUM(compras_mes11[[#This Row],[NETO GRAVADO]:[Otros / No Grav.]])</f>
        <v>835.22779999999989</v>
      </c>
      <c r="Q21" s="174" t="str">
        <f>IFERROR(IF(compras_mes11[[#This Row],[CUIT]]="","-",VLOOKUP(compras_mes11[[#This Row],[CUIT]],Lista_CUIT[#All],3,0)),"CUIT NO CARGADO")</f>
        <v>Combustible</v>
      </c>
      <c r="R21" s="174">
        <f>IFERROR(IF(compras_mes11[[#This Row],[CUIT]]="","-",VLOOKUP(compras_mes11[[#This Row],[CUIT]],Lista_CUIT[#All],4,0)),"CUIT NO CARGADO")</f>
        <v>0</v>
      </c>
    </row>
    <row r="22" spans="2:18" ht="14.4" customHeight="1" x14ac:dyDescent="0.3">
      <c r="B22" s="198">
        <v>44841</v>
      </c>
      <c r="C22" s="199">
        <v>1</v>
      </c>
      <c r="D22" s="200">
        <v>25</v>
      </c>
      <c r="E22" s="201">
        <v>3609</v>
      </c>
      <c r="F22" s="202">
        <v>30695243673</v>
      </c>
      <c r="G22" s="172" t="str">
        <f>IFERROR(IF(compras_mes11[[#This Row],[CUIT]]="","-",VLOOKUP(compras_mes11[[#This Row],[CUIT]],Lista_CUIT[#All],2,0)),"CUIT NO CARGADO")</f>
        <v>YAPAY SRL</v>
      </c>
      <c r="H22" s="204">
        <v>3559.79</v>
      </c>
      <c r="I22" s="166">
        <f>IF(compras_mes11[[#This Row],[NETO GRAVADO]]="","",compras_mes11[[#This Row],[NETO GRAVADO]]*0.21)</f>
        <v>747.55589999999995</v>
      </c>
      <c r="J22" s="166"/>
      <c r="K22" s="166"/>
      <c r="L22" s="166"/>
      <c r="M22" s="166"/>
      <c r="N22" s="166"/>
      <c r="O22" s="166">
        <v>756.24</v>
      </c>
      <c r="P22" s="173">
        <f>SUM(compras_mes11[[#This Row],[NETO GRAVADO]:[Otros / No Grav.]])</f>
        <v>5063.5859</v>
      </c>
      <c r="Q22" s="174" t="str">
        <f>IFERROR(IF(compras_mes11[[#This Row],[CUIT]]="","-",VLOOKUP(compras_mes11[[#This Row],[CUIT]],Lista_CUIT[#All],3,0)),"CUIT NO CARGADO")</f>
        <v>Combustible</v>
      </c>
      <c r="R22" s="174">
        <f>IFERROR(IF(compras_mes11[[#This Row],[CUIT]]="","-",VLOOKUP(compras_mes11[[#This Row],[CUIT]],Lista_CUIT[#All],4,0)),"CUIT NO CARGADO")</f>
        <v>0</v>
      </c>
    </row>
    <row r="23" spans="2:18" ht="15" customHeight="1" x14ac:dyDescent="0.3">
      <c r="B23" s="181">
        <v>44842</v>
      </c>
      <c r="C23" s="37">
        <v>1</v>
      </c>
      <c r="D23" s="183">
        <v>6860</v>
      </c>
      <c r="E23" s="184">
        <v>14251</v>
      </c>
      <c r="F23" s="185">
        <v>30678774495</v>
      </c>
      <c r="G23" s="186" t="str">
        <f>IFERROR(IF(compras_mes11[[#This Row],[CUIT]]="","-",VLOOKUP(compras_mes11[[#This Row],[CUIT]],Lista_CUIT[#All],2,0)),"CUIT NO CARGADO")</f>
        <v>OPER. DE EST. DE SERV. SA</v>
      </c>
      <c r="H23" s="190">
        <v>4692.41</v>
      </c>
      <c r="I23" s="187">
        <f>IF(compras_mes11[[#This Row],[NETO GRAVADO]]="","",compras_mes11[[#This Row],[NETO GRAVADO]]*0.21)</f>
        <v>985.40609999999992</v>
      </c>
      <c r="J23" s="187"/>
      <c r="K23" s="187"/>
      <c r="L23" s="187"/>
      <c r="M23" s="187"/>
      <c r="N23" s="187"/>
      <c r="O23" s="187">
        <v>1122.19</v>
      </c>
      <c r="P23" s="188">
        <f>SUM(compras_mes11[[#This Row],[NETO GRAVADO]:[Otros / No Grav.]])</f>
        <v>6800.0061000000005</v>
      </c>
      <c r="Q23" s="189" t="str">
        <f>IFERROR(IF(compras_mes11[[#This Row],[CUIT]]="","-",VLOOKUP(compras_mes11[[#This Row],[CUIT]],Lista_CUIT[#All],3,0)),"CUIT NO CARGADO")</f>
        <v>Combustible</v>
      </c>
      <c r="R23" s="189">
        <f>IFERROR(IF(compras_mes11[[#This Row],[CUIT]]="","-",VLOOKUP(compras_mes11[[#This Row],[CUIT]],Lista_CUIT[#All],4,0)),"CUIT NO CARGADO")</f>
        <v>0</v>
      </c>
    </row>
    <row r="24" spans="2:18" ht="15" customHeight="1" x14ac:dyDescent="0.3">
      <c r="B24" s="198">
        <v>44845</v>
      </c>
      <c r="C24" s="199">
        <v>1</v>
      </c>
      <c r="D24" s="200">
        <v>12</v>
      </c>
      <c r="E24" s="201">
        <v>10255</v>
      </c>
      <c r="F24" s="202">
        <v>30696131003</v>
      </c>
      <c r="G24" s="172" t="str">
        <f>IFERROR(IF(compras_mes11[[#This Row],[CUIT]]="","-",VLOOKUP(compras_mes11[[#This Row],[CUIT]],Lista_CUIT[#All],2,0)),"CUIT NO CARGADO")</f>
        <v>PETROLFE  S.A.</v>
      </c>
      <c r="H24" s="204">
        <v>24484.98</v>
      </c>
      <c r="I24" s="166">
        <f>IF(compras_mes11[[#This Row],[NETO GRAVADO]]="","",compras_mes11[[#This Row],[NETO GRAVADO]]*0.21)</f>
        <v>5141.8458000000001</v>
      </c>
      <c r="J24" s="166"/>
      <c r="K24" s="166"/>
      <c r="L24" s="166"/>
      <c r="M24" s="166"/>
      <c r="N24" s="166"/>
      <c r="O24" s="166">
        <v>6297.78</v>
      </c>
      <c r="P24" s="173">
        <f>SUM(compras_mes11[[#This Row],[NETO GRAVADO]:[Otros / No Grav.]])</f>
        <v>35924.605799999998</v>
      </c>
      <c r="Q24" s="174" t="str">
        <f>IFERROR(IF(compras_mes11[[#This Row],[CUIT]]="","-",VLOOKUP(compras_mes11[[#This Row],[CUIT]],Lista_CUIT[#All],3,0)),"CUIT NO CARGADO")</f>
        <v>Combustible</v>
      </c>
      <c r="R24" s="174">
        <f>IFERROR(IF(compras_mes11[[#This Row],[CUIT]]="","-",VLOOKUP(compras_mes11[[#This Row],[CUIT]],Lista_CUIT[#All],4,0)),"CUIT NO CARGADO")</f>
        <v>0</v>
      </c>
    </row>
    <row r="25" spans="2:18" ht="15" customHeight="1" x14ac:dyDescent="0.3">
      <c r="B25" s="198">
        <v>44846</v>
      </c>
      <c r="C25" s="199">
        <v>1</v>
      </c>
      <c r="D25" s="200">
        <v>20</v>
      </c>
      <c r="E25" s="201">
        <v>5357</v>
      </c>
      <c r="F25" s="202">
        <v>30515800219</v>
      </c>
      <c r="G25" s="172" t="str">
        <f>IFERROR(IF(compras_mes11[[#This Row],[CUIT]]="","-",VLOOKUP(compras_mes11[[#This Row],[CUIT]],Lista_CUIT[#All],2,0)),"CUIT NO CARGADO")</f>
        <v>INCAT SRL</v>
      </c>
      <c r="H25" s="204">
        <v>443.73</v>
      </c>
      <c r="I25" s="166">
        <f>IF(compras_mes11[[#This Row],[NETO GRAVADO]]="","",compras_mes11[[#This Row],[NETO GRAVADO]]*0.21)</f>
        <v>93.183300000000003</v>
      </c>
      <c r="J25" s="166"/>
      <c r="K25" s="166"/>
      <c r="L25" s="166"/>
      <c r="M25" s="166"/>
      <c r="N25" s="166"/>
      <c r="O25" s="166">
        <v>10.09</v>
      </c>
      <c r="P25" s="173">
        <f>SUM(compras_mes11[[#This Row],[NETO GRAVADO]:[Otros / No Grav.]])</f>
        <v>547.00330000000008</v>
      </c>
      <c r="Q25" s="174" t="str">
        <f>IFERROR(IF(compras_mes11[[#This Row],[CUIT]]="","-",VLOOKUP(compras_mes11[[#This Row],[CUIT]],Lista_CUIT[#All],3,0)),"CUIT NO CARGADO")</f>
        <v>Combustible</v>
      </c>
      <c r="R25" s="174">
        <f>IFERROR(IF(compras_mes11[[#This Row],[CUIT]]="","-",VLOOKUP(compras_mes11[[#This Row],[CUIT]],Lista_CUIT[#All],4,0)),"CUIT NO CARGADO")</f>
        <v>0</v>
      </c>
    </row>
    <row r="26" spans="2:18" ht="15" customHeight="1" x14ac:dyDescent="0.3">
      <c r="B26" s="181">
        <v>44846</v>
      </c>
      <c r="C26" s="37">
        <v>1</v>
      </c>
      <c r="D26" s="183">
        <v>6850</v>
      </c>
      <c r="E26" s="184">
        <v>9982</v>
      </c>
      <c r="F26" s="185">
        <v>30678774495</v>
      </c>
      <c r="G26" s="186" t="str">
        <f>IFERROR(IF(compras_mes11[[#This Row],[CUIT]]="","-",VLOOKUP(compras_mes11[[#This Row],[CUIT]],Lista_CUIT[#All],2,0)),"CUIT NO CARGADO")</f>
        <v>OPER. DE EST. DE SERV. SA</v>
      </c>
      <c r="H26" s="190">
        <v>3533.34</v>
      </c>
      <c r="I26" s="187">
        <f>IF(compras_mes11[[#This Row],[NETO GRAVADO]]="","",compras_mes11[[#This Row],[NETO GRAVADO]]*0.21)</f>
        <v>742.00139999999999</v>
      </c>
      <c r="J26" s="187"/>
      <c r="K26" s="187"/>
      <c r="L26" s="187"/>
      <c r="M26" s="187"/>
      <c r="N26" s="187"/>
      <c r="O26" s="203">
        <v>886.36</v>
      </c>
      <c r="P26" s="188">
        <f>SUM(compras_mes11[[#This Row],[NETO GRAVADO]:[Otros / No Grav.]])</f>
        <v>5161.7013999999999</v>
      </c>
      <c r="Q26" s="189" t="str">
        <f>IFERROR(IF(compras_mes11[[#This Row],[CUIT]]="","-",VLOOKUP(compras_mes11[[#This Row],[CUIT]],Lista_CUIT[#All],3,0)),"CUIT NO CARGADO")</f>
        <v>Combustible</v>
      </c>
      <c r="R26" s="189">
        <f>IFERROR(IF(compras_mes11[[#This Row],[CUIT]]="","-",VLOOKUP(compras_mes11[[#This Row],[CUIT]],Lista_CUIT[#All],4,0)),"CUIT NO CARGADO")</f>
        <v>0</v>
      </c>
    </row>
    <row r="27" spans="2:18" ht="15" customHeight="1" x14ac:dyDescent="0.3">
      <c r="B27" s="198">
        <v>44849</v>
      </c>
      <c r="C27" s="199">
        <v>1</v>
      </c>
      <c r="D27" s="200">
        <v>12</v>
      </c>
      <c r="E27" s="201">
        <v>10635</v>
      </c>
      <c r="F27" s="202">
        <v>30696131003</v>
      </c>
      <c r="G27" s="172" t="str">
        <f>IFERROR(IF(compras_mes11[[#This Row],[CUIT]]="","-",VLOOKUP(compras_mes11[[#This Row],[CUIT]],Lista_CUIT[#All],2,0)),"CUIT NO CARGADO")</f>
        <v>PETROLFE  S.A.</v>
      </c>
      <c r="H27" s="204">
        <v>13595.24</v>
      </c>
      <c r="I27" s="166">
        <v>2855</v>
      </c>
      <c r="J27" s="166"/>
      <c r="K27" s="166"/>
      <c r="L27" s="166"/>
      <c r="M27" s="166"/>
      <c r="N27" s="166"/>
      <c r="O27" s="166">
        <v>3476.72</v>
      </c>
      <c r="P27" s="173">
        <f>SUM(compras_mes11[[#This Row],[NETO GRAVADO]:[Otros / No Grav.]])</f>
        <v>19926.96</v>
      </c>
      <c r="Q27" s="174" t="str">
        <f>IFERROR(IF(compras_mes11[[#This Row],[CUIT]]="","-",VLOOKUP(compras_mes11[[#This Row],[CUIT]],Lista_CUIT[#All],3,0)),"CUIT NO CARGADO")</f>
        <v>Combustible</v>
      </c>
      <c r="R27" s="174">
        <f>IFERROR(IF(compras_mes11[[#This Row],[CUIT]]="","-",VLOOKUP(compras_mes11[[#This Row],[CUIT]],Lista_CUIT[#All],4,0)),"CUIT NO CARGADO")</f>
        <v>0</v>
      </c>
    </row>
    <row r="28" spans="2:18" x14ac:dyDescent="0.3">
      <c r="B28" s="198">
        <v>44852</v>
      </c>
      <c r="C28" s="199">
        <v>1</v>
      </c>
      <c r="D28" s="200">
        <v>20</v>
      </c>
      <c r="E28" s="201">
        <v>5439</v>
      </c>
      <c r="F28" s="202">
        <v>30515800219</v>
      </c>
      <c r="G28" s="172" t="str">
        <f>IFERROR(IF(compras_mes11[[#This Row],[CUIT]]="","-",VLOOKUP(compras_mes11[[#This Row],[CUIT]],Lista_CUIT[#All],2,0)),"CUIT NO CARGADO")</f>
        <v>INCAT SRL</v>
      </c>
      <c r="H28" s="204">
        <v>616.51</v>
      </c>
      <c r="I28" s="166">
        <f>IF(compras_mes11[[#This Row],[NETO GRAVADO]]="","",compras_mes11[[#This Row],[NETO GRAVADO]]*0.21)</f>
        <v>129.46709999999999</v>
      </c>
      <c r="J28" s="166"/>
      <c r="K28" s="166"/>
      <c r="L28" s="166"/>
      <c r="M28" s="166"/>
      <c r="N28" s="166"/>
      <c r="O28" s="166">
        <v>14.02</v>
      </c>
      <c r="P28" s="173">
        <f>SUM(compras_mes11[[#This Row],[NETO GRAVADO]:[Otros / No Grav.]])</f>
        <v>759.99709999999993</v>
      </c>
      <c r="Q28" s="174" t="str">
        <f>IFERROR(IF(compras_mes11[[#This Row],[CUIT]]="","-",VLOOKUP(compras_mes11[[#This Row],[CUIT]],Lista_CUIT[#All],3,0)),"CUIT NO CARGADO")</f>
        <v>Combustible</v>
      </c>
      <c r="R28" s="174">
        <f>IFERROR(IF(compras_mes11[[#This Row],[CUIT]]="","-",VLOOKUP(compras_mes11[[#This Row],[CUIT]],Lista_CUIT[#All],4,0)),"CUIT NO CARGADO")</f>
        <v>0</v>
      </c>
    </row>
    <row r="29" spans="2:18" x14ac:dyDescent="0.3">
      <c r="B29" s="181">
        <v>44853</v>
      </c>
      <c r="C29" s="37">
        <v>1</v>
      </c>
      <c r="D29" s="183">
        <v>6866</v>
      </c>
      <c r="E29" s="184">
        <v>4150</v>
      </c>
      <c r="F29" s="185">
        <v>30678774495</v>
      </c>
      <c r="G29" s="186" t="str">
        <f>IFERROR(IF(compras_mes11[[#This Row],[CUIT]]="","-",VLOOKUP(compras_mes11[[#This Row],[CUIT]],Lista_CUIT[#All],2,0)),"CUIT NO CARGADO")</f>
        <v>OPER. DE EST. DE SERV. SA</v>
      </c>
      <c r="H29" s="190">
        <v>397.1</v>
      </c>
      <c r="I29" s="187">
        <f>IF(compras_mes11[[#This Row],[NETO GRAVADO]]="","",compras_mes11[[#This Row],[NETO GRAVADO]]*0.21)</f>
        <v>83.391000000000005</v>
      </c>
      <c r="J29" s="187"/>
      <c r="K29" s="187"/>
      <c r="L29" s="187"/>
      <c r="M29" s="187"/>
      <c r="N29" s="187"/>
      <c r="O29" s="203">
        <v>1.01</v>
      </c>
      <c r="P29" s="188">
        <f>SUM(compras_mes11[[#This Row],[NETO GRAVADO]:[Otros / No Grav.]])</f>
        <v>481.50100000000003</v>
      </c>
      <c r="Q29" s="189" t="str">
        <f>IFERROR(IF(compras_mes11[[#This Row],[CUIT]]="","-",VLOOKUP(compras_mes11[[#This Row],[CUIT]],Lista_CUIT[#All],3,0)),"CUIT NO CARGADO")</f>
        <v>Combustible</v>
      </c>
      <c r="R29" s="189">
        <f>IFERROR(IF(compras_mes11[[#This Row],[CUIT]]="","-",VLOOKUP(compras_mes11[[#This Row],[CUIT]],Lista_CUIT[#All],4,0)),"CUIT NO CARGADO")</f>
        <v>0</v>
      </c>
    </row>
    <row r="30" spans="2:18" x14ac:dyDescent="0.3">
      <c r="B30" s="198">
        <v>44853</v>
      </c>
      <c r="C30" s="199">
        <v>1</v>
      </c>
      <c r="D30" s="200">
        <v>23</v>
      </c>
      <c r="E30" s="201">
        <v>4992</v>
      </c>
      <c r="F30" s="202">
        <v>30515800219</v>
      </c>
      <c r="G30" s="172" t="str">
        <f>IFERROR(IF(compras_mes11[[#This Row],[CUIT]]="","-",VLOOKUP(compras_mes11[[#This Row],[CUIT]],Lista_CUIT[#All],2,0)),"CUIT NO CARGADO")</f>
        <v>INCAT SRL</v>
      </c>
      <c r="H30" s="204">
        <v>4221.88</v>
      </c>
      <c r="I30" s="166">
        <f>IF(compras_mes11[[#This Row],[NETO GRAVADO]]="","",compras_mes11[[#This Row],[NETO GRAVADO]]*0.21)</f>
        <v>886.59479999999996</v>
      </c>
      <c r="J30" s="166"/>
      <c r="K30" s="166"/>
      <c r="L30" s="166"/>
      <c r="M30" s="166"/>
      <c r="N30" s="166"/>
      <c r="O30" s="166">
        <v>1092.1500000000001</v>
      </c>
      <c r="P30" s="173">
        <f>SUM(compras_mes11[[#This Row],[NETO GRAVADO]:[Otros / No Grav.]])</f>
        <v>6200.6247999999996</v>
      </c>
      <c r="Q30" s="174" t="str">
        <f>IFERROR(IF(compras_mes11[[#This Row],[CUIT]]="","-",VLOOKUP(compras_mes11[[#This Row],[CUIT]],Lista_CUIT[#All],3,0)),"CUIT NO CARGADO")</f>
        <v>Combustible</v>
      </c>
      <c r="R30" s="174">
        <f>IFERROR(IF(compras_mes11[[#This Row],[CUIT]]="","-",VLOOKUP(compras_mes11[[#This Row],[CUIT]],Lista_CUIT[#All],4,0)),"CUIT NO CARGADO")</f>
        <v>0</v>
      </c>
    </row>
    <row r="31" spans="2:18" x14ac:dyDescent="0.3">
      <c r="B31" s="198">
        <v>44853</v>
      </c>
      <c r="C31" s="199">
        <v>1</v>
      </c>
      <c r="D31" s="200">
        <v>20</v>
      </c>
      <c r="E31" s="201">
        <v>5459</v>
      </c>
      <c r="F31" s="202">
        <v>30515800219</v>
      </c>
      <c r="G31" s="172" t="str">
        <f>IFERROR(IF(compras_mes11[[#This Row],[CUIT]]="","-",VLOOKUP(compras_mes11[[#This Row],[CUIT]],Lista_CUIT[#All],2,0)),"CUIT NO CARGADO")</f>
        <v>INCAT SRL</v>
      </c>
      <c r="H31" s="204">
        <v>413.71</v>
      </c>
      <c r="I31" s="166">
        <f>IF(compras_mes11[[#This Row],[NETO GRAVADO]]="","",compras_mes11[[#This Row],[NETO GRAVADO]]*0.21)</f>
        <v>86.879099999999994</v>
      </c>
      <c r="J31" s="166"/>
      <c r="K31" s="166"/>
      <c r="L31" s="166"/>
      <c r="M31" s="166"/>
      <c r="N31" s="166"/>
      <c r="O31" s="166">
        <v>9.41</v>
      </c>
      <c r="P31" s="173">
        <f>SUM(compras_mes11[[#This Row],[NETO GRAVADO]:[Otros / No Grav.]])</f>
        <v>509.9991</v>
      </c>
      <c r="Q31" s="174" t="str">
        <f>IFERROR(IF(compras_mes11[[#This Row],[CUIT]]="","-",VLOOKUP(compras_mes11[[#This Row],[CUIT]],Lista_CUIT[#All],3,0)),"CUIT NO CARGADO")</f>
        <v>Combustible</v>
      </c>
      <c r="R31" s="174">
        <f>IFERROR(IF(compras_mes11[[#This Row],[CUIT]]="","-",VLOOKUP(compras_mes11[[#This Row],[CUIT]],Lista_CUIT[#All],4,0)),"CUIT NO CARGADO")</f>
        <v>0</v>
      </c>
    </row>
    <row r="32" spans="2:18" x14ac:dyDescent="0.3">
      <c r="B32" s="198">
        <v>44853</v>
      </c>
      <c r="C32" s="199">
        <v>1</v>
      </c>
      <c r="D32" s="200">
        <v>20</v>
      </c>
      <c r="E32" s="201">
        <v>5461</v>
      </c>
      <c r="F32" s="202">
        <v>30515800219</v>
      </c>
      <c r="G32" s="172" t="str">
        <f>IFERROR(IF(compras_mes11[[#This Row],[CUIT]]="","-",VLOOKUP(compras_mes11[[#This Row],[CUIT]],Lista_CUIT[#All],2,0)),"CUIT NO CARGADO")</f>
        <v>INCAT SRL</v>
      </c>
      <c r="H32" s="204">
        <v>194.69</v>
      </c>
      <c r="I32" s="166">
        <f>IF(compras_mes11[[#This Row],[NETO GRAVADO]]="","",compras_mes11[[#This Row],[NETO GRAVADO]]*0.21)</f>
        <v>40.884899999999995</v>
      </c>
      <c r="J32" s="166"/>
      <c r="K32" s="166"/>
      <c r="L32" s="166"/>
      <c r="M32" s="166"/>
      <c r="N32" s="166"/>
      <c r="O32" s="166">
        <v>4.43</v>
      </c>
      <c r="P32" s="173">
        <f>SUM(compras_mes11[[#This Row],[NETO GRAVADO]:[Otros / No Grav.]])</f>
        <v>240.00489999999999</v>
      </c>
      <c r="Q32" s="174" t="str">
        <f>IFERROR(IF(compras_mes11[[#This Row],[CUIT]]="","-",VLOOKUP(compras_mes11[[#This Row],[CUIT]],Lista_CUIT[#All],3,0)),"CUIT NO CARGADO")</f>
        <v>Combustible</v>
      </c>
      <c r="R32" s="174">
        <f>IFERROR(IF(compras_mes11[[#This Row],[CUIT]]="","-",VLOOKUP(compras_mes11[[#This Row],[CUIT]],Lista_CUIT[#All],4,0)),"CUIT NO CARGADO")</f>
        <v>0</v>
      </c>
    </row>
    <row r="33" spans="2:18" x14ac:dyDescent="0.3">
      <c r="B33" s="198">
        <v>44854</v>
      </c>
      <c r="C33" s="199">
        <v>1</v>
      </c>
      <c r="D33" s="200">
        <v>20</v>
      </c>
      <c r="E33" s="201">
        <v>5484</v>
      </c>
      <c r="F33" s="202">
        <v>30515800219</v>
      </c>
      <c r="G33" s="172" t="str">
        <f>IFERROR(IF(compras_mes11[[#This Row],[CUIT]]="","-",VLOOKUP(compras_mes11[[#This Row],[CUIT]],Lista_CUIT[#All],2,0)),"CUIT NO CARGADO")</f>
        <v>INCAT SRL</v>
      </c>
      <c r="H33" s="204">
        <v>377.21</v>
      </c>
      <c r="I33" s="166">
        <v>79.209999999999994</v>
      </c>
      <c r="J33" s="166"/>
      <c r="K33" s="166"/>
      <c r="L33" s="166"/>
      <c r="M33" s="166"/>
      <c r="N33" s="166"/>
      <c r="O33" s="166">
        <v>8.58</v>
      </c>
      <c r="P33" s="173">
        <f>SUM(compras_mes11[[#This Row],[NETO GRAVADO]:[Otros / No Grav.]])</f>
        <v>464.99999999999994</v>
      </c>
      <c r="Q33" s="45" t="str">
        <f>IFERROR(IF(compras_mes11[[#This Row],[CUIT]]="","-",VLOOKUP(compras_mes11[[#This Row],[CUIT]],Lista_CUIT[#All],3,0)),"CUIT NO CARGADO")</f>
        <v>Combustible</v>
      </c>
      <c r="R33" s="45">
        <f>IFERROR(IF(compras_mes11[[#This Row],[CUIT]]="","-",VLOOKUP(compras_mes11[[#This Row],[CUIT]],Lista_CUIT[#All],4,0)),"CUIT NO CARGADO")</f>
        <v>0</v>
      </c>
    </row>
    <row r="34" spans="2:18" s="52" customFormat="1" ht="18.600000000000001" customHeight="1" x14ac:dyDescent="0.3">
      <c r="B34" s="198">
        <v>44855</v>
      </c>
      <c r="C34" s="199">
        <v>1</v>
      </c>
      <c r="D34" s="200">
        <v>20</v>
      </c>
      <c r="E34" s="201">
        <v>5521</v>
      </c>
      <c r="F34" s="202">
        <v>30515800219</v>
      </c>
      <c r="G34" s="172" t="str">
        <f>IFERROR(IF(compras_mes11[[#This Row],[CUIT]]="","-",VLOOKUP(compras_mes11[[#This Row],[CUIT]],Lista_CUIT[#All],2,0)),"CUIT NO CARGADO")</f>
        <v>INCAT SRL</v>
      </c>
      <c r="H34" s="204">
        <v>538.64</v>
      </c>
      <c r="I34" s="166">
        <f>IF(compras_mes11[[#This Row],[NETO GRAVADO]]="","",compras_mes11[[#This Row],[NETO GRAVADO]]*0.21)</f>
        <v>113.11439999999999</v>
      </c>
      <c r="J34" s="166"/>
      <c r="K34" s="166"/>
      <c r="L34" s="166"/>
      <c r="M34" s="166"/>
      <c r="N34" s="166"/>
      <c r="O34" s="166">
        <v>12.25</v>
      </c>
      <c r="P34" s="173">
        <f>SUM(compras_mes11[[#This Row],[NETO GRAVADO]:[Otros / No Grav.]])</f>
        <v>664.00440000000003</v>
      </c>
      <c r="Q34" s="174" t="str">
        <f>IFERROR(IF(compras_mes11[[#This Row],[CUIT]]="","-",VLOOKUP(compras_mes11[[#This Row],[CUIT]],Lista_CUIT[#All],3,0)),"CUIT NO CARGADO")</f>
        <v>Combustible</v>
      </c>
      <c r="R34" s="174">
        <f>IFERROR(IF(compras_mes11[[#This Row],[CUIT]]="","-",VLOOKUP(compras_mes11[[#This Row],[CUIT]],Lista_CUIT[#All],4,0)),"CUIT NO CARGADO")</f>
        <v>0</v>
      </c>
    </row>
    <row r="35" spans="2:18" x14ac:dyDescent="0.3">
      <c r="B35" s="198">
        <v>44856</v>
      </c>
      <c r="C35" s="199">
        <v>1</v>
      </c>
      <c r="D35" s="200">
        <v>12</v>
      </c>
      <c r="E35" s="201">
        <v>11104</v>
      </c>
      <c r="F35" s="202">
        <v>30696131003</v>
      </c>
      <c r="G35" s="172" t="str">
        <f>IFERROR(IF(compras_mes11[[#This Row],[CUIT]]="","-",VLOOKUP(compras_mes11[[#This Row],[CUIT]],Lista_CUIT[#All],2,0)),"CUIT NO CARGADO")</f>
        <v>PETROLFE  S.A.</v>
      </c>
      <c r="H35" s="204">
        <v>14608.94</v>
      </c>
      <c r="I35" s="166">
        <f>IF(compras_mes11[[#This Row],[NETO GRAVADO]]="","",compras_mes11[[#This Row],[NETO GRAVADO]]*0.21)</f>
        <v>3067.8773999999999</v>
      </c>
      <c r="J35" s="166"/>
      <c r="K35" s="166"/>
      <c r="L35" s="166"/>
      <c r="M35" s="166"/>
      <c r="N35" s="166"/>
      <c r="O35" s="166">
        <v>3731.48</v>
      </c>
      <c r="P35" s="173">
        <f>SUM(compras_mes11[[#This Row],[NETO GRAVADO]:[Otros / No Grav.]])</f>
        <v>21408.297399999999</v>
      </c>
      <c r="Q35" s="174" t="str">
        <f>IFERROR(IF(compras_mes11[[#This Row],[CUIT]]="","-",VLOOKUP(compras_mes11[[#This Row],[CUIT]],Lista_CUIT[#All],3,0)),"CUIT NO CARGADO")</f>
        <v>Combustible</v>
      </c>
      <c r="R35" s="174">
        <f>IFERROR(IF(compras_mes11[[#This Row],[CUIT]]="","-",VLOOKUP(compras_mes11[[#This Row],[CUIT]],Lista_CUIT[#All],4,0)),"CUIT NO CARGADO")</f>
        <v>0</v>
      </c>
    </row>
    <row r="36" spans="2:18" x14ac:dyDescent="0.3">
      <c r="B36" s="198">
        <v>44860</v>
      </c>
      <c r="C36" s="199">
        <v>1</v>
      </c>
      <c r="D36" s="200">
        <v>16</v>
      </c>
      <c r="E36" s="201">
        <v>4407</v>
      </c>
      <c r="F36" s="202">
        <v>30707841105</v>
      </c>
      <c r="G36" s="172" t="str">
        <f>IFERROR(IF(compras_mes11[[#This Row],[CUIT]]="","-",VLOOKUP(compras_mes11[[#This Row],[CUIT]],Lista_CUIT[#All],2,0)),"CUIT NO CARGADO")</f>
        <v>PETRO ARG SRL</v>
      </c>
      <c r="H36" s="204">
        <v>3559.36</v>
      </c>
      <c r="I36" s="166">
        <f>IF(compras_mes11[[#This Row],[NETO GRAVADO]]="","",compras_mes11[[#This Row],[NETO GRAVADO]]*0.21)</f>
        <v>747.46559999999999</v>
      </c>
      <c r="J36" s="166"/>
      <c r="K36" s="166"/>
      <c r="L36" s="166"/>
      <c r="M36" s="166"/>
      <c r="N36" s="166"/>
      <c r="O36" s="166">
        <v>892.89</v>
      </c>
      <c r="P36" s="173">
        <f>SUM(compras_mes11[[#This Row],[NETO GRAVADO]:[Otros / No Grav.]])</f>
        <v>5199.7156000000004</v>
      </c>
      <c r="Q36" s="174" t="str">
        <f>IFERROR(IF(compras_mes11[[#This Row],[CUIT]]="","-",VLOOKUP(compras_mes11[[#This Row],[CUIT]],Lista_CUIT[#All],3,0)),"CUIT NO CARGADO")</f>
        <v>Combustible</v>
      </c>
      <c r="R36" s="174">
        <f>IFERROR(IF(compras_mes11[[#This Row],[CUIT]]="","-",VLOOKUP(compras_mes11[[#This Row],[CUIT]],Lista_CUIT[#All],4,0)),"CUIT NO CARGADO")</f>
        <v>0</v>
      </c>
    </row>
    <row r="37" spans="2:18" x14ac:dyDescent="0.3">
      <c r="B37" s="198">
        <v>44863</v>
      </c>
      <c r="C37" s="199">
        <v>1</v>
      </c>
      <c r="D37" s="200">
        <v>12</v>
      </c>
      <c r="E37" s="201">
        <v>11484</v>
      </c>
      <c r="F37" s="202">
        <v>30696131003</v>
      </c>
      <c r="G37" s="172" t="str">
        <f>IFERROR(IF(compras_mes11[[#This Row],[CUIT]]="","-",VLOOKUP(compras_mes11[[#This Row],[CUIT]],Lista_CUIT[#All],2,0)),"CUIT NO CARGADO")</f>
        <v>PETROLFE  S.A.</v>
      </c>
      <c r="H37" s="204">
        <v>24888.3</v>
      </c>
      <c r="I37" s="166">
        <f>IF(compras_mes11[[#This Row],[NETO GRAVADO]]="","",compras_mes11[[#This Row],[NETO GRAVADO]]*0.21)</f>
        <v>5226.5429999999997</v>
      </c>
      <c r="J37" s="166"/>
      <c r="K37" s="166"/>
      <c r="L37" s="166"/>
      <c r="M37" s="166"/>
      <c r="N37" s="166">
        <v>0.01</v>
      </c>
      <c r="O37" s="166">
        <v>6368.48</v>
      </c>
      <c r="P37" s="173">
        <f>SUM(compras_mes11[[#This Row],[NETO GRAVADO]:[Otros / No Grav.]])</f>
        <v>36483.332999999999</v>
      </c>
      <c r="Q37" s="174" t="str">
        <f>IFERROR(IF(compras_mes11[[#This Row],[CUIT]]="","-",VLOOKUP(compras_mes11[[#This Row],[CUIT]],Lista_CUIT[#All],3,0)),"CUIT NO CARGADO")</f>
        <v>Combustible</v>
      </c>
      <c r="R37" s="174">
        <f>IFERROR(IF(compras_mes11[[#This Row],[CUIT]]="","-",VLOOKUP(compras_mes11[[#This Row],[CUIT]],Lista_CUIT[#All],4,0)),"CUIT NO CARGADO")</f>
        <v>0</v>
      </c>
    </row>
    <row r="38" spans="2:18" x14ac:dyDescent="0.3">
      <c r="B38" s="198">
        <v>44865</v>
      </c>
      <c r="C38" s="199">
        <v>1</v>
      </c>
      <c r="D38" s="200">
        <v>5141</v>
      </c>
      <c r="E38" s="201">
        <v>4267</v>
      </c>
      <c r="F38" s="202">
        <v>30695542476</v>
      </c>
      <c r="G38" s="186" t="str">
        <f>IFERROR(IF(compras_mes11[[#This Row],[CUIT]]="","-",VLOOKUP(compras_mes11[[#This Row],[CUIT]],Lista_CUIT[#All],2,0)),"CUIT NO CARGADO")</f>
        <v>PAN  AMERICAN  ENERGY  SL  S.AR</v>
      </c>
      <c r="H38" s="204">
        <v>2051.89</v>
      </c>
      <c r="I38" s="166">
        <f>IF(compras_mes11[[#This Row],[NETO GRAVADO]]="","",compras_mes11[[#This Row],[NETO GRAVADO]]*0.21)</f>
        <v>430.89689999999996</v>
      </c>
      <c r="J38" s="166"/>
      <c r="K38" s="166"/>
      <c r="L38" s="166"/>
      <c r="M38" s="166"/>
      <c r="N38" s="166"/>
      <c r="O38" s="166">
        <v>528.77</v>
      </c>
      <c r="P38" s="173">
        <f>SUM(compras_mes11[[#This Row],[NETO GRAVADO]:[Otros / No Grav.]])</f>
        <v>3011.5569</v>
      </c>
      <c r="Q38" s="174" t="str">
        <f>IFERROR(IF(compras_mes11[[#This Row],[CUIT]]="","-",VLOOKUP(compras_mes11[[#This Row],[CUIT]],Lista_CUIT[#All],3,0)),"CUIT NO CARGADO")</f>
        <v>Combustible</v>
      </c>
      <c r="R38" s="174">
        <f>IFERROR(IF(compras_mes11[[#This Row],[CUIT]]="","-",VLOOKUP(compras_mes11[[#This Row],[CUIT]],Lista_CUIT[#All],4,0)),"CUIT NO CARGADO")</f>
        <v>0</v>
      </c>
    </row>
    <row r="39" spans="2:18" x14ac:dyDescent="0.3">
      <c r="B39" s="198">
        <v>44865</v>
      </c>
      <c r="C39" s="199">
        <v>1</v>
      </c>
      <c r="D39" s="200">
        <v>23</v>
      </c>
      <c r="E39" s="201">
        <v>5416</v>
      </c>
      <c r="F39" s="202">
        <v>30515800219</v>
      </c>
      <c r="G39" s="172" t="str">
        <f>IFERROR(IF(compras_mes11[[#This Row],[CUIT]]="","-",VLOOKUP(compras_mes11[[#This Row],[CUIT]],Lista_CUIT[#All],2,0)),"CUIT NO CARGADO")</f>
        <v>INCAT SRL</v>
      </c>
      <c r="H39" s="204">
        <v>885.18</v>
      </c>
      <c r="I39" s="166">
        <f>IF(compras_mes11[[#This Row],[NETO GRAVADO]]="","",compras_mes11[[#This Row],[NETO GRAVADO]]*0.21)</f>
        <v>185.88779999999997</v>
      </c>
      <c r="J39" s="166"/>
      <c r="K39" s="166"/>
      <c r="L39" s="166"/>
      <c r="M39" s="166"/>
      <c r="N39" s="166"/>
      <c r="O39" s="166">
        <v>228.98</v>
      </c>
      <c r="P39" s="173">
        <f>SUM(compras_mes11[[#This Row],[NETO GRAVADO]:[Otros / No Grav.]])</f>
        <v>1300.0477999999998</v>
      </c>
      <c r="Q39" s="174" t="str">
        <f>IFERROR(IF(compras_mes11[[#This Row],[CUIT]]="","-",VLOOKUP(compras_mes11[[#This Row],[CUIT]],Lista_CUIT[#All],3,0)),"CUIT NO CARGADO")</f>
        <v>Combustible</v>
      </c>
      <c r="R39" s="174">
        <f>IFERROR(IF(compras_mes11[[#This Row],[CUIT]]="","-",VLOOKUP(compras_mes11[[#This Row],[CUIT]],Lista_CUIT[#All],4,0)),"CUIT NO CARGADO")</f>
        <v>0</v>
      </c>
    </row>
    <row r="40" spans="2:18" x14ac:dyDescent="0.3">
      <c r="B40" s="181">
        <v>44848</v>
      </c>
      <c r="C40" s="37">
        <v>1</v>
      </c>
      <c r="D40" s="183">
        <v>5</v>
      </c>
      <c r="E40" s="184">
        <v>3217</v>
      </c>
      <c r="F40" s="185">
        <v>30714734446</v>
      </c>
      <c r="G40" s="186" t="str">
        <f>IFERROR(IF(compras_mes11[[#This Row],[CUIT]]="","-",VLOOKUP(compras_mes11[[#This Row],[CUIT]],Lista_CUIT[#All],2,0)),"CUIT NO CARGADO")</f>
        <v>GANADERA EL 13 S.R.L</v>
      </c>
      <c r="H40" s="190">
        <v>1870.58</v>
      </c>
      <c r="I40" s="187"/>
      <c r="J40" s="187"/>
      <c r="K40" s="203">
        <v>196.41</v>
      </c>
      <c r="L40" s="187"/>
      <c r="M40" s="187"/>
      <c r="N40" s="187"/>
      <c r="O40" s="187"/>
      <c r="P40" s="188">
        <f>SUM(compras_mes11[[#This Row],[NETO GRAVADO]:[Otros / No Grav.]])</f>
        <v>2066.9899999999998</v>
      </c>
      <c r="Q40" s="189" t="str">
        <f>IFERROR(IF(compras_mes11[[#This Row],[CUIT]]="","-",VLOOKUP(compras_mes11[[#This Row],[CUIT]],Lista_CUIT[#All],3,0)),"CUIT NO CARGADO")</f>
        <v>Comida</v>
      </c>
      <c r="R40" s="189">
        <f>IFERROR(IF(compras_mes11[[#This Row],[CUIT]]="","-",VLOOKUP(compras_mes11[[#This Row],[CUIT]],Lista_CUIT[#All],4,0)),"CUIT NO CARGADO")</f>
        <v>0</v>
      </c>
    </row>
    <row r="41" spans="2:18" x14ac:dyDescent="0.3">
      <c r="B41" s="181">
        <v>44862</v>
      </c>
      <c r="C41" s="37">
        <v>1</v>
      </c>
      <c r="D41" s="183">
        <v>5</v>
      </c>
      <c r="E41" s="184">
        <v>3242</v>
      </c>
      <c r="F41" s="185">
        <v>30714734446</v>
      </c>
      <c r="G41" s="186" t="str">
        <f>IFERROR(IF(compras_mes11[[#This Row],[CUIT]]="","-",VLOOKUP(compras_mes11[[#This Row],[CUIT]],Lista_CUIT[#All],2,0)),"CUIT NO CARGADO")</f>
        <v>GANADERA EL 13 S.R.L</v>
      </c>
      <c r="H41" s="190">
        <v>25445.59</v>
      </c>
      <c r="I41" s="187"/>
      <c r="J41" s="187"/>
      <c r="K41" s="203">
        <v>2671.79</v>
      </c>
      <c r="L41" s="187"/>
      <c r="M41" s="187"/>
      <c r="N41" s="187"/>
      <c r="O41" s="187"/>
      <c r="P41" s="188">
        <f>SUM(compras_mes11[[#This Row],[NETO GRAVADO]:[Otros / No Grav.]])</f>
        <v>28117.38</v>
      </c>
      <c r="Q41" s="189" t="str">
        <f>IFERROR(IF(compras_mes11[[#This Row],[CUIT]]="","-",VLOOKUP(compras_mes11[[#This Row],[CUIT]],Lista_CUIT[#All],3,0)),"CUIT NO CARGADO")</f>
        <v>Comida</v>
      </c>
      <c r="R41" s="189">
        <f>IFERROR(IF(compras_mes11[[#This Row],[CUIT]]="","-",VLOOKUP(compras_mes11[[#This Row],[CUIT]],Lista_CUIT[#All],4,0)),"CUIT NO CARGADO")</f>
        <v>0</v>
      </c>
    </row>
    <row r="42" spans="2:18" x14ac:dyDescent="0.3">
      <c r="B42" s="181">
        <v>44838</v>
      </c>
      <c r="C42" s="37">
        <v>1</v>
      </c>
      <c r="D42" s="183">
        <v>7</v>
      </c>
      <c r="E42" s="184">
        <v>3092</v>
      </c>
      <c r="F42" s="185">
        <v>30715124919</v>
      </c>
      <c r="G42" s="186" t="str">
        <f>IFERROR(IF(compras_mes11[[#This Row],[CUIT]]="","-",VLOOKUP(compras_mes11[[#This Row],[CUIT]],Lista_CUIT[#All],2,0)),"CUIT NO CARGADO")</f>
        <v>CLEAN LAB SRL</v>
      </c>
      <c r="H42" s="190">
        <v>14469.07</v>
      </c>
      <c r="I42" s="187">
        <f>IF(compras_mes11[[#This Row],[NETO GRAVADO]]="","",compras_mes11[[#This Row],[NETO GRAVADO]]*0.21)</f>
        <v>3038.5047</v>
      </c>
      <c r="J42" s="187"/>
      <c r="K42" s="187"/>
      <c r="L42" s="187"/>
      <c r="M42" s="187"/>
      <c r="N42" s="187"/>
      <c r="O42" s="187"/>
      <c r="P42" s="188">
        <f>SUM(compras_mes11[[#This Row],[NETO GRAVADO]:[Otros / No Grav.]])</f>
        <v>17507.574700000001</v>
      </c>
      <c r="Q42" s="189" t="str">
        <f>IFERROR(IF(compras_mes11[[#This Row],[CUIT]]="","-",VLOOKUP(compras_mes11[[#This Row],[CUIT]],Lista_CUIT[#All],3,0)),"CUIT NO CARGADO")</f>
        <v>Comida-Limpieza</v>
      </c>
      <c r="R42" s="189">
        <f>IFERROR(IF(compras_mes11[[#This Row],[CUIT]]="","-",VLOOKUP(compras_mes11[[#This Row],[CUIT]],Lista_CUIT[#All],4,0)),"CUIT NO CARGADO")</f>
        <v>0</v>
      </c>
    </row>
    <row r="43" spans="2:18" ht="18" customHeight="1" x14ac:dyDescent="0.3">
      <c r="B43" s="36">
        <v>44839</v>
      </c>
      <c r="C43" s="37">
        <v>1</v>
      </c>
      <c r="D43" s="38">
        <v>6</v>
      </c>
      <c r="E43" s="39">
        <v>2694</v>
      </c>
      <c r="F43" s="40">
        <v>20134664518</v>
      </c>
      <c r="G43" s="41" t="str">
        <f>IFERROR(IF(compras_mes11[[#This Row],[CUIT]]="","-",VLOOKUP(compras_mes11[[#This Row],[CUIT]],Lista_CUIT[#All],2,0)),"CUIT NO CARGADO")</f>
        <v>HOKAMA SERGIO ENRIQUE</v>
      </c>
      <c r="H43" s="197">
        <v>6270.25</v>
      </c>
      <c r="I43" s="81">
        <f>IF(compras_mes11[[#This Row],[NETO GRAVADO]]="","",compras_mes11[[#This Row],[NETO GRAVADO]]*0.21)</f>
        <v>1316.7525000000001</v>
      </c>
      <c r="J43" s="81"/>
      <c r="K43" s="81"/>
      <c r="L43" s="81"/>
      <c r="M43" s="81"/>
      <c r="N43" s="81"/>
      <c r="O43" s="81"/>
      <c r="P43" s="44">
        <f>SUM(compras_mes11[[#This Row],[NETO GRAVADO]:[Otros / No Grav.]])</f>
        <v>7587.0025000000005</v>
      </c>
      <c r="Q43" s="45" t="str">
        <f>IFERROR(IF(compras_mes11[[#This Row],[CUIT]]="","-",VLOOKUP(compras_mes11[[#This Row],[CUIT]],Lista_CUIT[#All],3,0)),"CUIT NO CARGADO")</f>
        <v>Comida-Limpieza</v>
      </c>
      <c r="R43" s="45">
        <f>IFERROR(IF(compras_mes11[[#This Row],[CUIT]]="","-",VLOOKUP(compras_mes11[[#This Row],[CUIT]],Lista_CUIT[#All],4,0)),"CUIT NO CARGADO")</f>
        <v>0</v>
      </c>
    </row>
    <row r="44" spans="2:18" x14ac:dyDescent="0.3">
      <c r="B44" s="36">
        <v>44841</v>
      </c>
      <c r="C44" s="37">
        <v>1</v>
      </c>
      <c r="D44" s="38">
        <v>1677</v>
      </c>
      <c r="E44" s="39">
        <v>8678</v>
      </c>
      <c r="F44" s="40">
        <v>30589621499</v>
      </c>
      <c r="G44" s="41" t="str">
        <f>IFERROR(IF(compras_mes11[[#This Row],[CUIT]]="","-",VLOOKUP(compras_mes11[[#This Row],[CUIT]],Lista_CUIT[#All],2,0)),"CUIT NO CARGADO")</f>
        <v>MAKRO SA</v>
      </c>
      <c r="H44" s="197">
        <v>12257.27</v>
      </c>
      <c r="I44" s="81">
        <f>IF(compras_mes11[[#This Row],[NETO GRAVADO]]="","",compras_mes11[[#This Row],[NETO GRAVADO]]*0.21)</f>
        <v>2574.0266999999999</v>
      </c>
      <c r="J44" s="81"/>
      <c r="K44" s="81"/>
      <c r="L44" s="81">
        <v>367.72</v>
      </c>
      <c r="M44" s="81"/>
      <c r="N44" s="81">
        <v>735.44</v>
      </c>
      <c r="O44" s="81">
        <v>79.959999999999994</v>
      </c>
      <c r="P44" s="44">
        <f>SUM(compras_mes11[[#This Row],[NETO GRAVADO]:[Otros / No Grav.]])</f>
        <v>16014.4167</v>
      </c>
      <c r="Q44" s="45" t="str">
        <f>IFERROR(IF(compras_mes11[[#This Row],[CUIT]]="","-",VLOOKUP(compras_mes11[[#This Row],[CUIT]],Lista_CUIT[#All],3,0)),"CUIT NO CARGADO")</f>
        <v>Comida-Limpieza</v>
      </c>
      <c r="R44" s="45">
        <f>IFERROR(IF(compras_mes11[[#This Row],[CUIT]]="","-",VLOOKUP(compras_mes11[[#This Row],[CUIT]],Lista_CUIT[#All],4,0)),"CUIT NO CARGADO")</f>
        <v>0</v>
      </c>
    </row>
    <row r="45" spans="2:18" x14ac:dyDescent="0.3">
      <c r="B45" s="198">
        <v>44848</v>
      </c>
      <c r="C45" s="199">
        <v>1</v>
      </c>
      <c r="D45" s="200">
        <v>6</v>
      </c>
      <c r="E45" s="201">
        <v>2724</v>
      </c>
      <c r="F45" s="202">
        <v>20134664518</v>
      </c>
      <c r="G45" s="172" t="str">
        <f>IFERROR(IF(compras_mes11[[#This Row],[CUIT]]="","-",VLOOKUP(compras_mes11[[#This Row],[CUIT]],Lista_CUIT[#All],2,0)),"CUIT NO CARGADO")</f>
        <v>HOKAMA SERGIO ENRIQUE</v>
      </c>
      <c r="H45" s="204">
        <v>3680.99</v>
      </c>
      <c r="I45" s="166">
        <f>IF(compras_mes11[[#This Row],[NETO GRAVADO]]="","",compras_mes11[[#This Row],[NETO GRAVADO]]*0.21)</f>
        <v>773.00789999999995</v>
      </c>
      <c r="J45" s="166"/>
      <c r="K45" s="166"/>
      <c r="L45" s="166"/>
      <c r="M45" s="166"/>
      <c r="N45" s="166"/>
      <c r="O45" s="166"/>
      <c r="P45" s="173">
        <f>SUM(compras_mes11[[#This Row],[NETO GRAVADO]:[Otros / No Grav.]])</f>
        <v>4453.9978999999994</v>
      </c>
      <c r="Q45" s="174" t="str">
        <f>IFERROR(IF(compras_mes11[[#This Row],[CUIT]]="","-",VLOOKUP(compras_mes11[[#This Row],[CUIT]],Lista_CUIT[#All],3,0)),"CUIT NO CARGADO")</f>
        <v>Comida-Limpieza</v>
      </c>
      <c r="R45" s="174">
        <f>IFERROR(IF(compras_mes11[[#This Row],[CUIT]]="","-",VLOOKUP(compras_mes11[[#This Row],[CUIT]],Lista_CUIT[#All],4,0)),"CUIT NO CARGADO")</f>
        <v>0</v>
      </c>
    </row>
    <row r="46" spans="2:18" x14ac:dyDescent="0.3">
      <c r="B46" s="198">
        <v>44852</v>
      </c>
      <c r="C46" s="199">
        <v>1</v>
      </c>
      <c r="D46" s="200">
        <v>6</v>
      </c>
      <c r="E46" s="201">
        <v>2732</v>
      </c>
      <c r="F46" s="202">
        <v>20134664518</v>
      </c>
      <c r="G46" s="172" t="str">
        <f>IFERROR(IF(compras_mes11[[#This Row],[CUIT]]="","-",VLOOKUP(compras_mes11[[#This Row],[CUIT]],Lista_CUIT[#All],2,0)),"CUIT NO CARGADO")</f>
        <v>HOKAMA SERGIO ENRIQUE</v>
      </c>
      <c r="H46" s="204">
        <v>4691.9399999999996</v>
      </c>
      <c r="I46" s="166">
        <f>IF(compras_mes11[[#This Row],[NETO GRAVADO]]="","",compras_mes11[[#This Row],[NETO GRAVADO]]*0.21)</f>
        <v>985.30739999999992</v>
      </c>
      <c r="J46" s="166"/>
      <c r="K46" s="166"/>
      <c r="L46" s="166"/>
      <c r="M46" s="166"/>
      <c r="N46" s="166"/>
      <c r="O46" s="166"/>
      <c r="P46" s="173">
        <f>SUM(compras_mes11[[#This Row],[NETO GRAVADO]:[Otros / No Grav.]])</f>
        <v>5677.2473999999993</v>
      </c>
      <c r="Q46" s="174" t="str">
        <f>IFERROR(IF(compras_mes11[[#This Row],[CUIT]]="","-",VLOOKUP(compras_mes11[[#This Row],[CUIT]],Lista_CUIT[#All],3,0)),"CUIT NO CARGADO")</f>
        <v>Comida-Limpieza</v>
      </c>
      <c r="R46" s="174">
        <f>IFERROR(IF(compras_mes11[[#This Row],[CUIT]]="","-",VLOOKUP(compras_mes11[[#This Row],[CUIT]],Lista_CUIT[#All],4,0)),"CUIT NO CARGADO")</f>
        <v>0</v>
      </c>
    </row>
    <row r="47" spans="2:18" x14ac:dyDescent="0.3">
      <c r="B47" s="181">
        <v>44859</v>
      </c>
      <c r="C47" s="37">
        <v>1</v>
      </c>
      <c r="D47" s="183">
        <v>7</v>
      </c>
      <c r="E47" s="184">
        <v>3485</v>
      </c>
      <c r="F47" s="185">
        <v>30715124919</v>
      </c>
      <c r="G47" s="186" t="str">
        <f>IFERROR(IF(compras_mes11[[#This Row],[CUIT]]="","-",VLOOKUP(compras_mes11[[#This Row],[CUIT]],Lista_CUIT[#All],2,0)),"CUIT NO CARGADO")</f>
        <v>CLEAN LAB SRL</v>
      </c>
      <c r="H47" s="190">
        <v>23625.919999999998</v>
      </c>
      <c r="I47" s="187">
        <f>IF(compras_mes11[[#This Row],[NETO GRAVADO]]="","",compras_mes11[[#This Row],[NETO GRAVADO]]*0.21)</f>
        <v>4961.4431999999997</v>
      </c>
      <c r="J47" s="187"/>
      <c r="K47" s="187"/>
      <c r="L47" s="187"/>
      <c r="M47" s="187"/>
      <c r="N47" s="187"/>
      <c r="O47" s="187"/>
      <c r="P47" s="188">
        <f>SUM(compras_mes11[[#This Row],[NETO GRAVADO]:[Otros / No Grav.]])</f>
        <v>28587.3632</v>
      </c>
      <c r="Q47" s="189" t="str">
        <f>IFERROR(IF(compras_mes11[[#This Row],[CUIT]]="","-",VLOOKUP(compras_mes11[[#This Row],[CUIT]],Lista_CUIT[#All],3,0)),"CUIT NO CARGADO")</f>
        <v>Comida-Limpieza</v>
      </c>
      <c r="R47" s="189">
        <f>IFERROR(IF(compras_mes11[[#This Row],[CUIT]]="","-",VLOOKUP(compras_mes11[[#This Row],[CUIT]],Lista_CUIT[#All],4,0)),"CUIT NO CARGADO")</f>
        <v>0</v>
      </c>
    </row>
    <row r="48" spans="2:18" x14ac:dyDescent="0.3">
      <c r="B48" s="181">
        <v>44859</v>
      </c>
      <c r="C48" s="37">
        <v>1</v>
      </c>
      <c r="D48" s="183">
        <v>7</v>
      </c>
      <c r="E48" s="184">
        <v>3486</v>
      </c>
      <c r="F48" s="185">
        <v>30715124919</v>
      </c>
      <c r="G48" s="186" t="str">
        <f>IFERROR(IF(compras_mes11[[#This Row],[CUIT]]="","-",VLOOKUP(compras_mes11[[#This Row],[CUIT]],Lista_CUIT[#All],2,0)),"CUIT NO CARGADO")</f>
        <v>CLEAN LAB SRL</v>
      </c>
      <c r="H48" s="190">
        <v>11804.61</v>
      </c>
      <c r="I48" s="187">
        <f>IF(compras_mes11[[#This Row],[NETO GRAVADO]]="","",compras_mes11[[#This Row],[NETO GRAVADO]]*0.21)</f>
        <v>2478.9681</v>
      </c>
      <c r="J48" s="187"/>
      <c r="K48" s="187"/>
      <c r="L48" s="187"/>
      <c r="M48" s="187"/>
      <c r="N48" s="187"/>
      <c r="O48" s="187"/>
      <c r="P48" s="188">
        <f>SUM(compras_mes11[[#This Row],[NETO GRAVADO]:[Otros / No Grav.]])</f>
        <v>14283.578100000001</v>
      </c>
      <c r="Q48" s="189" t="str">
        <f>IFERROR(IF(compras_mes11[[#This Row],[CUIT]]="","-",VLOOKUP(compras_mes11[[#This Row],[CUIT]],Lista_CUIT[#All],3,0)),"CUIT NO CARGADO")</f>
        <v>Comida-Limpieza</v>
      </c>
      <c r="R48" s="189">
        <f>IFERROR(IF(compras_mes11[[#This Row],[CUIT]]="","-",VLOOKUP(compras_mes11[[#This Row],[CUIT]],Lista_CUIT[#All],4,0)),"CUIT NO CARGADO")</f>
        <v>0</v>
      </c>
    </row>
    <row r="49" spans="2:18" x14ac:dyDescent="0.3">
      <c r="B49" s="181">
        <v>44865</v>
      </c>
      <c r="C49" s="37">
        <v>1</v>
      </c>
      <c r="D49" s="183">
        <v>1675</v>
      </c>
      <c r="E49" s="184">
        <v>4419</v>
      </c>
      <c r="F49" s="185">
        <v>30589621499</v>
      </c>
      <c r="G49" s="186" t="str">
        <f>IFERROR(IF(compras_mes11[[#This Row],[CUIT]]="","-",VLOOKUP(compras_mes11[[#This Row],[CUIT]],Lista_CUIT[#All],2,0)),"CUIT NO CARGADO")</f>
        <v>MAKRO SA</v>
      </c>
      <c r="H49" s="190">
        <v>18309.419999999998</v>
      </c>
      <c r="I49" s="187">
        <f>IF(compras_mes11[[#This Row],[NETO GRAVADO]]="","",compras_mes11[[#This Row],[NETO GRAVADO]]*0.21)</f>
        <v>3844.9781999999996</v>
      </c>
      <c r="J49" s="187"/>
      <c r="K49" s="187"/>
      <c r="L49" s="187">
        <v>549.28</v>
      </c>
      <c r="M49" s="187"/>
      <c r="N49" s="187">
        <v>1098.57</v>
      </c>
      <c r="O49" s="187">
        <v>30.22</v>
      </c>
      <c r="P49" s="188">
        <f>SUM(compras_mes11[[#This Row],[NETO GRAVADO]:[Otros / No Grav.]])</f>
        <v>23832.468199999996</v>
      </c>
      <c r="Q49" s="189" t="str">
        <f>IFERROR(IF(compras_mes11[[#This Row],[CUIT]]="","-",VLOOKUP(compras_mes11[[#This Row],[CUIT]],Lista_CUIT[#All],3,0)),"CUIT NO CARGADO")</f>
        <v>Comida-Limpieza</v>
      </c>
      <c r="R49" s="189">
        <f>IFERROR(IF(compras_mes11[[#This Row],[CUIT]]="","-",VLOOKUP(compras_mes11[[#This Row],[CUIT]],Lista_CUIT[#All],4,0)),"CUIT NO CARGADO")</f>
        <v>0</v>
      </c>
    </row>
    <row r="50" spans="2:18" x14ac:dyDescent="0.3">
      <c r="B50" s="198">
        <v>44854</v>
      </c>
      <c r="C50" s="37">
        <v>1</v>
      </c>
      <c r="D50" s="183">
        <v>10</v>
      </c>
      <c r="E50" s="184">
        <v>27803</v>
      </c>
      <c r="F50" s="185">
        <v>30681484635</v>
      </c>
      <c r="G50" s="186" t="str">
        <f>IFERROR(IF(compras_mes11[[#This Row],[CUIT]]="","-",VLOOKUP(compras_mes11[[#This Row],[CUIT]],Lista_CUIT[#All],2,0)),"CUIT NO CARGADO")</f>
        <v>IONIC S SOCIEDAD ANONIMA</v>
      </c>
      <c r="H50" s="190">
        <v>24834.9</v>
      </c>
      <c r="I50" s="187">
        <f>IF(compras_mes11[[#This Row],[NETO GRAVADO]]="","",compras_mes11[[#This Row],[NETO GRAVADO]]*0.21)</f>
        <v>5215.3289999999997</v>
      </c>
      <c r="J50" s="187"/>
      <c r="K50" s="187"/>
      <c r="L50" s="187"/>
      <c r="M50" s="187"/>
      <c r="N50" s="187"/>
      <c r="O50" s="187"/>
      <c r="P50" s="188">
        <f>SUM(compras_mes11[[#This Row],[NETO GRAVADO]:[Otros / No Grav.]])</f>
        <v>30050.228999999999</v>
      </c>
      <c r="Q50" s="189" t="str">
        <f>IFERROR(IF(compras_mes11[[#This Row],[CUIT]]="","-",VLOOKUP(compras_mes11[[#This Row],[CUIT]],Lista_CUIT[#All],3,0)),"CUIT NO CARGADO")</f>
        <v>Elaboración</v>
      </c>
      <c r="R50" s="189">
        <f>IFERROR(IF(compras_mes11[[#This Row],[CUIT]]="","-",VLOOKUP(compras_mes11[[#This Row],[CUIT]],Lista_CUIT[#All],4,0)),"CUIT NO CARGADO")</f>
        <v>0</v>
      </c>
    </row>
    <row r="51" spans="2:18" x14ac:dyDescent="0.3">
      <c r="B51" s="181">
        <v>44838</v>
      </c>
      <c r="C51" s="37">
        <v>1</v>
      </c>
      <c r="D51" s="183">
        <v>3034</v>
      </c>
      <c r="E51" s="184">
        <v>2515271</v>
      </c>
      <c r="F51" s="185">
        <v>30708574836</v>
      </c>
      <c r="G51" s="186" t="str">
        <f>IFERROR(IF(compras_mes11[[#This Row],[CUIT]]="","-",VLOOKUP(compras_mes11[[#This Row],[CUIT]],Lista_CUIT[#All],2,0)),"CUIT NO CARGADO")</f>
        <v>CORREO OFICIAL DE LA REPUBLICA ARGENTINA SOCIEDAD ANONIMA</v>
      </c>
      <c r="H51" s="190">
        <v>679.8</v>
      </c>
      <c r="I51" s="187">
        <f>IF(compras_mes11[[#This Row],[NETO GRAVADO]]="","",compras_mes11[[#This Row],[NETO GRAVADO]]*0.21)</f>
        <v>142.75799999999998</v>
      </c>
      <c r="J51" s="187"/>
      <c r="K51" s="187"/>
      <c r="L51" s="187"/>
      <c r="M51" s="187"/>
      <c r="N51" s="187"/>
      <c r="O51" s="187"/>
      <c r="P51" s="188">
        <f>SUM(compras_mes11[[#This Row],[NETO GRAVADO]:[Otros / No Grav.]])</f>
        <v>822.55799999999999</v>
      </c>
      <c r="Q51" s="189" t="str">
        <f>IFERROR(IF(compras_mes11[[#This Row],[CUIT]]="","-",VLOOKUP(compras_mes11[[#This Row],[CUIT]],Lista_CUIT[#All],3,0)),"CUIT NO CARGADO")</f>
        <v>Flete-Logistica</v>
      </c>
      <c r="R51" s="189">
        <f>IFERROR(IF(compras_mes11[[#This Row],[CUIT]]="","-",VLOOKUP(compras_mes11[[#This Row],[CUIT]],Lista_CUIT[#All],4,0)),"CUIT NO CARGADO")</f>
        <v>0</v>
      </c>
    </row>
    <row r="52" spans="2:18" x14ac:dyDescent="0.3">
      <c r="B52" s="181">
        <v>44851</v>
      </c>
      <c r="C52" s="37">
        <v>1</v>
      </c>
      <c r="D52" s="183">
        <v>3034</v>
      </c>
      <c r="E52" s="184">
        <v>2575867</v>
      </c>
      <c r="F52" s="185">
        <v>30708574836</v>
      </c>
      <c r="G52" s="186" t="str">
        <f>IFERROR(IF(compras_mes11[[#This Row],[CUIT]]="","-",VLOOKUP(compras_mes11[[#This Row],[CUIT]],Lista_CUIT[#All],2,0)),"CUIT NO CARGADO")</f>
        <v>CORREO OFICIAL DE LA REPUBLICA ARGENTINA SOCIEDAD ANONIMA</v>
      </c>
      <c r="H52" s="190">
        <v>565.9</v>
      </c>
      <c r="I52" s="187">
        <f>IF(compras_mes11[[#This Row],[NETO GRAVADO]]="","",compras_mes11[[#This Row],[NETO GRAVADO]]*0.21)</f>
        <v>118.83899999999998</v>
      </c>
      <c r="J52" s="187"/>
      <c r="K52" s="187"/>
      <c r="L52" s="187"/>
      <c r="M52" s="187"/>
      <c r="N52" s="187"/>
      <c r="O52" s="187"/>
      <c r="P52" s="188">
        <f>SUM(compras_mes11[[#This Row],[NETO GRAVADO]:[Otros / No Grav.]])</f>
        <v>684.73899999999992</v>
      </c>
      <c r="Q52" s="189" t="str">
        <f>IFERROR(IF(compras_mes11[[#This Row],[CUIT]]="","-",VLOOKUP(compras_mes11[[#This Row],[CUIT]],Lista_CUIT[#All],3,0)),"CUIT NO CARGADO")</f>
        <v>Flete-Logistica</v>
      </c>
      <c r="R52" s="189">
        <f>IFERROR(IF(compras_mes11[[#This Row],[CUIT]]="","-",VLOOKUP(compras_mes11[[#This Row],[CUIT]],Lista_CUIT[#All],4,0)),"CUIT NO CARGADO")</f>
        <v>0</v>
      </c>
    </row>
    <row r="53" spans="2:18" x14ac:dyDescent="0.3">
      <c r="B53" s="198">
        <v>44862</v>
      </c>
      <c r="C53" s="199">
        <v>1</v>
      </c>
      <c r="D53" s="200">
        <v>26</v>
      </c>
      <c r="E53" s="201">
        <v>49220</v>
      </c>
      <c r="F53" s="202">
        <v>30544110035</v>
      </c>
      <c r="G53" s="172" t="str">
        <f>IFERROR(IF(compras_mes11[[#This Row],[CUIT]]="","-",VLOOKUP(compras_mes11[[#This Row],[CUIT]],Lista_CUIT[#All],2,0)),"CUIT NO CARGADO")</f>
        <v>EXPRESO SANTA ROSA S A </v>
      </c>
      <c r="H53" s="204">
        <v>2217.79</v>
      </c>
      <c r="I53" s="166">
        <f>IF(compras_mes11[[#This Row],[NETO GRAVADO]]="","",compras_mes11[[#This Row],[NETO GRAVADO]]*0.21)</f>
        <v>465.73589999999996</v>
      </c>
      <c r="J53" s="166"/>
      <c r="K53" s="166"/>
      <c r="L53" s="166"/>
      <c r="M53" s="166"/>
      <c r="N53" s="166"/>
      <c r="O53" s="166"/>
      <c r="P53" s="173">
        <f>SUM(compras_mes11[[#This Row],[NETO GRAVADO]:[Otros / No Grav.]])</f>
        <v>2683.5259000000001</v>
      </c>
      <c r="Q53" s="174" t="str">
        <f>IFERROR(IF(compras_mes11[[#This Row],[CUIT]]="","-",VLOOKUP(compras_mes11[[#This Row],[CUIT]],Lista_CUIT[#All],3,0)),"CUIT NO CARGADO")</f>
        <v>Flete-Logistica</v>
      </c>
      <c r="R53" s="174">
        <f>IFERROR(IF(compras_mes11[[#This Row],[CUIT]]="","-",VLOOKUP(compras_mes11[[#This Row],[CUIT]],Lista_CUIT[#All],4,0)),"CUIT NO CARGADO")</f>
        <v>0</v>
      </c>
    </row>
    <row r="54" spans="2:18" ht="17.25" customHeight="1" x14ac:dyDescent="0.3">
      <c r="B54" s="181">
        <v>44863</v>
      </c>
      <c r="C54" s="37">
        <v>1</v>
      </c>
      <c r="D54" s="183">
        <v>1</v>
      </c>
      <c r="E54" s="184">
        <v>1439481</v>
      </c>
      <c r="F54" s="185">
        <v>30715686054</v>
      </c>
      <c r="G54" s="186" t="str">
        <f>IFERROR(IF(compras_mes11[[#This Row],[CUIT]]="","-",VLOOKUP(compras_mes11[[#This Row],[CUIT]],Lista_CUIT[#All],2,0)),"CUIT NO CARGADO")</f>
        <v>MELI LOG S.R.L.</v>
      </c>
      <c r="H54" s="190">
        <v>913.22</v>
      </c>
      <c r="I54" s="187">
        <f>IF(compras_mes11[[#This Row],[NETO GRAVADO]]="","",compras_mes11[[#This Row],[NETO GRAVADO]]*0.21)</f>
        <v>191.77619999999999</v>
      </c>
      <c r="J54" s="187"/>
      <c r="K54" s="187"/>
      <c r="L54" s="187"/>
      <c r="M54" s="187"/>
      <c r="N54" s="187"/>
      <c r="O54" s="187"/>
      <c r="P54" s="188">
        <f>SUM(compras_mes11[[#This Row],[NETO GRAVADO]:[Otros / No Grav.]])</f>
        <v>1104.9962</v>
      </c>
      <c r="Q54" s="189" t="str">
        <f>IFERROR(IF(compras_mes11[[#This Row],[CUIT]]="","-",VLOOKUP(compras_mes11[[#This Row],[CUIT]],Lista_CUIT[#All],3,0)),"CUIT NO CARGADO")</f>
        <v>Flete-Logistica</v>
      </c>
      <c r="R54" s="189">
        <f>IFERROR(IF(compras_mes11[[#This Row],[CUIT]]="","-",VLOOKUP(compras_mes11[[#This Row],[CUIT]],Lista_CUIT[#All],4,0)),"CUIT NO CARGADO")</f>
        <v>0</v>
      </c>
    </row>
    <row r="55" spans="2:18" x14ac:dyDescent="0.3">
      <c r="B55" s="181">
        <v>44855</v>
      </c>
      <c r="C55" s="37">
        <v>1</v>
      </c>
      <c r="D55" s="183">
        <v>2</v>
      </c>
      <c r="E55" s="184">
        <v>7655</v>
      </c>
      <c r="F55" s="185">
        <v>30714284963</v>
      </c>
      <c r="G55" s="186" t="str">
        <f>IFERROR(IF(compras_mes11[[#This Row],[CUIT]]="","-",VLOOKUP(compras_mes11[[#This Row],[CUIT]],Lista_CUIT[#All],2,0)),"CUIT NO CARGADO")</f>
        <v>ENGYMAN SRL</v>
      </c>
      <c r="H55" s="190">
        <v>42490</v>
      </c>
      <c r="I55" s="187">
        <f>IF(compras_mes11[[#This Row],[NETO GRAVADO]]="","",compras_mes11[[#This Row],[NETO GRAVADO]]*0.21)</f>
        <v>8922.9</v>
      </c>
      <c r="J55" s="187"/>
      <c r="K55" s="187"/>
      <c r="L55" s="187"/>
      <c r="M55" s="187"/>
      <c r="N55" s="187"/>
      <c r="O55" s="187"/>
      <c r="P55" s="188">
        <f>SUM(compras_mes11[[#This Row],[NETO GRAVADO]:[Otros / No Grav.]])</f>
        <v>51412.9</v>
      </c>
      <c r="Q55" s="189" t="str">
        <f>IFERROR(IF(compras_mes11[[#This Row],[CUIT]]="","-",VLOOKUP(compras_mes11[[#This Row],[CUIT]],Lista_CUIT[#All],3,0)),"CUIT NO CARGADO")</f>
        <v xml:space="preserve">Gastos Mantenimiento </v>
      </c>
      <c r="R55" s="189">
        <f>IFERROR(IF(compras_mes11[[#This Row],[CUIT]]="","-",VLOOKUP(compras_mes11[[#This Row],[CUIT]],Lista_CUIT[#All],4,0)),"CUIT NO CARGADO")</f>
        <v>0</v>
      </c>
    </row>
    <row r="56" spans="2:18" x14ac:dyDescent="0.3">
      <c r="B56" s="181">
        <v>44835</v>
      </c>
      <c r="C56" s="182">
        <v>3</v>
      </c>
      <c r="D56" s="183">
        <v>5</v>
      </c>
      <c r="E56" s="184">
        <v>16</v>
      </c>
      <c r="F56" s="185">
        <v>20367393042</v>
      </c>
      <c r="G56" s="186" t="str">
        <f>IFERROR(IF(compras_mes11[[#This Row],[CUIT]]="","-",VLOOKUP(compras_mes11[[#This Row],[CUIT]],Lista_CUIT[#All],2,0)),"CUIT NO CARGADO")</f>
        <v>RITACCO RODRIGO</v>
      </c>
      <c r="H56" s="196">
        <v>-48743.8</v>
      </c>
      <c r="I56" s="187">
        <f>IF(compras_mes11[[#This Row],[NETO GRAVADO]]="","",compras_mes11[[#This Row],[NETO GRAVADO]]*0.21)</f>
        <v>-10236.198</v>
      </c>
      <c r="J56" s="187"/>
      <c r="K56" s="187"/>
      <c r="L56" s="187"/>
      <c r="M56" s="187"/>
      <c r="N56" s="187"/>
      <c r="O56" s="187"/>
      <c r="P56" s="188">
        <f>SUM(compras_mes11[[#This Row],[NETO GRAVADO]:[Otros / No Grav.]])</f>
        <v>-58979.998000000007</v>
      </c>
      <c r="Q56" s="189" t="str">
        <f>IFERROR(IF(compras_mes11[[#This Row],[CUIT]]="","-",VLOOKUP(compras_mes11[[#This Row],[CUIT]],Lista_CUIT[#All],3,0)),"CUIT NO CARGADO")</f>
        <v>Gastos Varios</v>
      </c>
      <c r="R56" s="189">
        <f>IFERROR(IF(compras_mes11[[#This Row],[CUIT]]="","-",VLOOKUP(compras_mes11[[#This Row],[CUIT]],Lista_CUIT[#All],4,0)),"CUIT NO CARGADO")</f>
        <v>0</v>
      </c>
    </row>
    <row r="57" spans="2:18" x14ac:dyDescent="0.3">
      <c r="B57" s="85">
        <v>44835</v>
      </c>
      <c r="C57" s="37">
        <v>1</v>
      </c>
      <c r="D57" s="87">
        <v>591</v>
      </c>
      <c r="E57" s="88">
        <v>1219</v>
      </c>
      <c r="F57" s="89">
        <v>30590360763</v>
      </c>
      <c r="G57" s="90" t="str">
        <f>IFERROR(IF(compras_mes11[[#This Row],[CUIT]]="","-",VLOOKUP(compras_mes11[[#This Row],[CUIT]],Lista_CUIT[#All],2,0)),"CUIT NO CARGADO")</f>
        <v>CENCOSUD S.A</v>
      </c>
      <c r="H57" s="190">
        <v>1789.26</v>
      </c>
      <c r="I57" s="82">
        <f>IF(compras_mes11[[#This Row],[NETO GRAVADO]]="","",compras_mes11[[#This Row],[NETO GRAVADO]]*0.21)</f>
        <v>375.74459999999999</v>
      </c>
      <c r="J57" s="82"/>
      <c r="K57" s="82"/>
      <c r="L57" s="82"/>
      <c r="M57" s="82"/>
      <c r="N57" s="82"/>
      <c r="O57" s="82"/>
      <c r="P57" s="83">
        <f>SUM(compras_mes11[[#This Row],[NETO GRAVADO]:[Otros / No Grav.]])</f>
        <v>2165.0046000000002</v>
      </c>
      <c r="Q57" s="84" t="str">
        <f>IFERROR(IF(compras_mes11[[#This Row],[CUIT]]="","-",VLOOKUP(compras_mes11[[#This Row],[CUIT]],Lista_CUIT[#All],3,0)),"CUIT NO CARGADO")</f>
        <v>Gastos Varios</v>
      </c>
      <c r="R57" s="84">
        <f>IFERROR(IF(compras_mes11[[#This Row],[CUIT]]="","-",VLOOKUP(compras_mes11[[#This Row],[CUIT]],Lista_CUIT[#All],4,0)),"CUIT NO CARGADO")</f>
        <v>0</v>
      </c>
    </row>
    <row r="58" spans="2:18" x14ac:dyDescent="0.3">
      <c r="B58" s="85">
        <v>44835</v>
      </c>
      <c r="C58" s="37">
        <v>1</v>
      </c>
      <c r="D58" s="87">
        <v>5</v>
      </c>
      <c r="E58" s="88">
        <v>2518</v>
      </c>
      <c r="F58" s="89">
        <v>20367393042</v>
      </c>
      <c r="G58" s="90" t="str">
        <f>IFERROR(IF(compras_mes11[[#This Row],[CUIT]]="","-",VLOOKUP(compras_mes11[[#This Row],[CUIT]],Lista_CUIT[#All],2,0)),"CUIT NO CARGADO")</f>
        <v>RITACCO RODRIGO</v>
      </c>
      <c r="H58" s="190">
        <v>48743.8</v>
      </c>
      <c r="I58" s="82">
        <f>IF(compras_mes11[[#This Row],[NETO GRAVADO]]="","",compras_mes11[[#This Row],[NETO GRAVADO]]*0.21)</f>
        <v>10236.198</v>
      </c>
      <c r="J58" s="82"/>
      <c r="K58" s="82"/>
      <c r="L58" s="82"/>
      <c r="M58" s="82"/>
      <c r="N58" s="82"/>
      <c r="O58" s="82"/>
      <c r="P58" s="83">
        <f>SUM(compras_mes11[[#This Row],[NETO GRAVADO]:[Otros / No Grav.]])</f>
        <v>58979.998000000007</v>
      </c>
      <c r="Q58" s="84" t="str">
        <f>IFERROR(IF(compras_mes11[[#This Row],[CUIT]]="","-",VLOOKUP(compras_mes11[[#This Row],[CUIT]],Lista_CUIT[#All],3,0)),"CUIT NO CARGADO")</f>
        <v>Gastos Varios</v>
      </c>
      <c r="R58" s="84">
        <f>IFERROR(IF(compras_mes11[[#This Row],[CUIT]]="","-",VLOOKUP(compras_mes11[[#This Row],[CUIT]],Lista_CUIT[#All],4,0)),"CUIT NO CARGADO")</f>
        <v>0</v>
      </c>
    </row>
    <row r="59" spans="2:18" x14ac:dyDescent="0.3">
      <c r="B59" s="36">
        <v>44835</v>
      </c>
      <c r="C59" s="37">
        <v>1</v>
      </c>
      <c r="D59" s="38">
        <v>2199</v>
      </c>
      <c r="E59" s="39">
        <v>18199</v>
      </c>
      <c r="F59" s="40">
        <v>30548083156</v>
      </c>
      <c r="G59" s="41" t="str">
        <f>IFERROR(IF(compras_mes11[[#This Row],[CUIT]]="","-",VLOOKUP(compras_mes11[[#This Row],[CUIT]],Lista_CUIT[#All],2,0)),"CUIT NO CARGADO")</f>
        <v>COTO  S.A.</v>
      </c>
      <c r="H59" s="197">
        <v>5509.55</v>
      </c>
      <c r="I59" s="81">
        <v>435.57</v>
      </c>
      <c r="J59" s="81"/>
      <c r="K59" s="81">
        <v>360.72</v>
      </c>
      <c r="L59" s="81">
        <v>62.22</v>
      </c>
      <c r="M59" s="81"/>
      <c r="N59" s="81">
        <v>293.83</v>
      </c>
      <c r="O59" s="81"/>
      <c r="P59" s="44">
        <f>SUM(compras_mes11[[#This Row],[NETO GRAVADO]:[Otros / No Grav.]])</f>
        <v>6661.89</v>
      </c>
      <c r="Q59" s="45" t="str">
        <f>IFERROR(IF(compras_mes11[[#This Row],[CUIT]]="","-",VLOOKUP(compras_mes11[[#This Row],[CUIT]],Lista_CUIT[#All],3,0)),"CUIT NO CARGADO")</f>
        <v>Gastos Varios</v>
      </c>
      <c r="R59" s="45">
        <f>IFERROR(IF(compras_mes11[[#This Row],[CUIT]]="","-",VLOOKUP(compras_mes11[[#This Row],[CUIT]],Lista_CUIT[#All],4,0)),"CUIT NO CARGADO")</f>
        <v>0</v>
      </c>
    </row>
    <row r="60" spans="2:18" x14ac:dyDescent="0.3">
      <c r="B60" s="36">
        <v>44836</v>
      </c>
      <c r="C60" s="37">
        <v>1</v>
      </c>
      <c r="D60" s="38">
        <v>9367</v>
      </c>
      <c r="E60" s="39">
        <v>3477</v>
      </c>
      <c r="F60" s="40">
        <v>30590360763</v>
      </c>
      <c r="G60" s="41" t="str">
        <f>IFERROR(IF(compras_mes11[[#This Row],[CUIT]]="","-",VLOOKUP(compras_mes11[[#This Row],[CUIT]],Lista_CUIT[#All],2,0)),"CUIT NO CARGADO")</f>
        <v>CENCOSUD S.A</v>
      </c>
      <c r="H60" s="190">
        <v>512.4</v>
      </c>
      <c r="I60" s="81">
        <f>IF(compras_mes11[[#This Row],[NETO GRAVADO]]="","",compras_mes11[[#This Row],[NETO GRAVADO]]*0.21)</f>
        <v>107.60399999999998</v>
      </c>
      <c r="J60" s="81"/>
      <c r="K60" s="81"/>
      <c r="L60" s="81"/>
      <c r="M60" s="81"/>
      <c r="N60" s="81"/>
      <c r="O60" s="81"/>
      <c r="P60" s="44">
        <f>SUM(compras_mes11[[#This Row],[NETO GRAVADO]:[Otros / No Grav.]])</f>
        <v>620.00399999999991</v>
      </c>
      <c r="Q60" s="45" t="str">
        <f>IFERROR(IF(compras_mes11[[#This Row],[CUIT]]="","-",VLOOKUP(compras_mes11[[#This Row],[CUIT]],Lista_CUIT[#All],3,0)),"CUIT NO CARGADO")</f>
        <v>Gastos Varios</v>
      </c>
      <c r="R60" s="45">
        <f>IFERROR(IF(compras_mes11[[#This Row],[CUIT]]="","-",VLOOKUP(compras_mes11[[#This Row],[CUIT]],Lista_CUIT[#All],4,0)),"CUIT NO CARGADO")</f>
        <v>0</v>
      </c>
    </row>
    <row r="61" spans="2:18" x14ac:dyDescent="0.3">
      <c r="B61" s="198">
        <v>44837</v>
      </c>
      <c r="C61" s="199">
        <v>1</v>
      </c>
      <c r="D61" s="200">
        <v>1</v>
      </c>
      <c r="E61" s="201">
        <v>16189</v>
      </c>
      <c r="F61" s="202">
        <v>20173025557</v>
      </c>
      <c r="G61" s="172" t="str">
        <f>IFERROR(IF(compras_mes11[[#This Row],[CUIT]]="","-",VLOOKUP(compras_mes11[[#This Row],[CUIT]],Lista_CUIT[#All],2,0)),"CUIT NO CARGADO")</f>
        <v>MARAUDA HECTOR</v>
      </c>
      <c r="H61" s="204">
        <v>661.16</v>
      </c>
      <c r="I61" s="166">
        <f>IF(compras_mes11[[#This Row],[NETO GRAVADO]]="","",compras_mes11[[#This Row],[NETO GRAVADO]]*0.21)</f>
        <v>138.84359999999998</v>
      </c>
      <c r="J61" s="166"/>
      <c r="K61" s="166"/>
      <c r="L61" s="166"/>
      <c r="M61" s="166"/>
      <c r="N61" s="166"/>
      <c r="O61" s="166"/>
      <c r="P61" s="173">
        <f>SUM(compras_mes11[[#This Row],[NETO GRAVADO]:[Otros / No Grav.]])</f>
        <v>800.00360000000001</v>
      </c>
      <c r="Q61" s="174" t="str">
        <f>IFERROR(IF(compras_mes11[[#This Row],[CUIT]]="","-",VLOOKUP(compras_mes11[[#This Row],[CUIT]],Lista_CUIT[#All],3,0)),"CUIT NO CARGADO")</f>
        <v>Gastos Varios</v>
      </c>
      <c r="R61" s="174">
        <f>IFERROR(IF(compras_mes11[[#This Row],[CUIT]]="","-",VLOOKUP(compras_mes11[[#This Row],[CUIT]],Lista_CUIT[#All],4,0)),"CUIT NO CARGADO")</f>
        <v>0</v>
      </c>
    </row>
    <row r="62" spans="2:18" x14ac:dyDescent="0.3">
      <c r="B62" s="181">
        <v>44840</v>
      </c>
      <c r="C62" s="37">
        <v>1</v>
      </c>
      <c r="D62" s="183">
        <v>3</v>
      </c>
      <c r="E62" s="184">
        <v>655</v>
      </c>
      <c r="F62" s="185">
        <v>30715893963</v>
      </c>
      <c r="G62" s="186" t="str">
        <f>IFERROR(IF(compras_mes11[[#This Row],[CUIT]]="","-",VLOOKUP(compras_mes11[[#This Row],[CUIT]],Lista_CUIT[#All],2,0)),"CUIT NO CARGADO")</f>
        <v>Margot Brand SRL</v>
      </c>
      <c r="H62" s="190">
        <v>8677.68</v>
      </c>
      <c r="I62" s="187">
        <f>IF(compras_mes11[[#This Row],[NETO GRAVADO]]="","",compras_mes11[[#This Row],[NETO GRAVADO]]*0.21)</f>
        <v>1822.3127999999999</v>
      </c>
      <c r="J62" s="187"/>
      <c r="K62" s="187"/>
      <c r="L62" s="187"/>
      <c r="M62" s="187"/>
      <c r="N62" s="187"/>
      <c r="O62" s="187"/>
      <c r="P62" s="188">
        <f>SUM(compras_mes11[[#This Row],[NETO GRAVADO]:[Otros / No Grav.]])</f>
        <v>10499.9928</v>
      </c>
      <c r="Q62" s="189" t="str">
        <f>IFERROR(IF(compras_mes11[[#This Row],[CUIT]]="","-",VLOOKUP(compras_mes11[[#This Row],[CUIT]],Lista_CUIT[#All],3,0)),"CUIT NO CARGADO")</f>
        <v>Gastos Varios</v>
      </c>
      <c r="R62" s="189">
        <f>IFERROR(IF(compras_mes11[[#This Row],[CUIT]]="","-",VLOOKUP(compras_mes11[[#This Row],[CUIT]],Lista_CUIT[#All],4,0)),"CUIT NO CARGADO")</f>
        <v>0</v>
      </c>
    </row>
    <row r="63" spans="2:18" x14ac:dyDescent="0.3">
      <c r="B63" s="181">
        <v>44840</v>
      </c>
      <c r="C63" s="37">
        <v>1</v>
      </c>
      <c r="D63" s="183">
        <v>4</v>
      </c>
      <c r="E63" s="184">
        <v>4092</v>
      </c>
      <c r="F63" s="185">
        <v>30715280422</v>
      </c>
      <c r="G63" s="186" t="str">
        <f>IFERROR(IF(compras_mes11[[#This Row],[CUIT]]="","-",VLOOKUP(compras_mes11[[#This Row],[CUIT]],Lista_CUIT[#All],2,0)),"CUIT NO CARGADO")</f>
        <v>ROTECH S.R.L</v>
      </c>
      <c r="H63" s="190">
        <v>3548.8</v>
      </c>
      <c r="I63" s="187">
        <f>IF(compras_mes11[[#This Row],[NETO GRAVADO]]="","",compras_mes11[[#This Row],[NETO GRAVADO]]*0.21)</f>
        <v>745.24800000000005</v>
      </c>
      <c r="J63" s="187"/>
      <c r="K63" s="187"/>
      <c r="L63" s="187"/>
      <c r="M63" s="187"/>
      <c r="N63" s="187"/>
      <c r="O63" s="187"/>
      <c r="P63" s="188">
        <f>SUM(compras_mes11[[#This Row],[NETO GRAVADO]:[Otros / No Grav.]])</f>
        <v>4294.0480000000007</v>
      </c>
      <c r="Q63" s="189" t="str">
        <f>IFERROR(IF(compras_mes11[[#This Row],[CUIT]]="","-",VLOOKUP(compras_mes11[[#This Row],[CUIT]],Lista_CUIT[#All],3,0)),"CUIT NO CARGADO")</f>
        <v>Gastos Varios</v>
      </c>
      <c r="R63" s="189">
        <f>IFERROR(IF(compras_mes11[[#This Row],[CUIT]]="","-",VLOOKUP(compras_mes11[[#This Row],[CUIT]],Lista_CUIT[#All],4,0)),"CUIT NO CARGADO")</f>
        <v>0</v>
      </c>
    </row>
    <row r="64" spans="2:18" x14ac:dyDescent="0.3">
      <c r="B64" s="36">
        <v>44841</v>
      </c>
      <c r="C64" s="37">
        <v>1</v>
      </c>
      <c r="D64" s="38">
        <v>1</v>
      </c>
      <c r="E64" s="39">
        <v>113</v>
      </c>
      <c r="F64" s="40">
        <v>27172427400</v>
      </c>
      <c r="G64" s="41" t="str">
        <f>IFERROR(IF(compras_mes11[[#This Row],[CUIT]]="","-",VLOOKUP(compras_mes11[[#This Row],[CUIT]],Lista_CUIT[#All],2,0)),"CUIT NO CARGADO")</f>
        <v>SERAFINO ROSA LILIANA</v>
      </c>
      <c r="H64" s="197">
        <v>2644.62</v>
      </c>
      <c r="I64" s="81">
        <f>IF(compras_mes11[[#This Row],[NETO GRAVADO]]="","",compras_mes11[[#This Row],[NETO GRAVADO]]*0.21)</f>
        <v>555.37019999999995</v>
      </c>
      <c r="J64" s="81"/>
      <c r="K64" s="81"/>
      <c r="L64" s="81"/>
      <c r="M64" s="81"/>
      <c r="N64" s="81"/>
      <c r="O64" s="81"/>
      <c r="P64" s="44">
        <f>SUM(compras_mes11[[#This Row],[NETO GRAVADO]:[Otros / No Grav.]])</f>
        <v>3199.9901999999997</v>
      </c>
      <c r="Q64" s="45" t="str">
        <f>IFERROR(IF(compras_mes11[[#This Row],[CUIT]]="","-",VLOOKUP(compras_mes11[[#This Row],[CUIT]],Lista_CUIT[#All],3,0)),"CUIT NO CARGADO")</f>
        <v>Gastos Varios</v>
      </c>
      <c r="R64" s="45">
        <f>IFERROR(IF(compras_mes11[[#This Row],[CUIT]]="","-",VLOOKUP(compras_mes11[[#This Row],[CUIT]],Lista_CUIT[#All],4,0)),"CUIT NO CARGADO")</f>
        <v>0</v>
      </c>
    </row>
    <row r="65" spans="2:18" ht="19.2" customHeight="1" x14ac:dyDescent="0.3">
      <c r="B65" s="198">
        <v>44844</v>
      </c>
      <c r="C65" s="199">
        <v>1</v>
      </c>
      <c r="D65" s="200">
        <v>4793</v>
      </c>
      <c r="E65" s="201">
        <v>53</v>
      </c>
      <c r="F65" s="202">
        <v>30685849751</v>
      </c>
      <c r="G65" s="186" t="str">
        <f>IFERROR(IF(compras_mes11[[#This Row],[CUIT]]="","-",VLOOKUP(compras_mes11[[#This Row],[CUIT]],Lista_CUIT[#All],2,0)),"CUIT NO CARGADO")</f>
        <v>DIA ARGENTINA S A</v>
      </c>
      <c r="H65" s="204">
        <v>10772.36</v>
      </c>
      <c r="I65" s="166">
        <v>2017.53</v>
      </c>
      <c r="J65" s="166"/>
      <c r="K65" s="166">
        <v>91.04</v>
      </c>
      <c r="L65" s="166"/>
      <c r="M65" s="166"/>
      <c r="N65" s="166"/>
      <c r="O65" s="166"/>
      <c r="P65" s="173">
        <f>SUM(compras_mes11[[#This Row],[NETO GRAVADO]:[Otros / No Grav.]])</f>
        <v>12880.930000000002</v>
      </c>
      <c r="Q65" s="174" t="str">
        <f>IFERROR(IF(compras_mes11[[#This Row],[CUIT]]="","-",VLOOKUP(compras_mes11[[#This Row],[CUIT]],Lista_CUIT[#All],3,0)),"CUIT NO CARGADO")</f>
        <v>Gastos Varios</v>
      </c>
      <c r="R65" s="174">
        <f>IFERROR(IF(compras_mes11[[#This Row],[CUIT]]="","-",VLOOKUP(compras_mes11[[#This Row],[CUIT]],Lista_CUIT[#All],4,0)),"CUIT NO CARGADO")</f>
        <v>0</v>
      </c>
    </row>
    <row r="66" spans="2:18" x14ac:dyDescent="0.3">
      <c r="B66" s="181">
        <v>44845</v>
      </c>
      <c r="C66" s="37">
        <v>1</v>
      </c>
      <c r="D66" s="183">
        <v>1</v>
      </c>
      <c r="E66" s="184">
        <v>2727</v>
      </c>
      <c r="F66" s="185">
        <v>30715385216</v>
      </c>
      <c r="G66" s="186" t="str">
        <f>IFERROR(IF(compras_mes11[[#This Row],[CUIT]]="","-",VLOOKUP(compras_mes11[[#This Row],[CUIT]],Lista_CUIT[#All],2,0)),"CUIT NO CARGADO")</f>
        <v>VENTAS ONLINE QUILMES S.R.L.</v>
      </c>
      <c r="H66" s="190">
        <v>22313.22</v>
      </c>
      <c r="I66" s="187">
        <f>IF(compras_mes11[[#This Row],[NETO GRAVADO]]="","",compras_mes11[[#This Row],[NETO GRAVADO]]*0.21)</f>
        <v>4685.7762000000002</v>
      </c>
      <c r="J66" s="187"/>
      <c r="K66" s="187"/>
      <c r="L66" s="187"/>
      <c r="M66" s="187"/>
      <c r="N66" s="187"/>
      <c r="O66" s="187"/>
      <c r="P66" s="188">
        <f>SUM(compras_mes11[[#This Row],[NETO GRAVADO]:[Otros / No Grav.]])</f>
        <v>26998.996200000001</v>
      </c>
      <c r="Q66" s="189" t="str">
        <f>IFERROR(IF(compras_mes11[[#This Row],[CUIT]]="","-",VLOOKUP(compras_mes11[[#This Row],[CUIT]],Lista_CUIT[#All],3,0)),"CUIT NO CARGADO")</f>
        <v>Gastos Varios</v>
      </c>
      <c r="R66" s="189">
        <f>IFERROR(IF(compras_mes11[[#This Row],[CUIT]]="","-",VLOOKUP(compras_mes11[[#This Row],[CUIT]],Lista_CUIT[#All],4,0)),"CUIT NO CARGADO")</f>
        <v>0</v>
      </c>
    </row>
    <row r="67" spans="2:18" s="158" customFormat="1" x14ac:dyDescent="0.3">
      <c r="B67" s="181">
        <v>44845</v>
      </c>
      <c r="C67" s="37">
        <v>1</v>
      </c>
      <c r="D67" s="183">
        <v>1</v>
      </c>
      <c r="E67" s="184">
        <v>20681</v>
      </c>
      <c r="F67" s="185">
        <v>30716648393</v>
      </c>
      <c r="G67" s="186" t="str">
        <f>IFERROR(IF(compras_mes11[[#This Row],[CUIT]]="","-",VLOOKUP(compras_mes11[[#This Row],[CUIT]],Lista_CUIT[#All],2,0)),"CUIT NO CARGADO")</f>
        <v>SHOP FERRETERO</v>
      </c>
      <c r="H67" s="190">
        <v>5406.88</v>
      </c>
      <c r="I67" s="187">
        <f>IF(compras_mes11[[#This Row],[NETO GRAVADO]]="","",compras_mes11[[#This Row],[NETO GRAVADO]]*0.21)</f>
        <v>1135.4448</v>
      </c>
      <c r="J67" s="187"/>
      <c r="K67" s="187"/>
      <c r="L67" s="187"/>
      <c r="M67" s="187"/>
      <c r="N67" s="187"/>
      <c r="O67" s="187"/>
      <c r="P67" s="188">
        <f>SUM(compras_mes11[[#This Row],[NETO GRAVADO]:[Otros / No Grav.]])</f>
        <v>6542.3248000000003</v>
      </c>
      <c r="Q67" s="189" t="str">
        <f>IFERROR(IF(compras_mes11[[#This Row],[CUIT]]="","-",VLOOKUP(compras_mes11[[#This Row],[CUIT]],Lista_CUIT[#All],3,0)),"CUIT NO CARGADO")</f>
        <v>Gastos Varios</v>
      </c>
      <c r="R67" s="189">
        <f>IFERROR(IF(compras_mes11[[#This Row],[CUIT]]="","-",VLOOKUP(compras_mes11[[#This Row],[CUIT]],Lista_CUIT[#All],4,0)),"CUIT NO CARGADO")</f>
        <v>0</v>
      </c>
    </row>
    <row r="68" spans="2:18" x14ac:dyDescent="0.3">
      <c r="B68" s="181">
        <v>44846</v>
      </c>
      <c r="C68" s="37">
        <v>1</v>
      </c>
      <c r="D68" s="183">
        <v>4</v>
      </c>
      <c r="E68" s="184">
        <v>175</v>
      </c>
      <c r="F68" s="185">
        <v>20309026897</v>
      </c>
      <c r="G68" s="186" t="str">
        <f>IFERROR(IF(compras_mes11[[#This Row],[CUIT]]="","-",VLOOKUP(compras_mes11[[#This Row],[CUIT]],Lista_CUIT[#All],2,0)),"CUIT NO CARGADO")</f>
        <v>NICOLOSI AUGUSTO ALEJANDRO</v>
      </c>
      <c r="H68" s="190">
        <v>2860.66</v>
      </c>
      <c r="I68" s="187">
        <f>IF(compras_mes11[[#This Row],[NETO GRAVADO]]="","",compras_mes11[[#This Row],[NETO GRAVADO]]*0.21)</f>
        <v>600.73859999999991</v>
      </c>
      <c r="J68" s="187"/>
      <c r="K68" s="187"/>
      <c r="L68" s="187"/>
      <c r="M68" s="187"/>
      <c r="N68" s="187"/>
      <c r="O68" s="187"/>
      <c r="P68" s="188">
        <f>SUM(compras_mes11[[#This Row],[NETO GRAVADO]:[Otros / No Grav.]])</f>
        <v>3461.3985999999995</v>
      </c>
      <c r="Q68" s="189" t="str">
        <f>IFERROR(IF(compras_mes11[[#This Row],[CUIT]]="","-",VLOOKUP(compras_mes11[[#This Row],[CUIT]],Lista_CUIT[#All],3,0)),"CUIT NO CARGADO")</f>
        <v>Gastos Varios</v>
      </c>
      <c r="R68" s="189">
        <f>IFERROR(IF(compras_mes11[[#This Row],[CUIT]]="","-",VLOOKUP(compras_mes11[[#This Row],[CUIT]],Lista_CUIT[#All],4,0)),"CUIT NO CARGADO")</f>
        <v>0</v>
      </c>
    </row>
    <row r="69" spans="2:18" x14ac:dyDescent="0.3">
      <c r="B69" s="36">
        <v>44846</v>
      </c>
      <c r="C69" s="37">
        <v>1</v>
      </c>
      <c r="D69" s="38">
        <v>145</v>
      </c>
      <c r="E69" s="39">
        <v>1212</v>
      </c>
      <c r="F69" s="40">
        <v>30687282279</v>
      </c>
      <c r="G69" s="41" t="str">
        <f>IFERROR(IF(compras_mes11[[#This Row],[CUIT]]="","-",VLOOKUP(compras_mes11[[#This Row],[CUIT]],Lista_CUIT[#All],2,0)),"CUIT NO CARGADO")</f>
        <v>MARPOLO SA</v>
      </c>
      <c r="H69" s="197">
        <v>8008.26</v>
      </c>
      <c r="I69" s="81">
        <f>IF(compras_mes11[[#This Row],[NETO GRAVADO]]="","",compras_mes11[[#This Row],[NETO GRAVADO]]*0.21)</f>
        <v>1681.7346</v>
      </c>
      <c r="J69" s="81"/>
      <c r="K69" s="81"/>
      <c r="L69" s="81"/>
      <c r="M69" s="81"/>
      <c r="N69" s="81"/>
      <c r="O69" s="81"/>
      <c r="P69" s="44">
        <f>SUM(compras_mes11[[#This Row],[NETO GRAVADO]:[Otros / No Grav.]])</f>
        <v>9689.9946</v>
      </c>
      <c r="Q69" s="45" t="str">
        <f>IFERROR(IF(compras_mes11[[#This Row],[CUIT]]="","-",VLOOKUP(compras_mes11[[#This Row],[CUIT]],Lista_CUIT[#All],3,0)),"CUIT NO CARGADO")</f>
        <v>Gastos Varios</v>
      </c>
      <c r="R69" s="45">
        <f>IFERROR(IF(compras_mes11[[#This Row],[CUIT]]="","-",VLOOKUP(compras_mes11[[#This Row],[CUIT]],Lista_CUIT[#All],4,0)),"CUIT NO CARGADO")</f>
        <v>0</v>
      </c>
    </row>
    <row r="70" spans="2:18" x14ac:dyDescent="0.3">
      <c r="B70" s="181">
        <v>44846</v>
      </c>
      <c r="C70" s="37">
        <v>1</v>
      </c>
      <c r="D70" s="206">
        <v>2188</v>
      </c>
      <c r="E70" s="207">
        <v>74659</v>
      </c>
      <c r="F70" s="208">
        <v>30548083156</v>
      </c>
      <c r="G70" s="209" t="str">
        <f>IFERROR(IF(compras_mes11[[#This Row],[CUIT]]="","-",VLOOKUP(compras_mes11[[#This Row],[CUIT]],Lista_CUIT[#All],2,0)),"CUIT NO CARGADO")</f>
        <v>COTO  S.A.</v>
      </c>
      <c r="H70" s="204">
        <v>7791.08</v>
      </c>
      <c r="I70" s="203">
        <v>1526.23</v>
      </c>
      <c r="J70" s="203"/>
      <c r="K70" s="203">
        <v>54.95</v>
      </c>
      <c r="L70" s="203">
        <v>214.98</v>
      </c>
      <c r="M70" s="203"/>
      <c r="N70" s="203">
        <v>441.51</v>
      </c>
      <c r="O70" s="203"/>
      <c r="P70" s="210">
        <f>SUM(compras_mes11[[#This Row],[NETO GRAVADO]:[Otros / No Grav.]])</f>
        <v>10028.75</v>
      </c>
      <c r="Q70" s="211" t="str">
        <f>IFERROR(IF(compras_mes11[[#This Row],[CUIT]]="","-",VLOOKUP(compras_mes11[[#This Row],[CUIT]],Lista_CUIT[#All],3,0)),"CUIT NO CARGADO")</f>
        <v>Gastos Varios</v>
      </c>
      <c r="R70" s="211">
        <f>IFERROR(IF(compras_mes11[[#This Row],[CUIT]]="","-",VLOOKUP(compras_mes11[[#This Row],[CUIT]],Lista_CUIT[#All],4,0)),"CUIT NO CARGADO")</f>
        <v>0</v>
      </c>
    </row>
    <row r="71" spans="2:18" x14ac:dyDescent="0.3">
      <c r="B71" s="181">
        <v>44847</v>
      </c>
      <c r="C71" s="37">
        <v>1</v>
      </c>
      <c r="D71" s="183">
        <v>4</v>
      </c>
      <c r="E71" s="184">
        <v>1583</v>
      </c>
      <c r="F71" s="185">
        <v>27226413095</v>
      </c>
      <c r="G71" s="186" t="str">
        <f>IFERROR(IF(compras_mes11[[#This Row],[CUIT]]="","-",VLOOKUP(compras_mes11[[#This Row],[CUIT]],Lista_CUIT[#All],2,0)),"CUIT NO CARGADO")</f>
        <v>SANTILLAN LILIANA ITATI</v>
      </c>
      <c r="H71" s="190">
        <v>3973.55</v>
      </c>
      <c r="I71" s="187">
        <f>IF(compras_mes11[[#This Row],[NETO GRAVADO]]="","",compras_mes11[[#This Row],[NETO GRAVADO]]*0.21)</f>
        <v>834.44550000000004</v>
      </c>
      <c r="J71" s="187"/>
      <c r="K71" s="187"/>
      <c r="L71" s="187"/>
      <c r="M71" s="187"/>
      <c r="N71" s="187"/>
      <c r="O71" s="187"/>
      <c r="P71" s="188">
        <f>SUM(compras_mes11[[#This Row],[NETO GRAVADO]:[Otros / No Grav.]])</f>
        <v>4807.9955</v>
      </c>
      <c r="Q71" s="189" t="str">
        <f>IFERROR(IF(compras_mes11[[#This Row],[CUIT]]="","-",VLOOKUP(compras_mes11[[#This Row],[CUIT]],Lista_CUIT[#All],3,0)),"CUIT NO CARGADO")</f>
        <v>Gastos Varios</v>
      </c>
      <c r="R71" s="189">
        <f>IFERROR(IF(compras_mes11[[#This Row],[CUIT]]="","-",VLOOKUP(compras_mes11[[#This Row],[CUIT]],Lista_CUIT[#All],4,0)),"CUIT NO CARGADO")</f>
        <v>0</v>
      </c>
    </row>
    <row r="72" spans="2:18" x14ac:dyDescent="0.3">
      <c r="B72" s="181">
        <v>44847</v>
      </c>
      <c r="C72" s="37">
        <v>1</v>
      </c>
      <c r="D72" s="183">
        <v>4</v>
      </c>
      <c r="E72" s="184">
        <v>29717</v>
      </c>
      <c r="F72" s="185">
        <v>20222524564</v>
      </c>
      <c r="G72" s="186" t="str">
        <f>IFERROR(IF(compras_mes11[[#This Row],[CUIT]]="","-",VLOOKUP(compras_mes11[[#This Row],[CUIT]],Lista_CUIT[#All],2,0)),"CUIT NO CARGADO")</f>
        <v>LECHUGA JULIO CESAR</v>
      </c>
      <c r="H72" s="190">
        <v>19532.89</v>
      </c>
      <c r="I72" s="187">
        <f>IF(compras_mes11[[#This Row],[NETO GRAVADO]]="","",compras_mes11[[#This Row],[NETO GRAVADO]]*0.21)</f>
        <v>4101.9069</v>
      </c>
      <c r="J72" s="187"/>
      <c r="K72" s="187"/>
      <c r="L72" s="187"/>
      <c r="M72" s="187"/>
      <c r="N72" s="187"/>
      <c r="O72" s="187"/>
      <c r="P72" s="188">
        <f>SUM(compras_mes11[[#This Row],[NETO GRAVADO]:[Otros / No Grav.]])</f>
        <v>23634.796900000001</v>
      </c>
      <c r="Q72" s="189" t="str">
        <f>IFERROR(IF(compras_mes11[[#This Row],[CUIT]]="","-",VLOOKUP(compras_mes11[[#This Row],[CUIT]],Lista_CUIT[#All],3,0)),"CUIT NO CARGADO")</f>
        <v>Gastos Varios</v>
      </c>
      <c r="R72" s="189">
        <f>IFERROR(IF(compras_mes11[[#This Row],[CUIT]]="","-",VLOOKUP(compras_mes11[[#This Row],[CUIT]],Lista_CUIT[#All],4,0)),"CUIT NO CARGADO")</f>
        <v>0</v>
      </c>
    </row>
    <row r="73" spans="2:18" x14ac:dyDescent="0.3">
      <c r="B73" s="181">
        <v>44848</v>
      </c>
      <c r="C73" s="37">
        <v>1</v>
      </c>
      <c r="D73" s="183">
        <v>8257</v>
      </c>
      <c r="E73" s="184">
        <v>7762</v>
      </c>
      <c r="F73" s="185">
        <v>30590360763</v>
      </c>
      <c r="G73" s="186" t="str">
        <f>IFERROR(IF(compras_mes11[[#This Row],[CUIT]]="","-",VLOOKUP(compras_mes11[[#This Row],[CUIT]],Lista_CUIT[#All],2,0)),"CUIT NO CARGADO")</f>
        <v>CENCOSUD S.A</v>
      </c>
      <c r="H73" s="190">
        <v>2041.77</v>
      </c>
      <c r="I73" s="203">
        <v>231.69</v>
      </c>
      <c r="J73" s="203"/>
      <c r="K73" s="203">
        <v>98.54</v>
      </c>
      <c r="L73" s="203"/>
      <c r="M73" s="203"/>
      <c r="N73" s="203">
        <v>122.51</v>
      </c>
      <c r="O73" s="203"/>
      <c r="P73" s="210">
        <f>SUM(compras_mes11[[#This Row],[NETO GRAVADO]:[Otros / No Grav.]])</f>
        <v>2494.5100000000002</v>
      </c>
      <c r="Q73" s="189" t="str">
        <f>IFERROR(IF(compras_mes11[[#This Row],[CUIT]]="","-",VLOOKUP(compras_mes11[[#This Row],[CUIT]],Lista_CUIT[#All],3,0)),"CUIT NO CARGADO")</f>
        <v>Gastos Varios</v>
      </c>
      <c r="R73" s="189">
        <f>IFERROR(IF(compras_mes11[[#This Row],[CUIT]]="","-",VLOOKUP(compras_mes11[[#This Row],[CUIT]],Lista_CUIT[#All],4,0)),"CUIT NO CARGADO")</f>
        <v>0</v>
      </c>
    </row>
    <row r="74" spans="2:18" x14ac:dyDescent="0.3">
      <c r="B74" s="181">
        <v>44852</v>
      </c>
      <c r="C74" s="182">
        <v>3</v>
      </c>
      <c r="D74" s="183">
        <v>5</v>
      </c>
      <c r="E74" s="184">
        <v>20</v>
      </c>
      <c r="F74" s="185">
        <v>20367393042</v>
      </c>
      <c r="G74" s="186" t="str">
        <f>IFERROR(IF(compras_mes11[[#This Row],[CUIT]]="","-",VLOOKUP(compras_mes11[[#This Row],[CUIT]],Lista_CUIT[#All],2,0)),"CUIT NO CARGADO")</f>
        <v>RITACCO RODRIGO</v>
      </c>
      <c r="H74" s="196">
        <v>-48743.8</v>
      </c>
      <c r="I74" s="187">
        <f>IF(compras_mes11[[#This Row],[NETO GRAVADO]]="","",compras_mes11[[#This Row],[NETO GRAVADO]]*0.21)</f>
        <v>-10236.198</v>
      </c>
      <c r="J74" s="187"/>
      <c r="K74" s="187"/>
      <c r="L74" s="187"/>
      <c r="M74" s="187"/>
      <c r="N74" s="187"/>
      <c r="O74" s="187"/>
      <c r="P74" s="188">
        <f>SUM(compras_mes11[[#This Row],[NETO GRAVADO]:[Otros / No Grav.]])</f>
        <v>-58979.998000000007</v>
      </c>
      <c r="Q74" s="189" t="str">
        <f>IFERROR(IF(compras_mes11[[#This Row],[CUIT]]="","-",VLOOKUP(compras_mes11[[#This Row],[CUIT]],Lista_CUIT[#All],3,0)),"CUIT NO CARGADO")</f>
        <v>Gastos Varios</v>
      </c>
      <c r="R74" s="189">
        <f>IFERROR(IF(compras_mes11[[#This Row],[CUIT]]="","-",VLOOKUP(compras_mes11[[#This Row],[CUIT]],Lista_CUIT[#All],4,0)),"CUIT NO CARGADO")</f>
        <v>0</v>
      </c>
    </row>
    <row r="75" spans="2:18" x14ac:dyDescent="0.3">
      <c r="B75" s="181">
        <v>44852</v>
      </c>
      <c r="C75" s="37">
        <v>1</v>
      </c>
      <c r="D75" s="183">
        <v>5</v>
      </c>
      <c r="E75" s="184">
        <v>2580</v>
      </c>
      <c r="F75" s="185">
        <v>20367393042</v>
      </c>
      <c r="G75" s="186" t="str">
        <f>IFERROR(IF(compras_mes11[[#This Row],[CUIT]]="","-",VLOOKUP(compras_mes11[[#This Row],[CUIT]],Lista_CUIT[#All],2,0)),"CUIT NO CARGADO")</f>
        <v>RITACCO RODRIGO</v>
      </c>
      <c r="H75" s="190">
        <v>48743.8</v>
      </c>
      <c r="I75" s="187">
        <f>IF(compras_mes11[[#This Row],[NETO GRAVADO]]="","",compras_mes11[[#This Row],[NETO GRAVADO]]*0.21)</f>
        <v>10236.198</v>
      </c>
      <c r="J75" s="187"/>
      <c r="K75" s="187"/>
      <c r="L75" s="187"/>
      <c r="M75" s="187"/>
      <c r="N75" s="187"/>
      <c r="O75" s="187"/>
      <c r="P75" s="188">
        <f>SUM(compras_mes11[[#This Row],[NETO GRAVADO]:[Otros / No Grav.]])</f>
        <v>58979.998000000007</v>
      </c>
      <c r="Q75" s="189" t="str">
        <f>IFERROR(IF(compras_mes11[[#This Row],[CUIT]]="","-",VLOOKUP(compras_mes11[[#This Row],[CUIT]],Lista_CUIT[#All],3,0)),"CUIT NO CARGADO")</f>
        <v>Gastos Varios</v>
      </c>
      <c r="R75" s="189">
        <f>IFERROR(IF(compras_mes11[[#This Row],[CUIT]]="","-",VLOOKUP(compras_mes11[[#This Row],[CUIT]],Lista_CUIT[#All],4,0)),"CUIT NO CARGADO")</f>
        <v>0</v>
      </c>
    </row>
    <row r="76" spans="2:18" x14ac:dyDescent="0.3">
      <c r="B76" s="181">
        <v>44852</v>
      </c>
      <c r="C76" s="37">
        <v>1</v>
      </c>
      <c r="D76" s="183">
        <v>2188</v>
      </c>
      <c r="E76" s="184">
        <v>75020</v>
      </c>
      <c r="F76" s="185">
        <v>30548083156</v>
      </c>
      <c r="G76" s="186" t="str">
        <f>IFERROR(IF(compras_mes11[[#This Row],[CUIT]]="","-",VLOOKUP(compras_mes11[[#This Row],[CUIT]],Lista_CUIT[#All],2,0)),"CUIT NO CARGADO")</f>
        <v>COTO  S.A.</v>
      </c>
      <c r="H76" s="190">
        <v>19946.2</v>
      </c>
      <c r="I76" s="187">
        <v>3858.24</v>
      </c>
      <c r="J76" s="187"/>
      <c r="K76" s="187">
        <v>165.23</v>
      </c>
      <c r="L76" s="187">
        <v>551.17999999999995</v>
      </c>
      <c r="M76" s="187"/>
      <c r="N76" s="187">
        <v>1057.1500000000001</v>
      </c>
      <c r="O76" s="187"/>
      <c r="P76" s="188">
        <f>SUM(compras_mes11[[#This Row],[NETO GRAVADO]:[Otros / No Grav.]])</f>
        <v>25578.000000000004</v>
      </c>
      <c r="Q76" s="189" t="str">
        <f>IFERROR(IF(compras_mes11[[#This Row],[CUIT]]="","-",VLOOKUP(compras_mes11[[#This Row],[CUIT]],Lista_CUIT[#All],3,0)),"CUIT NO CARGADO")</f>
        <v>Gastos Varios</v>
      </c>
      <c r="R76" s="189">
        <f>IFERROR(IF(compras_mes11[[#This Row],[CUIT]]="","-",VLOOKUP(compras_mes11[[#This Row],[CUIT]],Lista_CUIT[#All],4,0)),"CUIT NO CARGADO")</f>
        <v>0</v>
      </c>
    </row>
    <row r="77" spans="2:18" x14ac:dyDescent="0.3">
      <c r="B77" s="198">
        <v>44853</v>
      </c>
      <c r="C77" s="37">
        <v>1</v>
      </c>
      <c r="D77" s="183">
        <v>13</v>
      </c>
      <c r="E77" s="184">
        <v>5619</v>
      </c>
      <c r="F77" s="185">
        <v>33662613199</v>
      </c>
      <c r="G77" s="186" t="str">
        <f>IFERROR(IF(compras_mes11[[#This Row],[CUIT]]="","-",VLOOKUP(compras_mes11[[#This Row],[CUIT]],Lista_CUIT[#All],2,0)),"CUIT NO CARGADO")</f>
        <v>D M H S A</v>
      </c>
      <c r="H77" s="190">
        <v>11261.99</v>
      </c>
      <c r="I77" s="187">
        <f>IF(compras_mes11[[#This Row],[NETO GRAVADO]]="","",compras_mes11[[#This Row],[NETO GRAVADO]]*0.21)</f>
        <v>2365.0178999999998</v>
      </c>
      <c r="J77" s="187"/>
      <c r="K77" s="187"/>
      <c r="L77" s="187"/>
      <c r="M77" s="187"/>
      <c r="N77" s="187"/>
      <c r="O77" s="187"/>
      <c r="P77" s="188">
        <f>SUM(compras_mes11[[#This Row],[NETO GRAVADO]:[Otros / No Grav.]])</f>
        <v>13627.007900000001</v>
      </c>
      <c r="Q77" s="189" t="str">
        <f>IFERROR(IF(compras_mes11[[#This Row],[CUIT]]="","-",VLOOKUP(compras_mes11[[#This Row],[CUIT]],Lista_CUIT[#All],3,0)),"CUIT NO CARGADO")</f>
        <v>Gastos Varios</v>
      </c>
      <c r="R77" s="189">
        <f>IFERROR(IF(compras_mes11[[#This Row],[CUIT]]="","-",VLOOKUP(compras_mes11[[#This Row],[CUIT]],Lista_CUIT[#All],4,0)),"CUIT NO CARGADO")</f>
        <v>0</v>
      </c>
    </row>
    <row r="78" spans="2:18" x14ac:dyDescent="0.3">
      <c r="B78" s="181">
        <v>44855</v>
      </c>
      <c r="C78" s="37">
        <v>1</v>
      </c>
      <c r="D78" s="183">
        <v>2</v>
      </c>
      <c r="E78" s="184">
        <v>1226</v>
      </c>
      <c r="F78" s="185">
        <v>20251522899</v>
      </c>
      <c r="G78" s="186" t="str">
        <f>IFERROR(IF(compras_mes11[[#This Row],[CUIT]]="","-",VLOOKUP(compras_mes11[[#This Row],[CUIT]],Lista_CUIT[#All],2,0)),"CUIT NO CARGADO")</f>
        <v>MALACASA LUIS DAMIAN</v>
      </c>
      <c r="H78" s="190">
        <v>7644.63</v>
      </c>
      <c r="I78" s="187">
        <f>IF(compras_mes11[[#This Row],[NETO GRAVADO]]="","",compras_mes11[[#This Row],[NETO GRAVADO]]*0.21)</f>
        <v>1605.3723</v>
      </c>
      <c r="J78" s="187"/>
      <c r="K78" s="187"/>
      <c r="L78" s="187"/>
      <c r="M78" s="187"/>
      <c r="N78" s="187"/>
      <c r="O78" s="187"/>
      <c r="P78" s="188">
        <f>SUM(compras_mes11[[#This Row],[NETO GRAVADO]:[Otros / No Grav.]])</f>
        <v>9250.0023000000001</v>
      </c>
      <c r="Q78" s="189" t="str">
        <f>IFERROR(IF(compras_mes11[[#This Row],[CUIT]]="","-",VLOOKUP(compras_mes11[[#This Row],[CUIT]],Lista_CUIT[#All],3,0)),"CUIT NO CARGADO")</f>
        <v>Gastos Varios</v>
      </c>
      <c r="R78" s="189">
        <f>IFERROR(IF(compras_mes11[[#This Row],[CUIT]]="","-",VLOOKUP(compras_mes11[[#This Row],[CUIT]],Lista_CUIT[#All],4,0)),"CUIT NO CARGADO")</f>
        <v>0</v>
      </c>
    </row>
    <row r="79" spans="2:18" x14ac:dyDescent="0.3">
      <c r="B79" s="181">
        <v>44855</v>
      </c>
      <c r="C79" s="37">
        <v>1</v>
      </c>
      <c r="D79" s="183">
        <v>2188</v>
      </c>
      <c r="E79" s="184">
        <v>75239</v>
      </c>
      <c r="F79" s="185">
        <v>30548083156</v>
      </c>
      <c r="G79" s="186" t="str">
        <f>IFERROR(IF(compras_mes11[[#This Row],[CUIT]]="","-",VLOOKUP(compras_mes11[[#This Row],[CUIT]],Lista_CUIT[#All],2,0)),"CUIT NO CARGADO")</f>
        <v>COTO  S.A.</v>
      </c>
      <c r="H79" s="190">
        <v>9677.3799999999992</v>
      </c>
      <c r="I79" s="187">
        <v>1870.39</v>
      </c>
      <c r="J79" s="187"/>
      <c r="K79" s="187">
        <v>80.930000000000007</v>
      </c>
      <c r="L79" s="187">
        <v>267.2</v>
      </c>
      <c r="M79" s="187"/>
      <c r="N79" s="187">
        <v>530.70000000000005</v>
      </c>
      <c r="O79" s="187"/>
      <c r="P79" s="188">
        <f>SUM(compras_mes11[[#This Row],[NETO GRAVADO]:[Otros / No Grav.]])</f>
        <v>12426.6</v>
      </c>
      <c r="Q79" s="189" t="str">
        <f>IFERROR(IF(compras_mes11[[#This Row],[CUIT]]="","-",VLOOKUP(compras_mes11[[#This Row],[CUIT]],Lista_CUIT[#All],3,0)),"CUIT NO CARGADO")</f>
        <v>Gastos Varios</v>
      </c>
      <c r="R79" s="189">
        <f>IFERROR(IF(compras_mes11[[#This Row],[CUIT]]="","-",VLOOKUP(compras_mes11[[#This Row],[CUIT]],Lista_CUIT[#All],4,0)),"CUIT NO CARGADO")</f>
        <v>0</v>
      </c>
    </row>
    <row r="80" spans="2:18" x14ac:dyDescent="0.3">
      <c r="B80" s="181">
        <v>44855</v>
      </c>
      <c r="C80" s="37">
        <v>1</v>
      </c>
      <c r="D80" s="183">
        <v>113</v>
      </c>
      <c r="E80" s="184">
        <v>2958918</v>
      </c>
      <c r="F80" s="185">
        <v>30577207190</v>
      </c>
      <c r="G80" s="186" t="str">
        <f>IFERROR(IF(compras_mes11[[#This Row],[CUIT]]="","-",VLOOKUP(compras_mes11[[#This Row],[CUIT]],Lista_CUIT[#All],2,0)),"CUIT NO CARGADO")</f>
        <v>COORDINACION ECOLOGICA AREA METROPOLITANA SOCIEDAD DEL ESTADO</v>
      </c>
      <c r="H80" s="190">
        <v>2158.6799999999998</v>
      </c>
      <c r="I80" s="187">
        <f>IF(compras_mes11[[#This Row],[NETO GRAVADO]]="","",compras_mes11[[#This Row],[NETO GRAVADO]]*0.21)</f>
        <v>453.32279999999997</v>
      </c>
      <c r="J80" s="187"/>
      <c r="K80" s="187"/>
      <c r="L80" s="187"/>
      <c r="M80" s="187"/>
      <c r="N80" s="187"/>
      <c r="O80" s="187"/>
      <c r="P80" s="188">
        <f>SUM(compras_mes11[[#This Row],[NETO GRAVADO]:[Otros / No Grav.]])</f>
        <v>2612.0027999999998</v>
      </c>
      <c r="Q80" s="189" t="str">
        <f>IFERROR(IF(compras_mes11[[#This Row],[CUIT]]="","-",VLOOKUP(compras_mes11[[#This Row],[CUIT]],Lista_CUIT[#All],3,0)),"CUIT NO CARGADO")</f>
        <v>Gastos Varios</v>
      </c>
      <c r="R80" s="189" t="str">
        <f>IFERROR(IF(compras_mes11[[#This Row],[CUIT]]="","-",VLOOKUP(compras_mes11[[#This Row],[CUIT]],Lista_CUIT[#All],4,0)),"CUIT NO CARGADO")</f>
        <v>CABA</v>
      </c>
    </row>
    <row r="81" spans="2:18" x14ac:dyDescent="0.3">
      <c r="B81" s="181">
        <v>44857</v>
      </c>
      <c r="C81" s="37">
        <v>1</v>
      </c>
      <c r="D81" s="183">
        <v>4793</v>
      </c>
      <c r="E81" s="184">
        <v>78</v>
      </c>
      <c r="F81" s="185">
        <v>30685849751</v>
      </c>
      <c r="G81" s="186" t="str">
        <f>IFERROR(IF(compras_mes11[[#This Row],[CUIT]]="","-",VLOOKUP(compras_mes11[[#This Row],[CUIT]],Lista_CUIT[#All],2,0)),"CUIT NO CARGADO")</f>
        <v>DIA ARGENTINA S A</v>
      </c>
      <c r="H81" s="190">
        <v>8981.4</v>
      </c>
      <c r="I81" s="187">
        <v>1620.48</v>
      </c>
      <c r="J81" s="203"/>
      <c r="K81" s="203">
        <v>105.71</v>
      </c>
      <c r="L81" s="187"/>
      <c r="M81" s="187"/>
      <c r="N81" s="187"/>
      <c r="O81" s="187"/>
      <c r="P81" s="188">
        <f>SUM(compras_mes11[[#This Row],[NETO GRAVADO]:[Otros / No Grav.]])</f>
        <v>10707.589999999998</v>
      </c>
      <c r="Q81" s="189" t="str">
        <f>IFERROR(IF(compras_mes11[[#This Row],[CUIT]]="","-",VLOOKUP(compras_mes11[[#This Row],[CUIT]],Lista_CUIT[#All],3,0)),"CUIT NO CARGADO")</f>
        <v>Gastos Varios</v>
      </c>
      <c r="R81" s="189">
        <f>IFERROR(IF(compras_mes11[[#This Row],[CUIT]]="","-",VLOOKUP(compras_mes11[[#This Row],[CUIT]],Lista_CUIT[#All],4,0)),"CUIT NO CARGADO")</f>
        <v>0</v>
      </c>
    </row>
    <row r="82" spans="2:18" x14ac:dyDescent="0.3">
      <c r="B82" s="181">
        <v>44860</v>
      </c>
      <c r="C82" s="37">
        <v>1</v>
      </c>
      <c r="D82" s="183">
        <v>2188</v>
      </c>
      <c r="E82" s="184">
        <v>75527</v>
      </c>
      <c r="F82" s="185">
        <v>30548083156</v>
      </c>
      <c r="G82" s="186" t="str">
        <f>IFERROR(IF(compras_mes11[[#This Row],[CUIT]]="","-",VLOOKUP(compras_mes11[[#This Row],[CUIT]],Lista_CUIT[#All],2,0)),"CUIT NO CARGADO")</f>
        <v>COTO  S.A.</v>
      </c>
      <c r="H82" s="190">
        <v>9920.32</v>
      </c>
      <c r="I82" s="187">
        <v>1937.88</v>
      </c>
      <c r="J82" s="187"/>
      <c r="K82" s="187">
        <v>72.69</v>
      </c>
      <c r="L82" s="187">
        <v>276.83999999999997</v>
      </c>
      <c r="M82" s="187"/>
      <c r="N82" s="187">
        <v>570.38</v>
      </c>
      <c r="O82" s="187"/>
      <c r="P82" s="188">
        <f>SUM(compras_mes11[[#This Row],[NETO GRAVADO]:[Otros / No Grav.]])</f>
        <v>12778.11</v>
      </c>
      <c r="Q82" s="189" t="str">
        <f>IFERROR(IF(compras_mes11[[#This Row],[CUIT]]="","-",VLOOKUP(compras_mes11[[#This Row],[CUIT]],Lista_CUIT[#All],3,0)),"CUIT NO CARGADO")</f>
        <v>Gastos Varios</v>
      </c>
      <c r="R82" s="189">
        <f>IFERROR(IF(compras_mes11[[#This Row],[CUIT]]="","-",VLOOKUP(compras_mes11[[#This Row],[CUIT]],Lista_CUIT[#All],4,0)),"CUIT NO CARGADO")</f>
        <v>0</v>
      </c>
    </row>
    <row r="83" spans="2:18" x14ac:dyDescent="0.3">
      <c r="B83" s="181">
        <v>44862</v>
      </c>
      <c r="C83" s="37">
        <v>1</v>
      </c>
      <c r="D83" s="183">
        <v>3</v>
      </c>
      <c r="E83" s="184">
        <v>242098</v>
      </c>
      <c r="F83" s="185">
        <v>30709131865</v>
      </c>
      <c r="G83" s="186" t="str">
        <f>IFERROR(IF(compras_mes11[[#This Row],[CUIT]]="","-",VLOOKUP(compras_mes11[[#This Row],[CUIT]],Lista_CUIT[#All],2,0)),"CUIT NO CARGADO")</f>
        <v>EMPRENDIMIENTOS SATELITALES SA</v>
      </c>
      <c r="H83" s="190">
        <v>367.72</v>
      </c>
      <c r="I83" s="187">
        <f>IF(compras_mes11[[#This Row],[NETO GRAVADO]]="","",compras_mes11[[#This Row],[NETO GRAVADO]]*0.21)</f>
        <v>77.221199999999996</v>
      </c>
      <c r="J83" s="187"/>
      <c r="K83" s="187"/>
      <c r="L83" s="187"/>
      <c r="M83" s="187"/>
      <c r="N83" s="187"/>
      <c r="O83" s="187"/>
      <c r="P83" s="188">
        <f>SUM(compras_mes11[[#This Row],[NETO GRAVADO]:[Otros / No Grav.]])</f>
        <v>444.94120000000004</v>
      </c>
      <c r="Q83" s="189" t="str">
        <f>IFERROR(IF(compras_mes11[[#This Row],[CUIT]]="","-",VLOOKUP(compras_mes11[[#This Row],[CUIT]],Lista_CUIT[#All],3,0)),"CUIT NO CARGADO")</f>
        <v>Gastos Varios</v>
      </c>
      <c r="R83" s="189">
        <f>IFERROR(IF(compras_mes11[[#This Row],[CUIT]]="","-",VLOOKUP(compras_mes11[[#This Row],[CUIT]],Lista_CUIT[#All],4,0)),"CUIT NO CARGADO")</f>
        <v>0</v>
      </c>
    </row>
    <row r="84" spans="2:18" x14ac:dyDescent="0.3">
      <c r="B84" s="181">
        <v>44863</v>
      </c>
      <c r="C84" s="37">
        <v>1</v>
      </c>
      <c r="D84" s="183">
        <v>9049</v>
      </c>
      <c r="E84" s="184">
        <v>1035</v>
      </c>
      <c r="F84" s="185">
        <v>30590360763</v>
      </c>
      <c r="G84" s="186" t="str">
        <f>IFERROR(IF(compras_mes11[[#This Row],[CUIT]]="","-",VLOOKUP(compras_mes11[[#This Row],[CUIT]],Lista_CUIT[#All],2,0)),"CUIT NO CARGADO")</f>
        <v>CENCOSUD S.A</v>
      </c>
      <c r="H84" s="190">
        <v>3068.6</v>
      </c>
      <c r="I84" s="187">
        <f>IF(compras_mes11[[#This Row],[NETO GRAVADO]]="","",compras_mes11[[#This Row],[NETO GRAVADO]]*0.21)</f>
        <v>644.40599999999995</v>
      </c>
      <c r="J84" s="187"/>
      <c r="K84" s="187"/>
      <c r="L84" s="187"/>
      <c r="M84" s="187"/>
      <c r="N84" s="187"/>
      <c r="O84" s="187"/>
      <c r="P84" s="188">
        <f>SUM(compras_mes11[[#This Row],[NETO GRAVADO]:[Otros / No Grav.]])</f>
        <v>3713.0059999999999</v>
      </c>
      <c r="Q84" s="189" t="str">
        <f>IFERROR(IF(compras_mes11[[#This Row],[CUIT]]="","-",VLOOKUP(compras_mes11[[#This Row],[CUIT]],Lista_CUIT[#All],3,0)),"CUIT NO CARGADO")</f>
        <v>Gastos Varios</v>
      </c>
      <c r="R84" s="189">
        <f>IFERROR(IF(compras_mes11[[#This Row],[CUIT]]="","-",VLOOKUP(compras_mes11[[#This Row],[CUIT]],Lista_CUIT[#All],4,0)),"CUIT NO CARGADO")</f>
        <v>0</v>
      </c>
    </row>
    <row r="85" spans="2:18" s="158" customFormat="1" x14ac:dyDescent="0.3">
      <c r="B85" s="181">
        <v>44863</v>
      </c>
      <c r="C85" s="37">
        <v>1</v>
      </c>
      <c r="D85" s="183">
        <v>2215</v>
      </c>
      <c r="E85" s="184">
        <v>26471</v>
      </c>
      <c r="F85" s="185">
        <v>30548083156</v>
      </c>
      <c r="G85" s="186" t="str">
        <f>IFERROR(IF(compras_mes11[[#This Row],[CUIT]]="","-",VLOOKUP(compras_mes11[[#This Row],[CUIT]],Lista_CUIT[#All],2,0)),"CUIT NO CARGADO")</f>
        <v>COTO  S.A.</v>
      </c>
      <c r="H85" s="190">
        <v>1313.24</v>
      </c>
      <c r="I85" s="203">
        <v>131.55000000000001</v>
      </c>
      <c r="J85" s="203"/>
      <c r="K85" s="203">
        <v>72.12</v>
      </c>
      <c r="L85" s="203"/>
      <c r="M85" s="203"/>
      <c r="N85" s="203">
        <v>78.790000000000006</v>
      </c>
      <c r="O85" s="187"/>
      <c r="P85" s="188">
        <f>SUM(compras_mes11[[#This Row],[NETO GRAVADO]:[Otros / No Grav.]])</f>
        <v>1595.6999999999998</v>
      </c>
      <c r="Q85" s="189" t="str">
        <f>IFERROR(IF(compras_mes11[[#This Row],[CUIT]]="","-",VLOOKUP(compras_mes11[[#This Row],[CUIT]],Lista_CUIT[#All],3,0)),"CUIT NO CARGADO")</f>
        <v>Gastos Varios</v>
      </c>
      <c r="R85" s="189">
        <f>IFERROR(IF(compras_mes11[[#This Row],[CUIT]]="","-",VLOOKUP(compras_mes11[[#This Row],[CUIT]],Lista_CUIT[#All],4,0)),"CUIT NO CARGADO")</f>
        <v>0</v>
      </c>
    </row>
    <row r="86" spans="2:18" x14ac:dyDescent="0.3">
      <c r="B86" s="181">
        <v>44865</v>
      </c>
      <c r="C86" s="37">
        <v>1</v>
      </c>
      <c r="D86" s="183">
        <v>1</v>
      </c>
      <c r="E86" s="184">
        <v>2194</v>
      </c>
      <c r="F86" s="185">
        <v>30717065286</v>
      </c>
      <c r="G86" s="186" t="str">
        <f>IFERROR(IF(compras_mes11[[#This Row],[CUIT]]="","-",VLOOKUP(compras_mes11[[#This Row],[CUIT]],Lista_CUIT[#All],2,0)),"CUIT NO CARGADO")</f>
        <v>PARQUE DISTRI SRL</v>
      </c>
      <c r="H86" s="190">
        <v>13747.35</v>
      </c>
      <c r="I86" s="187">
        <f>IF(compras_mes11[[#This Row],[NETO GRAVADO]]="","",compras_mes11[[#This Row],[NETO GRAVADO]]*0.21)</f>
        <v>2886.9434999999999</v>
      </c>
      <c r="J86" s="187"/>
      <c r="K86" s="187"/>
      <c r="L86" s="187"/>
      <c r="M86" s="187"/>
      <c r="N86" s="187"/>
      <c r="O86" s="187"/>
      <c r="P86" s="188">
        <f>SUM(compras_mes11[[#This Row],[NETO GRAVADO]:[Otros / No Grav.]])</f>
        <v>16634.2935</v>
      </c>
      <c r="Q86" s="189" t="str">
        <f>IFERROR(IF(compras_mes11[[#This Row],[CUIT]]="","-",VLOOKUP(compras_mes11[[#This Row],[CUIT]],Lista_CUIT[#All],3,0)),"CUIT NO CARGADO")</f>
        <v>Gastos Varios</v>
      </c>
      <c r="R86" s="189">
        <f>IFERROR(IF(compras_mes11[[#This Row],[CUIT]]="","-",VLOOKUP(compras_mes11[[#This Row],[CUIT]],Lista_CUIT[#All],4,0)),"CUIT NO CARGADO")</f>
        <v>0</v>
      </c>
    </row>
    <row r="87" spans="2:18" s="158" customFormat="1" x14ac:dyDescent="0.3">
      <c r="B87" s="181">
        <v>44844</v>
      </c>
      <c r="C87" s="37">
        <v>1</v>
      </c>
      <c r="D87" s="183">
        <v>6</v>
      </c>
      <c r="E87" s="184">
        <v>12964867</v>
      </c>
      <c r="F87" s="185">
        <v>30620177497</v>
      </c>
      <c r="G87" s="186" t="str">
        <f>IFERROR(IF(compras_mes11[[#This Row],[CUIT]]="","-",VLOOKUP(compras_mes11[[#This Row],[CUIT]],Lista_CUIT[#All],2,0)),"CUIT NO CARGADO")</f>
        <v>POSNET SRL</v>
      </c>
      <c r="H87" s="190">
        <v>2824</v>
      </c>
      <c r="I87" s="187">
        <f>IF(compras_mes11[[#This Row],[NETO GRAVADO]]="","",compras_mes11[[#This Row],[NETO GRAVADO]]*0.21)</f>
        <v>593.04</v>
      </c>
      <c r="J87" s="187"/>
      <c r="K87" s="187"/>
      <c r="L87" s="187"/>
      <c r="M87" s="187"/>
      <c r="N87" s="187"/>
      <c r="O87" s="187"/>
      <c r="P87" s="188">
        <f>SUM(compras_mes11[[#This Row],[NETO GRAVADO]:[Otros / No Grav.]])</f>
        <v>3417.04</v>
      </c>
      <c r="Q87" s="189" t="str">
        <f>IFERROR(IF(compras_mes11[[#This Row],[CUIT]]="","-",VLOOKUP(compras_mes11[[#This Row],[CUIT]],Lista_CUIT[#All],3,0)),"CUIT NO CARGADO")</f>
        <v>Gtos Comercializacion</v>
      </c>
      <c r="R87" s="189">
        <f>IFERROR(IF(compras_mes11[[#This Row],[CUIT]]="","-",VLOOKUP(compras_mes11[[#This Row],[CUIT]],Lista_CUIT[#All],4,0)),"CUIT NO CARGADO")</f>
        <v>0</v>
      </c>
    </row>
    <row r="88" spans="2:18" s="158" customFormat="1" x14ac:dyDescent="0.3">
      <c r="B88" s="181">
        <v>44844</v>
      </c>
      <c r="C88" s="37">
        <v>1</v>
      </c>
      <c r="D88" s="183">
        <v>6</v>
      </c>
      <c r="E88" s="184">
        <v>12971908</v>
      </c>
      <c r="F88" s="185">
        <v>30620177497</v>
      </c>
      <c r="G88" s="186" t="str">
        <f>IFERROR(IF(compras_mes11[[#This Row],[CUIT]]="","-",VLOOKUP(compras_mes11[[#This Row],[CUIT]],Lista_CUIT[#All],2,0)),"CUIT NO CARGADO")</f>
        <v>POSNET SRL</v>
      </c>
      <c r="H88" s="190">
        <v>2824</v>
      </c>
      <c r="I88" s="187">
        <f>IF(compras_mes11[[#This Row],[NETO GRAVADO]]="","",compras_mes11[[#This Row],[NETO GRAVADO]]*0.21)</f>
        <v>593.04</v>
      </c>
      <c r="J88" s="187"/>
      <c r="K88" s="187"/>
      <c r="L88" s="187"/>
      <c r="M88" s="187"/>
      <c r="N88" s="187"/>
      <c r="O88" s="187"/>
      <c r="P88" s="188">
        <f>SUM(compras_mes11[[#This Row],[NETO GRAVADO]:[Otros / No Grav.]])</f>
        <v>3417.04</v>
      </c>
      <c r="Q88" s="189" t="str">
        <f>IFERROR(IF(compras_mes11[[#This Row],[CUIT]]="","-",VLOOKUP(compras_mes11[[#This Row],[CUIT]],Lista_CUIT[#All],3,0)),"CUIT NO CARGADO")</f>
        <v>Gtos Comercializacion</v>
      </c>
      <c r="R88" s="189">
        <f>IFERROR(IF(compras_mes11[[#This Row],[CUIT]]="","-",VLOOKUP(compras_mes11[[#This Row],[CUIT]],Lista_CUIT[#All],4,0)),"CUIT NO CARGADO")</f>
        <v>0</v>
      </c>
    </row>
    <row r="89" spans="2:18" x14ac:dyDescent="0.3">
      <c r="B89" s="181">
        <v>44844</v>
      </c>
      <c r="C89" s="37">
        <v>1</v>
      </c>
      <c r="D89" s="183">
        <v>6</v>
      </c>
      <c r="E89" s="184">
        <v>12972173</v>
      </c>
      <c r="F89" s="185">
        <v>30620177497</v>
      </c>
      <c r="G89" s="186" t="str">
        <f>IFERROR(IF(compras_mes11[[#This Row],[CUIT]]="","-",VLOOKUP(compras_mes11[[#This Row],[CUIT]],Lista_CUIT[#All],2,0)),"CUIT NO CARGADO")</f>
        <v>POSNET SRL</v>
      </c>
      <c r="H89" s="190">
        <v>2824</v>
      </c>
      <c r="I89" s="187">
        <f>IF(compras_mes11[[#This Row],[NETO GRAVADO]]="","",compras_mes11[[#This Row],[NETO GRAVADO]]*0.21)</f>
        <v>593.04</v>
      </c>
      <c r="J89" s="187"/>
      <c r="K89" s="187"/>
      <c r="L89" s="187"/>
      <c r="M89" s="187"/>
      <c r="N89" s="187"/>
      <c r="O89" s="187"/>
      <c r="P89" s="188">
        <f>SUM(compras_mes11[[#This Row],[NETO GRAVADO]:[Otros / No Grav.]])</f>
        <v>3417.04</v>
      </c>
      <c r="Q89" s="189" t="str">
        <f>IFERROR(IF(compras_mes11[[#This Row],[CUIT]]="","-",VLOOKUP(compras_mes11[[#This Row],[CUIT]],Lista_CUIT[#All],3,0)),"CUIT NO CARGADO")</f>
        <v>Gtos Comercializacion</v>
      </c>
      <c r="R89" s="189">
        <f>IFERROR(IF(compras_mes11[[#This Row],[CUIT]]="","-",VLOOKUP(compras_mes11[[#This Row],[CUIT]],Lista_CUIT[#All],4,0)),"CUIT NO CARGADO")</f>
        <v>0</v>
      </c>
    </row>
    <row r="90" spans="2:18" x14ac:dyDescent="0.3">
      <c r="B90" s="181">
        <v>44844</v>
      </c>
      <c r="C90" s="37">
        <v>1</v>
      </c>
      <c r="D90" s="183">
        <v>6</v>
      </c>
      <c r="E90" s="184">
        <v>12985916</v>
      </c>
      <c r="F90" s="185">
        <v>30620177497</v>
      </c>
      <c r="G90" s="186" t="str">
        <f>IFERROR(IF(compras_mes11[[#This Row],[CUIT]]="","-",VLOOKUP(compras_mes11[[#This Row],[CUIT]],Lista_CUIT[#All],2,0)),"CUIT NO CARGADO")</f>
        <v>POSNET SRL</v>
      </c>
      <c r="H90" s="190">
        <v>8472</v>
      </c>
      <c r="I90" s="187">
        <f>IF(compras_mes11[[#This Row],[NETO GRAVADO]]="","",compras_mes11[[#This Row],[NETO GRAVADO]]*0.21)</f>
        <v>1779.12</v>
      </c>
      <c r="J90" s="187"/>
      <c r="K90" s="187"/>
      <c r="L90" s="187"/>
      <c r="M90" s="187"/>
      <c r="N90" s="187"/>
      <c r="O90" s="187"/>
      <c r="P90" s="188">
        <f>SUM(compras_mes11[[#This Row],[NETO GRAVADO]:[Otros / No Grav.]])</f>
        <v>10251.119999999999</v>
      </c>
      <c r="Q90" s="189" t="str">
        <f>IFERROR(IF(compras_mes11[[#This Row],[CUIT]]="","-",VLOOKUP(compras_mes11[[#This Row],[CUIT]],Lista_CUIT[#All],3,0)),"CUIT NO CARGADO")</f>
        <v>Gtos Comercializacion</v>
      </c>
      <c r="R90" s="189">
        <f>IFERROR(IF(compras_mes11[[#This Row],[CUIT]]="","-",VLOOKUP(compras_mes11[[#This Row],[CUIT]],Lista_CUIT[#All],4,0)),"CUIT NO CARGADO")</f>
        <v>0</v>
      </c>
    </row>
    <row r="91" spans="2:18" s="158" customFormat="1" x14ac:dyDescent="0.3">
      <c r="B91" s="181">
        <v>44854</v>
      </c>
      <c r="C91" s="37">
        <v>1</v>
      </c>
      <c r="D91" s="183">
        <v>4</v>
      </c>
      <c r="E91" s="184">
        <v>18172</v>
      </c>
      <c r="F91" s="185">
        <v>30552433595</v>
      </c>
      <c r="G91" s="186" t="str">
        <f>IFERROR(IF(compras_mes11[[#This Row],[CUIT]]="","-",VLOOKUP(compras_mes11[[#This Row],[CUIT]],Lista_CUIT[#All],2,0)),"CUIT NO CARGADO")</f>
        <v>PIROPLAST  S.R.L.</v>
      </c>
      <c r="H91" s="190">
        <v>185648.4</v>
      </c>
      <c r="I91" s="187">
        <f>IF(compras_mes11[[#This Row],[NETO GRAVADO]]="","",compras_mes11[[#This Row],[NETO GRAVADO]]*0.21)</f>
        <v>38986.163999999997</v>
      </c>
      <c r="J91" s="187"/>
      <c r="K91" s="187"/>
      <c r="L91" s="187"/>
      <c r="M91" s="187"/>
      <c r="N91" s="187"/>
      <c r="O91" s="187"/>
      <c r="P91" s="188">
        <f>SUM(compras_mes11[[#This Row],[NETO GRAVADO]:[Otros / No Grav.]])</f>
        <v>224634.56399999998</v>
      </c>
      <c r="Q91" s="189" t="str">
        <f>IFERROR(IF(compras_mes11[[#This Row],[CUIT]]="","-",VLOOKUP(compras_mes11[[#This Row],[CUIT]],Lista_CUIT[#All],3,0)),"CUIT NO CARGADO")</f>
        <v>Gtos Comercializacion</v>
      </c>
      <c r="R91" s="189">
        <f>IFERROR(IF(compras_mes11[[#This Row],[CUIT]]="","-",VLOOKUP(compras_mes11[[#This Row],[CUIT]],Lista_CUIT[#All],4,0)),"CUIT NO CARGADO")</f>
        <v>0</v>
      </c>
    </row>
    <row r="92" spans="2:18" s="158" customFormat="1" x14ac:dyDescent="0.3">
      <c r="B92" s="36">
        <v>44863</v>
      </c>
      <c r="C92" s="182">
        <v>3</v>
      </c>
      <c r="D92" s="38">
        <v>27</v>
      </c>
      <c r="E92" s="39">
        <v>29107</v>
      </c>
      <c r="F92" s="40">
        <v>30703088534</v>
      </c>
      <c r="G92" s="41" t="str">
        <f>IFERROR(IF(compras_mes11[[#This Row],[CUIT]]="","-",VLOOKUP(compras_mes11[[#This Row],[CUIT]],Lista_CUIT[#All],2,0)),"CUIT NO CARGADO")</f>
        <v>MERCADO LIBRE SRL</v>
      </c>
      <c r="H92" s="197">
        <v>-538.51</v>
      </c>
      <c r="I92" s="81">
        <f>IF(compras_mes11[[#This Row],[NETO GRAVADO]]="","",compras_mes11[[#This Row],[NETO GRAVADO]]*0.21)</f>
        <v>-113.08709999999999</v>
      </c>
      <c r="J92" s="81"/>
      <c r="K92" s="81"/>
      <c r="L92" s="81"/>
      <c r="M92" s="81"/>
      <c r="N92" s="81"/>
      <c r="O92" s="81"/>
      <c r="P92" s="44">
        <f>SUM(compras_mes11[[#This Row],[NETO GRAVADO]:[Otros / No Grav.]])</f>
        <v>-651.59709999999995</v>
      </c>
      <c r="Q92" s="45" t="str">
        <f>IFERROR(IF(compras_mes11[[#This Row],[CUIT]]="","-",VLOOKUP(compras_mes11[[#This Row],[CUIT]],Lista_CUIT[#All],3,0)),"CUIT NO CARGADO")</f>
        <v>Gtos Comercializacion</v>
      </c>
      <c r="R92" s="45">
        <f>IFERROR(IF(compras_mes11[[#This Row],[CUIT]]="","-",VLOOKUP(compras_mes11[[#This Row],[CUIT]],Lista_CUIT[#All],4,0)),"CUIT NO CARGADO")</f>
        <v>0</v>
      </c>
    </row>
    <row r="93" spans="2:18" s="158" customFormat="1" x14ac:dyDescent="0.3">
      <c r="B93" s="181">
        <v>44863</v>
      </c>
      <c r="C93" s="37">
        <v>1</v>
      </c>
      <c r="D93" s="183">
        <v>27</v>
      </c>
      <c r="E93" s="184">
        <v>706136</v>
      </c>
      <c r="F93" s="185">
        <v>30703088534</v>
      </c>
      <c r="G93" s="186" t="str">
        <f>IFERROR(IF(compras_mes11[[#This Row],[CUIT]]="","-",VLOOKUP(compras_mes11[[#This Row],[CUIT]],Lista_CUIT[#All],2,0)),"CUIT NO CARGADO")</f>
        <v>MERCADO LIBRE SRL</v>
      </c>
      <c r="H93" s="190">
        <v>165425.53</v>
      </c>
      <c r="I93" s="187">
        <f>IF(compras_mes11[[#This Row],[NETO GRAVADO]]="","",compras_mes11[[#This Row],[NETO GRAVADO]]*0.21)</f>
        <v>34739.361299999997</v>
      </c>
      <c r="J93" s="187"/>
      <c r="K93" s="187"/>
      <c r="L93" s="187"/>
      <c r="M93" s="187"/>
      <c r="N93" s="187"/>
      <c r="O93" s="187"/>
      <c r="P93" s="188">
        <f>SUM(compras_mes11[[#This Row],[NETO GRAVADO]:[Otros / No Grav.]])</f>
        <v>200164.89129999999</v>
      </c>
      <c r="Q93" s="189" t="str">
        <f>IFERROR(IF(compras_mes11[[#This Row],[CUIT]]="","-",VLOOKUP(compras_mes11[[#This Row],[CUIT]],Lista_CUIT[#All],3,0)),"CUIT NO CARGADO")</f>
        <v>Gtos Comercializacion</v>
      </c>
      <c r="R93" s="189">
        <f>IFERROR(IF(compras_mes11[[#This Row],[CUIT]]="","-",VLOOKUP(compras_mes11[[#This Row],[CUIT]],Lista_CUIT[#All],4,0)),"CUIT NO CARGADO")</f>
        <v>0</v>
      </c>
    </row>
    <row r="94" spans="2:18" x14ac:dyDescent="0.3">
      <c r="B94" s="198">
        <v>44863</v>
      </c>
      <c r="C94" s="37">
        <v>1</v>
      </c>
      <c r="D94" s="183">
        <v>11</v>
      </c>
      <c r="E94" s="184">
        <v>2078554</v>
      </c>
      <c r="F94" s="185">
        <v>30703088534</v>
      </c>
      <c r="G94" s="186" t="str">
        <f>IFERROR(IF(compras_mes11[[#This Row],[CUIT]]="","-",VLOOKUP(compras_mes11[[#This Row],[CUIT]],Lista_CUIT[#All],2,0)),"CUIT NO CARGADO")</f>
        <v>MERCADO LIBRE SRL</v>
      </c>
      <c r="H94" s="190">
        <v>1611.57</v>
      </c>
      <c r="I94" s="187">
        <f>IF(compras_mes11[[#This Row],[NETO GRAVADO]]="","",compras_mes11[[#This Row],[NETO GRAVADO]]*0.21)</f>
        <v>338.42969999999997</v>
      </c>
      <c r="J94" s="187"/>
      <c r="K94" s="187"/>
      <c r="L94" s="187"/>
      <c r="M94" s="187"/>
      <c r="N94" s="187"/>
      <c r="O94" s="187"/>
      <c r="P94" s="188">
        <f>SUM(compras_mes11[[#This Row],[NETO GRAVADO]:[Otros / No Grav.]])</f>
        <v>1949.9996999999998</v>
      </c>
      <c r="Q94" s="189" t="str">
        <f>IFERROR(IF(compras_mes11[[#This Row],[CUIT]]="","-",VLOOKUP(compras_mes11[[#This Row],[CUIT]],Lista_CUIT[#All],3,0)),"CUIT NO CARGADO")</f>
        <v>Gtos Comercializacion</v>
      </c>
      <c r="R94" s="189">
        <f>IFERROR(IF(compras_mes11[[#This Row],[CUIT]]="","-",VLOOKUP(compras_mes11[[#This Row],[CUIT]],Lista_CUIT[#All],4,0)),"CUIT NO CARGADO")</f>
        <v>0</v>
      </c>
    </row>
    <row r="95" spans="2:18" x14ac:dyDescent="0.3">
      <c r="B95" s="36">
        <v>44848</v>
      </c>
      <c r="C95" s="37">
        <v>1</v>
      </c>
      <c r="D95" s="38">
        <v>1</v>
      </c>
      <c r="E95" s="39">
        <v>2271</v>
      </c>
      <c r="F95" s="185">
        <v>20103906149</v>
      </c>
      <c r="G95" s="41" t="str">
        <f>IFERROR(IF(compras_mes11[[#This Row],[CUIT]]="","-",VLOOKUP(compras_mes11[[#This Row],[CUIT]],Lista_CUIT[#All],2,0)),"CUIT NO CARGADO")</f>
        <v>MC LEAN ROBERTO</v>
      </c>
      <c r="H95" s="197">
        <v>61300</v>
      </c>
      <c r="I95" s="81">
        <f>IF(compras_mes11[[#This Row],[NETO GRAVADO]]="","",compras_mes11[[#This Row],[NETO GRAVADO]]*0.21)</f>
        <v>12873</v>
      </c>
      <c r="J95" s="81"/>
      <c r="K95" s="81"/>
      <c r="L95" s="81"/>
      <c r="M95" s="81"/>
      <c r="N95" s="81"/>
      <c r="O95" s="81"/>
      <c r="P95" s="44">
        <f>SUM(compras_mes11[[#This Row],[NETO GRAVADO]:[Otros / No Grav.]])</f>
        <v>74173</v>
      </c>
      <c r="Q95" s="45" t="str">
        <f>IFERROR(IF(compras_mes11[[#This Row],[CUIT]]="","-",VLOOKUP(compras_mes11[[#This Row],[CUIT]],Lista_CUIT[#All],3,0)),"CUIT NO CARGADO")</f>
        <v>Honorarios Contables</v>
      </c>
      <c r="R95" s="45">
        <f>IFERROR(IF(compras_mes11[[#This Row],[CUIT]]="","-",VLOOKUP(compras_mes11[[#This Row],[CUIT]],Lista_CUIT[#All],4,0)),"CUIT NO CARGADO")</f>
        <v>0</v>
      </c>
    </row>
    <row r="96" spans="2:18" x14ac:dyDescent="0.3">
      <c r="B96" s="181">
        <v>44839</v>
      </c>
      <c r="C96" s="37">
        <v>1</v>
      </c>
      <c r="D96" s="183">
        <v>24</v>
      </c>
      <c r="E96" s="184">
        <v>40924</v>
      </c>
      <c r="F96" s="185">
        <v>30707838260</v>
      </c>
      <c r="G96" s="186" t="str">
        <f>IFERROR(IF(compras_mes11[[#This Row],[CUIT]]="","-",VLOOKUP(compras_mes11[[#This Row],[CUIT]],Lista_CUIT[#All],2,0)),"CUIT NO CARGADO")</f>
        <v>EL INSUMO S.R.L.</v>
      </c>
      <c r="H96" s="190">
        <v>30479.34</v>
      </c>
      <c r="I96" s="187">
        <f>IF(compras_mes11[[#This Row],[NETO GRAVADO]]="","",compras_mes11[[#This Row],[NETO GRAVADO]]*0.21)</f>
        <v>6400.6614</v>
      </c>
      <c r="J96" s="187"/>
      <c r="K96" s="187"/>
      <c r="L96" s="187"/>
      <c r="M96" s="187"/>
      <c r="N96" s="187"/>
      <c r="O96" s="187"/>
      <c r="P96" s="188">
        <f>SUM(compras_mes11[[#This Row],[NETO GRAVADO]:[Otros / No Grav.]])</f>
        <v>36880.001400000001</v>
      </c>
      <c r="Q96" s="189" t="str">
        <f>IFERROR(IF(compras_mes11[[#This Row],[CUIT]]="","-",VLOOKUP(compras_mes11[[#This Row],[CUIT]],Lista_CUIT[#All],3,0)),"CUIT NO CARGADO")</f>
        <v>Librería</v>
      </c>
      <c r="R96" s="189">
        <f>IFERROR(IF(compras_mes11[[#This Row],[CUIT]]="","-",VLOOKUP(compras_mes11[[#This Row],[CUIT]],Lista_CUIT[#All],4,0)),"CUIT NO CARGADO")</f>
        <v>0</v>
      </c>
    </row>
    <row r="97" spans="2:18" x14ac:dyDescent="0.3">
      <c r="B97" s="181">
        <v>44847</v>
      </c>
      <c r="C97" s="37">
        <v>1</v>
      </c>
      <c r="D97" s="183">
        <v>10</v>
      </c>
      <c r="E97" s="184">
        <v>1607</v>
      </c>
      <c r="F97" s="185">
        <v>23127284369</v>
      </c>
      <c r="G97" s="186" t="str">
        <f>IFERROR(IF(compras_mes11[[#This Row],[CUIT]]="","-",VLOOKUP(compras_mes11[[#This Row],[CUIT]],Lista_CUIT[#All],2,0)),"CUIT NO CARGADO")</f>
        <v>DEALER  FX  -  MONTORRO  D.</v>
      </c>
      <c r="H97" s="190">
        <v>24432.28</v>
      </c>
      <c r="I97" s="187">
        <f>IF(compras_mes11[[#This Row],[NETO GRAVADO]]="","",compras_mes11[[#This Row],[NETO GRAVADO]]*0.21)</f>
        <v>5130.7787999999991</v>
      </c>
      <c r="J97" s="187"/>
      <c r="K97" s="187"/>
      <c r="L97" s="187"/>
      <c r="M97" s="187"/>
      <c r="N97" s="187"/>
      <c r="O97" s="187"/>
      <c r="P97" s="188">
        <f>SUM(compras_mes11[[#This Row],[NETO GRAVADO]:[Otros / No Grav.]])</f>
        <v>29563.058799999999</v>
      </c>
      <c r="Q97" s="189" t="str">
        <f>IFERROR(IF(compras_mes11[[#This Row],[CUIT]]="","-",VLOOKUP(compras_mes11[[#This Row],[CUIT]],Lista_CUIT[#All],3,0)),"CUIT NO CARGADO")</f>
        <v>Librería</v>
      </c>
      <c r="R97" s="189">
        <f>IFERROR(IF(compras_mes11[[#This Row],[CUIT]]="","-",VLOOKUP(compras_mes11[[#This Row],[CUIT]],Lista_CUIT[#All],4,0)),"CUIT NO CARGADO")</f>
        <v>0</v>
      </c>
    </row>
    <row r="98" spans="2:18" x14ac:dyDescent="0.3">
      <c r="B98" s="181">
        <v>44853</v>
      </c>
      <c r="C98" s="37">
        <v>1</v>
      </c>
      <c r="D98" s="183">
        <v>1</v>
      </c>
      <c r="E98" s="184">
        <v>34555</v>
      </c>
      <c r="F98" s="185">
        <v>30715188674</v>
      </c>
      <c r="G98" s="186" t="str">
        <f>IFERROR(IF(compras_mes11[[#This Row],[CUIT]]="","-",VLOOKUP(compras_mes11[[#This Row],[CUIT]],Lista_CUIT[#All],2,0)),"CUIT NO CARGADO")</f>
        <v>GC COMERCIAL S.R.L.</v>
      </c>
      <c r="H98" s="190">
        <v>680.63</v>
      </c>
      <c r="I98" s="187">
        <f>IF(compras_mes11[[#This Row],[NETO GRAVADO]]="","",compras_mes11[[#This Row],[NETO GRAVADO]]*0.21)</f>
        <v>142.9323</v>
      </c>
      <c r="J98" s="187"/>
      <c r="K98" s="187"/>
      <c r="L98" s="187"/>
      <c r="M98" s="187"/>
      <c r="N98" s="187"/>
      <c r="O98" s="187"/>
      <c r="P98" s="188">
        <f>SUM(compras_mes11[[#This Row],[NETO GRAVADO]:[Otros / No Grav.]])</f>
        <v>823.56230000000005</v>
      </c>
      <c r="Q98" s="189" t="str">
        <f>IFERROR(IF(compras_mes11[[#This Row],[CUIT]]="","-",VLOOKUP(compras_mes11[[#This Row],[CUIT]],Lista_CUIT[#All],3,0)),"CUIT NO CARGADO")</f>
        <v>Librería</v>
      </c>
      <c r="R98" s="189">
        <f>IFERROR(IF(compras_mes11[[#This Row],[CUIT]]="","-",VLOOKUP(compras_mes11[[#This Row],[CUIT]],Lista_CUIT[#All],4,0)),"CUIT NO CARGADO")</f>
        <v>0</v>
      </c>
    </row>
    <row r="99" spans="2:18" x14ac:dyDescent="0.3">
      <c r="B99" s="181">
        <v>44859</v>
      </c>
      <c r="C99" s="37">
        <v>1</v>
      </c>
      <c r="D99" s="183">
        <v>3</v>
      </c>
      <c r="E99" s="184">
        <v>30356</v>
      </c>
      <c r="F99" s="185">
        <v>30714012734</v>
      </c>
      <c r="G99" s="186" t="str">
        <f>IFERROR(IF(compras_mes11[[#This Row],[CUIT]]="","-",VLOOKUP(compras_mes11[[#This Row],[CUIT]],Lista_CUIT[#All],2,0)),"CUIT NO CARGADO")</f>
        <v>BKL S.A.</v>
      </c>
      <c r="H99" s="190">
        <v>39150</v>
      </c>
      <c r="I99" s="187">
        <f>IF(compras_mes11[[#This Row],[NETO GRAVADO]]="","",compras_mes11[[#This Row],[NETO GRAVADO]]*0.21)</f>
        <v>8221.5</v>
      </c>
      <c r="J99" s="187"/>
      <c r="K99" s="187"/>
      <c r="L99" s="187"/>
      <c r="M99" s="187"/>
      <c r="N99" s="187"/>
      <c r="O99" s="187"/>
      <c r="P99" s="188">
        <f>SUM(compras_mes11[[#This Row],[NETO GRAVADO]:[Otros / No Grav.]])</f>
        <v>47371.5</v>
      </c>
      <c r="Q99" s="189" t="str">
        <f>IFERROR(IF(compras_mes11[[#This Row],[CUIT]]="","-",VLOOKUP(compras_mes11[[#This Row],[CUIT]],Lista_CUIT[#All],3,0)),"CUIT NO CARGADO")</f>
        <v>Librería</v>
      </c>
      <c r="R99" s="189">
        <f>IFERROR(IF(compras_mes11[[#This Row],[CUIT]]="","-",VLOOKUP(compras_mes11[[#This Row],[CUIT]],Lista_CUIT[#All],4,0)),"CUIT NO CARGADO")</f>
        <v>0</v>
      </c>
    </row>
    <row r="100" spans="2:18" x14ac:dyDescent="0.3">
      <c r="B100" s="181">
        <v>44862</v>
      </c>
      <c r="C100" s="37">
        <v>1</v>
      </c>
      <c r="D100" s="183">
        <v>6</v>
      </c>
      <c r="E100" s="184">
        <v>3264</v>
      </c>
      <c r="F100" s="185">
        <v>20232507978</v>
      </c>
      <c r="G100" s="186" t="str">
        <f>IFERROR(IF(compras_mes11[[#This Row],[CUIT]]="","-",VLOOKUP(compras_mes11[[#This Row],[CUIT]],Lista_CUIT[#All],2,0)),"CUIT NO CARGADO")</f>
        <v>RUA DIEGO ADRIAN</v>
      </c>
      <c r="H100" s="190">
        <v>64132.23</v>
      </c>
      <c r="I100" s="187">
        <f>IF(compras_mes11[[#This Row],[NETO GRAVADO]]="","",compras_mes11[[#This Row],[NETO GRAVADO]]*0.21)</f>
        <v>13467.7683</v>
      </c>
      <c r="J100" s="187"/>
      <c r="K100" s="187"/>
      <c r="L100" s="187"/>
      <c r="M100" s="187"/>
      <c r="N100" s="187"/>
      <c r="O100" s="187"/>
      <c r="P100" s="188">
        <f>SUM(compras_mes11[[#This Row],[NETO GRAVADO]:[Otros / No Grav.]])</f>
        <v>77599.998300000007</v>
      </c>
      <c r="Q100" s="189" t="str">
        <f>IFERROR(IF(compras_mes11[[#This Row],[CUIT]]="","-",VLOOKUP(compras_mes11[[#This Row],[CUIT]],Lista_CUIT[#All],3,0)),"CUIT NO CARGADO")</f>
        <v>Librería</v>
      </c>
      <c r="R100" s="189">
        <f>IFERROR(IF(compras_mes11[[#This Row],[CUIT]]="","-",VLOOKUP(compras_mes11[[#This Row],[CUIT]],Lista_CUIT[#All],4,0)),"CUIT NO CARGADO")</f>
        <v>0</v>
      </c>
    </row>
    <row r="101" spans="2:18" x14ac:dyDescent="0.3">
      <c r="B101" s="181">
        <v>44848</v>
      </c>
      <c r="C101" s="37">
        <v>1</v>
      </c>
      <c r="D101" s="183">
        <v>57</v>
      </c>
      <c r="E101" s="184">
        <v>1097</v>
      </c>
      <c r="F101" s="185">
        <v>30708784067</v>
      </c>
      <c r="G101" s="186" t="str">
        <f>IFERROR(IF(compras_mes11[[#This Row],[CUIT]]="","-",VLOOKUP(compras_mes11[[#This Row],[CUIT]],Lista_CUIT[#All],2,0)),"CUIT NO CARGADO")</f>
        <v>MIJORMI SOCIEDAD DE RESPONSABILIDAD LIMITADA</v>
      </c>
      <c r="H101" s="190">
        <v>22053.72</v>
      </c>
      <c r="I101" s="187">
        <f>IF(compras_mes11[[#This Row],[NETO GRAVADO]]="","",compras_mes11[[#This Row],[NETO GRAVADO]]*0.21)</f>
        <v>4631.2812000000004</v>
      </c>
      <c r="J101" s="187"/>
      <c r="K101" s="187"/>
      <c r="L101" s="187"/>
      <c r="M101" s="187"/>
      <c r="N101" s="203">
        <v>1323.22</v>
      </c>
      <c r="O101" s="187"/>
      <c r="P101" s="188">
        <f>SUM(compras_mes11[[#This Row],[NETO GRAVADO]:[Otros / No Grav.]])</f>
        <v>28008.221200000004</v>
      </c>
      <c r="Q101" s="189" t="str">
        <f>IFERROR(IF(compras_mes11[[#This Row],[CUIT]]="","-",VLOOKUP(compras_mes11[[#This Row],[CUIT]],Lista_CUIT[#All],3,0)),"CUIT NO CARGADO")</f>
        <v>Mantenimiento</v>
      </c>
      <c r="R101" s="189">
        <f>IFERROR(IF(compras_mes11[[#This Row],[CUIT]]="","-",VLOOKUP(compras_mes11[[#This Row],[CUIT]],Lista_CUIT[#All],4,0)),"CUIT NO CARGADO")</f>
        <v>0</v>
      </c>
    </row>
    <row r="102" spans="2:18" x14ac:dyDescent="0.3">
      <c r="B102" s="181">
        <v>44848</v>
      </c>
      <c r="C102" s="37">
        <v>1</v>
      </c>
      <c r="D102" s="183">
        <v>57</v>
      </c>
      <c r="E102" s="184">
        <v>1098</v>
      </c>
      <c r="F102" s="185">
        <v>30708784067</v>
      </c>
      <c r="G102" s="186" t="str">
        <f>IFERROR(IF(compras_mes11[[#This Row],[CUIT]]="","-",VLOOKUP(compras_mes11[[#This Row],[CUIT]],Lista_CUIT[#All],2,0)),"CUIT NO CARGADO")</f>
        <v>MIJORMI SOCIEDAD DE RESPONSABILIDAD LIMITADA</v>
      </c>
      <c r="H102" s="190">
        <v>29743.8</v>
      </c>
      <c r="I102" s="187">
        <f>IF(compras_mes11[[#This Row],[NETO GRAVADO]]="","",compras_mes11[[#This Row],[NETO GRAVADO]]*0.21)</f>
        <v>6246.1979999999994</v>
      </c>
      <c r="J102" s="187"/>
      <c r="K102" s="187"/>
      <c r="L102" s="187"/>
      <c r="M102" s="187"/>
      <c r="N102" s="187"/>
      <c r="O102" s="187"/>
      <c r="P102" s="188">
        <f>SUM(compras_mes11[[#This Row],[NETO GRAVADO]:[Otros / No Grav.]])</f>
        <v>35989.998</v>
      </c>
      <c r="Q102" s="189" t="str">
        <f>IFERROR(IF(compras_mes11[[#This Row],[CUIT]]="","-",VLOOKUP(compras_mes11[[#This Row],[CUIT]],Lista_CUIT[#All],3,0)),"CUIT NO CARGADO")</f>
        <v>Mantenimiento</v>
      </c>
      <c r="R102" s="189">
        <f>IFERROR(IF(compras_mes11[[#This Row],[CUIT]]="","-",VLOOKUP(compras_mes11[[#This Row],[CUIT]],Lista_CUIT[#All],4,0)),"CUIT NO CARGADO")</f>
        <v>0</v>
      </c>
    </row>
    <row r="103" spans="2:18" x14ac:dyDescent="0.3">
      <c r="B103" s="36">
        <v>44855</v>
      </c>
      <c r="C103" s="182">
        <v>3</v>
      </c>
      <c r="D103" s="38">
        <v>57</v>
      </c>
      <c r="E103" s="39">
        <v>62</v>
      </c>
      <c r="F103" s="40">
        <v>30708784067</v>
      </c>
      <c r="G103" s="41" t="str">
        <f>IFERROR(IF(compras_mes11[[#This Row],[CUIT]]="","-",VLOOKUP(compras_mes11[[#This Row],[CUIT]],Lista_CUIT[#All],2,0)),"CUIT NO CARGADO")</f>
        <v>MIJORMI SOCIEDAD DE RESPONSABILIDAD LIMITADA</v>
      </c>
      <c r="H103" s="197">
        <v>-24165.29</v>
      </c>
      <c r="I103" s="81">
        <f>IF(compras_mes11[[#This Row],[NETO GRAVADO]]="","",compras_mes11[[#This Row],[NETO GRAVADO]]*0.21)</f>
        <v>-5074.7109</v>
      </c>
      <c r="J103" s="81"/>
      <c r="K103" s="81"/>
      <c r="L103" s="81"/>
      <c r="M103" s="81"/>
      <c r="N103" s="81"/>
      <c r="O103" s="81"/>
      <c r="P103" s="44">
        <f>SUM(compras_mes11[[#This Row],[NETO GRAVADO]:[Otros / No Grav.]])</f>
        <v>-29240.000899999999</v>
      </c>
      <c r="Q103" s="45" t="str">
        <f>IFERROR(IF(compras_mes11[[#This Row],[CUIT]]="","-",VLOOKUP(compras_mes11[[#This Row],[CUIT]],Lista_CUIT[#All],3,0)),"CUIT NO CARGADO")</f>
        <v>Mantenimiento</v>
      </c>
      <c r="R103" s="45">
        <f>IFERROR(IF(compras_mes11[[#This Row],[CUIT]]="","-",VLOOKUP(compras_mes11[[#This Row],[CUIT]],Lista_CUIT[#All],4,0)),"CUIT NO CARGADO")</f>
        <v>0</v>
      </c>
    </row>
    <row r="104" spans="2:18" x14ac:dyDescent="0.3">
      <c r="B104" s="181">
        <v>44855</v>
      </c>
      <c r="C104" s="37">
        <v>1</v>
      </c>
      <c r="D104" s="183">
        <v>57</v>
      </c>
      <c r="E104" s="184">
        <v>1180</v>
      </c>
      <c r="F104" s="185">
        <v>30708784067</v>
      </c>
      <c r="G104" s="186" t="str">
        <f>IFERROR(IF(compras_mes11[[#This Row],[CUIT]]="","-",VLOOKUP(compras_mes11[[#This Row],[CUIT]],Lista_CUIT[#All],2,0)),"CUIT NO CARGADO")</f>
        <v>MIJORMI SOCIEDAD DE RESPONSABILIDAD LIMITADA</v>
      </c>
      <c r="H104" s="190">
        <v>42928.73</v>
      </c>
      <c r="I104" s="187">
        <f>IF(compras_mes11[[#This Row],[NETO GRAVADO]]="","",compras_mes11[[#This Row],[NETO GRAVADO]]*0.21)</f>
        <v>9015.033300000001</v>
      </c>
      <c r="J104" s="187"/>
      <c r="K104" s="187"/>
      <c r="L104" s="187"/>
      <c r="M104" s="187"/>
      <c r="N104" s="187"/>
      <c r="O104" s="187">
        <v>2575.7199999999998</v>
      </c>
      <c r="P104" s="188">
        <f>SUM(compras_mes11[[#This Row],[NETO GRAVADO]:[Otros / No Grav.]])</f>
        <v>54519.483300000007</v>
      </c>
      <c r="Q104" s="189" t="str">
        <f>IFERROR(IF(compras_mes11[[#This Row],[CUIT]]="","-",VLOOKUP(compras_mes11[[#This Row],[CUIT]],Lista_CUIT[#All],3,0)),"CUIT NO CARGADO")</f>
        <v>Mantenimiento</v>
      </c>
      <c r="R104" s="189">
        <f>IFERROR(IF(compras_mes11[[#This Row],[CUIT]]="","-",VLOOKUP(compras_mes11[[#This Row],[CUIT]],Lista_CUIT[#All],4,0)),"CUIT NO CARGADO")</f>
        <v>0</v>
      </c>
    </row>
    <row r="105" spans="2:18" x14ac:dyDescent="0.3">
      <c r="B105" s="36">
        <v>44858</v>
      </c>
      <c r="C105" s="182">
        <v>3</v>
      </c>
      <c r="D105" s="38">
        <v>57</v>
      </c>
      <c r="E105" s="39">
        <v>64</v>
      </c>
      <c r="F105" s="40">
        <v>30708784067</v>
      </c>
      <c r="G105" s="41" t="str">
        <f>IFERROR(IF(compras_mes11[[#This Row],[CUIT]]="","-",VLOOKUP(compras_mes11[[#This Row],[CUIT]],Lista_CUIT[#All],2,0)),"CUIT NO CARGADO")</f>
        <v>MIJORMI SOCIEDAD DE RESPONSABILIDAD LIMITADA</v>
      </c>
      <c r="H105" s="197">
        <v>-5578.51</v>
      </c>
      <c r="I105" s="81">
        <f>IF(compras_mes11[[#This Row],[NETO GRAVADO]]="","",compras_mes11[[#This Row],[NETO GRAVADO]]*0.21)</f>
        <v>-1171.4871000000001</v>
      </c>
      <c r="J105" s="81"/>
      <c r="K105" s="81"/>
      <c r="L105" s="81"/>
      <c r="M105" s="81"/>
      <c r="N105" s="81"/>
      <c r="O105" s="81"/>
      <c r="P105" s="44">
        <f>SUM(compras_mes11[[#This Row],[NETO GRAVADO]:[Otros / No Grav.]])</f>
        <v>-6749.9971000000005</v>
      </c>
      <c r="Q105" s="45" t="str">
        <f>IFERROR(IF(compras_mes11[[#This Row],[CUIT]]="","-",VLOOKUP(compras_mes11[[#This Row],[CUIT]],Lista_CUIT[#All],3,0)),"CUIT NO CARGADO")</f>
        <v>Mantenimiento</v>
      </c>
      <c r="R105" s="45">
        <f>IFERROR(IF(compras_mes11[[#This Row],[CUIT]]="","-",VLOOKUP(compras_mes11[[#This Row],[CUIT]],Lista_CUIT[#All],4,0)),"CUIT NO CARGADO")</f>
        <v>0</v>
      </c>
    </row>
    <row r="106" spans="2:18" x14ac:dyDescent="0.3">
      <c r="B106" s="36">
        <v>44858</v>
      </c>
      <c r="C106" s="182">
        <v>3</v>
      </c>
      <c r="D106" s="38">
        <v>57</v>
      </c>
      <c r="E106" s="39">
        <v>65</v>
      </c>
      <c r="F106" s="40">
        <v>30708784067</v>
      </c>
      <c r="G106" s="172" t="str">
        <f>IFERROR(IF(compras_mes11[[#This Row],[CUIT]]="","-",VLOOKUP(compras_mes11[[#This Row],[CUIT]],Lista_CUIT[#All],2,0)),"CUIT NO CARGADO")</f>
        <v>MIJORMI SOCIEDAD DE RESPONSABILIDAD LIMITADA</v>
      </c>
      <c r="H106" s="197">
        <v>-42928.73</v>
      </c>
      <c r="I106" s="81">
        <f>IF(compras_mes11[[#This Row],[NETO GRAVADO]]="","",compras_mes11[[#This Row],[NETO GRAVADO]]*0.21)</f>
        <v>-9015.033300000001</v>
      </c>
      <c r="J106" s="81"/>
      <c r="K106" s="81"/>
      <c r="L106" s="81"/>
      <c r="M106" s="81"/>
      <c r="N106" s="81"/>
      <c r="O106" s="81"/>
      <c r="P106" s="44">
        <f>SUM(compras_mes11[[#This Row],[NETO GRAVADO]:[Otros / No Grav.]])</f>
        <v>-51943.763300000006</v>
      </c>
      <c r="Q106" s="45" t="str">
        <f>IFERROR(IF(compras_mes11[[#This Row],[CUIT]]="","-",VLOOKUP(compras_mes11[[#This Row],[CUIT]],Lista_CUIT[#All],3,0)),"CUIT NO CARGADO")</f>
        <v>Mantenimiento</v>
      </c>
      <c r="R106" s="45">
        <f>IFERROR(IF(compras_mes11[[#This Row],[CUIT]]="","-",VLOOKUP(compras_mes11[[#This Row],[CUIT]],Lista_CUIT[#All],4,0)),"CUIT NO CARGADO")</f>
        <v>0</v>
      </c>
    </row>
    <row r="107" spans="2:18" x14ac:dyDescent="0.3">
      <c r="B107" s="36">
        <v>44858</v>
      </c>
      <c r="C107" s="182">
        <v>3</v>
      </c>
      <c r="D107" s="38">
        <v>57</v>
      </c>
      <c r="E107" s="39">
        <v>66</v>
      </c>
      <c r="F107" s="40">
        <v>30708784067</v>
      </c>
      <c r="G107" s="41" t="str">
        <f>IFERROR(IF(compras_mes11[[#This Row],[CUIT]]="","-",VLOOKUP(compras_mes11[[#This Row],[CUIT]],Lista_CUIT[#All],2,0)),"CUIT NO CARGADO")</f>
        <v>MIJORMI SOCIEDAD DE RESPONSABILIDAD LIMITADA</v>
      </c>
      <c r="H107" s="197">
        <v>-308.89</v>
      </c>
      <c r="I107" s="81">
        <f>IF(compras_mes11[[#This Row],[NETO GRAVADO]]="","",compras_mes11[[#This Row],[NETO GRAVADO]]*0.21)</f>
        <v>-64.866900000000001</v>
      </c>
      <c r="J107" s="81"/>
      <c r="K107" s="81"/>
      <c r="L107" s="81"/>
      <c r="M107" s="81"/>
      <c r="N107" s="81"/>
      <c r="O107" s="81"/>
      <c r="P107" s="44">
        <f>SUM(compras_mes11[[#This Row],[NETO GRAVADO]:[Otros / No Grav.]])</f>
        <v>-373.75689999999997</v>
      </c>
      <c r="Q107" s="45" t="str">
        <f>IFERROR(IF(compras_mes11[[#This Row],[CUIT]]="","-",VLOOKUP(compras_mes11[[#This Row],[CUIT]],Lista_CUIT[#All],3,0)),"CUIT NO CARGADO")</f>
        <v>Mantenimiento</v>
      </c>
      <c r="R107" s="45">
        <f>IFERROR(IF(compras_mes11[[#This Row],[CUIT]]="","-",VLOOKUP(compras_mes11[[#This Row],[CUIT]],Lista_CUIT[#All],4,0)),"CUIT NO CARGADO")</f>
        <v>0</v>
      </c>
    </row>
    <row r="108" spans="2:18" s="158" customFormat="1" x14ac:dyDescent="0.3">
      <c r="B108" s="181">
        <v>44858</v>
      </c>
      <c r="C108" s="37">
        <v>1</v>
      </c>
      <c r="D108" s="183">
        <v>57</v>
      </c>
      <c r="E108" s="184">
        <v>1229</v>
      </c>
      <c r="F108" s="185">
        <v>30708784067</v>
      </c>
      <c r="G108" s="186" t="str">
        <f>IFERROR(IF(compras_mes11[[#This Row],[CUIT]]="","-",VLOOKUP(compras_mes11[[#This Row],[CUIT]],Lista_CUIT[#All],2,0)),"CUIT NO CARGADO")</f>
        <v>MIJORMI SOCIEDAD DE RESPONSABILIDAD LIMITADA</v>
      </c>
      <c r="H108" s="190">
        <v>48507.24</v>
      </c>
      <c r="I108" s="187">
        <f>IF(compras_mes11[[#This Row],[NETO GRAVADO]]="","",compras_mes11[[#This Row],[NETO GRAVADO]]*0.21)</f>
        <v>10186.520399999999</v>
      </c>
      <c r="J108" s="187"/>
      <c r="K108" s="187"/>
      <c r="L108" s="187"/>
      <c r="M108" s="187"/>
      <c r="N108" s="203">
        <v>2910.43</v>
      </c>
      <c r="O108" s="187"/>
      <c r="P108" s="188">
        <f>SUM(compras_mes11[[#This Row],[NETO GRAVADO]:[Otros / No Grav.]])</f>
        <v>61604.190399999999</v>
      </c>
      <c r="Q108" s="189" t="str">
        <f>IFERROR(IF(compras_mes11[[#This Row],[CUIT]]="","-",VLOOKUP(compras_mes11[[#This Row],[CUIT]],Lista_CUIT[#All],3,0)),"CUIT NO CARGADO")</f>
        <v>Mantenimiento</v>
      </c>
      <c r="R108" s="189">
        <f>IFERROR(IF(compras_mes11[[#This Row],[CUIT]]="","-",VLOOKUP(compras_mes11[[#This Row],[CUIT]],Lista_CUIT[#All],4,0)),"CUIT NO CARGADO")</f>
        <v>0</v>
      </c>
    </row>
    <row r="109" spans="2:18" x14ac:dyDescent="0.3">
      <c r="B109" s="198">
        <v>44838</v>
      </c>
      <c r="C109" s="199">
        <v>1</v>
      </c>
      <c r="D109" s="200">
        <v>1</v>
      </c>
      <c r="E109" s="201">
        <v>87</v>
      </c>
      <c r="F109" s="202">
        <v>20077604627</v>
      </c>
      <c r="G109" s="172" t="str">
        <f>IFERROR(IF(compras_mes11[[#This Row],[CUIT]]="","-",VLOOKUP(compras_mes11[[#This Row],[CUIT]],Lista_CUIT[#All],2,0)),"CUIT NO CARGADO")</f>
        <v>OCAÑO ENRIQUE</v>
      </c>
      <c r="H109" s="204">
        <v>243100.828125</v>
      </c>
      <c r="I109" s="166">
        <f>IF(compras_mes11[[#This Row],[NETO GRAVADO]]="","",compras_mes11[[#This Row],[NETO GRAVADO]]*0.21)</f>
        <v>51051.173906249998</v>
      </c>
      <c r="J109" s="166"/>
      <c r="K109" s="166"/>
      <c r="L109" s="166"/>
      <c r="M109" s="166"/>
      <c r="N109" s="166"/>
      <c r="O109" s="166"/>
      <c r="P109" s="173">
        <f>SUM(compras_mes11[[#This Row],[NETO GRAVADO]:[Otros / No Grav.]])</f>
        <v>294152.00203124998</v>
      </c>
      <c r="Q109" s="174" t="str">
        <f>IFERROR(IF(compras_mes11[[#This Row],[CUIT]]="","-",VLOOKUP(compras_mes11[[#This Row],[CUIT]],Lista_CUIT[#All],3,0)),"CUIT NO CARGADO")</f>
        <v>Mercaderia</v>
      </c>
      <c r="R109" s="174">
        <f>IFERROR(IF(compras_mes11[[#This Row],[CUIT]]="","-",VLOOKUP(compras_mes11[[#This Row],[CUIT]],Lista_CUIT[#All],4,0)),"CUIT NO CARGADO")</f>
        <v>0</v>
      </c>
    </row>
    <row r="110" spans="2:18" x14ac:dyDescent="0.3">
      <c r="B110" s="181">
        <v>44838</v>
      </c>
      <c r="C110" s="37">
        <v>1</v>
      </c>
      <c r="D110" s="183">
        <v>2</v>
      </c>
      <c r="E110" s="184">
        <v>3162</v>
      </c>
      <c r="F110" s="185">
        <v>30629863571</v>
      </c>
      <c r="G110" s="186" t="str">
        <f>IFERROR(IF(compras_mes11[[#This Row],[CUIT]]="","-",VLOOKUP(compras_mes11[[#This Row],[CUIT]],Lista_CUIT[#All],2,0)),"CUIT NO CARGADO")</f>
        <v>TECNIMAR S R L</v>
      </c>
      <c r="H110" s="195">
        <v>532526</v>
      </c>
      <c r="I110" s="187">
        <f>IF(compras_mes11[[#This Row],[NETO GRAVADO]]="","",compras_mes11[[#This Row],[NETO GRAVADO]]*0.21)</f>
        <v>111830.45999999999</v>
      </c>
      <c r="J110" s="187"/>
      <c r="K110" s="187"/>
      <c r="L110" s="187"/>
      <c r="M110" s="187"/>
      <c r="N110" s="187"/>
      <c r="O110" s="187"/>
      <c r="P110" s="188">
        <f>SUM(compras_mes11[[#This Row],[NETO GRAVADO]:[Otros / No Grav.]])</f>
        <v>644356.46</v>
      </c>
      <c r="Q110" s="189" t="str">
        <f>IFERROR(IF(compras_mes11[[#This Row],[CUIT]]="","-",VLOOKUP(compras_mes11[[#This Row],[CUIT]],Lista_CUIT[#All],3,0)),"CUIT NO CARGADO")</f>
        <v>Mercaderia</v>
      </c>
      <c r="R110" s="189">
        <f>IFERROR(IF(compras_mes11[[#This Row],[CUIT]]="","-",VLOOKUP(compras_mes11[[#This Row],[CUIT]],Lista_CUIT[#All],4,0)),"CUIT NO CARGADO")</f>
        <v>0</v>
      </c>
    </row>
    <row r="111" spans="2:18" x14ac:dyDescent="0.3">
      <c r="B111" s="181">
        <v>44840</v>
      </c>
      <c r="C111" s="37">
        <v>1</v>
      </c>
      <c r="D111" s="183">
        <v>6</v>
      </c>
      <c r="E111" s="184">
        <v>2257</v>
      </c>
      <c r="F111" s="185">
        <v>30574603788</v>
      </c>
      <c r="G111" s="186" t="str">
        <f>IFERROR(IF(compras_mes11[[#This Row],[CUIT]]="","-",VLOOKUP(compras_mes11[[#This Row],[CUIT]],Lista_CUIT[#All],2,0)),"CUIT NO CARGADO")</f>
        <v>Codac SRL</v>
      </c>
      <c r="H111" s="195">
        <v>269412</v>
      </c>
      <c r="I111" s="187">
        <f>IF(compras_mes11[[#This Row],[NETO GRAVADO]]="","",compras_mes11[[#This Row],[NETO GRAVADO]]*0.21)</f>
        <v>56576.52</v>
      </c>
      <c r="J111" s="187"/>
      <c r="K111" s="187"/>
      <c r="L111" s="187"/>
      <c r="M111" s="187"/>
      <c r="N111" s="187"/>
      <c r="O111" s="187"/>
      <c r="P111" s="188">
        <f>SUM(compras_mes11[[#This Row],[NETO GRAVADO]:[Otros / No Grav.]])</f>
        <v>325988.52</v>
      </c>
      <c r="Q111" s="189" t="str">
        <f>IFERROR(IF(compras_mes11[[#This Row],[CUIT]]="","-",VLOOKUP(compras_mes11[[#This Row],[CUIT]],Lista_CUIT[#All],3,0)),"CUIT NO CARGADO")</f>
        <v>Mercaderia</v>
      </c>
      <c r="R111" s="189">
        <f>IFERROR(IF(compras_mes11[[#This Row],[CUIT]]="","-",VLOOKUP(compras_mes11[[#This Row],[CUIT]],Lista_CUIT[#All],4,0)),"CUIT NO CARGADO")</f>
        <v>0</v>
      </c>
    </row>
    <row r="112" spans="2:18" x14ac:dyDescent="0.3">
      <c r="B112" s="181">
        <v>44845</v>
      </c>
      <c r="C112" s="37">
        <v>1</v>
      </c>
      <c r="D112" s="183">
        <v>1</v>
      </c>
      <c r="E112" s="184">
        <v>88</v>
      </c>
      <c r="F112" s="185">
        <v>20077604627</v>
      </c>
      <c r="G112" s="186" t="str">
        <f>IFERROR(IF(compras_mes11[[#This Row],[CUIT]]="","-",VLOOKUP(compras_mes11[[#This Row],[CUIT]],Lista_CUIT[#All],2,0)),"CUIT NO CARGADO")</f>
        <v>OCAÑO ENRIQUE</v>
      </c>
      <c r="H112" s="195">
        <v>133536</v>
      </c>
      <c r="I112" s="187">
        <f>IF(compras_mes11[[#This Row],[NETO GRAVADO]]="","",compras_mes11[[#This Row],[NETO GRAVADO]]*0.21)</f>
        <v>28042.559999999998</v>
      </c>
      <c r="J112" s="187"/>
      <c r="K112" s="187"/>
      <c r="L112" s="187"/>
      <c r="M112" s="187"/>
      <c r="N112" s="187"/>
      <c r="O112" s="187"/>
      <c r="P112" s="188">
        <f>SUM(compras_mes11[[#This Row],[NETO GRAVADO]:[Otros / No Grav.]])</f>
        <v>161578.56</v>
      </c>
      <c r="Q112" s="189" t="str">
        <f>IFERROR(IF(compras_mes11[[#This Row],[CUIT]]="","-",VLOOKUP(compras_mes11[[#This Row],[CUIT]],Lista_CUIT[#All],3,0)),"CUIT NO CARGADO")</f>
        <v>Mercaderia</v>
      </c>
      <c r="R112" s="189">
        <f>IFERROR(IF(compras_mes11[[#This Row],[CUIT]]="","-",VLOOKUP(compras_mes11[[#This Row],[CUIT]],Lista_CUIT[#All],4,0)),"CUIT NO CARGADO")</f>
        <v>0</v>
      </c>
    </row>
    <row r="113" spans="2:18" x14ac:dyDescent="0.3">
      <c r="B113" s="181">
        <v>44845</v>
      </c>
      <c r="C113" s="37">
        <v>1</v>
      </c>
      <c r="D113" s="183">
        <v>2</v>
      </c>
      <c r="E113" s="184">
        <v>3164</v>
      </c>
      <c r="F113" s="185">
        <v>30629863571</v>
      </c>
      <c r="G113" s="186" t="str">
        <f>IFERROR(IF(compras_mes11[[#This Row],[CUIT]]="","-",VLOOKUP(compras_mes11[[#This Row],[CUIT]],Lista_CUIT[#All],2,0)),"CUIT NO CARGADO")</f>
        <v>TECNIMAR S R L</v>
      </c>
      <c r="H113" s="195">
        <v>193590</v>
      </c>
      <c r="I113" s="187">
        <f>IF(compras_mes11[[#This Row],[NETO GRAVADO]]="","",compras_mes11[[#This Row],[NETO GRAVADO]]*0.21)</f>
        <v>40653.9</v>
      </c>
      <c r="J113" s="187"/>
      <c r="K113" s="187"/>
      <c r="L113" s="187"/>
      <c r="M113" s="187"/>
      <c r="N113" s="187"/>
      <c r="O113" s="187"/>
      <c r="P113" s="188">
        <f>SUM(compras_mes11[[#This Row],[NETO GRAVADO]:[Otros / No Grav.]])</f>
        <v>234243.9</v>
      </c>
      <c r="Q113" s="189" t="str">
        <f>IFERROR(IF(compras_mes11[[#This Row],[CUIT]]="","-",VLOOKUP(compras_mes11[[#This Row],[CUIT]],Lista_CUIT[#All],3,0)),"CUIT NO CARGADO")</f>
        <v>Mercaderia</v>
      </c>
      <c r="R113" s="189">
        <f>IFERROR(IF(compras_mes11[[#This Row],[CUIT]]="","-",VLOOKUP(compras_mes11[[#This Row],[CUIT]],Lista_CUIT[#All],4,0)),"CUIT NO CARGADO")</f>
        <v>0</v>
      </c>
    </row>
    <row r="114" spans="2:18" x14ac:dyDescent="0.3">
      <c r="B114" s="181">
        <v>44846</v>
      </c>
      <c r="C114" s="182">
        <v>2</v>
      </c>
      <c r="D114" s="183">
        <v>4</v>
      </c>
      <c r="E114" s="184">
        <v>3664</v>
      </c>
      <c r="F114" s="185">
        <v>30585948817</v>
      </c>
      <c r="G114" s="186" t="str">
        <f>IFERROR(IF(compras_mes11[[#This Row],[CUIT]]="","-",VLOOKUP(compras_mes11[[#This Row],[CUIT]],Lista_CUIT[#All],2,0)),"CUIT NO CARGADO")</f>
        <v xml:space="preserve">GLASCAR </v>
      </c>
      <c r="H114" s="195">
        <v>94032.12</v>
      </c>
      <c r="I114" s="187">
        <f>IF(compras_mes11[[#This Row],[NETO GRAVADO]]="","",compras_mes11[[#This Row],[NETO GRAVADO]]*0.21)</f>
        <v>19746.745199999998</v>
      </c>
      <c r="J114" s="187"/>
      <c r="K114" s="187"/>
      <c r="L114" s="187"/>
      <c r="M114" s="187"/>
      <c r="N114" s="187"/>
      <c r="O114" s="187"/>
      <c r="P114" s="188">
        <f>SUM(compras_mes11[[#This Row],[NETO GRAVADO]:[Otros / No Grav.]])</f>
        <v>113778.8652</v>
      </c>
      <c r="Q114" s="189" t="str">
        <f>IFERROR(IF(compras_mes11[[#This Row],[CUIT]]="","-",VLOOKUP(compras_mes11[[#This Row],[CUIT]],Lista_CUIT[#All],3,0)),"CUIT NO CARGADO")</f>
        <v>Mercaderia</v>
      </c>
      <c r="R114" s="189">
        <f>IFERROR(IF(compras_mes11[[#This Row],[CUIT]]="","-",VLOOKUP(compras_mes11[[#This Row],[CUIT]],Lista_CUIT[#All],4,0)),"CUIT NO CARGADO")</f>
        <v>0</v>
      </c>
    </row>
    <row r="115" spans="2:18" x14ac:dyDescent="0.3">
      <c r="B115" s="181">
        <v>44847</v>
      </c>
      <c r="C115" s="37">
        <v>1</v>
      </c>
      <c r="D115" s="183">
        <v>7</v>
      </c>
      <c r="E115" s="184">
        <v>7542</v>
      </c>
      <c r="F115" s="185">
        <v>30708017759</v>
      </c>
      <c r="G115" s="186" t="str">
        <f>IFERROR(IF(compras_mes11[[#This Row],[CUIT]]="","-",VLOOKUP(compras_mes11[[#This Row],[CUIT]],Lista_CUIT[#All],2,0)),"CUIT NO CARGADO")</f>
        <v>NEW  HIGH PACK  SA</v>
      </c>
      <c r="H115" s="195">
        <v>389190</v>
      </c>
      <c r="I115" s="187">
        <f>IF(compras_mes11[[#This Row],[NETO GRAVADO]]="","",compras_mes11[[#This Row],[NETO GRAVADO]]*0.21)</f>
        <v>81729.899999999994</v>
      </c>
      <c r="J115" s="187"/>
      <c r="K115" s="187"/>
      <c r="L115" s="187"/>
      <c r="M115" s="187"/>
      <c r="N115" s="203">
        <v>23351.4</v>
      </c>
      <c r="O115" s="187"/>
      <c r="P115" s="188">
        <f>SUM(compras_mes11[[#This Row],[NETO GRAVADO]:[Otros / No Grav.]])</f>
        <v>494271.30000000005</v>
      </c>
      <c r="Q115" s="189" t="str">
        <f>IFERROR(IF(compras_mes11[[#This Row],[CUIT]]="","-",VLOOKUP(compras_mes11[[#This Row],[CUIT]],Lista_CUIT[#All],3,0)),"CUIT NO CARGADO")</f>
        <v>Mercaderia</v>
      </c>
      <c r="R115" s="189">
        <f>IFERROR(IF(compras_mes11[[#This Row],[CUIT]]="","-",VLOOKUP(compras_mes11[[#This Row],[CUIT]],Lista_CUIT[#All],4,0)),"CUIT NO CARGADO")</f>
        <v>0</v>
      </c>
    </row>
    <row r="116" spans="2:18" x14ac:dyDescent="0.3">
      <c r="B116" s="181">
        <v>44848</v>
      </c>
      <c r="C116" s="37">
        <v>1</v>
      </c>
      <c r="D116" s="183">
        <v>2</v>
      </c>
      <c r="E116" s="184">
        <v>3170</v>
      </c>
      <c r="F116" s="185">
        <v>30629863571</v>
      </c>
      <c r="G116" s="186" t="str">
        <f>IFERROR(IF(compras_mes11[[#This Row],[CUIT]]="","-",VLOOKUP(compras_mes11[[#This Row],[CUIT]],Lista_CUIT[#All],2,0)),"CUIT NO CARGADO")</f>
        <v>TECNIMAR S R L</v>
      </c>
      <c r="H116" s="195">
        <v>108319</v>
      </c>
      <c r="I116" s="187">
        <f>IF(compras_mes11[[#This Row],[NETO GRAVADO]]="","",compras_mes11[[#This Row],[NETO GRAVADO]]*0.21)</f>
        <v>22746.989999999998</v>
      </c>
      <c r="J116" s="187"/>
      <c r="K116" s="187"/>
      <c r="L116" s="187"/>
      <c r="M116" s="187"/>
      <c r="N116" s="187"/>
      <c r="O116" s="187"/>
      <c r="P116" s="188">
        <f>SUM(compras_mes11[[#This Row],[NETO GRAVADO]:[Otros / No Grav.]])</f>
        <v>131065.98999999999</v>
      </c>
      <c r="Q116" s="189" t="str">
        <f>IFERROR(IF(compras_mes11[[#This Row],[CUIT]]="","-",VLOOKUP(compras_mes11[[#This Row],[CUIT]],Lista_CUIT[#All],3,0)),"CUIT NO CARGADO")</f>
        <v>Mercaderia</v>
      </c>
      <c r="R116" s="189">
        <f>IFERROR(IF(compras_mes11[[#This Row],[CUIT]]="","-",VLOOKUP(compras_mes11[[#This Row],[CUIT]],Lista_CUIT[#All],4,0)),"CUIT NO CARGADO")</f>
        <v>0</v>
      </c>
    </row>
    <row r="117" spans="2:18" x14ac:dyDescent="0.3">
      <c r="B117" s="181">
        <v>44851</v>
      </c>
      <c r="C117" s="37">
        <v>1</v>
      </c>
      <c r="D117" s="183">
        <v>4</v>
      </c>
      <c r="E117" s="184">
        <v>36661</v>
      </c>
      <c r="F117" s="185">
        <v>30585948817</v>
      </c>
      <c r="G117" s="186" t="str">
        <f>IFERROR(IF(compras_mes11[[#This Row],[CUIT]]="","-",VLOOKUP(compras_mes11[[#This Row],[CUIT]],Lista_CUIT[#All],2,0)),"CUIT NO CARGADO")</f>
        <v xml:space="preserve">GLASCAR </v>
      </c>
      <c r="H117" s="195">
        <v>291048.65000000002</v>
      </c>
      <c r="I117" s="187">
        <f>IF(compras_mes11[[#This Row],[NETO GRAVADO]]="","",compras_mes11[[#This Row],[NETO GRAVADO]]*0.21)</f>
        <v>61120.216500000002</v>
      </c>
      <c r="J117" s="187"/>
      <c r="K117" s="187"/>
      <c r="L117" s="187"/>
      <c r="M117" s="187"/>
      <c r="N117" s="187"/>
      <c r="O117" s="187"/>
      <c r="P117" s="188">
        <f>SUM(compras_mes11[[#This Row],[NETO GRAVADO]:[Otros / No Grav.]])</f>
        <v>352168.8665</v>
      </c>
      <c r="Q117" s="189" t="str">
        <f>IFERROR(IF(compras_mes11[[#This Row],[CUIT]]="","-",VLOOKUP(compras_mes11[[#This Row],[CUIT]],Lista_CUIT[#All],3,0)),"CUIT NO CARGADO")</f>
        <v>Mercaderia</v>
      </c>
      <c r="R117" s="189">
        <f>IFERROR(IF(compras_mes11[[#This Row],[CUIT]]="","-",VLOOKUP(compras_mes11[[#This Row],[CUIT]],Lista_CUIT[#All],4,0)),"CUIT NO CARGADO")</f>
        <v>0</v>
      </c>
    </row>
    <row r="118" spans="2:18" x14ac:dyDescent="0.3">
      <c r="B118" s="181">
        <v>44852</v>
      </c>
      <c r="C118" s="37">
        <v>1</v>
      </c>
      <c r="D118" s="183">
        <v>2</v>
      </c>
      <c r="E118" s="184">
        <v>3171</v>
      </c>
      <c r="F118" s="185">
        <v>30629863571</v>
      </c>
      <c r="G118" s="186" t="str">
        <f>IFERROR(IF(compras_mes11[[#This Row],[CUIT]]="","-",VLOOKUP(compras_mes11[[#This Row],[CUIT]],Lista_CUIT[#All],2,0)),"CUIT NO CARGADO")</f>
        <v>TECNIMAR S R L</v>
      </c>
      <c r="H118" s="195">
        <v>208650</v>
      </c>
      <c r="I118" s="187">
        <f>IF(compras_mes11[[#This Row],[NETO GRAVADO]]="","",compras_mes11[[#This Row],[NETO GRAVADO]]*0.21)</f>
        <v>43816.5</v>
      </c>
      <c r="J118" s="187"/>
      <c r="K118" s="187"/>
      <c r="L118" s="187"/>
      <c r="M118" s="187"/>
      <c r="N118" s="187"/>
      <c r="O118" s="187"/>
      <c r="P118" s="188">
        <f>SUM(compras_mes11[[#This Row],[NETO GRAVADO]:[Otros / No Grav.]])</f>
        <v>252466.5</v>
      </c>
      <c r="Q118" s="189" t="str">
        <f>IFERROR(IF(compras_mes11[[#This Row],[CUIT]]="","-",VLOOKUP(compras_mes11[[#This Row],[CUIT]],Lista_CUIT[#All],3,0)),"CUIT NO CARGADO")</f>
        <v>Mercaderia</v>
      </c>
      <c r="R118" s="189">
        <f>IFERROR(IF(compras_mes11[[#This Row],[CUIT]]="","-",VLOOKUP(compras_mes11[[#This Row],[CUIT]],Lista_CUIT[#All],4,0)),"CUIT NO CARGADO")</f>
        <v>0</v>
      </c>
    </row>
    <row r="119" spans="2:18" x14ac:dyDescent="0.3">
      <c r="B119" s="181">
        <v>44854</v>
      </c>
      <c r="C119" s="37">
        <v>1</v>
      </c>
      <c r="D119" s="183">
        <v>2</v>
      </c>
      <c r="E119" s="184">
        <v>3173</v>
      </c>
      <c r="F119" s="185">
        <v>30629863571</v>
      </c>
      <c r="G119" s="186" t="str">
        <f>IFERROR(IF(compras_mes11[[#This Row],[CUIT]]="","-",VLOOKUP(compras_mes11[[#This Row],[CUIT]],Lista_CUIT[#All],2,0)),"CUIT NO CARGADO")</f>
        <v>TECNIMAR S R L</v>
      </c>
      <c r="H119" s="195">
        <v>281272</v>
      </c>
      <c r="I119" s="187">
        <f>IF(compras_mes11[[#This Row],[NETO GRAVADO]]="","",compras_mes11[[#This Row],[NETO GRAVADO]]*0.21)</f>
        <v>59067.119999999995</v>
      </c>
      <c r="J119" s="187"/>
      <c r="K119" s="187"/>
      <c r="L119" s="187"/>
      <c r="M119" s="187"/>
      <c r="N119" s="187"/>
      <c r="O119" s="187"/>
      <c r="P119" s="188">
        <f>SUM(compras_mes11[[#This Row],[NETO GRAVADO]:[Otros / No Grav.]])</f>
        <v>340339.12</v>
      </c>
      <c r="Q119" s="189" t="str">
        <f>IFERROR(IF(compras_mes11[[#This Row],[CUIT]]="","-",VLOOKUP(compras_mes11[[#This Row],[CUIT]],Lista_CUIT[#All],3,0)),"CUIT NO CARGADO")</f>
        <v>Mercaderia</v>
      </c>
      <c r="R119" s="189">
        <f>IFERROR(IF(compras_mes11[[#This Row],[CUIT]]="","-",VLOOKUP(compras_mes11[[#This Row],[CUIT]],Lista_CUIT[#All],4,0)),"CUIT NO CARGADO")</f>
        <v>0</v>
      </c>
    </row>
    <row r="120" spans="2:18" x14ac:dyDescent="0.3">
      <c r="B120" s="181">
        <v>44855</v>
      </c>
      <c r="C120" s="37">
        <v>1</v>
      </c>
      <c r="D120" s="183">
        <v>2</v>
      </c>
      <c r="E120" s="184">
        <v>3176</v>
      </c>
      <c r="F120" s="185">
        <v>30629863571</v>
      </c>
      <c r="G120" s="186" t="str">
        <f>IFERROR(IF(compras_mes11[[#This Row],[CUIT]]="","-",VLOOKUP(compras_mes11[[#This Row],[CUIT]],Lista_CUIT[#All],2,0)),"CUIT NO CARGADO")</f>
        <v>TECNIMAR S R L</v>
      </c>
      <c r="H120" s="195">
        <v>391529</v>
      </c>
      <c r="I120" s="187">
        <f>IF(compras_mes11[[#This Row],[NETO GRAVADO]]="","",compras_mes11[[#This Row],[NETO GRAVADO]]*0.21)</f>
        <v>82221.09</v>
      </c>
      <c r="J120" s="187"/>
      <c r="K120" s="187"/>
      <c r="L120" s="187"/>
      <c r="M120" s="187"/>
      <c r="N120" s="187"/>
      <c r="O120" s="187"/>
      <c r="P120" s="188">
        <f>SUM(compras_mes11[[#This Row],[NETO GRAVADO]:[Otros / No Grav.]])</f>
        <v>473750.08999999997</v>
      </c>
      <c r="Q120" s="189" t="str">
        <f>IFERROR(IF(compras_mes11[[#This Row],[CUIT]]="","-",VLOOKUP(compras_mes11[[#This Row],[CUIT]],Lista_CUIT[#All],3,0)),"CUIT NO CARGADO")</f>
        <v>Mercaderia</v>
      </c>
      <c r="R120" s="189">
        <f>IFERROR(IF(compras_mes11[[#This Row],[CUIT]]="","-",VLOOKUP(compras_mes11[[#This Row],[CUIT]],Lista_CUIT[#All],4,0)),"CUIT NO CARGADO")</f>
        <v>0</v>
      </c>
    </row>
    <row r="121" spans="2:18" x14ac:dyDescent="0.3">
      <c r="B121" s="181">
        <v>44855</v>
      </c>
      <c r="C121" s="37">
        <v>1</v>
      </c>
      <c r="D121" s="183">
        <v>2</v>
      </c>
      <c r="E121" s="184">
        <v>5026</v>
      </c>
      <c r="F121" s="185">
        <v>23180288899</v>
      </c>
      <c r="G121" s="186" t="str">
        <f>IFERROR(IF(compras_mes11[[#This Row],[CUIT]]="","-",VLOOKUP(compras_mes11[[#This Row],[CUIT]],Lista_CUIT[#All],2,0)),"CUIT NO CARGADO")</f>
        <v>ROMERO EMILIO</v>
      </c>
      <c r="H121" s="195">
        <v>125000</v>
      </c>
      <c r="I121" s="187">
        <v>26250</v>
      </c>
      <c r="J121" s="187"/>
      <c r="K121" s="187"/>
      <c r="L121" s="187"/>
      <c r="M121" s="187"/>
      <c r="N121" s="187"/>
      <c r="O121" s="187"/>
      <c r="P121" s="188">
        <f>SUM(compras_mes11[[#This Row],[NETO GRAVADO]:[Otros / No Grav.]])</f>
        <v>151250</v>
      </c>
      <c r="Q121" s="189" t="str">
        <f>IFERROR(IF(compras_mes11[[#This Row],[CUIT]]="","-",VLOOKUP(compras_mes11[[#This Row],[CUIT]],Lista_CUIT[#All],3,0)),"CUIT NO CARGADO")</f>
        <v>Mercaderia</v>
      </c>
      <c r="R121" s="189" t="str">
        <f>IFERROR(IF(compras_mes11[[#This Row],[CUIT]]="","-",VLOOKUP(compras_mes11[[#This Row],[CUIT]],Lista_CUIT[#All],4,0)),"CUIT NO CARGADO")</f>
        <v>BUENOS AIRES</v>
      </c>
    </row>
    <row r="122" spans="2:18" x14ac:dyDescent="0.3">
      <c r="B122" s="181">
        <v>44860</v>
      </c>
      <c r="C122" s="37">
        <v>1</v>
      </c>
      <c r="D122" s="183">
        <v>3</v>
      </c>
      <c r="E122" s="184">
        <v>6265</v>
      </c>
      <c r="F122" s="185">
        <v>30708006420</v>
      </c>
      <c r="G122" s="186" t="str">
        <f>IFERROR(IF(compras_mes11[[#This Row],[CUIT]]="","-",VLOOKUP(compras_mes11[[#This Row],[CUIT]],Lista_CUIT[#All],2,0)),"CUIT NO CARGADO")</f>
        <v>MEDILEA  S.A.</v>
      </c>
      <c r="H122" s="195">
        <v>150000</v>
      </c>
      <c r="I122" s="187">
        <f>IF(compras_mes11[[#This Row],[NETO GRAVADO]]="","",compras_mes11[[#This Row],[NETO GRAVADO]]*0.21)</f>
        <v>31500</v>
      </c>
      <c r="J122" s="187"/>
      <c r="K122" s="187"/>
      <c r="L122" s="187"/>
      <c r="M122" s="187"/>
      <c r="N122" s="187"/>
      <c r="O122" s="187"/>
      <c r="P122" s="188">
        <f>SUM(compras_mes11[[#This Row],[NETO GRAVADO]:[Otros / No Grav.]])</f>
        <v>181500</v>
      </c>
      <c r="Q122" s="189" t="str">
        <f>IFERROR(IF(compras_mes11[[#This Row],[CUIT]]="","-",VLOOKUP(compras_mes11[[#This Row],[CUIT]],Lista_CUIT[#All],3,0)),"CUIT NO CARGADO")</f>
        <v>Mercaderia</v>
      </c>
      <c r="R122" s="189">
        <f>IFERROR(IF(compras_mes11[[#This Row],[CUIT]]="","-",VLOOKUP(compras_mes11[[#This Row],[CUIT]],Lista_CUIT[#All],4,0)),"CUIT NO CARGADO")</f>
        <v>0</v>
      </c>
    </row>
    <row r="123" spans="2:18" x14ac:dyDescent="0.3">
      <c r="B123" s="181">
        <v>44860</v>
      </c>
      <c r="C123" s="37">
        <v>1</v>
      </c>
      <c r="D123" s="183">
        <v>4</v>
      </c>
      <c r="E123" s="184">
        <v>36799</v>
      </c>
      <c r="F123" s="185">
        <v>30585948817</v>
      </c>
      <c r="G123" s="186" t="str">
        <f>IFERROR(IF(compras_mes11[[#This Row],[CUIT]]="","-",VLOOKUP(compras_mes11[[#This Row],[CUIT]],Lista_CUIT[#All],2,0)),"CUIT NO CARGADO")</f>
        <v xml:space="preserve">GLASCAR </v>
      </c>
      <c r="H123" s="195">
        <v>820121.28</v>
      </c>
      <c r="I123" s="187">
        <f>IF(compras_mes11[[#This Row],[NETO GRAVADO]]="","",compras_mes11[[#This Row],[NETO GRAVADO]]*0.21)</f>
        <v>172225.4688</v>
      </c>
      <c r="J123" s="187"/>
      <c r="K123" s="187"/>
      <c r="L123" s="187"/>
      <c r="M123" s="187"/>
      <c r="N123" s="187">
        <v>49207.28</v>
      </c>
      <c r="O123" s="187"/>
      <c r="P123" s="188">
        <f>SUM(compras_mes11[[#This Row],[NETO GRAVADO]:[Otros / No Grav.]])</f>
        <v>1041554.0288000001</v>
      </c>
      <c r="Q123" s="189" t="str">
        <f>IFERROR(IF(compras_mes11[[#This Row],[CUIT]]="","-",VLOOKUP(compras_mes11[[#This Row],[CUIT]],Lista_CUIT[#All],3,0)),"CUIT NO CARGADO")</f>
        <v>Mercaderia</v>
      </c>
      <c r="R123" s="189">
        <f>IFERROR(IF(compras_mes11[[#This Row],[CUIT]]="","-",VLOOKUP(compras_mes11[[#This Row],[CUIT]],Lista_CUIT[#All],4,0)),"CUIT NO CARGADO")</f>
        <v>0</v>
      </c>
    </row>
    <row r="124" spans="2:18" x14ac:dyDescent="0.3">
      <c r="B124" s="181">
        <v>44860</v>
      </c>
      <c r="C124" s="37">
        <v>1</v>
      </c>
      <c r="D124" s="183">
        <v>4</v>
      </c>
      <c r="E124" s="184">
        <v>36800</v>
      </c>
      <c r="F124" s="185">
        <v>30585948817</v>
      </c>
      <c r="G124" s="186" t="str">
        <f>IFERROR(IF(compras_mes11[[#This Row],[CUIT]]="","-",VLOOKUP(compras_mes11[[#This Row],[CUIT]],Lista_CUIT[#All],2,0)),"CUIT NO CARGADO")</f>
        <v xml:space="preserve">GLASCAR </v>
      </c>
      <c r="H124" s="195">
        <v>541595.53</v>
      </c>
      <c r="I124" s="187">
        <f>IF(compras_mes11[[#This Row],[NETO GRAVADO]]="","",compras_mes11[[#This Row],[NETO GRAVADO]]*0.21)</f>
        <v>113735.0613</v>
      </c>
      <c r="J124" s="187"/>
      <c r="K124" s="187"/>
      <c r="L124" s="187"/>
      <c r="M124" s="187"/>
      <c r="N124" s="187">
        <v>32495.73</v>
      </c>
      <c r="O124" s="187"/>
      <c r="P124" s="188">
        <f>SUM(compras_mes11[[#This Row],[NETO GRAVADO]:[Otros / No Grav.]])</f>
        <v>687826.32129999995</v>
      </c>
      <c r="Q124" s="189" t="str">
        <f>IFERROR(IF(compras_mes11[[#This Row],[CUIT]]="","-",VLOOKUP(compras_mes11[[#This Row],[CUIT]],Lista_CUIT[#All],3,0)),"CUIT NO CARGADO")</f>
        <v>Mercaderia</v>
      </c>
      <c r="R124" s="189">
        <f>IFERROR(IF(compras_mes11[[#This Row],[CUIT]]="","-",VLOOKUP(compras_mes11[[#This Row],[CUIT]],Lista_CUIT[#All],4,0)),"CUIT NO CARGADO")</f>
        <v>0</v>
      </c>
    </row>
    <row r="125" spans="2:18" x14ac:dyDescent="0.3">
      <c r="B125" s="181">
        <v>44862</v>
      </c>
      <c r="C125" s="182">
        <v>2</v>
      </c>
      <c r="D125" s="183">
        <v>5</v>
      </c>
      <c r="E125" s="184">
        <v>3032</v>
      </c>
      <c r="F125" s="185">
        <v>30708041722</v>
      </c>
      <c r="G125" s="186" t="str">
        <f>IFERROR(IF(compras_mes11[[#This Row],[CUIT]]="","-",VLOOKUP(compras_mes11[[#This Row],[CUIT]],Lista_CUIT[#All],2,0)),"CUIT NO CARGADO")</f>
        <v>QUETZAL QUIMICA S R L</v>
      </c>
      <c r="H125" s="195">
        <v>20206.62</v>
      </c>
      <c r="I125" s="187">
        <f>IF(compras_mes11[[#This Row],[NETO GRAVADO]]="","",compras_mes11[[#This Row],[NETO GRAVADO]]*0.21)</f>
        <v>4243.3901999999998</v>
      </c>
      <c r="J125" s="187"/>
      <c r="K125" s="187"/>
      <c r="L125" s="187"/>
      <c r="M125" s="187"/>
      <c r="N125" s="187"/>
      <c r="O125" s="187"/>
      <c r="P125" s="188">
        <f>SUM(compras_mes11[[#This Row],[NETO GRAVADO]:[Otros / No Grav.]])</f>
        <v>24450.010199999997</v>
      </c>
      <c r="Q125" s="189" t="str">
        <f>IFERROR(IF(compras_mes11[[#This Row],[CUIT]]="","-",VLOOKUP(compras_mes11[[#This Row],[CUIT]],Lista_CUIT[#All],3,0)),"CUIT NO CARGADO")</f>
        <v>Mercaderia</v>
      </c>
      <c r="R125" s="189">
        <f>IFERROR(IF(compras_mes11[[#This Row],[CUIT]]="","-",VLOOKUP(compras_mes11[[#This Row],[CUIT]],Lista_CUIT[#All],4,0)),"CUIT NO CARGADO")</f>
        <v>0</v>
      </c>
    </row>
    <row r="126" spans="2:18" x14ac:dyDescent="0.3">
      <c r="B126" s="181">
        <v>44865</v>
      </c>
      <c r="C126" s="37">
        <v>1</v>
      </c>
      <c r="D126" s="183">
        <v>33</v>
      </c>
      <c r="E126" s="184">
        <v>1</v>
      </c>
      <c r="F126" s="185">
        <v>30717434710</v>
      </c>
      <c r="G126" s="186" t="str">
        <f>IFERROR(IF(compras_mes11[[#This Row],[CUIT]]="","-",VLOOKUP(compras_mes11[[#This Row],[CUIT]],Lista_CUIT[#All],2,0)),"CUIT NO CARGADO")</f>
        <v>PICALI IMPORT S.R.L.</v>
      </c>
      <c r="H126" s="195">
        <v>201720</v>
      </c>
      <c r="I126" s="187">
        <f>IF(compras_mes11[[#This Row],[NETO GRAVADO]]="","",compras_mes11[[#This Row],[NETO GRAVADO]]*0.21)</f>
        <v>42361.2</v>
      </c>
      <c r="J126" s="187"/>
      <c r="K126" s="187"/>
      <c r="L126" s="187"/>
      <c r="M126" s="187"/>
      <c r="N126" s="187"/>
      <c r="O126" s="187"/>
      <c r="P126" s="188">
        <f>SUM(compras_mes11[[#This Row],[NETO GRAVADO]:[Otros / No Grav.]])</f>
        <v>244081.2</v>
      </c>
      <c r="Q126" s="189" t="str">
        <f>IFERROR(IF(compras_mes11[[#This Row],[CUIT]]="","-",VLOOKUP(compras_mes11[[#This Row],[CUIT]],Lista_CUIT[#All],3,0)),"CUIT NO CARGADO")</f>
        <v>Mercaderia</v>
      </c>
      <c r="R126" s="189">
        <f>IFERROR(IF(compras_mes11[[#This Row],[CUIT]]="","-",VLOOKUP(compras_mes11[[#This Row],[CUIT]],Lista_CUIT[#All],4,0)),"CUIT NO CARGADO")</f>
        <v>0</v>
      </c>
    </row>
    <row r="127" spans="2:18" x14ac:dyDescent="0.3">
      <c r="B127" s="181">
        <v>44865</v>
      </c>
      <c r="C127" s="37">
        <v>1</v>
      </c>
      <c r="D127" s="183">
        <v>4</v>
      </c>
      <c r="E127" s="184">
        <v>37</v>
      </c>
      <c r="F127" s="185">
        <v>20946785300</v>
      </c>
      <c r="G127" s="186" t="str">
        <f>IFERROR(IF(compras_mes11[[#This Row],[CUIT]]="","-",VLOOKUP(compras_mes11[[#This Row],[CUIT]],Lista_CUIT[#All],2,0)),"CUIT NO CARGADO")</f>
        <v>FLORES HUAYRA MICHAEL MARTIN</v>
      </c>
      <c r="H127" s="165">
        <v>94500</v>
      </c>
      <c r="I127" s="187">
        <f>IF(compras_mes11[[#This Row],[NETO GRAVADO]]="","",compras_mes11[[#This Row],[NETO GRAVADO]]*0.21)</f>
        <v>19845</v>
      </c>
      <c r="J127" s="187"/>
      <c r="K127" s="187"/>
      <c r="L127" s="187"/>
      <c r="M127" s="187"/>
      <c r="N127" s="187"/>
      <c r="O127" s="187"/>
      <c r="P127" s="188">
        <f>SUM(compras_mes11[[#This Row],[NETO GRAVADO]:[Otros / No Grav.]])</f>
        <v>114345</v>
      </c>
      <c r="Q127" s="189" t="str">
        <f>IFERROR(IF(compras_mes11[[#This Row],[CUIT]]="","-",VLOOKUP(compras_mes11[[#This Row],[CUIT]],Lista_CUIT[#All],3,0)),"CUIT NO CARGADO")</f>
        <v>Mercaderia</v>
      </c>
      <c r="R127" s="189">
        <f>IFERROR(IF(compras_mes11[[#This Row],[CUIT]]="","-",VLOOKUP(compras_mes11[[#This Row],[CUIT]],Lista_CUIT[#All],4,0)),"CUIT NO CARGADO")</f>
        <v>0</v>
      </c>
    </row>
    <row r="128" spans="2:18" x14ac:dyDescent="0.3">
      <c r="B128" s="181">
        <v>44865</v>
      </c>
      <c r="C128" s="37">
        <v>1</v>
      </c>
      <c r="D128" s="183">
        <v>2</v>
      </c>
      <c r="E128" s="184">
        <v>3181</v>
      </c>
      <c r="F128" s="185">
        <v>30629863571</v>
      </c>
      <c r="G128" s="186" t="str">
        <f>IFERROR(IF(compras_mes11[[#This Row],[CUIT]]="","-",VLOOKUP(compras_mes11[[#This Row],[CUIT]],Lista_CUIT[#All],2,0)),"CUIT NO CARGADO")</f>
        <v>TECNIMAR S R L</v>
      </c>
      <c r="H128" s="195">
        <v>307480</v>
      </c>
      <c r="I128" s="187">
        <f>IF(compras_mes11[[#This Row],[NETO GRAVADO]]="","",compras_mes11[[#This Row],[NETO GRAVADO]]*0.21)</f>
        <v>64570.799999999996</v>
      </c>
      <c r="J128" s="187"/>
      <c r="K128" s="187"/>
      <c r="L128" s="187"/>
      <c r="M128" s="187"/>
      <c r="N128" s="187"/>
      <c r="O128" s="187"/>
      <c r="P128" s="188">
        <f>SUM(compras_mes11[[#This Row],[NETO GRAVADO]:[Otros / No Grav.]])</f>
        <v>372050.8</v>
      </c>
      <c r="Q128" s="189" t="str">
        <f>IFERROR(IF(compras_mes11[[#This Row],[CUIT]]="","-",VLOOKUP(compras_mes11[[#This Row],[CUIT]],Lista_CUIT[#All],3,0)),"CUIT NO CARGADO")</f>
        <v>Mercaderia</v>
      </c>
      <c r="R128" s="189">
        <f>IFERROR(IF(compras_mes11[[#This Row],[CUIT]]="","-",VLOOKUP(compras_mes11[[#This Row],[CUIT]],Lista_CUIT[#All],4,0)),"CUIT NO CARGADO")</f>
        <v>0</v>
      </c>
    </row>
    <row r="129" spans="2:18" x14ac:dyDescent="0.3">
      <c r="B129" s="181">
        <v>44865</v>
      </c>
      <c r="C129" s="37">
        <v>1</v>
      </c>
      <c r="D129" s="183">
        <v>4</v>
      </c>
      <c r="E129" s="184">
        <v>36862</v>
      </c>
      <c r="F129" s="185">
        <v>30585948817</v>
      </c>
      <c r="G129" s="186" t="str">
        <f>IFERROR(IF(compras_mes11[[#This Row],[CUIT]]="","-",VLOOKUP(compras_mes11[[#This Row],[CUIT]],Lista_CUIT[#All],2,0)),"CUIT NO CARGADO")</f>
        <v xml:space="preserve">GLASCAR </v>
      </c>
      <c r="H129" s="195">
        <v>821681.28</v>
      </c>
      <c r="I129" s="187">
        <f>IF(compras_mes11[[#This Row],[NETO GRAVADO]]="","",compras_mes11[[#This Row],[NETO GRAVADO]]*0.21)</f>
        <v>172553.06880000001</v>
      </c>
      <c r="J129" s="187"/>
      <c r="K129" s="187"/>
      <c r="L129" s="187"/>
      <c r="M129" s="187"/>
      <c r="N129" s="203">
        <v>49300.88</v>
      </c>
      <c r="O129" s="187"/>
      <c r="P129" s="188">
        <f>SUM(compras_mes11[[#This Row],[NETO GRAVADO]:[Otros / No Grav.]])</f>
        <v>1043535.2288</v>
      </c>
      <c r="Q129" s="189" t="str">
        <f>IFERROR(IF(compras_mes11[[#This Row],[CUIT]]="","-",VLOOKUP(compras_mes11[[#This Row],[CUIT]],Lista_CUIT[#All],3,0)),"CUIT NO CARGADO")</f>
        <v>Mercaderia</v>
      </c>
      <c r="R129" s="189">
        <f>IFERROR(IF(compras_mes11[[#This Row],[CUIT]]="","-",VLOOKUP(compras_mes11[[#This Row],[CUIT]],Lista_CUIT[#All],4,0)),"CUIT NO CARGADO")</f>
        <v>0</v>
      </c>
    </row>
    <row r="130" spans="2:18" x14ac:dyDescent="0.3">
      <c r="B130" s="205">
        <v>44861</v>
      </c>
      <c r="C130" s="199">
        <v>1</v>
      </c>
      <c r="D130" s="206">
        <v>103</v>
      </c>
      <c r="E130" s="207">
        <v>572379</v>
      </c>
      <c r="F130" s="208">
        <v>30701307115</v>
      </c>
      <c r="G130" s="209" t="str">
        <f>IFERROR(IF(compras_mes11[[#This Row],[CUIT]]="","-",VLOOKUP(compras_mes11[[#This Row],[CUIT]],Lista_CUIT[#All],2,0)),"CUIT NO CARGADO")</f>
        <v>DESPEGAR COM AR SA</v>
      </c>
      <c r="H130" s="165">
        <v>41990.91</v>
      </c>
      <c r="I130" s="203"/>
      <c r="J130" s="203"/>
      <c r="K130" s="203">
        <v>4409.05</v>
      </c>
      <c r="L130" s="203"/>
      <c r="M130" s="203"/>
      <c r="N130" s="203">
        <v>2508.3000000000002</v>
      </c>
      <c r="O130" s="203">
        <v>1268</v>
      </c>
      <c r="P130" s="210">
        <f>SUM(compras_mes11[[#This Row],[NETO GRAVADO]:[Otros / No Grav.]])</f>
        <v>50176.260000000009</v>
      </c>
      <c r="Q130" s="211" t="str">
        <f>IFERROR(IF(compras_mes11[[#This Row],[CUIT]]="","-",VLOOKUP(compras_mes11[[#This Row],[CUIT]],Lista_CUIT[#All],3,0)),"CUIT NO CARGADO")</f>
        <v xml:space="preserve">Movilidad </v>
      </c>
      <c r="R130" s="211">
        <f>IFERROR(IF(compras_mes11[[#This Row],[CUIT]]="","-",VLOOKUP(compras_mes11[[#This Row],[CUIT]],Lista_CUIT[#All],4,0)),"CUIT NO CARGADO")</f>
        <v>0</v>
      </c>
    </row>
    <row r="131" spans="2:18" x14ac:dyDescent="0.3">
      <c r="B131" s="36">
        <v>44836</v>
      </c>
      <c r="C131" s="37">
        <v>1</v>
      </c>
      <c r="D131" s="38">
        <v>50</v>
      </c>
      <c r="E131" s="39">
        <v>2776870</v>
      </c>
      <c r="F131" s="40">
        <v>30714112836</v>
      </c>
      <c r="G131" s="41" t="str">
        <f>IFERROR(IF(compras_mes11[[#This Row],[CUIT]]="","-",VLOOKUP(compras_mes11[[#This Row],[CUIT]],Lista_CUIT[#All],2,0)),"CUIT NO CARGADO")</f>
        <v>AUTOPISTAS DE BS AS</v>
      </c>
      <c r="H131" s="195">
        <v>400.83</v>
      </c>
      <c r="I131" s="81">
        <f>IF(compras_mes11[[#This Row],[NETO GRAVADO]]="","",compras_mes11[[#This Row],[NETO GRAVADO]]*0.21)</f>
        <v>84.174299999999988</v>
      </c>
      <c r="J131" s="81"/>
      <c r="K131" s="81"/>
      <c r="L131" s="81"/>
      <c r="M131" s="81"/>
      <c r="N131" s="81"/>
      <c r="O131" s="81"/>
      <c r="P131" s="44">
        <f>SUM(compras_mes11[[#This Row],[NETO GRAVADO]:[Otros / No Grav.]])</f>
        <v>485.00429999999994</v>
      </c>
      <c r="Q131" s="45" t="str">
        <f>IFERROR(IF(compras_mes11[[#This Row],[CUIT]]="","-",VLOOKUP(compras_mes11[[#This Row],[CUIT]],Lista_CUIT[#All],3,0)),"CUIT NO CARGADO")</f>
        <v>Peaje</v>
      </c>
      <c r="R131" s="45">
        <f>IFERROR(IF(compras_mes11[[#This Row],[CUIT]]="","-",VLOOKUP(compras_mes11[[#This Row],[CUIT]],Lista_CUIT[#All],4,0)),"CUIT NO CARGADO")</f>
        <v>0</v>
      </c>
    </row>
    <row r="132" spans="2:18" x14ac:dyDescent="0.3">
      <c r="B132" s="181">
        <v>44837</v>
      </c>
      <c r="C132" s="37">
        <v>1</v>
      </c>
      <c r="D132" s="183">
        <v>711</v>
      </c>
      <c r="E132" s="184">
        <v>3463960</v>
      </c>
      <c r="F132" s="185">
        <v>30677237119</v>
      </c>
      <c r="G132" s="186" t="str">
        <f>IFERROR(IF(compras_mes11[[#This Row],[CUIT]]="","-",VLOOKUP(compras_mes11[[#This Row],[CUIT]],Lista_CUIT[#All],2,0)),"CUIT NO CARGADO")</f>
        <v>AUTOPISTAS DEL SOL S A</v>
      </c>
      <c r="H132" s="195">
        <v>2314.0500000000002</v>
      </c>
      <c r="I132" s="187">
        <f>IF(compras_mes11[[#This Row],[NETO GRAVADO]]="","",compras_mes11[[#This Row],[NETO GRAVADO]]*0.21)</f>
        <v>485.95050000000003</v>
      </c>
      <c r="J132" s="187"/>
      <c r="K132" s="187"/>
      <c r="L132" s="187"/>
      <c r="M132" s="187"/>
      <c r="N132" s="187"/>
      <c r="O132" s="187"/>
      <c r="P132" s="188">
        <f>SUM(compras_mes11[[#This Row],[NETO GRAVADO]:[Otros / No Grav.]])</f>
        <v>2800.0005000000001</v>
      </c>
      <c r="Q132" s="189" t="str">
        <f>IFERROR(IF(compras_mes11[[#This Row],[CUIT]]="","-",VLOOKUP(compras_mes11[[#This Row],[CUIT]],Lista_CUIT[#All],3,0)),"CUIT NO CARGADO")</f>
        <v>Peaje</v>
      </c>
      <c r="R132" s="189">
        <f>IFERROR(IF(compras_mes11[[#This Row],[CUIT]]="","-",VLOOKUP(compras_mes11[[#This Row],[CUIT]],Lista_CUIT[#All],4,0)),"CUIT NO CARGADO")</f>
        <v>0</v>
      </c>
    </row>
    <row r="133" spans="2:18" x14ac:dyDescent="0.3">
      <c r="B133" s="85">
        <v>44837</v>
      </c>
      <c r="C133" s="37">
        <v>1</v>
      </c>
      <c r="D133" s="87">
        <v>629</v>
      </c>
      <c r="E133" s="88">
        <v>3590821</v>
      </c>
      <c r="F133" s="89">
        <v>30663498513</v>
      </c>
      <c r="G133" s="90" t="str">
        <f>IFERROR(IF(compras_mes11[[#This Row],[CUIT]]="","-",VLOOKUP(compras_mes11[[#This Row],[CUIT]],Lista_CUIT[#All],2,0)),"CUIT NO CARGADO")</f>
        <v>GRUPO CONCES. DEL OESTE SA</v>
      </c>
      <c r="H133" s="195">
        <v>1751.23</v>
      </c>
      <c r="I133" s="82">
        <f>IF(compras_mes11[[#This Row],[NETO GRAVADO]]="","",compras_mes11[[#This Row],[NETO GRAVADO]]*0.21)</f>
        <v>367.75829999999996</v>
      </c>
      <c r="J133" s="82"/>
      <c r="K133" s="82"/>
      <c r="L133" s="82"/>
      <c r="M133" s="82"/>
      <c r="N133" s="82"/>
      <c r="O133" s="82"/>
      <c r="P133" s="83">
        <f>SUM(compras_mes11[[#This Row],[NETO GRAVADO]:[Otros / No Grav.]])</f>
        <v>2118.9883</v>
      </c>
      <c r="Q133" s="84" t="str">
        <f>IFERROR(IF(compras_mes11[[#This Row],[CUIT]]="","-",VLOOKUP(compras_mes11[[#This Row],[CUIT]],Lista_CUIT[#All],3,0)),"CUIT NO CARGADO")</f>
        <v>Peaje</v>
      </c>
      <c r="R133" s="84">
        <f>IFERROR(IF(compras_mes11[[#This Row],[CUIT]]="","-",VLOOKUP(compras_mes11[[#This Row],[CUIT]],Lista_CUIT[#All],4,0)),"CUIT NO CARGADO")</f>
        <v>0</v>
      </c>
    </row>
    <row r="134" spans="2:18" x14ac:dyDescent="0.3">
      <c r="B134" s="181">
        <v>44838</v>
      </c>
      <c r="C134" s="37">
        <v>1</v>
      </c>
      <c r="D134" s="183">
        <v>5014</v>
      </c>
      <c r="E134" s="184">
        <v>303169</v>
      </c>
      <c r="F134" s="185">
        <v>30574876474</v>
      </c>
      <c r="G134" s="186" t="str">
        <f>IFERROR(IF(compras_mes11[[#This Row],[CUIT]]="","-",VLOOKUP(compras_mes11[[#This Row],[CUIT]],Lista_CUIT[#All],2,0)),"CUIT NO CARGADO")</f>
        <v>AUTOPISTAS URBANAS S A</v>
      </c>
      <c r="H134" s="195">
        <v>11073.42</v>
      </c>
      <c r="I134" s="187">
        <f>IF(compras_mes11[[#This Row],[NETO GRAVADO]]="","",compras_mes11[[#This Row],[NETO GRAVADO]]*0.21)</f>
        <v>2325.4182000000001</v>
      </c>
      <c r="J134" s="187"/>
      <c r="K134" s="187"/>
      <c r="L134" s="187"/>
      <c r="M134" s="187"/>
      <c r="N134" s="187"/>
      <c r="O134" s="187"/>
      <c r="P134" s="188">
        <f>SUM(compras_mes11[[#This Row],[NETO GRAVADO]:[Otros / No Grav.]])</f>
        <v>13398.8382</v>
      </c>
      <c r="Q134" s="189" t="str">
        <f>IFERROR(IF(compras_mes11[[#This Row],[CUIT]]="","-",VLOOKUP(compras_mes11[[#This Row],[CUIT]],Lista_CUIT[#All],3,0)),"CUIT NO CARGADO")</f>
        <v>Peaje</v>
      </c>
      <c r="R134" s="189">
        <f>IFERROR(IF(compras_mes11[[#This Row],[CUIT]]="","-",VLOOKUP(compras_mes11[[#This Row],[CUIT]],Lista_CUIT[#All],4,0)),"CUIT NO CARGADO")</f>
        <v>0</v>
      </c>
    </row>
    <row r="135" spans="2:18" x14ac:dyDescent="0.3">
      <c r="B135" s="181">
        <v>44852</v>
      </c>
      <c r="C135" s="37">
        <v>1</v>
      </c>
      <c r="D135" s="183">
        <v>711</v>
      </c>
      <c r="E135" s="184">
        <v>3519986</v>
      </c>
      <c r="F135" s="185">
        <v>30677237119</v>
      </c>
      <c r="G135" s="186" t="str">
        <f>IFERROR(IF(compras_mes11[[#This Row],[CUIT]]="","-",VLOOKUP(compras_mes11[[#This Row],[CUIT]],Lista_CUIT[#All],2,0)),"CUIT NO CARGADO")</f>
        <v>AUTOPISTAS DEL SOL S A</v>
      </c>
      <c r="H135" s="195">
        <v>2474.39</v>
      </c>
      <c r="I135" s="187">
        <f>IF(compras_mes11[[#This Row],[NETO GRAVADO]]="","",compras_mes11[[#This Row],[NETO GRAVADO]]*0.21)</f>
        <v>519.62189999999998</v>
      </c>
      <c r="J135" s="187"/>
      <c r="K135" s="187"/>
      <c r="L135" s="187"/>
      <c r="M135" s="187"/>
      <c r="N135" s="187"/>
      <c r="O135" s="187"/>
      <c r="P135" s="188">
        <f>SUM(compras_mes11[[#This Row],[NETO GRAVADO]:[Otros / No Grav.]])</f>
        <v>2994.0119</v>
      </c>
      <c r="Q135" s="189" t="str">
        <f>IFERROR(IF(compras_mes11[[#This Row],[CUIT]]="","-",VLOOKUP(compras_mes11[[#This Row],[CUIT]],Lista_CUIT[#All],3,0)),"CUIT NO CARGADO")</f>
        <v>Peaje</v>
      </c>
      <c r="R135" s="189">
        <f>IFERROR(IF(compras_mes11[[#This Row],[CUIT]]="","-",VLOOKUP(compras_mes11[[#This Row],[CUIT]],Lista_CUIT[#All],4,0)),"CUIT NO CARGADO")</f>
        <v>0</v>
      </c>
    </row>
    <row r="136" spans="2:18" x14ac:dyDescent="0.3">
      <c r="B136" s="181">
        <v>44852</v>
      </c>
      <c r="C136" s="37">
        <v>1</v>
      </c>
      <c r="D136" s="183">
        <v>629</v>
      </c>
      <c r="E136" s="184">
        <v>3629577</v>
      </c>
      <c r="F136" s="185">
        <v>30663498513</v>
      </c>
      <c r="G136" s="186" t="str">
        <f>IFERROR(IF(compras_mes11[[#This Row],[CUIT]]="","-",VLOOKUP(compras_mes11[[#This Row],[CUIT]],Lista_CUIT[#All],2,0)),"CUIT NO CARGADO")</f>
        <v>GRUPO CONCES. DEL OESTE SA</v>
      </c>
      <c r="H136" s="195">
        <v>1527.28</v>
      </c>
      <c r="I136" s="187">
        <f>IF(compras_mes11[[#This Row],[NETO GRAVADO]]="","",compras_mes11[[#This Row],[NETO GRAVADO]]*0.21)</f>
        <v>320.72879999999998</v>
      </c>
      <c r="J136" s="187"/>
      <c r="K136" s="187"/>
      <c r="L136" s="187"/>
      <c r="M136" s="187"/>
      <c r="N136" s="187"/>
      <c r="O136" s="187"/>
      <c r="P136" s="188">
        <f>SUM(compras_mes11[[#This Row],[NETO GRAVADO]:[Otros / No Grav.]])</f>
        <v>1848.0088000000001</v>
      </c>
      <c r="Q136" s="189" t="str">
        <f>IFERROR(IF(compras_mes11[[#This Row],[CUIT]]="","-",VLOOKUP(compras_mes11[[#This Row],[CUIT]],Lista_CUIT[#All],3,0)),"CUIT NO CARGADO")</f>
        <v>Peaje</v>
      </c>
      <c r="R136" s="189">
        <f>IFERROR(IF(compras_mes11[[#This Row],[CUIT]]="","-",VLOOKUP(compras_mes11[[#This Row],[CUIT]],Lista_CUIT[#All],4,0)),"CUIT NO CARGADO")</f>
        <v>0</v>
      </c>
    </row>
    <row r="137" spans="2:18" x14ac:dyDescent="0.3">
      <c r="B137" s="181">
        <v>44853</v>
      </c>
      <c r="C137" s="37">
        <v>1</v>
      </c>
      <c r="D137" s="183">
        <v>5014</v>
      </c>
      <c r="E137" s="184">
        <v>311344</v>
      </c>
      <c r="F137" s="185">
        <v>30574876474</v>
      </c>
      <c r="G137" s="186" t="str">
        <f>IFERROR(IF(compras_mes11[[#This Row],[CUIT]]="","-",VLOOKUP(compras_mes11[[#This Row],[CUIT]],Lista_CUIT[#All],2,0)),"CUIT NO CARGADO")</f>
        <v>AUTOPISTAS URBANAS S A</v>
      </c>
      <c r="H137" s="195">
        <v>9940.2000000000007</v>
      </c>
      <c r="I137" s="187">
        <f>IF(compras_mes11[[#This Row],[NETO GRAVADO]]="","",compras_mes11[[#This Row],[NETO GRAVADO]]*0.21)</f>
        <v>2087.442</v>
      </c>
      <c r="J137" s="187"/>
      <c r="K137" s="187"/>
      <c r="L137" s="187"/>
      <c r="M137" s="187"/>
      <c r="N137" s="187"/>
      <c r="O137" s="187"/>
      <c r="P137" s="188">
        <f>SUM(compras_mes11[[#This Row],[NETO GRAVADO]:[Otros / No Grav.]])</f>
        <v>12027.642</v>
      </c>
      <c r="Q137" s="189" t="str">
        <f>IFERROR(IF(compras_mes11[[#This Row],[CUIT]]="","-",VLOOKUP(compras_mes11[[#This Row],[CUIT]],Lista_CUIT[#All],3,0)),"CUIT NO CARGADO")</f>
        <v>Peaje</v>
      </c>
      <c r="R137" s="189">
        <f>IFERROR(IF(compras_mes11[[#This Row],[CUIT]]="","-",VLOOKUP(compras_mes11[[#This Row],[CUIT]],Lista_CUIT[#All],4,0)),"CUIT NO CARGADO")</f>
        <v>0</v>
      </c>
    </row>
    <row r="138" spans="2:18" x14ac:dyDescent="0.3">
      <c r="B138" s="181">
        <v>44862</v>
      </c>
      <c r="C138" s="37">
        <v>1</v>
      </c>
      <c r="D138" s="183">
        <v>700</v>
      </c>
      <c r="E138" s="184">
        <v>680206</v>
      </c>
      <c r="F138" s="185">
        <v>30715804812</v>
      </c>
      <c r="G138" s="186" t="str">
        <f>IFERROR(IF(compras_mes11[[#This Row],[CUIT]]="","-",VLOOKUP(compras_mes11[[#This Row],[CUIT]],Lista_CUIT[#All],2,0)),"CUIT NO CARGADO")</f>
        <v>CORREDORES VIALES SOCIEDAD ANONIMA</v>
      </c>
      <c r="H138" s="195">
        <v>661.98</v>
      </c>
      <c r="I138" s="187">
        <f>IF(compras_mes11[[#This Row],[NETO GRAVADO]]="","",compras_mes11[[#This Row],[NETO GRAVADO]]*0.21)</f>
        <v>139.01579999999998</v>
      </c>
      <c r="J138" s="187"/>
      <c r="K138" s="187"/>
      <c r="L138" s="187"/>
      <c r="M138" s="187"/>
      <c r="N138" s="187"/>
      <c r="O138" s="187"/>
      <c r="P138" s="188">
        <f>SUM(compras_mes11[[#This Row],[NETO GRAVADO]:[Otros / No Grav.]])</f>
        <v>800.99580000000003</v>
      </c>
      <c r="Q138" s="189" t="str">
        <f>IFERROR(IF(compras_mes11[[#This Row],[CUIT]]="","-",VLOOKUP(compras_mes11[[#This Row],[CUIT]],Lista_CUIT[#All],3,0)),"CUIT NO CARGADO")</f>
        <v>Peaje</v>
      </c>
      <c r="R138" s="189">
        <f>IFERROR(IF(compras_mes11[[#This Row],[CUIT]]="","-",VLOOKUP(compras_mes11[[#This Row],[CUIT]],Lista_CUIT[#All],4,0)),"CUIT NO CARGADO")</f>
        <v>0</v>
      </c>
    </row>
    <row r="139" spans="2:18" x14ac:dyDescent="0.3">
      <c r="B139" s="181">
        <v>44837</v>
      </c>
      <c r="C139" s="37">
        <v>1</v>
      </c>
      <c r="D139" s="183">
        <v>4</v>
      </c>
      <c r="E139" s="184">
        <v>166</v>
      </c>
      <c r="F139" s="185">
        <v>20334579019</v>
      </c>
      <c r="G139" s="186" t="str">
        <f>IFERROR(IF(compras_mes11[[#This Row],[CUIT]]="","-",VLOOKUP(compras_mes11[[#This Row],[CUIT]],Lista_CUIT[#All],2,0)),"CUIT NO CARGADO")</f>
        <v>QUINTEROS EMANUEL</v>
      </c>
      <c r="H139" s="195">
        <v>97540</v>
      </c>
      <c r="I139" s="187">
        <f>IF(compras_mes11[[#This Row],[NETO GRAVADO]]="","",compras_mes11[[#This Row],[NETO GRAVADO]]*0.21)</f>
        <v>20483.399999999998</v>
      </c>
      <c r="J139" s="187"/>
      <c r="K139" s="187"/>
      <c r="L139" s="187"/>
      <c r="M139" s="187"/>
      <c r="N139" s="187"/>
      <c r="O139" s="187"/>
      <c r="P139" s="188">
        <f>SUM(compras_mes11[[#This Row],[NETO GRAVADO]:[Otros / No Grav.]])</f>
        <v>118023.4</v>
      </c>
      <c r="Q139" s="189" t="str">
        <f>IFERROR(IF(compras_mes11[[#This Row],[CUIT]]="","-",VLOOKUP(compras_mes11[[#This Row],[CUIT]],Lista_CUIT[#All],3,0)),"CUIT NO CARGADO")</f>
        <v>Regalos Empresariales</v>
      </c>
      <c r="R139" s="189">
        <f>IFERROR(IF(compras_mes11[[#This Row],[CUIT]]="","-",VLOOKUP(compras_mes11[[#This Row],[CUIT]],Lista_CUIT[#All],4,0)),"CUIT NO CARGADO")</f>
        <v>0</v>
      </c>
    </row>
    <row r="140" spans="2:18" x14ac:dyDescent="0.3">
      <c r="B140" s="181">
        <v>44855</v>
      </c>
      <c r="C140" s="37">
        <v>1</v>
      </c>
      <c r="D140" s="183">
        <v>5</v>
      </c>
      <c r="E140" s="184">
        <v>3964</v>
      </c>
      <c r="F140" s="185">
        <v>30712246428</v>
      </c>
      <c r="G140" s="186" t="str">
        <f>IFERROR(IF(compras_mes11[[#This Row],[CUIT]]="","-",VLOOKUP(compras_mes11[[#This Row],[CUIT]],Lista_CUIT[#All],2,0)),"CUIT NO CARGADO")</f>
        <v>JUST SOLUTION S.A.</v>
      </c>
      <c r="H140" s="42">
        <v>5800</v>
      </c>
      <c r="I140" s="187"/>
      <c r="J140" s="187"/>
      <c r="K140" s="187">
        <v>609</v>
      </c>
      <c r="L140" s="187"/>
      <c r="M140" s="187"/>
      <c r="N140" s="187"/>
      <c r="O140" s="187"/>
      <c r="P140" s="188">
        <f>SUM(compras_mes11[[#This Row],[NETO GRAVADO]:[Otros / No Grav.]])</f>
        <v>6409</v>
      </c>
      <c r="Q140" s="189" t="str">
        <f>IFERROR(IF(compras_mes11[[#This Row],[CUIT]]="","-",VLOOKUP(compras_mes11[[#This Row],[CUIT]],Lista_CUIT[#All],3,0)),"CUIT NO CARGADO")</f>
        <v>Servicios Informatica</v>
      </c>
      <c r="R140" s="189">
        <f>IFERROR(IF(compras_mes11[[#This Row],[CUIT]]="","-",VLOOKUP(compras_mes11[[#This Row],[CUIT]],Lista_CUIT[#All],4,0)),"CUIT NO CARGADO")</f>
        <v>0</v>
      </c>
    </row>
    <row r="141" spans="2:18" x14ac:dyDescent="0.3">
      <c r="B141" s="181">
        <v>44865</v>
      </c>
      <c r="C141" s="37">
        <v>1</v>
      </c>
      <c r="D141" s="183">
        <v>727</v>
      </c>
      <c r="E141" s="184">
        <v>18</v>
      </c>
      <c r="F141" s="185">
        <v>30715621866</v>
      </c>
      <c r="G141" s="186" t="str">
        <f>IFERROR(IF(compras_mes11[[#This Row],[CUIT]]="","-",VLOOKUP(compras_mes11[[#This Row],[CUIT]],Lista_CUIT[#All],2,0)),"CUIT NO CARGADO")</f>
        <v>GMRA S. A.</v>
      </c>
      <c r="H141" s="195">
        <v>17850.419999999998</v>
      </c>
      <c r="I141" s="187">
        <f>IF(compras_mes11[[#This Row],[NETO GRAVADO]]="","",compras_mes11[[#This Row],[NETO GRAVADO]]*0.21)</f>
        <v>3748.5881999999997</v>
      </c>
      <c r="J141" s="187"/>
      <c r="K141" s="187"/>
      <c r="L141" s="187"/>
      <c r="M141" s="187"/>
      <c r="N141" s="187"/>
      <c r="O141" s="187">
        <v>1294.1600000000001</v>
      </c>
      <c r="P141" s="188">
        <f>SUM(compras_mes11[[#This Row],[NETO GRAVADO]:[Otros / No Grav.]])</f>
        <v>22893.168199999996</v>
      </c>
      <c r="Q141" s="189" t="str">
        <f>IFERROR(IF(compras_mes11[[#This Row],[CUIT]]="","-",VLOOKUP(compras_mes11[[#This Row],[CUIT]],Lista_CUIT[#All],3,0)),"CUIT NO CARGADO")</f>
        <v>Servicios Gas, Luz, etc.</v>
      </c>
      <c r="R141" s="189">
        <f>IFERROR(IF(compras_mes11[[#This Row],[CUIT]]="","-",VLOOKUP(compras_mes11[[#This Row],[CUIT]],Lista_CUIT[#All],4,0)),"CUIT NO CARGADO")</f>
        <v>0</v>
      </c>
    </row>
    <row r="142" spans="2:18" x14ac:dyDescent="0.3">
      <c r="B142" s="205">
        <v>44837</v>
      </c>
      <c r="C142" s="199">
        <v>1</v>
      </c>
      <c r="D142" s="206">
        <v>943</v>
      </c>
      <c r="E142" s="207">
        <v>1212608</v>
      </c>
      <c r="F142" s="208">
        <v>30639453975</v>
      </c>
      <c r="G142" s="209" t="str">
        <f>IFERROR(IF(compras_mes11[[#This Row],[CUIT]]="","-",VLOOKUP(compras_mes11[[#This Row],[CUIT]],Lista_CUIT[#All],2,0)),"CUIT NO CARGADO")</f>
        <v>TELEFONICA DE ARG S.A.</v>
      </c>
      <c r="H142" s="165">
        <v>12128</v>
      </c>
      <c r="I142" s="203">
        <v>3274.56</v>
      </c>
      <c r="J142" s="203"/>
      <c r="K142" s="203"/>
      <c r="L142" s="212">
        <v>363.83999633789102</v>
      </c>
      <c r="M142" s="203"/>
      <c r="N142" s="212">
        <v>727.67999267578102</v>
      </c>
      <c r="O142" s="203"/>
      <c r="P142" s="210">
        <f>SUM(compras_mes11[[#This Row],[NETO GRAVADO]:[Otros / No Grav.]])</f>
        <v>16494.07998901367</v>
      </c>
      <c r="Q142" s="211" t="str">
        <f>IFERROR(IF(compras_mes11[[#This Row],[CUIT]]="","-",VLOOKUP(compras_mes11[[#This Row],[CUIT]],Lista_CUIT[#All],3,0)),"CUIT NO CARGADO")</f>
        <v>Servicios Gas, Luz, etc.</v>
      </c>
      <c r="R142" s="211">
        <f>IFERROR(IF(compras_mes11[[#This Row],[CUIT]]="","-",VLOOKUP(compras_mes11[[#This Row],[CUIT]],Lista_CUIT[#All],4,0)),"CUIT NO CARGADO")</f>
        <v>0</v>
      </c>
    </row>
    <row r="143" spans="2:18" x14ac:dyDescent="0.3">
      <c r="B143" s="181">
        <v>44838</v>
      </c>
      <c r="C143" s="37">
        <v>1</v>
      </c>
      <c r="D143" s="183">
        <v>63</v>
      </c>
      <c r="E143" s="184">
        <v>2109896</v>
      </c>
      <c r="F143" s="185">
        <v>30640897267</v>
      </c>
      <c r="G143" s="186" t="str">
        <f>IFERROR(IF(compras_mes11[[#This Row],[CUIT]]="","-",VLOOKUP(compras_mes11[[#This Row],[CUIT]],Lista_CUIT[#All],2,0)),"CUIT NO CARGADO")</f>
        <v>TELECENTRO S.A.</v>
      </c>
      <c r="H143" s="195">
        <v>6714.34</v>
      </c>
      <c r="I143" s="187">
        <f>IF(compras_mes11[[#This Row],[NETO GRAVADO]]="","",compras_mes11[[#This Row],[NETO GRAVADO]]*0.21)</f>
        <v>1410.0113999999999</v>
      </c>
      <c r="J143" s="187"/>
      <c r="K143" s="187"/>
      <c r="L143" s="187"/>
      <c r="M143" s="187"/>
      <c r="N143" s="187"/>
      <c r="O143" s="187"/>
      <c r="P143" s="188">
        <f>SUM(compras_mes11[[#This Row],[NETO GRAVADO]:[Otros / No Grav.]])</f>
        <v>8124.3513999999996</v>
      </c>
      <c r="Q143" s="189" t="str">
        <f>IFERROR(IF(compras_mes11[[#This Row],[CUIT]]="","-",VLOOKUP(compras_mes11[[#This Row],[CUIT]],Lista_CUIT[#All],3,0)),"CUIT NO CARGADO")</f>
        <v>Servicios Gas, Luz, etc.</v>
      </c>
      <c r="R143" s="189">
        <f>IFERROR(IF(compras_mes11[[#This Row],[CUIT]]="","-",VLOOKUP(compras_mes11[[#This Row],[CUIT]],Lista_CUIT[#All],4,0)),"CUIT NO CARGADO")</f>
        <v>0</v>
      </c>
    </row>
    <row r="144" spans="2:18" x14ac:dyDescent="0.3">
      <c r="B144" s="181">
        <v>44838</v>
      </c>
      <c r="C144" s="37">
        <v>1</v>
      </c>
      <c r="D144" s="183">
        <v>63</v>
      </c>
      <c r="E144" s="184">
        <v>2110533</v>
      </c>
      <c r="F144" s="185">
        <v>30640897267</v>
      </c>
      <c r="G144" s="186" t="str">
        <f>IFERROR(IF(compras_mes11[[#This Row],[CUIT]]="","-",VLOOKUP(compras_mes11[[#This Row],[CUIT]],Lista_CUIT[#All],2,0)),"CUIT NO CARGADO")</f>
        <v>TELECENTRO S.A.</v>
      </c>
      <c r="H144" s="195">
        <v>6714.34</v>
      </c>
      <c r="I144" s="187">
        <f>IF(compras_mes11[[#This Row],[NETO GRAVADO]]="","",compras_mes11[[#This Row],[NETO GRAVADO]]*0.21)</f>
        <v>1410.0113999999999</v>
      </c>
      <c r="J144" s="187"/>
      <c r="K144" s="187"/>
      <c r="L144" s="187"/>
      <c r="M144" s="187"/>
      <c r="N144" s="187"/>
      <c r="O144" s="187"/>
      <c r="P144" s="188">
        <f>SUM(compras_mes11[[#This Row],[NETO GRAVADO]:[Otros / No Grav.]])</f>
        <v>8124.3513999999996</v>
      </c>
      <c r="Q144" s="189" t="str">
        <f>IFERROR(IF(compras_mes11[[#This Row],[CUIT]]="","-",VLOOKUP(compras_mes11[[#This Row],[CUIT]],Lista_CUIT[#All],3,0)),"CUIT NO CARGADO")</f>
        <v>Servicios Gas, Luz, etc.</v>
      </c>
      <c r="R144" s="189">
        <f>IFERROR(IF(compras_mes11[[#This Row],[CUIT]]="","-",VLOOKUP(compras_mes11[[#This Row],[CUIT]],Lista_CUIT[#All],4,0)),"CUIT NO CARGADO")</f>
        <v>0</v>
      </c>
    </row>
    <row r="145" spans="2:18" x14ac:dyDescent="0.3">
      <c r="B145" s="181">
        <v>44843</v>
      </c>
      <c r="C145" s="37">
        <v>1</v>
      </c>
      <c r="D145" s="183">
        <v>948</v>
      </c>
      <c r="E145" s="184">
        <v>778159</v>
      </c>
      <c r="F145" s="185">
        <v>30639453975</v>
      </c>
      <c r="G145" s="186" t="str">
        <f>IFERROR(IF(compras_mes11[[#This Row],[CUIT]]="","-",VLOOKUP(compras_mes11[[#This Row],[CUIT]],Lista_CUIT[#All],2,0)),"CUIT NO CARGADO")</f>
        <v>TELEFONICA DE ARG S.A.</v>
      </c>
      <c r="H145" s="195">
        <v>3581</v>
      </c>
      <c r="I145" s="187"/>
      <c r="J145" s="187">
        <v>966.87</v>
      </c>
      <c r="K145" s="187"/>
      <c r="L145" s="187"/>
      <c r="M145" s="187"/>
      <c r="N145" s="187"/>
      <c r="O145" s="187"/>
      <c r="P145" s="188">
        <f>SUM(compras_mes11[[#This Row],[NETO GRAVADO]:[Otros / No Grav.]])</f>
        <v>4547.87</v>
      </c>
      <c r="Q145" s="189" t="str">
        <f>IFERROR(IF(compras_mes11[[#This Row],[CUIT]]="","-",VLOOKUP(compras_mes11[[#This Row],[CUIT]],Lista_CUIT[#All],3,0)),"CUIT NO CARGADO")</f>
        <v>Servicios Gas, Luz, etc.</v>
      </c>
      <c r="R145" s="189">
        <f>IFERROR(IF(compras_mes11[[#This Row],[CUIT]]="","-",VLOOKUP(compras_mes11[[#This Row],[CUIT]],Lista_CUIT[#All],4,0)),"CUIT NO CARGADO")</f>
        <v>0</v>
      </c>
    </row>
    <row r="146" spans="2:18" x14ac:dyDescent="0.3">
      <c r="B146" s="205">
        <v>44844</v>
      </c>
      <c r="C146" s="199">
        <v>1</v>
      </c>
      <c r="D146" s="206">
        <v>6364</v>
      </c>
      <c r="E146" s="207">
        <v>6864448</v>
      </c>
      <c r="F146" s="208">
        <v>30639453738</v>
      </c>
      <c r="G146" s="209" t="str">
        <f>IFERROR(IF(compras_mes11[[#This Row],[CUIT]]="","-",VLOOKUP(compras_mes11[[#This Row],[CUIT]],Lista_CUIT[#All],2,0)),"CUIT NO CARGADO")</f>
        <v>TELECOM ARG SA</v>
      </c>
      <c r="H146" s="165">
        <v>51168.85</v>
      </c>
      <c r="I146" s="203">
        <v>10352.24</v>
      </c>
      <c r="J146" s="203">
        <v>505.57</v>
      </c>
      <c r="K146" s="203"/>
      <c r="L146" s="203">
        <v>1535.06</v>
      </c>
      <c r="M146" s="203"/>
      <c r="N146" s="203">
        <v>2818.4</v>
      </c>
      <c r="O146" s="203">
        <v>131.16999999999999</v>
      </c>
      <c r="P146" s="210">
        <f>SUM(compras_mes11[[#This Row],[NETO GRAVADO]:[Otros / No Grav.]])</f>
        <v>66511.289999999994</v>
      </c>
      <c r="Q146" s="211" t="str">
        <f>IFERROR(IF(compras_mes11[[#This Row],[CUIT]]="","-",VLOOKUP(compras_mes11[[#This Row],[CUIT]],Lista_CUIT[#All],3,0)),"CUIT NO CARGADO")</f>
        <v>Servicios Gas, Luz, etc.</v>
      </c>
      <c r="R146" s="211">
        <f>IFERROR(IF(compras_mes11[[#This Row],[CUIT]]="","-",VLOOKUP(compras_mes11[[#This Row],[CUIT]],Lista_CUIT[#All],4,0)),"CUIT NO CARGADO")</f>
        <v>0</v>
      </c>
    </row>
    <row r="147" spans="2:18" x14ac:dyDescent="0.3">
      <c r="B147" s="181">
        <v>44849</v>
      </c>
      <c r="C147" s="37">
        <v>1</v>
      </c>
      <c r="D147" s="183">
        <v>4264</v>
      </c>
      <c r="E147" s="184">
        <v>566777</v>
      </c>
      <c r="F147" s="185">
        <v>30639453738</v>
      </c>
      <c r="G147" s="186" t="str">
        <f>IFERROR(IF(compras_mes11[[#This Row],[CUIT]]="","-",VLOOKUP(compras_mes11[[#This Row],[CUIT]],Lista_CUIT[#All],2,0)),"CUIT NO CARGADO")</f>
        <v>TELECOM ARG SA</v>
      </c>
      <c r="H147" s="195">
        <v>8850</v>
      </c>
      <c r="I147" s="187">
        <f>IF(compras_mes11[[#This Row],[NETO GRAVADO]]="","",compras_mes11[[#This Row],[NETO GRAVADO]]*0.21)</f>
        <v>1858.5</v>
      </c>
      <c r="J147" s="187"/>
      <c r="K147" s="187"/>
      <c r="L147" s="187"/>
      <c r="M147" s="187"/>
      <c r="N147" s="187"/>
      <c r="O147" s="187"/>
      <c r="P147" s="188">
        <f>SUM(compras_mes11[[#This Row],[NETO GRAVADO]:[Otros / No Grav.]])</f>
        <v>10708.5</v>
      </c>
      <c r="Q147" s="189" t="str">
        <f>IFERROR(IF(compras_mes11[[#This Row],[CUIT]]="","-",VLOOKUP(compras_mes11[[#This Row],[CUIT]],Lista_CUIT[#All],3,0)),"CUIT NO CARGADO")</f>
        <v>Servicios Gas, Luz, etc.</v>
      </c>
      <c r="R147" s="189">
        <f>IFERROR(IF(compras_mes11[[#This Row],[CUIT]]="","-",VLOOKUP(compras_mes11[[#This Row],[CUIT]],Lista_CUIT[#All],4,0)),"CUIT NO CARGADO")</f>
        <v>0</v>
      </c>
    </row>
    <row r="148" spans="2:18" x14ac:dyDescent="0.3">
      <c r="B148" s="181">
        <v>44849</v>
      </c>
      <c r="C148" s="37">
        <v>1</v>
      </c>
      <c r="D148" s="183">
        <v>4264</v>
      </c>
      <c r="E148" s="184">
        <v>571240</v>
      </c>
      <c r="F148" s="185">
        <v>30639453738</v>
      </c>
      <c r="G148" s="186" t="str">
        <f>IFERROR(IF(compras_mes11[[#This Row],[CUIT]]="","-",VLOOKUP(compras_mes11[[#This Row],[CUIT]],Lista_CUIT[#All],2,0)),"CUIT NO CARGADO")</f>
        <v>TELECOM ARG SA</v>
      </c>
      <c r="H148" s="195">
        <v>6600</v>
      </c>
      <c r="I148" s="187">
        <f>IF(compras_mes11[[#This Row],[NETO GRAVADO]]="","",compras_mes11[[#This Row],[NETO GRAVADO]]*0.21)</f>
        <v>1386</v>
      </c>
      <c r="J148" s="187"/>
      <c r="K148" s="187"/>
      <c r="L148" s="187"/>
      <c r="M148" s="187"/>
      <c r="N148" s="187"/>
      <c r="O148" s="187"/>
      <c r="P148" s="188">
        <f>SUM(compras_mes11[[#This Row],[NETO GRAVADO]:[Otros / No Grav.]])</f>
        <v>7986</v>
      </c>
      <c r="Q148" s="189" t="str">
        <f>IFERROR(IF(compras_mes11[[#This Row],[CUIT]]="","-",VLOOKUP(compras_mes11[[#This Row],[CUIT]],Lista_CUIT[#All],3,0)),"CUIT NO CARGADO")</f>
        <v>Servicios Gas, Luz, etc.</v>
      </c>
      <c r="R148" s="189">
        <f>IFERROR(IF(compras_mes11[[#This Row],[CUIT]]="","-",VLOOKUP(compras_mes11[[#This Row],[CUIT]],Lista_CUIT[#All],4,0)),"CUIT NO CARGADO")</f>
        <v>0</v>
      </c>
    </row>
    <row r="149" spans="2:18" x14ac:dyDescent="0.3">
      <c r="B149" s="181">
        <v>44849</v>
      </c>
      <c r="C149" s="37">
        <v>1</v>
      </c>
      <c r="D149" s="183">
        <v>4264</v>
      </c>
      <c r="E149" s="184">
        <v>608974</v>
      </c>
      <c r="F149" s="185">
        <v>30639453738</v>
      </c>
      <c r="G149" s="186" t="str">
        <f>IFERROR(IF(compras_mes11[[#This Row],[CUIT]]="","-",VLOOKUP(compras_mes11[[#This Row],[CUIT]],Lista_CUIT[#All],2,0)),"CUIT NO CARGADO")</f>
        <v>TELECOM ARG SA</v>
      </c>
      <c r="H149" s="195">
        <v>13900</v>
      </c>
      <c r="I149" s="187">
        <f>IF(compras_mes11[[#This Row],[NETO GRAVADO]]="","",compras_mes11[[#This Row],[NETO GRAVADO]]*0.21)</f>
        <v>2919</v>
      </c>
      <c r="J149" s="187"/>
      <c r="K149" s="187"/>
      <c r="L149" s="187"/>
      <c r="M149" s="187"/>
      <c r="N149" s="187"/>
      <c r="O149" s="187"/>
      <c r="P149" s="188">
        <f>SUM(compras_mes11[[#This Row],[NETO GRAVADO]:[Otros / No Grav.]])</f>
        <v>16819</v>
      </c>
      <c r="Q149" s="189" t="str">
        <f>IFERROR(IF(compras_mes11[[#This Row],[CUIT]]="","-",VLOOKUP(compras_mes11[[#This Row],[CUIT]],Lista_CUIT[#All],3,0)),"CUIT NO CARGADO")</f>
        <v>Servicios Gas, Luz, etc.</v>
      </c>
      <c r="R149" s="189">
        <f>IFERROR(IF(compras_mes11[[#This Row],[CUIT]]="","-",VLOOKUP(compras_mes11[[#This Row],[CUIT]],Lista_CUIT[#All],4,0)),"CUIT NO CARGADO")</f>
        <v>0</v>
      </c>
    </row>
    <row r="150" spans="2:18" x14ac:dyDescent="0.3">
      <c r="B150" s="181">
        <v>44855</v>
      </c>
      <c r="C150" s="37">
        <v>1</v>
      </c>
      <c r="D150" s="183">
        <v>5</v>
      </c>
      <c r="E150" s="184">
        <v>2625013</v>
      </c>
      <c r="F150" s="185">
        <v>30702652975</v>
      </c>
      <c r="G150" s="186" t="str">
        <f>IFERROR(IF(compras_mes11[[#This Row],[CUIT]]="","-",VLOOKUP(compras_mes11[[#This Row],[CUIT]],Lista_CUIT[#All],2,0)),"CUIT NO CARGADO")</f>
        <v>NSS SA</v>
      </c>
      <c r="H150" s="195">
        <v>4562.7700000000004</v>
      </c>
      <c r="I150" s="187">
        <f>IF(compras_mes11[[#This Row],[NETO GRAVADO]]="","",compras_mes11[[#This Row],[NETO GRAVADO]]*0.21)</f>
        <v>958.18170000000009</v>
      </c>
      <c r="J150" s="187"/>
      <c r="K150" s="187"/>
      <c r="L150" s="187"/>
      <c r="M150" s="187"/>
      <c r="N150" s="187">
        <v>273.77</v>
      </c>
      <c r="O150" s="187"/>
      <c r="P150" s="188">
        <f>SUM(compras_mes11[[#This Row],[NETO GRAVADO]:[Otros / No Grav.]])</f>
        <v>5794.7217000000001</v>
      </c>
      <c r="Q150" s="189" t="str">
        <f>IFERROR(IF(compras_mes11[[#This Row],[CUIT]]="","-",VLOOKUP(compras_mes11[[#This Row],[CUIT]],Lista_CUIT[#All],3,0)),"CUIT NO CARGADO")</f>
        <v>Servicios Gas, Luz, etc.</v>
      </c>
      <c r="R150" s="189">
        <f>IFERROR(IF(compras_mes11[[#This Row],[CUIT]]="","-",VLOOKUP(compras_mes11[[#This Row],[CUIT]],Lista_CUIT[#All],4,0)),"CUIT NO CARGADO")</f>
        <v>0</v>
      </c>
    </row>
    <row r="151" spans="2:18" x14ac:dyDescent="0.3">
      <c r="B151" s="181">
        <v>44839</v>
      </c>
      <c r="C151" s="37">
        <v>1</v>
      </c>
      <c r="D151" s="183">
        <v>2</v>
      </c>
      <c r="E151" s="184">
        <v>32099</v>
      </c>
      <c r="F151" s="185">
        <v>33714232199</v>
      </c>
      <c r="G151" s="186" t="str">
        <f>IFERROR(IF(compras_mes11[[#This Row],[CUIT]]="","-",VLOOKUP(compras_mes11[[#This Row],[CUIT]],Lista_CUIT[#All],2,0)),"CUIT NO CARGADO")</f>
        <v>NUAGE SYSTEMS S.A</v>
      </c>
      <c r="H151" s="195">
        <v>22638</v>
      </c>
      <c r="I151" s="187">
        <f>IF(compras_mes11[[#This Row],[NETO GRAVADO]]="","",compras_mes11[[#This Row],[NETO GRAVADO]]*0.21)</f>
        <v>4753.9799999999996</v>
      </c>
      <c r="J151" s="187"/>
      <c r="K151" s="187"/>
      <c r="L151" s="187"/>
      <c r="M151" s="187"/>
      <c r="N151" s="187"/>
      <c r="O151" s="187"/>
      <c r="P151" s="188">
        <f>SUM(compras_mes11[[#This Row],[NETO GRAVADO]:[Otros / No Grav.]])</f>
        <v>27391.98</v>
      </c>
      <c r="Q151" s="189" t="str">
        <f>IFERROR(IF(compras_mes11[[#This Row],[CUIT]]="","-",VLOOKUP(compras_mes11[[#This Row],[CUIT]],Lista_CUIT[#All],3,0)),"CUIT NO CARGADO")</f>
        <v>Servicios Informatica</v>
      </c>
      <c r="R151" s="189">
        <f>IFERROR(IF(compras_mes11[[#This Row],[CUIT]]="","-",VLOOKUP(compras_mes11[[#This Row],[CUIT]],Lista_CUIT[#All],4,0)),"CUIT NO CARGADO")</f>
        <v>0</v>
      </c>
    </row>
    <row r="152" spans="2:18" x14ac:dyDescent="0.3">
      <c r="B152" s="181">
        <v>44862</v>
      </c>
      <c r="C152" s="37">
        <v>1</v>
      </c>
      <c r="D152" s="183">
        <v>1</v>
      </c>
      <c r="E152" s="184">
        <v>68844</v>
      </c>
      <c r="F152" s="185">
        <v>30714867349</v>
      </c>
      <c r="G152" s="186" t="str">
        <f>IFERROR(IF(compras_mes11[[#This Row],[CUIT]]="","-",VLOOKUP(compras_mes11[[#This Row],[CUIT]],Lista_CUIT[#All],2,0)),"CUIT NO CARGADO")</f>
        <v>VTV SUD S.A.</v>
      </c>
      <c r="H152" s="195">
        <v>882.71</v>
      </c>
      <c r="I152" s="187">
        <f>IF(compras_mes11[[#This Row],[NETO GRAVADO]]="","",compras_mes11[[#This Row],[NETO GRAVADO]]*0.21)</f>
        <v>185.3691</v>
      </c>
      <c r="J152" s="187"/>
      <c r="K152" s="187"/>
      <c r="L152" s="187"/>
      <c r="M152" s="187"/>
      <c r="N152" s="187"/>
      <c r="O152" s="187"/>
      <c r="P152" s="188">
        <f>SUM(compras_mes11[[#This Row],[NETO GRAVADO]:[Otros / No Grav.]])</f>
        <v>1068.0790999999999</v>
      </c>
      <c r="Q152" s="189" t="str">
        <f>IFERROR(IF(compras_mes11[[#This Row],[CUIT]]="","-",VLOOKUP(compras_mes11[[#This Row],[CUIT]],Lista_CUIT[#All],3,0)),"CUIT NO CARGADO")</f>
        <v>Mantenimiento Auto</v>
      </c>
      <c r="R152" s="189">
        <f>IFERROR(IF(compras_mes11[[#This Row],[CUIT]]="","-",VLOOKUP(compras_mes11[[#This Row],[CUIT]],Lista_CUIT[#All],4,0)),"CUIT NO CARGADO")</f>
        <v>0</v>
      </c>
    </row>
    <row r="153" spans="2:18" x14ac:dyDescent="0.3">
      <c r="B153" s="92" t="s">
        <v>83</v>
      </c>
      <c r="C153" s="92"/>
      <c r="D153" s="92"/>
      <c r="E153" s="92"/>
      <c r="F153" s="92"/>
      <c r="G153" s="93"/>
      <c r="H153" s="94">
        <f>SUBTOTAL(109,compras_mes11[NETO GRAVADO])</f>
        <v>8407667.8581250012</v>
      </c>
      <c r="I153" s="94">
        <f>SUBTOTAL(109,compras_mes11[IVA 21 %])</f>
        <v>1747099.5774062497</v>
      </c>
      <c r="J153" s="94">
        <f>SUBTOTAL(109,compras_mes11[IVA 27%])</f>
        <v>1472.44</v>
      </c>
      <c r="K153" s="94">
        <f>SUBTOTAL(109,compras_mes11[IVA 10,5%])</f>
        <v>8988.18</v>
      </c>
      <c r="L153" s="94">
        <f>SUBTOTAL(109,compras_mes11[PERC. IVA])</f>
        <v>4188.3199963378911</v>
      </c>
      <c r="M153" s="94">
        <f>SUBTOTAL(109,compras_mes11[PERC IIBB 
BS AS])</f>
        <v>0</v>
      </c>
      <c r="N153" s="94">
        <f>SUBTOTAL(109,compras_mes11[PERC. IIBB CABA])</f>
        <v>169845.97999267574</v>
      </c>
      <c r="O153" s="94">
        <f>SUBTOTAL(109,compras_mes11[Otros / No Grav.])</f>
        <v>37646.870000000003</v>
      </c>
      <c r="P153" s="380">
        <f>SUBTOTAL(109,compras_mes11[TOTAL])</f>
        <v>10376909.225520262</v>
      </c>
      <c r="Q153" s="92"/>
      <c r="R153" s="92"/>
    </row>
    <row r="154" spans="2:18" x14ac:dyDescent="0.3">
      <c r="B154" s="36"/>
      <c r="C154" s="37"/>
      <c r="D154" s="38"/>
      <c r="E154" s="39"/>
      <c r="F154" s="40"/>
      <c r="G154" s="41"/>
      <c r="H154" s="42"/>
      <c r="I154" s="43"/>
      <c r="J154" s="43"/>
      <c r="K154" s="43"/>
      <c r="L154" s="43"/>
      <c r="M154" s="43"/>
      <c r="N154" s="43"/>
      <c r="O154" s="43"/>
      <c r="P154" s="44"/>
      <c r="Q154" s="45"/>
      <c r="R154" s="45"/>
    </row>
    <row r="155" spans="2:18" x14ac:dyDescent="0.3">
      <c r="B155" s="36"/>
      <c r="C155" s="37"/>
      <c r="D155" s="38"/>
      <c r="E155" s="39"/>
      <c r="F155" s="40"/>
      <c r="G155" s="41"/>
      <c r="H155" s="42"/>
      <c r="I155" s="43"/>
      <c r="J155" s="43"/>
      <c r="K155" s="43"/>
      <c r="L155" s="43"/>
      <c r="M155" s="43"/>
      <c r="N155" s="43"/>
      <c r="O155" s="43"/>
      <c r="P155" s="44"/>
      <c r="Q155" s="45"/>
      <c r="R155" s="45"/>
    </row>
    <row r="156" spans="2:18" x14ac:dyDescent="0.3">
      <c r="B156" s="36"/>
      <c r="C156" s="37"/>
      <c r="D156" s="38"/>
      <c r="E156" s="39"/>
      <c r="F156" s="40"/>
      <c r="G156" s="41"/>
      <c r="H156" s="165"/>
      <c r="I156" s="243"/>
      <c r="J156" s="43"/>
      <c r="K156" s="43"/>
      <c r="L156" s="43"/>
      <c r="M156" s="43"/>
      <c r="N156" s="43"/>
      <c r="O156" s="43"/>
      <c r="P156" s="44"/>
      <c r="Q156" s="45"/>
      <c r="R156" s="45"/>
    </row>
    <row r="157" spans="2:18" x14ac:dyDescent="0.3">
      <c r="B157" s="36"/>
      <c r="C157" s="37"/>
      <c r="D157" s="38"/>
      <c r="E157" s="39"/>
      <c r="F157" s="40"/>
      <c r="G157" s="41"/>
      <c r="H157" s="42"/>
      <c r="I157" s="43"/>
      <c r="J157" s="43"/>
      <c r="K157" s="43"/>
      <c r="L157" s="43"/>
    </row>
    <row r="158" spans="2:18" ht="25.95" customHeight="1" x14ac:dyDescent="0.3">
      <c r="D158" s="441" t="s">
        <v>15</v>
      </c>
      <c r="E158" s="441"/>
      <c r="F158" s="441"/>
      <c r="G158" s="441"/>
      <c r="H158" s="441"/>
      <c r="I158" s="441"/>
      <c r="J158" s="441"/>
      <c r="K158" s="441"/>
      <c r="L158" s="441"/>
      <c r="M158" s="441"/>
      <c r="N158" s="364"/>
      <c r="P158" s="365"/>
      <c r="Q158" s="365"/>
      <c r="R158" s="365"/>
    </row>
    <row r="159" spans="2:18" ht="15.6" x14ac:dyDescent="0.3">
      <c r="D159" s="69" t="s">
        <v>0</v>
      </c>
      <c r="E159" s="70" t="s">
        <v>26</v>
      </c>
      <c r="F159" s="70" t="s">
        <v>16</v>
      </c>
      <c r="G159" s="70" t="s">
        <v>5</v>
      </c>
      <c r="H159" s="70" t="s">
        <v>17</v>
      </c>
      <c r="I159" s="70" t="s">
        <v>7</v>
      </c>
      <c r="J159" s="71" t="s">
        <v>18</v>
      </c>
      <c r="K159" s="71" t="s">
        <v>19</v>
      </c>
      <c r="L159" s="72" t="s">
        <v>20</v>
      </c>
      <c r="M159" s="363" t="s">
        <v>2966</v>
      </c>
      <c r="N159" s="363" t="s">
        <v>2650</v>
      </c>
      <c r="P159" s="158"/>
      <c r="Q159" s="158"/>
      <c r="R159" s="158"/>
    </row>
    <row r="160" spans="2:18" x14ac:dyDescent="0.3">
      <c r="D160" s="46"/>
      <c r="E160" s="76"/>
      <c r="F160" s="76" t="s">
        <v>2563</v>
      </c>
      <c r="G160" s="77">
        <v>12705.39</v>
      </c>
      <c r="H160" s="77">
        <v>2668.1318999999999</v>
      </c>
      <c r="I160" s="77"/>
      <c r="J160" s="77"/>
      <c r="K160" s="77">
        <v>256.2</v>
      </c>
      <c r="L160" s="77">
        <v>655.52</v>
      </c>
      <c r="M160" s="77"/>
      <c r="N160" s="77"/>
    </row>
    <row r="161" spans="4:14" x14ac:dyDescent="0.3">
      <c r="D161" s="46"/>
      <c r="E161" s="76"/>
      <c r="F161" s="76" t="s">
        <v>2957</v>
      </c>
      <c r="G161" s="77">
        <v>923.64</v>
      </c>
      <c r="H161" s="77">
        <v>193.96440000000001</v>
      </c>
      <c r="I161" s="77"/>
      <c r="J161" s="429">
        <v>4031.9700000000003</v>
      </c>
      <c r="K161" s="77"/>
      <c r="L161" s="77"/>
      <c r="M161" s="77"/>
      <c r="N161" s="77"/>
    </row>
    <row r="162" spans="4:14" x14ac:dyDescent="0.3">
      <c r="D162" s="46"/>
      <c r="E162" s="76"/>
      <c r="F162" s="76" t="s">
        <v>97</v>
      </c>
      <c r="G162" s="77">
        <v>1783.7800000000002</v>
      </c>
      <c r="H162" s="77">
        <v>374.59379999999999</v>
      </c>
      <c r="I162" s="77"/>
      <c r="J162" s="429">
        <v>9453.4</v>
      </c>
      <c r="K162" s="77"/>
      <c r="L162" s="77"/>
      <c r="M162" s="77"/>
      <c r="N162" s="77"/>
    </row>
    <row r="163" spans="4:14" x14ac:dyDescent="0.3">
      <c r="D163" s="46"/>
      <c r="E163" s="76"/>
      <c r="F163" s="76" t="s">
        <v>101</v>
      </c>
      <c r="G163" s="77">
        <v>2608.92</v>
      </c>
      <c r="H163" s="77">
        <v>547.8732</v>
      </c>
      <c r="I163" s="77"/>
      <c r="J163" s="77">
        <v>2930.3500000000004</v>
      </c>
      <c r="K163" s="77"/>
      <c r="L163" s="77"/>
      <c r="M163" s="77">
        <v>932.81</v>
      </c>
      <c r="N163" s="77"/>
    </row>
    <row r="164" spans="4:14" x14ac:dyDescent="0.3">
      <c r="D164" s="46"/>
      <c r="E164" s="76"/>
      <c r="F164" s="76" t="s">
        <v>98</v>
      </c>
      <c r="G164" s="77">
        <v>289296.70999999996</v>
      </c>
      <c r="H164" s="77">
        <v>24938.828900000004</v>
      </c>
      <c r="I164" s="77">
        <v>17906.735400000001</v>
      </c>
      <c r="J164" s="77">
        <v>328108.39</v>
      </c>
      <c r="K164" s="77">
        <v>4338.0200000000004</v>
      </c>
      <c r="L164" s="77"/>
      <c r="M164" s="77"/>
      <c r="N164" s="77"/>
    </row>
    <row r="165" spans="4:14" x14ac:dyDescent="0.3">
      <c r="D165" s="46"/>
      <c r="E165" s="76"/>
      <c r="F165" s="76" t="s">
        <v>2964</v>
      </c>
      <c r="G165" s="77">
        <v>13495</v>
      </c>
      <c r="H165" s="77">
        <v>2833.95</v>
      </c>
      <c r="I165" s="77"/>
      <c r="J165" s="77"/>
      <c r="K165" s="77">
        <v>404.85</v>
      </c>
      <c r="L165" s="77"/>
      <c r="M165" s="77"/>
      <c r="N165" s="77"/>
    </row>
    <row r="166" spans="4:14" x14ac:dyDescent="0.3">
      <c r="D166" s="46"/>
      <c r="E166" s="76"/>
      <c r="F166" s="76" t="s">
        <v>2566</v>
      </c>
      <c r="G166" s="77">
        <v>631.89</v>
      </c>
      <c r="H166" s="77">
        <v>413</v>
      </c>
      <c r="I166" s="77"/>
      <c r="J166" s="77">
        <v>1040.82</v>
      </c>
      <c r="K166" s="77">
        <v>90.27</v>
      </c>
      <c r="L166" s="77"/>
      <c r="M166" s="77"/>
      <c r="N166" s="77">
        <v>25515.73</v>
      </c>
    </row>
    <row r="167" spans="4:14" x14ac:dyDescent="0.3">
      <c r="D167" s="46"/>
      <c r="E167" s="76"/>
      <c r="F167" s="76" t="s">
        <v>2951</v>
      </c>
      <c r="G167" s="77">
        <v>4551.8500000000004</v>
      </c>
      <c r="H167" s="77">
        <v>945</v>
      </c>
      <c r="I167" s="77">
        <v>5.4442500000000003</v>
      </c>
      <c r="J167" s="77"/>
      <c r="K167" s="77"/>
      <c r="L167" s="77"/>
      <c r="M167" s="77"/>
      <c r="N167" s="77"/>
    </row>
    <row r="168" spans="4:14" x14ac:dyDescent="0.3">
      <c r="D168" s="46"/>
      <c r="E168" s="76"/>
      <c r="F168" s="76" t="s">
        <v>2568</v>
      </c>
      <c r="G168" s="77"/>
      <c r="H168" s="77"/>
      <c r="I168" s="77"/>
      <c r="J168" s="77"/>
      <c r="K168" s="77"/>
      <c r="L168" s="77"/>
      <c r="M168" s="77"/>
      <c r="N168" s="77"/>
    </row>
    <row r="169" spans="4:14" x14ac:dyDescent="0.3">
      <c r="D169" s="46"/>
      <c r="E169" s="76"/>
      <c r="F169" s="76"/>
      <c r="G169" s="77"/>
      <c r="H169" s="77"/>
      <c r="I169" s="77"/>
      <c r="J169" s="77"/>
      <c r="K169" s="77"/>
      <c r="L169" s="77"/>
      <c r="M169" s="77"/>
      <c r="N169" s="77"/>
    </row>
    <row r="170" spans="4:14" x14ac:dyDescent="0.3">
      <c r="D170" s="46"/>
      <c r="E170" s="76"/>
      <c r="F170" s="76"/>
      <c r="G170" s="77"/>
      <c r="H170" s="77"/>
      <c r="I170" s="77"/>
      <c r="J170" s="77"/>
      <c r="K170" s="77"/>
      <c r="L170" s="77"/>
      <c r="M170" s="77"/>
      <c r="N170" s="77"/>
    </row>
    <row r="171" spans="4:14" x14ac:dyDescent="0.3">
      <c r="D171" s="46"/>
      <c r="E171" s="76"/>
      <c r="F171" s="76"/>
      <c r="G171" s="77"/>
      <c r="H171" s="77"/>
      <c r="I171" s="77"/>
      <c r="J171" s="77"/>
      <c r="K171" s="77"/>
      <c r="L171" s="77"/>
      <c r="M171" s="77"/>
      <c r="N171" s="77"/>
    </row>
    <row r="172" spans="4:14" ht="28.95" customHeight="1" x14ac:dyDescent="0.3">
      <c r="D172" s="430" t="s">
        <v>83</v>
      </c>
      <c r="E172" s="431"/>
      <c r="F172" s="431"/>
      <c r="G172" s="432">
        <f>SUBTOTAL(109,extracto_banco_mes1551617182021[NETO])</f>
        <v>325997.17999999993</v>
      </c>
      <c r="H172" s="432">
        <f>SUBTOTAL(109,extracto_banco_mes1551617182021[IVA 21%])</f>
        <v>32915.342199999999</v>
      </c>
      <c r="I172" s="432">
        <f>SUBTOTAL(109,extracto_banco_mes1551617182021[IVA 10,5%])</f>
        <v>17912.179650000002</v>
      </c>
      <c r="J172" s="432">
        <f>SUBTOTAL(109,extracto_banco_mes1551617182021[RET IIBB CABA])</f>
        <v>345564.93</v>
      </c>
      <c r="K172" s="432">
        <f>SUBTOTAL(109,extracto_banco_mes1551617182021[PERC IVA])</f>
        <v>5089.3400000000011</v>
      </c>
      <c r="L172" s="432">
        <f>SUBTOTAL(109,extracto_banco_mes1551617182021[PERC IIBB])</f>
        <v>655.52</v>
      </c>
      <c r="M172" s="432">
        <f>SUM(extracto_banco_mes1551617182021[RET IIBB BS AS])</f>
        <v>932.81</v>
      </c>
      <c r="N172" s="433">
        <f>SUM(extracto_banco_mes1551617182021[RET. GAN])</f>
        <v>25515.73</v>
      </c>
    </row>
    <row r="176" spans="4:14" ht="21" x14ac:dyDescent="0.3">
      <c r="D176" s="441" t="s">
        <v>25</v>
      </c>
      <c r="E176" s="441"/>
      <c r="F176" s="441"/>
      <c r="G176" s="441"/>
      <c r="H176" s="441"/>
      <c r="I176" s="441"/>
      <c r="J176" s="441"/>
      <c r="K176" s="441"/>
    </row>
    <row r="177" spans="4:13" x14ac:dyDescent="0.3">
      <c r="D177" s="47" t="s">
        <v>0</v>
      </c>
      <c r="E177" s="47" t="s">
        <v>2</v>
      </c>
      <c r="F177" s="47" t="s">
        <v>56</v>
      </c>
      <c r="G177" s="47" t="s">
        <v>3</v>
      </c>
      <c r="H177" s="47" t="s">
        <v>4</v>
      </c>
      <c r="I177" s="48" t="s">
        <v>10</v>
      </c>
      <c r="J177" s="47" t="s">
        <v>13</v>
      </c>
      <c r="K177" s="47" t="s">
        <v>38</v>
      </c>
    </row>
    <row r="178" spans="4:13" x14ac:dyDescent="0.3">
      <c r="D178" s="281">
        <v>44862</v>
      </c>
      <c r="E178" s="287">
        <v>3</v>
      </c>
      <c r="F178" s="282">
        <v>9</v>
      </c>
      <c r="G178" s="283">
        <v>20226341596</v>
      </c>
      <c r="H178" s="284" t="str">
        <f>IFERROR(IF(factura_c_mes11[[#This Row],[CUIT]]="","-",VLOOKUP(factura_c_mes11[[#This Row],[CUIT]],Lista_CUIT[#All],2,0)),"CUIT NO CARGADO")</f>
        <v>ROSSO JOSE OMAR</v>
      </c>
      <c r="I178" s="285">
        <v>3800</v>
      </c>
      <c r="J178" s="286" t="str">
        <f>IFERROR(IF(factura_c_mes11[[#This Row],[CUIT]]="","-",VLOOKUP(factura_c_mes11[[#This Row],[CUIT]],Lista_CUIT[#All],3,0)),"CUIT NO CARGADO")</f>
        <v>Gastos Varios</v>
      </c>
      <c r="K178" s="286">
        <f>IFERROR(IF(factura_c_mes11[[#This Row],[CUIT]]="","-",VLOOKUP(factura_c_mes11[[#This Row],[CUIT]],Lista_CUIT[#All],4,0)),"CUIT NO CARGADO")</f>
        <v>0</v>
      </c>
    </row>
    <row r="179" spans="4:13" x14ac:dyDescent="0.3">
      <c r="D179" s="281">
        <v>44852</v>
      </c>
      <c r="E179" s="287">
        <v>2</v>
      </c>
      <c r="F179" s="282">
        <v>12</v>
      </c>
      <c r="G179" s="283">
        <v>20231009524</v>
      </c>
      <c r="H179" s="284" t="str">
        <f>IFERROR(IF(factura_c_mes11[[#This Row],[CUIT]]="","-",VLOOKUP(factura_c_mes11[[#This Row],[CUIT]],Lista_CUIT[#All],2,0)),"CUIT NO CARGADO")</f>
        <v>RAMOS PATRICIO SEBASTIAN</v>
      </c>
      <c r="I179" s="285">
        <v>150000</v>
      </c>
      <c r="J179" s="286" t="str">
        <f>IFERROR(IF(factura_c_mes11[[#This Row],[CUIT]]="","-",VLOOKUP(factura_c_mes11[[#This Row],[CUIT]],Lista_CUIT[#All],3,0)),"CUIT NO CARGADO")</f>
        <v>Mercaderia</v>
      </c>
      <c r="K179" s="286">
        <f>IFERROR(IF(factura_c_mes11[[#This Row],[CUIT]]="","-",VLOOKUP(factura_c_mes11[[#This Row],[CUIT]],Lista_CUIT[#All],4,0)),"CUIT NO CARGADO")</f>
        <v>0</v>
      </c>
    </row>
    <row r="180" spans="4:13" x14ac:dyDescent="0.3">
      <c r="D180" s="281">
        <v>44862</v>
      </c>
      <c r="E180" s="287">
        <v>2</v>
      </c>
      <c r="F180" s="282">
        <v>13</v>
      </c>
      <c r="G180" s="283">
        <v>20231009524</v>
      </c>
      <c r="H180" s="284" t="str">
        <f>IFERROR(IF(factura_c_mes11[[#This Row],[CUIT]]="","-",VLOOKUP(factura_c_mes11[[#This Row],[CUIT]],Lista_CUIT[#All],2,0)),"CUIT NO CARGADO")</f>
        <v>RAMOS PATRICIO SEBASTIAN</v>
      </c>
      <c r="I180" s="285">
        <v>112500</v>
      </c>
      <c r="J180" s="286" t="str">
        <f>IFERROR(IF(factura_c_mes11[[#This Row],[CUIT]]="","-",VLOOKUP(factura_c_mes11[[#This Row],[CUIT]],Lista_CUIT[#All],3,0)),"CUIT NO CARGADO")</f>
        <v>Mercaderia</v>
      </c>
      <c r="K180" s="286">
        <f>IFERROR(IF(factura_c_mes11[[#This Row],[CUIT]]="","-",VLOOKUP(factura_c_mes11[[#This Row],[CUIT]],Lista_CUIT[#All],4,0)),"CUIT NO CARGADO")</f>
        <v>0</v>
      </c>
    </row>
    <row r="181" spans="4:13" x14ac:dyDescent="0.3">
      <c r="D181" s="281">
        <v>44839</v>
      </c>
      <c r="E181" s="287">
        <v>11</v>
      </c>
      <c r="F181" s="282">
        <v>43</v>
      </c>
      <c r="G181" s="283">
        <v>27329450991</v>
      </c>
      <c r="H181" s="284" t="str">
        <f>IFERROR(IF(factura_c_mes11[[#This Row],[CUIT]]="","-",VLOOKUP(factura_c_mes11[[#This Row],[CUIT]],Lista_CUIT[#All],2,0)),"CUIT NO CARGADO")</f>
        <v>TOLEDO ELIANA ALEJANDRA</v>
      </c>
      <c r="I181" s="285">
        <v>7080</v>
      </c>
      <c r="J181" s="286" t="str">
        <f>IFERROR(IF(factura_c_mes11[[#This Row],[CUIT]]="","-",VLOOKUP(factura_c_mes11[[#This Row],[CUIT]],Lista_CUIT[#All],3,0)),"CUIT NO CARGADO")</f>
        <v>Gastos Varios</v>
      </c>
      <c r="K181" s="286">
        <f>IFERROR(IF(factura_c_mes11[[#This Row],[CUIT]]="","-",VLOOKUP(factura_c_mes11[[#This Row],[CUIT]],Lista_CUIT[#All],4,0)),"CUIT NO CARGADO")</f>
        <v>0</v>
      </c>
    </row>
    <row r="182" spans="4:13" x14ac:dyDescent="0.3">
      <c r="D182" s="281">
        <v>44846</v>
      </c>
      <c r="E182" s="287">
        <v>2</v>
      </c>
      <c r="F182" s="282">
        <v>192</v>
      </c>
      <c r="G182" s="283">
        <v>23319210954</v>
      </c>
      <c r="H182" s="284" t="str">
        <f>IFERROR(IF(factura_c_mes11[[#This Row],[CUIT]]="","-",VLOOKUP(factura_c_mes11[[#This Row],[CUIT]],Lista_CUIT[#All],2,0)),"CUIT NO CARGADO")</f>
        <v>CAFFARATTI ROMINA PAOLA</v>
      </c>
      <c r="I182" s="285">
        <v>6100</v>
      </c>
      <c r="J182" s="286" t="str">
        <f>IFERROR(IF(factura_c_mes11[[#This Row],[CUIT]]="","-",VLOOKUP(factura_c_mes11[[#This Row],[CUIT]],Lista_CUIT[#All],3,0)),"CUIT NO CARGADO")</f>
        <v>Honorarios Contables</v>
      </c>
      <c r="K182" s="286">
        <f>IFERROR(IF(factura_c_mes11[[#This Row],[CUIT]]="","-",VLOOKUP(factura_c_mes11[[#This Row],[CUIT]],Lista_CUIT[#All],4,0)),"CUIT NO CARGADO")</f>
        <v>0</v>
      </c>
    </row>
    <row r="183" spans="4:13" x14ac:dyDescent="0.3">
      <c r="D183" s="281">
        <v>44846</v>
      </c>
      <c r="E183" s="287">
        <v>2</v>
      </c>
      <c r="F183" s="282">
        <v>193</v>
      </c>
      <c r="G183" s="283">
        <v>23319210954</v>
      </c>
      <c r="H183" s="284" t="str">
        <f>IFERROR(IF(factura_c_mes11[[#This Row],[CUIT]]="","-",VLOOKUP(factura_c_mes11[[#This Row],[CUIT]],Lista_CUIT[#All],2,0)),"CUIT NO CARGADO")</f>
        <v>CAFFARATTI ROMINA PAOLA</v>
      </c>
      <c r="I183" s="285">
        <v>10300</v>
      </c>
      <c r="J183" s="286" t="str">
        <f>IFERROR(IF(factura_c_mes11[[#This Row],[CUIT]]="","-",VLOOKUP(factura_c_mes11[[#This Row],[CUIT]],Lista_CUIT[#All],3,0)),"CUIT NO CARGADO")</f>
        <v>Honorarios Contables</v>
      </c>
      <c r="K183" s="286">
        <f>IFERROR(IF(factura_c_mes11[[#This Row],[CUIT]]="","-",VLOOKUP(factura_c_mes11[[#This Row],[CUIT]],Lista_CUIT[#All],4,0)),"CUIT NO CARGADO")</f>
        <v>0</v>
      </c>
      <c r="M183" s="220" t="s">
        <v>107</v>
      </c>
    </row>
    <row r="184" spans="4:13" x14ac:dyDescent="0.3">
      <c r="D184" s="281">
        <v>44845</v>
      </c>
      <c r="E184" s="287">
        <v>3</v>
      </c>
      <c r="F184" s="282">
        <v>632</v>
      </c>
      <c r="G184" s="283">
        <v>20086277523</v>
      </c>
      <c r="H184" s="284" t="str">
        <f>IFERROR(IF(factura_c_mes11[[#This Row],[CUIT]]="","-",VLOOKUP(factura_c_mes11[[#This Row],[CUIT]],Lista_CUIT[#All],2,0)),"CUIT NO CARGADO")</f>
        <v>BOTINDARI JUAN CARLOS</v>
      </c>
      <c r="I184" s="285">
        <v>60000</v>
      </c>
      <c r="J184" s="286" t="str">
        <f>IFERROR(IF(factura_c_mes11[[#This Row],[CUIT]]="","-",VLOOKUP(factura_c_mes11[[#This Row],[CUIT]],Lista_CUIT[#All],3,0)),"CUIT NO CARGADO")</f>
        <v>Honorarios Contables</v>
      </c>
      <c r="K184" s="286">
        <f>IFERROR(IF(factura_c_mes11[[#This Row],[CUIT]]="","-",VLOOKUP(factura_c_mes11[[#This Row],[CUIT]],Lista_CUIT[#All],4,0)),"CUIT NO CARGADO")</f>
        <v>0</v>
      </c>
      <c r="M184" s="288" t="s">
        <v>2441</v>
      </c>
    </row>
    <row r="185" spans="4:13" x14ac:dyDescent="0.3">
      <c r="D185" s="281">
        <v>44839</v>
      </c>
      <c r="E185" s="287">
        <v>2</v>
      </c>
      <c r="F185" s="282">
        <v>1122</v>
      </c>
      <c r="G185" s="283">
        <v>23277121859</v>
      </c>
      <c r="H185" s="284" t="str">
        <f>IFERROR(IF(factura_c_mes11[[#This Row],[CUIT]]="","-",VLOOKUP(factura_c_mes11[[#This Row],[CUIT]],Lista_CUIT[#All],2,0)),"CUIT NO CARGADO")</f>
        <v>LOPEZ JUSTO EZEQUIEL</v>
      </c>
      <c r="I185" s="285">
        <v>13070</v>
      </c>
      <c r="J185" s="286" t="str">
        <f>IFERROR(IF(factura_c_mes11[[#This Row],[CUIT]]="","-",VLOOKUP(factura_c_mes11[[#This Row],[CUIT]],Lista_CUIT[#All],3,0)),"CUIT NO CARGADO")</f>
        <v>Mantenimiento Auto</v>
      </c>
      <c r="K185" s="286">
        <f>IFERROR(IF(factura_c_mes11[[#This Row],[CUIT]]="","-",VLOOKUP(factura_c_mes11[[#This Row],[CUIT]],Lista_CUIT[#All],4,0)),"CUIT NO CARGADO")</f>
        <v>0</v>
      </c>
    </row>
    <row r="186" spans="4:13" x14ac:dyDescent="0.3">
      <c r="D186" s="281">
        <v>44845</v>
      </c>
      <c r="E186" s="287">
        <v>3</v>
      </c>
      <c r="F186" s="282">
        <v>5086</v>
      </c>
      <c r="G186" s="283">
        <v>30710802404</v>
      </c>
      <c r="H186" s="284" t="str">
        <f>IFERROR(IF(factura_c_mes11[[#This Row],[CUIT]]="","-",VLOOKUP(factura_c_mes11[[#This Row],[CUIT]],Lista_CUIT[#All],2,0)),"CUIT NO CARGADO")</f>
        <v>KOHEN ILUMINACION S.A.</v>
      </c>
      <c r="I186" s="285">
        <v>8385.99</v>
      </c>
      <c r="J186" s="286" t="str">
        <f>IFERROR(IF(factura_c_mes11[[#This Row],[CUIT]]="","-",VLOOKUP(factura_c_mes11[[#This Row],[CUIT]],Lista_CUIT[#All],3,0)),"CUIT NO CARGADO")</f>
        <v>Ferreteria</v>
      </c>
      <c r="K186" s="286">
        <f>IFERROR(IF(factura_c_mes11[[#This Row],[CUIT]]="","-",VLOOKUP(factura_c_mes11[[#This Row],[CUIT]],Lista_CUIT[#All],4,0)),"CUIT NO CARGADO")</f>
        <v>0</v>
      </c>
    </row>
    <row r="187" spans="4:13" x14ac:dyDescent="0.3">
      <c r="D187" s="46">
        <v>44847</v>
      </c>
      <c r="E187" s="38">
        <v>4</v>
      </c>
      <c r="F187" s="194">
        <v>8031</v>
      </c>
      <c r="G187" s="115">
        <v>30709585688</v>
      </c>
      <c r="H187" s="49" t="str">
        <f>IFERROR(IF(factura_c_mes11[[#This Row],[CUIT]]="","-",VLOOKUP(factura_c_mes11[[#This Row],[CUIT]],Lista_CUIT[#All],2,0)),"CUIT NO CARGADO")</f>
        <v>GNC DEL SUR S.A.</v>
      </c>
      <c r="I187" s="192">
        <v>515</v>
      </c>
      <c r="J187" s="286" t="str">
        <f>IFERROR(IF(factura_c_mes11[[#This Row],[CUIT]]="","-",VLOOKUP(factura_c_mes11[[#This Row],[CUIT]],Lista_CUIT[#All],3,0)),"CUIT NO CARGADO")</f>
        <v>Combustible</v>
      </c>
      <c r="K187" s="50">
        <f>IFERROR(IF(factura_c_mes11[[#This Row],[CUIT]]="","-",VLOOKUP(factura_c_mes11[[#This Row],[CUIT]],Lista_CUIT[#All],4,0)),"CUIT NO CARGADO")</f>
        <v>0</v>
      </c>
    </row>
    <row r="188" spans="4:13" x14ac:dyDescent="0.3">
      <c r="D188" s="214">
        <v>44859</v>
      </c>
      <c r="E188" s="215">
        <v>1004</v>
      </c>
      <c r="F188" s="221">
        <v>15571</v>
      </c>
      <c r="G188" s="216">
        <v>30712289046</v>
      </c>
      <c r="H188" s="217" t="str">
        <f>IFERROR(IF(factura_c_mes11[[#This Row],[CUIT]]="","-",VLOOKUP(factura_c_mes11[[#This Row],[CUIT]],Lista_CUIT[#All],2,0)),"CUIT NO CARGADO")</f>
        <v>IMPIERI, PIÑEIRO, RIZZO Y ASOC S.A.</v>
      </c>
      <c r="I188" s="218">
        <v>600</v>
      </c>
      <c r="J188" s="286" t="str">
        <f>IFERROR(IF(factura_c_mes11[[#This Row],[CUIT]]="","-",VLOOKUP(factura_c_mes11[[#This Row],[CUIT]],Lista_CUIT[#All],3,0)),"CUIT NO CARGADO")</f>
        <v>Combustible</v>
      </c>
      <c r="K188" s="219">
        <f>IFERROR(IF(factura_c_mes11[[#This Row],[CUIT]]="","-",VLOOKUP(factura_c_mes11[[#This Row],[CUIT]],Lista_CUIT[#All],4,0)),"CUIT NO CARGADO")</f>
        <v>0</v>
      </c>
    </row>
    <row r="189" spans="4:13" x14ac:dyDescent="0.3">
      <c r="D189" s="46">
        <v>44852</v>
      </c>
      <c r="E189" s="38">
        <v>2</v>
      </c>
      <c r="F189" s="194">
        <v>26624</v>
      </c>
      <c r="G189" s="115">
        <v>27190214295</v>
      </c>
      <c r="H189" s="49" t="str">
        <f>IFERROR(IF(factura_c_mes11[[#This Row],[CUIT]]="","-",VLOOKUP(factura_c_mes11[[#This Row],[CUIT]],Lista_CUIT[#All],2,0)),"CUIT NO CARGADO")</f>
        <v>LI YANBING</v>
      </c>
      <c r="I189" s="192">
        <v>890</v>
      </c>
      <c r="J189" s="286" t="str">
        <f>IFERROR(IF(factura_c_mes11[[#This Row],[CUIT]]="","-",VLOOKUP(factura_c_mes11[[#This Row],[CUIT]],Lista_CUIT[#All],3,0)),"CUIT NO CARGADO")</f>
        <v>Gastos Varios</v>
      </c>
      <c r="K189" s="50">
        <f>IFERROR(IF(factura_c_mes11[[#This Row],[CUIT]]="","-",VLOOKUP(factura_c_mes11[[#This Row],[CUIT]],Lista_CUIT[#All],4,0)),"CUIT NO CARGADO")</f>
        <v>0</v>
      </c>
    </row>
    <row r="190" spans="4:13" x14ac:dyDescent="0.3">
      <c r="D190" s="281">
        <v>44843</v>
      </c>
      <c r="E190" s="287">
        <v>121</v>
      </c>
      <c r="F190" s="282">
        <v>47949</v>
      </c>
      <c r="G190" s="283">
        <v>30697583048</v>
      </c>
      <c r="H190" s="284" t="str">
        <f>IFERROR(IF(factura_c_mes11[[#This Row],[CUIT]]="","-",VLOOKUP(factura_c_mes11[[#This Row],[CUIT]],Lista_CUIT[#All],2,0)),"CUIT NO CARGADO")</f>
        <v>LA RURAL S.A.</v>
      </c>
      <c r="I190" s="285">
        <v>2100</v>
      </c>
      <c r="J190" s="286" t="str">
        <f>IFERROR(IF(factura_c_mes11[[#This Row],[CUIT]]="","-",VLOOKUP(factura_c_mes11[[#This Row],[CUIT]],Lista_CUIT[#All],3,0)),"CUIT NO CARGADO")</f>
        <v>Espacio exposicion</v>
      </c>
      <c r="K190" s="286">
        <f>IFERROR(IF(factura_c_mes11[[#This Row],[CUIT]]="","-",VLOOKUP(factura_c_mes11[[#This Row],[CUIT]],Lista_CUIT[#All],4,0)),"CUIT NO CARGADO")</f>
        <v>0</v>
      </c>
    </row>
    <row r="191" spans="4:13" x14ac:dyDescent="0.3">
      <c r="D191" s="46">
        <v>44855</v>
      </c>
      <c r="E191" s="38">
        <v>3</v>
      </c>
      <c r="F191" s="194">
        <v>64861</v>
      </c>
      <c r="G191" s="115">
        <v>20929669933</v>
      </c>
      <c r="H191" s="49" t="str">
        <f>IFERROR(IF(factura_c_mes11[[#This Row],[CUIT]]="","-",VLOOKUP(factura_c_mes11[[#This Row],[CUIT]],Lista_CUIT[#All],2,0)),"CUIT NO CARGADO")</f>
        <v>GONZALEZ PERALTA MIGUEL ANGEL</v>
      </c>
      <c r="I191" s="192">
        <v>500</v>
      </c>
      <c r="J191" s="286" t="str">
        <f>IFERROR(IF(factura_c_mes11[[#This Row],[CUIT]]="","-",VLOOKUP(factura_c_mes11[[#This Row],[CUIT]],Lista_CUIT[#All],3,0)),"CUIT NO CARGADO")</f>
        <v>Gastos Varios</v>
      </c>
      <c r="K191" s="50">
        <f>IFERROR(IF(factura_c_mes11[[#This Row],[CUIT]]="","-",VLOOKUP(factura_c_mes11[[#This Row],[CUIT]],Lista_CUIT[#All],4,0)),"CUIT NO CARGADO")</f>
        <v>0</v>
      </c>
    </row>
    <row r="192" spans="4:13" x14ac:dyDescent="0.3">
      <c r="D192" s="46">
        <v>44855</v>
      </c>
      <c r="E192" s="38">
        <v>3</v>
      </c>
      <c r="F192" s="194">
        <v>64862</v>
      </c>
      <c r="G192" s="115">
        <v>20929669933</v>
      </c>
      <c r="H192" s="49" t="str">
        <f>IFERROR(IF(factura_c_mes11[[#This Row],[CUIT]]="","-",VLOOKUP(factura_c_mes11[[#This Row],[CUIT]],Lista_CUIT[#All],2,0)),"CUIT NO CARGADO")</f>
        <v>GONZALEZ PERALTA MIGUEL ANGEL</v>
      </c>
      <c r="I192" s="192">
        <v>500</v>
      </c>
      <c r="J192" s="286" t="str">
        <f>IFERROR(IF(factura_c_mes11[[#This Row],[CUIT]]="","-",VLOOKUP(factura_c_mes11[[#This Row],[CUIT]],Lista_CUIT[#All],3,0)),"CUIT NO CARGADO")</f>
        <v>Gastos Varios</v>
      </c>
      <c r="K192" s="50">
        <f>IFERROR(IF(factura_c_mes11[[#This Row],[CUIT]]="","-",VLOOKUP(factura_c_mes11[[#This Row],[CUIT]],Lista_CUIT[#All],4,0)),"CUIT NO CARGADO")</f>
        <v>0</v>
      </c>
    </row>
    <row r="193" spans="2:18" x14ac:dyDescent="0.3">
      <c r="D193" s="46">
        <v>44855</v>
      </c>
      <c r="E193" s="38">
        <v>3</v>
      </c>
      <c r="F193" s="194">
        <v>64863</v>
      </c>
      <c r="G193" s="115">
        <v>20929669933</v>
      </c>
      <c r="H193" s="49" t="str">
        <f>IFERROR(IF(factura_c_mes11[[#This Row],[CUIT]]="","-",VLOOKUP(factura_c_mes11[[#This Row],[CUIT]],Lista_CUIT[#All],2,0)),"CUIT NO CARGADO")</f>
        <v>GONZALEZ PERALTA MIGUEL ANGEL</v>
      </c>
      <c r="I193" s="192">
        <v>500</v>
      </c>
      <c r="J193" s="286" t="str">
        <f>IFERROR(IF(factura_c_mes11[[#This Row],[CUIT]]="","-",VLOOKUP(factura_c_mes11[[#This Row],[CUIT]],Lista_CUIT[#All],3,0)),"CUIT NO CARGADO")</f>
        <v>Gastos Varios</v>
      </c>
      <c r="K193" s="50">
        <f>IFERROR(IF(factura_c_mes11[[#This Row],[CUIT]]="","-",VLOOKUP(factura_c_mes11[[#This Row],[CUIT]],Lista_CUIT[#All],4,0)),"CUIT NO CARGADO")</f>
        <v>0</v>
      </c>
    </row>
    <row r="194" spans="2:18" x14ac:dyDescent="0.3">
      <c r="D194" s="46">
        <v>44855</v>
      </c>
      <c r="E194" s="38">
        <v>3</v>
      </c>
      <c r="F194" s="194">
        <v>64864</v>
      </c>
      <c r="G194" s="115">
        <v>20929669933</v>
      </c>
      <c r="H194" s="49" t="str">
        <f>IFERROR(IF(factura_c_mes11[[#This Row],[CUIT]]="","-",VLOOKUP(factura_c_mes11[[#This Row],[CUIT]],Lista_CUIT[#All],2,0)),"CUIT NO CARGADO")</f>
        <v>GONZALEZ PERALTA MIGUEL ANGEL</v>
      </c>
      <c r="I194" s="192">
        <v>500</v>
      </c>
      <c r="J194" s="286" t="str">
        <f>IFERROR(IF(factura_c_mes11[[#This Row],[CUIT]]="","-",VLOOKUP(factura_c_mes11[[#This Row],[CUIT]],Lista_CUIT[#All],3,0)),"CUIT NO CARGADO")</f>
        <v>Gastos Varios</v>
      </c>
      <c r="K194" s="50">
        <f>IFERROR(IF(factura_c_mes11[[#This Row],[CUIT]]="","-",VLOOKUP(factura_c_mes11[[#This Row],[CUIT]],Lista_CUIT[#All],4,0)),"CUIT NO CARGADO")</f>
        <v>0</v>
      </c>
    </row>
    <row r="195" spans="2:18" x14ac:dyDescent="0.3">
      <c r="D195" s="281">
        <v>44842</v>
      </c>
      <c r="E195" s="287">
        <v>123</v>
      </c>
      <c r="F195" s="282">
        <v>84727</v>
      </c>
      <c r="G195" s="283">
        <v>30697583048</v>
      </c>
      <c r="H195" s="284" t="str">
        <f>IFERROR(IF(factura_c_mes11[[#This Row],[CUIT]]="","-",VLOOKUP(factura_c_mes11[[#This Row],[CUIT]],Lista_CUIT[#All],2,0)),"CUIT NO CARGADO")</f>
        <v>LA RURAL S.A.</v>
      </c>
      <c r="I195" s="285">
        <v>2100</v>
      </c>
      <c r="J195" s="286" t="str">
        <f>IFERROR(IF(factura_c_mes11[[#This Row],[CUIT]]="","-",VLOOKUP(factura_c_mes11[[#This Row],[CUIT]],Lista_CUIT[#All],3,0)),"CUIT NO CARGADO")</f>
        <v>Espacio exposicion</v>
      </c>
      <c r="K195" s="286">
        <f>IFERROR(IF(factura_c_mes11[[#This Row],[CUIT]]="","-",VLOOKUP(factura_c_mes11[[#This Row],[CUIT]],Lista_CUIT[#All],4,0)),"CUIT NO CARGADO")</f>
        <v>0</v>
      </c>
    </row>
    <row r="196" spans="2:18" x14ac:dyDescent="0.3">
      <c r="D196" s="281">
        <v>44835</v>
      </c>
      <c r="E196" s="287">
        <v>2161</v>
      </c>
      <c r="F196" s="282">
        <v>96895</v>
      </c>
      <c r="G196" s="283">
        <v>30612929455</v>
      </c>
      <c r="H196" s="284" t="str">
        <f>IFERROR(IF(factura_c_mes11[[#This Row],[CUIT]]="","-",VLOOKUP(factura_c_mes11[[#This Row],[CUIT]],Lista_CUIT[#All],2,0)),"CUIT NO CARGADO")</f>
        <v>LIBERTAD S A</v>
      </c>
      <c r="I196" s="285">
        <v>2755.78</v>
      </c>
      <c r="J196" s="286" t="str">
        <f>IFERROR(IF(factura_c_mes11[[#This Row],[CUIT]]="","-",VLOOKUP(factura_c_mes11[[#This Row],[CUIT]],Lista_CUIT[#All],3,0)),"CUIT NO CARGADO")</f>
        <v>Gastos Varios</v>
      </c>
      <c r="K196" s="286">
        <f>IFERROR(IF(factura_c_mes11[[#This Row],[CUIT]]="","-",VLOOKUP(factura_c_mes11[[#This Row],[CUIT]],Lista_CUIT[#All],4,0)),"CUIT NO CARGADO")</f>
        <v>0</v>
      </c>
    </row>
    <row r="197" spans="2:18" x14ac:dyDescent="0.3">
      <c r="D197" s="281">
        <v>44855</v>
      </c>
      <c r="E197" s="287">
        <v>14551</v>
      </c>
      <c r="F197" s="282">
        <v>136061</v>
      </c>
      <c r="G197" s="283">
        <v>30687310434</v>
      </c>
      <c r="H197" s="284" t="str">
        <f>IFERROR(IF(factura_c_mes11[[#This Row],[CUIT]]="","-",VLOOKUP(factura_c_mes11[[#This Row],[CUIT]],Lista_CUIT[#All],2,0)),"CUIT NO CARGADO")</f>
        <v>INC  SOCIEDAD ANONIMA</v>
      </c>
      <c r="I197" s="285">
        <v>2481</v>
      </c>
      <c r="J197" s="286" t="str">
        <f>IFERROR(IF(factura_c_mes11[[#This Row],[CUIT]]="","-",VLOOKUP(factura_c_mes11[[#This Row],[CUIT]],Lista_CUIT[#All],3,0)),"CUIT NO CARGADO")</f>
        <v>Gastos Varios</v>
      </c>
      <c r="K197" s="286">
        <f>IFERROR(IF(factura_c_mes11[[#This Row],[CUIT]]="","-",VLOOKUP(factura_c_mes11[[#This Row],[CUIT]],Lista_CUIT[#All],4,0)),"CUIT NO CARGADO")</f>
        <v>0</v>
      </c>
    </row>
    <row r="198" spans="2:18" x14ac:dyDescent="0.3">
      <c r="D198" s="46">
        <v>44855</v>
      </c>
      <c r="E198" s="38">
        <v>3001</v>
      </c>
      <c r="F198" s="194">
        <v>255707</v>
      </c>
      <c r="G198" s="115">
        <v>30708574836</v>
      </c>
      <c r="H198" s="49" t="str">
        <f>IFERROR(IF(factura_c_mes11[[#This Row],[CUIT]]="","-",VLOOKUP(factura_c_mes11[[#This Row],[CUIT]],Lista_CUIT[#All],2,0)),"CUIT NO CARGADO")</f>
        <v>CORREO OFICIAL DE LA REPUBLICA ARGENTINA SOCIEDAD ANONIMA</v>
      </c>
      <c r="I198" s="192">
        <v>3090</v>
      </c>
      <c r="J198" s="286" t="str">
        <f>IFERROR(IF(factura_c_mes11[[#This Row],[CUIT]]="","-",VLOOKUP(factura_c_mes11[[#This Row],[CUIT]],Lista_CUIT[#All],3,0)),"CUIT NO CARGADO")</f>
        <v>Flete-Logistica</v>
      </c>
      <c r="K198" s="50">
        <f>IFERROR(IF(factura_c_mes11[[#This Row],[CUIT]]="","-",VLOOKUP(factura_c_mes11[[#This Row],[CUIT]],Lista_CUIT[#All],4,0)),"CUIT NO CARGADO")</f>
        <v>0</v>
      </c>
    </row>
    <row r="199" spans="2:18" x14ac:dyDescent="0.3">
      <c r="D199" s="46">
        <v>44847</v>
      </c>
      <c r="E199" s="38">
        <v>2036</v>
      </c>
      <c r="F199" s="194">
        <v>638813</v>
      </c>
      <c r="G199" s="115">
        <v>30516186670</v>
      </c>
      <c r="H199" s="49" t="str">
        <f>IFERROR(IF(factura_c_mes11[[#This Row],[CUIT]]="","-",VLOOKUP(factura_c_mes11[[#This Row],[CUIT]],Lista_CUIT[#All],2,0)),"CUIT NO CARGADO")</f>
        <v>DEHEZA S.A.I.C.F. e I.</v>
      </c>
      <c r="I199" s="192">
        <v>499.97</v>
      </c>
      <c r="J199" s="286" t="str">
        <f>IFERROR(IF(factura_c_mes11[[#This Row],[CUIT]]="","-",VLOOKUP(factura_c_mes11[[#This Row],[CUIT]],Lista_CUIT[#All],3,0)),"CUIT NO CARGADO")</f>
        <v>Combustible</v>
      </c>
      <c r="K199" s="50">
        <f>IFERROR(IF(factura_c_mes11[[#This Row],[CUIT]]="","-",VLOOKUP(factura_c_mes11[[#This Row],[CUIT]],Lista_CUIT[#All],4,0)),"CUIT NO CARGADO")</f>
        <v>0</v>
      </c>
    </row>
    <row r="200" spans="2:18" x14ac:dyDescent="0.3">
      <c r="D200" s="46">
        <v>44822</v>
      </c>
      <c r="E200" s="38">
        <v>2468</v>
      </c>
      <c r="F200" s="194">
        <v>48473460</v>
      </c>
      <c r="G200" s="115">
        <v>30678814357</v>
      </c>
      <c r="H200" s="49" t="str">
        <f>IFERROR(IF(factura_c_mes11[[#This Row],[CUIT]]="","-",VLOOKUP(factura_c_mes11[[#This Row],[CUIT]],Lista_CUIT[#All],2,0)),"CUIT NO CARGADO")</f>
        <v>TELEFONICA MOVILES ARG</v>
      </c>
      <c r="I200" s="192">
        <v>3576.99</v>
      </c>
      <c r="J200" s="286" t="str">
        <f>IFERROR(IF(factura_c_mes11[[#This Row],[CUIT]]="","-",VLOOKUP(factura_c_mes11[[#This Row],[CUIT]],Lista_CUIT[#All],3,0)),"CUIT NO CARGADO")</f>
        <v>Servicios Gas, Luz, etc.</v>
      </c>
      <c r="K200" s="50">
        <f>IFERROR(IF(factura_c_mes11[[#This Row],[CUIT]]="","-",VLOOKUP(factura_c_mes11[[#This Row],[CUIT]],Lista_CUIT[#All],4,0)),"CUIT NO CARGADO")</f>
        <v>0</v>
      </c>
    </row>
    <row r="201" spans="2:18" x14ac:dyDescent="0.3">
      <c r="D201" s="213"/>
      <c r="E201" s="194"/>
      <c r="F201" s="194"/>
      <c r="G201" s="115"/>
      <c r="H201" s="49" t="str">
        <f>IFERROR(IF(factura_c_mes11[[#This Row],[CUIT]]="","-",VLOOKUP(factura_c_mes11[[#This Row],[CUIT]],Lista_CUIT[#All],2,0)),"CUIT NO CARGADO")</f>
        <v>-</v>
      </c>
      <c r="I201" s="192"/>
      <c r="J201" s="50" t="str">
        <f>IFERROR(IF(factura_c_mes11[[#This Row],[CUIT]]="","-",VLOOKUP(factura_c_mes11[[#This Row],[CUIT]],Lista_CUIT[#All],3,0)),"CUIT NO CARGADO")</f>
        <v>-</v>
      </c>
      <c r="K201" s="50" t="str">
        <f>IFERROR(IF(factura_c_mes11[[#This Row],[CUIT]]="","-",VLOOKUP(factura_c_mes11[[#This Row],[CUIT]],Lista_CUIT[#All],4,0)),"CUIT NO CARGADO")</f>
        <v>-</v>
      </c>
    </row>
    <row r="202" spans="2:18" x14ac:dyDescent="0.3">
      <c r="D202" s="46"/>
      <c r="E202" s="194"/>
      <c r="F202" s="194"/>
      <c r="G202" s="115"/>
      <c r="H202" s="49" t="str">
        <f>IFERROR(IF(factura_c_mes11[[#This Row],[CUIT]]="","-",VLOOKUP(factura_c_mes11[[#This Row],[CUIT]],Lista_CUIT[#All],2,0)),"CUIT NO CARGADO")</f>
        <v>-</v>
      </c>
      <c r="I202" s="192"/>
      <c r="J202" s="50" t="str">
        <f>IFERROR(IF(factura_c_mes11[[#This Row],[CUIT]]="","-",VLOOKUP(factura_c_mes11[[#This Row],[CUIT]],Lista_CUIT[#All],3,0)),"CUIT NO CARGADO")</f>
        <v>-</v>
      </c>
      <c r="K202" s="50" t="str">
        <f>IFERROR(IF(factura_c_mes11[[#This Row],[CUIT]]="","-",VLOOKUP(factura_c_mes11[[#This Row],[CUIT]],Lista_CUIT[#All],4,0)),"CUIT NO CARGADO")</f>
        <v>-</v>
      </c>
    </row>
    <row r="203" spans="2:18" x14ac:dyDescent="0.3">
      <c r="D203" s="46"/>
      <c r="E203" s="194"/>
      <c r="F203" s="39"/>
      <c r="G203" s="115"/>
      <c r="H203" s="49" t="str">
        <f>IFERROR(IF(factura_c_mes11[[#This Row],[CUIT]]="","-",VLOOKUP(factura_c_mes11[[#This Row],[CUIT]],Lista_CUIT[#All],2,0)),"CUIT NO CARGADO")</f>
        <v>-</v>
      </c>
      <c r="I203" s="192"/>
      <c r="J203" s="50" t="str">
        <f>IFERROR(IF(factura_c_mes11[[#This Row],[CUIT]]="","-",VLOOKUP(factura_c_mes11[[#This Row],[CUIT]],Lista_CUIT[#All],3,0)),"CUIT NO CARGADO")</f>
        <v>-</v>
      </c>
      <c r="K203" s="50" t="str">
        <f>IFERROR(IF(factura_c_mes11[[#This Row],[CUIT]]="","-",VLOOKUP(factura_c_mes11[[#This Row],[CUIT]],Lista_CUIT[#All],4,0)),"CUIT NO CARGADO")</f>
        <v>-</v>
      </c>
    </row>
    <row r="204" spans="2:18" x14ac:dyDescent="0.3">
      <c r="D204" s="51" t="s">
        <v>83</v>
      </c>
      <c r="E204" s="51"/>
      <c r="F204" s="51"/>
      <c r="G204" s="51"/>
      <c r="H204" s="53"/>
      <c r="I204" s="54">
        <f>SUBTOTAL(109,factura_c_mes11[TOTAL])</f>
        <v>391844.73</v>
      </c>
      <c r="J204" s="51"/>
      <c r="K204" s="51"/>
    </row>
    <row r="205" spans="2:18" x14ac:dyDescent="0.3">
      <c r="B205" s="52"/>
      <c r="C205" s="52"/>
      <c r="L205" s="52"/>
      <c r="M205" s="52"/>
      <c r="N205" s="52"/>
      <c r="O205" s="52"/>
      <c r="P205" s="52"/>
      <c r="Q205" s="52"/>
      <c r="R205" s="52"/>
    </row>
    <row r="206" spans="2:18" x14ac:dyDescent="0.3">
      <c r="B206" s="52"/>
      <c r="C206" s="52"/>
      <c r="L206" s="52"/>
      <c r="M206" s="52"/>
      <c r="N206" s="52"/>
      <c r="O206" s="52"/>
      <c r="P206" s="52"/>
      <c r="Q206" s="52"/>
      <c r="R206" s="52"/>
    </row>
    <row r="211" spans="2:13" ht="25.8" x14ac:dyDescent="0.3">
      <c r="B211" s="456" t="s">
        <v>29</v>
      </c>
      <c r="C211" s="456"/>
      <c r="D211" s="456"/>
      <c r="E211" s="456"/>
      <c r="F211" s="456"/>
      <c r="G211" s="456"/>
      <c r="H211" s="456"/>
      <c r="I211" s="456"/>
      <c r="J211" s="456"/>
      <c r="K211" s="452">
        <f>N1</f>
        <v>44866</v>
      </c>
      <c r="L211" s="452"/>
      <c r="M211" s="452"/>
    </row>
    <row r="213" spans="2:13" ht="21" x14ac:dyDescent="0.3">
      <c r="B213" s="449" t="s">
        <v>30</v>
      </c>
      <c r="C213" s="449"/>
    </row>
    <row r="214" spans="2:13" ht="31.2" x14ac:dyDescent="0.3">
      <c r="B214" s="56" t="s">
        <v>0</v>
      </c>
      <c r="C214" s="57" t="s">
        <v>1</v>
      </c>
      <c r="D214" s="57" t="s">
        <v>21</v>
      </c>
      <c r="E214" s="57" t="s">
        <v>22</v>
      </c>
      <c r="F214" s="57" t="s">
        <v>3</v>
      </c>
      <c r="G214" s="57" t="s">
        <v>4</v>
      </c>
      <c r="H214" s="57" t="s">
        <v>23</v>
      </c>
      <c r="I214" s="57" t="s">
        <v>17</v>
      </c>
      <c r="J214" s="57" t="s">
        <v>7</v>
      </c>
      <c r="K214" s="57" t="s">
        <v>24</v>
      </c>
      <c r="L214" s="57" t="s">
        <v>10</v>
      </c>
      <c r="M214" s="58" t="s">
        <v>38</v>
      </c>
    </row>
    <row r="215" spans="2:13" x14ac:dyDescent="0.3">
      <c r="B215" s="289">
        <v>44853</v>
      </c>
      <c r="C215" s="290">
        <v>3</v>
      </c>
      <c r="D215" s="291">
        <v>10</v>
      </c>
      <c r="E215" s="292">
        <v>638</v>
      </c>
      <c r="F215" s="293">
        <v>27181966330</v>
      </c>
      <c r="G215" s="294" t="str">
        <f>IFERROR(IF(venta_a_mes11[[#This Row],[CUIT]]="","-",VLOOKUP(venta_a_mes11[[#This Row],[CUIT]],Lista_CUIT[#All],2,0)),"CUIT NO CARGADO")</f>
        <v>CUIT NO CARGADO</v>
      </c>
      <c r="H215" s="295">
        <v>-35796.22</v>
      </c>
      <c r="I215" s="296">
        <f>venta_a_mes11[[#This Row],[IMPORTE NETO]]*0.21</f>
        <v>-7517.2061999999996</v>
      </c>
      <c r="J215" s="297"/>
      <c r="K215" s="297"/>
      <c r="L215" s="297">
        <f>SUM(venta_a_mes11[[#This Row],[IMPORTE NETO]:[EXENTO]])</f>
        <v>-43313.426200000002</v>
      </c>
      <c r="M215" s="298"/>
    </row>
    <row r="216" spans="2:13" x14ac:dyDescent="0.3">
      <c r="B216" s="289">
        <v>44853</v>
      </c>
      <c r="C216" s="290">
        <v>3</v>
      </c>
      <c r="D216" s="291">
        <v>10</v>
      </c>
      <c r="E216" s="292">
        <v>639</v>
      </c>
      <c r="F216" s="293">
        <v>27181966330</v>
      </c>
      <c r="G216" s="294" t="str">
        <f>IFERROR(IF(venta_a_mes11[[#This Row],[CUIT]]="","-",VLOOKUP(venta_a_mes11[[#This Row],[CUIT]],Lista_CUIT[#All],2,0)),"CUIT NO CARGADO")</f>
        <v>CUIT NO CARGADO</v>
      </c>
      <c r="H216" s="295">
        <v>-10335.94</v>
      </c>
      <c r="I216" s="296">
        <f>venta_a_mes11[[#This Row],[IMPORTE NETO]]*0.21</f>
        <v>-2170.5473999999999</v>
      </c>
      <c r="J216" s="297"/>
      <c r="K216" s="297"/>
      <c r="L216" s="297">
        <f>SUM(venta_a_mes11[[#This Row],[IMPORTE NETO]:[EXENTO]])</f>
        <v>-12506.4874</v>
      </c>
      <c r="M216" s="298"/>
    </row>
    <row r="217" spans="2:13" x14ac:dyDescent="0.3">
      <c r="B217" s="289">
        <v>44853</v>
      </c>
      <c r="C217" s="290">
        <v>3</v>
      </c>
      <c r="D217" s="291">
        <v>10</v>
      </c>
      <c r="E217" s="292">
        <v>640</v>
      </c>
      <c r="F217" s="293">
        <v>27181966330</v>
      </c>
      <c r="G217" s="294" t="str">
        <f>IFERROR(IF(venta_a_mes11[[#This Row],[CUIT]]="","-",VLOOKUP(venta_a_mes11[[#This Row],[CUIT]],Lista_CUIT[#All],2,0)),"CUIT NO CARGADO")</f>
        <v>CUIT NO CARGADO</v>
      </c>
      <c r="H217" s="295">
        <v>-2600.83</v>
      </c>
      <c r="I217" s="296">
        <f>venta_a_mes11[[#This Row],[IMPORTE NETO]]*0.21</f>
        <v>-546.17430000000002</v>
      </c>
      <c r="J217" s="297"/>
      <c r="K217" s="297"/>
      <c r="L217" s="297">
        <f>SUM(venta_a_mes11[[#This Row],[IMPORTE NETO]:[EXENTO]])</f>
        <v>-3147.0043000000001</v>
      </c>
      <c r="M217" s="298"/>
    </row>
    <row r="218" spans="2:13" x14ac:dyDescent="0.3">
      <c r="B218" s="289">
        <v>44853</v>
      </c>
      <c r="C218" s="290">
        <v>3</v>
      </c>
      <c r="D218" s="291">
        <v>10</v>
      </c>
      <c r="E218" s="292">
        <v>641</v>
      </c>
      <c r="F218" s="293">
        <v>27181966330</v>
      </c>
      <c r="G218" s="294" t="str">
        <f>IFERROR(IF(venta_a_mes11[[#This Row],[CUIT]]="","-",VLOOKUP(venta_a_mes11[[#This Row],[CUIT]],Lista_CUIT[#All],2,0)),"CUIT NO CARGADO")</f>
        <v>CUIT NO CARGADO</v>
      </c>
      <c r="H218" s="295">
        <v>-57238.3</v>
      </c>
      <c r="I218" s="296">
        <f>venta_a_mes11[[#This Row],[IMPORTE NETO]]*0.21</f>
        <v>-12020.043</v>
      </c>
      <c r="J218" s="297"/>
      <c r="K218" s="297"/>
      <c r="L218" s="297">
        <f>SUM(venta_a_mes11[[#This Row],[IMPORTE NETO]:[EXENTO]])</f>
        <v>-69258.343000000008</v>
      </c>
      <c r="M218" s="298"/>
    </row>
    <row r="219" spans="2:13" x14ac:dyDescent="0.3">
      <c r="B219" s="289">
        <v>44858</v>
      </c>
      <c r="C219" s="290">
        <v>3</v>
      </c>
      <c r="D219" s="291">
        <v>10</v>
      </c>
      <c r="E219" s="292">
        <v>642</v>
      </c>
      <c r="F219" s="293">
        <v>30711604703</v>
      </c>
      <c r="G219" s="294" t="str">
        <f>IFERROR(IF(venta_a_mes11[[#This Row],[CUIT]]="","-",VLOOKUP(venta_a_mes11[[#This Row],[CUIT]],Lista_CUIT[#All],2,0)),"CUIT NO CARGADO")</f>
        <v>KORE S.A.</v>
      </c>
      <c r="H219" s="295">
        <v>-143873.06</v>
      </c>
      <c r="I219" s="296">
        <f>venta_a_mes11[[#This Row],[IMPORTE NETO]]*0.21</f>
        <v>-30213.3426</v>
      </c>
      <c r="J219" s="297"/>
      <c r="K219" s="297"/>
      <c r="L219" s="297">
        <f>SUM(venta_a_mes11[[#This Row],[IMPORTE NETO]:[EXENTO]])</f>
        <v>-174086.4026</v>
      </c>
      <c r="M219" s="298"/>
    </row>
    <row r="220" spans="2:13" x14ac:dyDescent="0.3">
      <c r="B220" s="289">
        <v>44837</v>
      </c>
      <c r="C220" s="299">
        <v>1</v>
      </c>
      <c r="D220" s="291">
        <v>10</v>
      </c>
      <c r="E220" s="292">
        <v>9404</v>
      </c>
      <c r="F220" s="293">
        <v>27327364567</v>
      </c>
      <c r="G220" s="294" t="str">
        <f>IFERROR(IF(venta_a_mes11[[#This Row],[CUIT]]="","-",VLOOKUP(venta_a_mes11[[#This Row],[CUIT]],Lista_CUIT[#All],2,0)),"CUIT NO CARGADO")</f>
        <v>CENTURION, Maria</v>
      </c>
      <c r="H220" s="300">
        <v>26578.51</v>
      </c>
      <c r="I220" s="296">
        <f>venta_a_mes11[[#This Row],[IMPORTE NETO]]*0.21</f>
        <v>5581.4870999999994</v>
      </c>
      <c r="J220" s="297"/>
      <c r="K220" s="297"/>
      <c r="L220" s="297">
        <f>SUM(venta_a_mes11[[#This Row],[IMPORTE NETO]:[EXENTO]])</f>
        <v>32159.997099999997</v>
      </c>
      <c r="M220" s="298"/>
    </row>
    <row r="221" spans="2:13" x14ac:dyDescent="0.3">
      <c r="B221" s="36">
        <v>44837</v>
      </c>
      <c r="C221" s="37">
        <v>1</v>
      </c>
      <c r="D221" s="107">
        <v>10</v>
      </c>
      <c r="E221" s="39">
        <v>9405</v>
      </c>
      <c r="F221" s="251">
        <v>30711428514</v>
      </c>
      <c r="G221" s="95" t="str">
        <f>IFERROR(IF(venta_a_mes11[[#This Row],[CUIT]]="","-",VLOOKUP(venta_a_mes11[[#This Row],[CUIT]],Lista_CUIT[#All],2,0)),"CUIT NO CARGADO")</f>
        <v>JABONES Y FRAGANCIAS S.A</v>
      </c>
      <c r="H221" s="96">
        <v>16328.87</v>
      </c>
      <c r="I221" s="97">
        <f>venta_a_mes11[[#This Row],[IMPORTE NETO]]*0.21</f>
        <v>3429.0626999999999</v>
      </c>
      <c r="J221" s="61"/>
      <c r="K221" s="61"/>
      <c r="L221" s="61">
        <f>SUM(venta_a_mes11[[#This Row],[IMPORTE NETO]:[EXENTO]])</f>
        <v>19757.932700000001</v>
      </c>
      <c r="M221" s="59"/>
    </row>
    <row r="222" spans="2:13" x14ac:dyDescent="0.3">
      <c r="B222" s="98">
        <v>44837</v>
      </c>
      <c r="C222" s="37">
        <v>1</v>
      </c>
      <c r="D222" s="107">
        <v>10</v>
      </c>
      <c r="E222" s="101">
        <v>9406</v>
      </c>
      <c r="F222" s="251">
        <v>30709163503</v>
      </c>
      <c r="G222" s="95" t="str">
        <f>IFERROR(IF(venta_a_mes11[[#This Row],[CUIT]]="","-",VLOOKUP(venta_a_mes11[[#This Row],[CUIT]],Lista_CUIT[#All],2,0)),"CUIT NO CARGADO")</f>
        <v>CANADEZ S.R.L.</v>
      </c>
      <c r="H222" s="103">
        <v>107479.34</v>
      </c>
      <c r="I222" s="104">
        <f>venta_a_mes11[[#This Row],[IMPORTE NETO]]*0.21</f>
        <v>22570.661399999997</v>
      </c>
      <c r="J222" s="68"/>
      <c r="K222" s="68"/>
      <c r="L222" s="68">
        <f>SUM(venta_a_mes11[[#This Row],[IMPORTE NETO]:[EXENTO]])</f>
        <v>130050.00139999999</v>
      </c>
      <c r="M222" s="59"/>
    </row>
    <row r="223" spans="2:13" x14ac:dyDescent="0.3">
      <c r="B223" s="105">
        <v>44837</v>
      </c>
      <c r="C223" s="37">
        <v>1</v>
      </c>
      <c r="D223" s="107">
        <v>10</v>
      </c>
      <c r="E223" s="108">
        <v>9407</v>
      </c>
      <c r="F223" s="251">
        <v>30709163503</v>
      </c>
      <c r="G223" s="95" t="str">
        <f>IFERROR(IF(venta_a_mes11[[#This Row],[CUIT]]="","-",VLOOKUP(venta_a_mes11[[#This Row],[CUIT]],Lista_CUIT[#All],2,0)),"CUIT NO CARGADO")</f>
        <v>CANADEZ S.R.L.</v>
      </c>
      <c r="H223" s="96">
        <v>149083.31</v>
      </c>
      <c r="I223" s="97">
        <f>venta_a_mes11[[#This Row],[IMPORTE NETO]]*0.21</f>
        <v>31307.4951</v>
      </c>
      <c r="J223" s="61"/>
      <c r="K223" s="61"/>
      <c r="L223" s="61">
        <f>SUM(venta_a_mes11[[#This Row],[IMPORTE NETO]:[EXENTO]])</f>
        <v>180390.8051</v>
      </c>
      <c r="M223" s="55"/>
    </row>
    <row r="224" spans="2:13" x14ac:dyDescent="0.3">
      <c r="B224" s="98">
        <v>44837</v>
      </c>
      <c r="C224" s="37">
        <v>1</v>
      </c>
      <c r="D224" s="107">
        <v>10</v>
      </c>
      <c r="E224" s="101">
        <v>9408</v>
      </c>
      <c r="F224" s="251">
        <v>30709163503</v>
      </c>
      <c r="G224" s="222" t="str">
        <f>IFERROR(IF(venta_a_mes11[[#This Row],[CUIT]]="","-",VLOOKUP(venta_a_mes11[[#This Row],[CUIT]],Lista_CUIT[#All],2,0)),"CUIT NO CARGADO")</f>
        <v>CANADEZ S.R.L.</v>
      </c>
      <c r="H224" s="103">
        <v>45181.82</v>
      </c>
      <c r="I224" s="104">
        <f>venta_a_mes11[[#This Row],[IMPORTE NETO]]*0.21</f>
        <v>9488.1821999999993</v>
      </c>
      <c r="J224" s="68"/>
      <c r="K224" s="68"/>
      <c r="L224" s="68">
        <f>SUM(venta_a_mes11[[#This Row],[IMPORTE NETO]:[EXENTO]])</f>
        <v>54670.002200000003</v>
      </c>
      <c r="M224" s="59"/>
    </row>
    <row r="225" spans="2:13" x14ac:dyDescent="0.3">
      <c r="B225" s="98">
        <v>44837</v>
      </c>
      <c r="C225" s="37">
        <v>1</v>
      </c>
      <c r="D225" s="107">
        <v>10</v>
      </c>
      <c r="E225" s="101">
        <v>9409</v>
      </c>
      <c r="F225" s="251">
        <v>30709163503</v>
      </c>
      <c r="G225" s="222" t="str">
        <f>IFERROR(IF(venta_a_mes11[[#This Row],[CUIT]]="","-",VLOOKUP(venta_a_mes11[[#This Row],[CUIT]],Lista_CUIT[#All],2,0)),"CUIT NO CARGADO")</f>
        <v>CANADEZ S.R.L.</v>
      </c>
      <c r="H225" s="103">
        <v>88423.14</v>
      </c>
      <c r="I225" s="104">
        <f>venta_a_mes11[[#This Row],[IMPORTE NETO]]*0.21</f>
        <v>18568.859399999998</v>
      </c>
      <c r="J225" s="68"/>
      <c r="K225" s="68"/>
      <c r="L225" s="68">
        <f>SUM(venta_a_mes11[[#This Row],[IMPORTE NETO]:[EXENTO]])</f>
        <v>106991.9994</v>
      </c>
      <c r="M225" s="59"/>
    </row>
    <row r="226" spans="2:13" x14ac:dyDescent="0.3">
      <c r="B226" s="105">
        <v>44837</v>
      </c>
      <c r="C226" s="37">
        <v>1</v>
      </c>
      <c r="D226" s="107">
        <v>10</v>
      </c>
      <c r="E226" s="108">
        <v>9410</v>
      </c>
      <c r="F226" s="251">
        <v>30709163503</v>
      </c>
      <c r="G226" s="95" t="str">
        <f>IFERROR(IF(venta_a_mes11[[#This Row],[CUIT]]="","-",VLOOKUP(venta_a_mes11[[#This Row],[CUIT]],Lista_CUIT[#All],2,0)),"CUIT NO CARGADO")</f>
        <v>CANADEZ S.R.L.</v>
      </c>
      <c r="H226" s="96">
        <v>98980.17</v>
      </c>
      <c r="I226" s="97">
        <f>venta_a_mes11[[#This Row],[IMPORTE NETO]]*0.21</f>
        <v>20785.8357</v>
      </c>
      <c r="J226" s="61"/>
      <c r="K226" s="61"/>
      <c r="L226" s="61">
        <f>SUM(venta_a_mes11[[#This Row],[IMPORTE NETO]:[EXENTO]])</f>
        <v>119766.00569999999</v>
      </c>
      <c r="M226" s="55"/>
    </row>
    <row r="227" spans="2:13" x14ac:dyDescent="0.3">
      <c r="B227" s="246">
        <v>44837</v>
      </c>
      <c r="C227" s="37">
        <v>1</v>
      </c>
      <c r="D227" s="107">
        <v>10</v>
      </c>
      <c r="E227" s="249">
        <v>9411</v>
      </c>
      <c r="F227" s="251">
        <v>27266689875</v>
      </c>
      <c r="G227" s="95" t="str">
        <f>IFERROR(IF(venta_a_mes11[[#This Row],[CUIT]]="","-",VLOOKUP(venta_a_mes11[[#This Row],[CUIT]],Lista_CUIT[#All],2,0)),"CUIT NO CARGADO")</f>
        <v>KIKA COSMETICA</v>
      </c>
      <c r="H227" s="96">
        <v>90800.37</v>
      </c>
      <c r="I227" s="97">
        <f>venta_a_mes11[[#This Row],[IMPORTE NETO]]*0.21</f>
        <v>19068.077699999998</v>
      </c>
      <c r="J227" s="61"/>
      <c r="K227" s="61"/>
      <c r="L227" s="61">
        <f>SUM(venta_a_mes11[[#This Row],[IMPORTE NETO]:[EXENTO]])</f>
        <v>109868.44769999999</v>
      </c>
      <c r="M227" s="55"/>
    </row>
    <row r="228" spans="2:13" x14ac:dyDescent="0.3">
      <c r="B228" s="246">
        <v>44837</v>
      </c>
      <c r="C228" s="37">
        <v>1</v>
      </c>
      <c r="D228" s="107">
        <v>10</v>
      </c>
      <c r="E228" s="249">
        <v>9412</v>
      </c>
      <c r="F228" s="251">
        <v>27266689875</v>
      </c>
      <c r="G228" s="95" t="str">
        <f>IFERROR(IF(venta_a_mes11[[#This Row],[CUIT]]="","-",VLOOKUP(venta_a_mes11[[#This Row],[CUIT]],Lista_CUIT[#All],2,0)),"CUIT NO CARGADO")</f>
        <v>KIKA COSMETICA</v>
      </c>
      <c r="H228" s="96">
        <v>28737.73</v>
      </c>
      <c r="I228" s="97">
        <f>venta_a_mes11[[#This Row],[IMPORTE NETO]]*0.21</f>
        <v>6034.9232999999995</v>
      </c>
      <c r="J228" s="61"/>
      <c r="K228" s="61"/>
      <c r="L228" s="61">
        <f>SUM(venta_a_mes11[[#This Row],[IMPORTE NETO]:[EXENTO]])</f>
        <v>34772.653299999998</v>
      </c>
      <c r="M228" s="55"/>
    </row>
    <row r="229" spans="2:13" x14ac:dyDescent="0.3">
      <c r="B229" s="246">
        <v>44837</v>
      </c>
      <c r="C229" s="37">
        <v>1</v>
      </c>
      <c r="D229" s="107">
        <v>10</v>
      </c>
      <c r="E229" s="249">
        <v>9413</v>
      </c>
      <c r="F229" s="251">
        <v>27266689875</v>
      </c>
      <c r="G229" s="95" t="str">
        <f>IFERROR(IF(venta_a_mes11[[#This Row],[CUIT]]="","-",VLOOKUP(venta_a_mes11[[#This Row],[CUIT]],Lista_CUIT[#All],2,0)),"CUIT NO CARGADO")</f>
        <v>KIKA COSMETICA</v>
      </c>
      <c r="H229" s="96">
        <v>5591.74</v>
      </c>
      <c r="I229" s="97">
        <f>venta_a_mes11[[#This Row],[IMPORTE NETO]]*0.21</f>
        <v>1174.2654</v>
      </c>
      <c r="J229" s="61"/>
      <c r="K229" s="61"/>
      <c r="L229" s="61">
        <f>SUM(venta_a_mes11[[#This Row],[IMPORTE NETO]:[EXENTO]])</f>
        <v>6766.0054</v>
      </c>
      <c r="M229" s="55"/>
    </row>
    <row r="230" spans="2:13" x14ac:dyDescent="0.3">
      <c r="B230" s="246">
        <v>44837</v>
      </c>
      <c r="C230" s="37">
        <v>1</v>
      </c>
      <c r="D230" s="107">
        <v>10</v>
      </c>
      <c r="E230" s="249">
        <v>9414</v>
      </c>
      <c r="F230" s="251">
        <v>27266689875</v>
      </c>
      <c r="G230" s="95" t="str">
        <f>IFERROR(IF(venta_a_mes11[[#This Row],[CUIT]]="","-",VLOOKUP(venta_a_mes11[[#This Row],[CUIT]],Lista_CUIT[#All],2,0)),"CUIT NO CARGADO")</f>
        <v>KIKA COSMETICA</v>
      </c>
      <c r="H230" s="96">
        <v>22137.19</v>
      </c>
      <c r="I230" s="97">
        <f>venta_a_mes11[[#This Row],[IMPORTE NETO]]*0.21</f>
        <v>4648.8098999999993</v>
      </c>
      <c r="J230" s="61"/>
      <c r="K230" s="61"/>
      <c r="L230" s="61">
        <f>SUM(venta_a_mes11[[#This Row],[IMPORTE NETO]:[EXENTO]])</f>
        <v>26785.999899999999</v>
      </c>
      <c r="M230" s="55"/>
    </row>
    <row r="231" spans="2:13" x14ac:dyDescent="0.3">
      <c r="B231" s="105">
        <v>44838</v>
      </c>
      <c r="C231" s="37">
        <v>1</v>
      </c>
      <c r="D231" s="107">
        <v>10</v>
      </c>
      <c r="E231" s="108">
        <v>9415</v>
      </c>
      <c r="F231" s="251">
        <v>23269528214</v>
      </c>
      <c r="G231" s="95" t="str">
        <f>IFERROR(IF(venta_a_mes11[[#This Row],[CUIT]]="","-",VLOOKUP(venta_a_mes11[[#This Row],[CUIT]],Lista_CUIT[#All],2,0)),"CUIT NO CARGADO")</f>
        <v>VANINA ANABELLA ECHENIQUE</v>
      </c>
      <c r="H231" s="96">
        <v>4192.66</v>
      </c>
      <c r="I231" s="97">
        <f>venta_a_mes11[[#This Row],[IMPORTE NETO]]*0.21</f>
        <v>880.45859999999993</v>
      </c>
      <c r="J231" s="61"/>
      <c r="K231" s="61"/>
      <c r="L231" s="61">
        <f>SUM(venta_a_mes11[[#This Row],[IMPORTE NETO]:[EXENTO]])</f>
        <v>5073.1185999999998</v>
      </c>
      <c r="M231" s="55"/>
    </row>
    <row r="232" spans="2:13" x14ac:dyDescent="0.3">
      <c r="B232" s="105">
        <v>44838</v>
      </c>
      <c r="C232" s="37">
        <v>1</v>
      </c>
      <c r="D232" s="107">
        <v>10</v>
      </c>
      <c r="E232" s="108">
        <v>9416</v>
      </c>
      <c r="F232" s="251">
        <v>27141689296</v>
      </c>
      <c r="G232" s="95" t="str">
        <f>IFERROR(IF(venta_a_mes11[[#This Row],[CUIT]]="","-",VLOOKUP(venta_a_mes11[[#This Row],[CUIT]],Lista_CUIT[#All],2,0)),"CUIT NO CARGADO")</f>
        <v>FLEYTAS MONICA LILIANA</v>
      </c>
      <c r="H232" s="96">
        <v>2066.12</v>
      </c>
      <c r="I232" s="97">
        <f>venta_a_mes11[[#This Row],[IMPORTE NETO]]*0.21</f>
        <v>433.88519999999994</v>
      </c>
      <c r="J232" s="61"/>
      <c r="K232" s="61"/>
      <c r="L232" s="61">
        <f>SUM(venta_a_mes11[[#This Row],[IMPORTE NETO]:[EXENTO]])</f>
        <v>2500.0051999999996</v>
      </c>
      <c r="M232" s="55"/>
    </row>
    <row r="233" spans="2:13" x14ac:dyDescent="0.3">
      <c r="B233" s="105">
        <v>44838</v>
      </c>
      <c r="C233" s="37">
        <v>1</v>
      </c>
      <c r="D233" s="107">
        <v>10</v>
      </c>
      <c r="E233" s="108">
        <v>9417</v>
      </c>
      <c r="F233" s="251">
        <v>20181612410</v>
      </c>
      <c r="G233" s="95" t="str">
        <f>IFERROR(IF(venta_a_mes11[[#This Row],[CUIT]]="","-",VLOOKUP(venta_a_mes11[[#This Row],[CUIT]],Lista_CUIT[#All],2,0)),"CUIT NO CARGADO")</f>
        <v>PACCOR ANGEL LUIS</v>
      </c>
      <c r="H233" s="96">
        <v>86681.65</v>
      </c>
      <c r="I233" s="97">
        <f>venta_a_mes11[[#This Row],[IMPORTE NETO]]*0.21</f>
        <v>18203.146499999999</v>
      </c>
      <c r="J233" s="61"/>
      <c r="K233" s="61"/>
      <c r="L233" s="61">
        <f>SUM(venta_a_mes11[[#This Row],[IMPORTE NETO]:[EXENTO]])</f>
        <v>104884.7965</v>
      </c>
      <c r="M233" s="55"/>
    </row>
    <row r="234" spans="2:13" x14ac:dyDescent="0.3">
      <c r="B234" s="105">
        <v>44838</v>
      </c>
      <c r="C234" s="37">
        <v>1</v>
      </c>
      <c r="D234" s="107">
        <v>10</v>
      </c>
      <c r="E234" s="108">
        <v>9418</v>
      </c>
      <c r="F234" s="251">
        <v>20181612410</v>
      </c>
      <c r="G234" s="95" t="str">
        <f>IFERROR(IF(venta_a_mes11[[#This Row],[CUIT]]="","-",VLOOKUP(venta_a_mes11[[#This Row],[CUIT]],Lista_CUIT[#All],2,0)),"CUIT NO CARGADO")</f>
        <v>PACCOR ANGEL LUIS</v>
      </c>
      <c r="H234" s="96">
        <v>37313.06</v>
      </c>
      <c r="I234" s="97">
        <f>venta_a_mes11[[#This Row],[IMPORTE NETO]]*0.21</f>
        <v>7835.7425999999996</v>
      </c>
      <c r="J234" s="61"/>
      <c r="K234" s="61"/>
      <c r="L234" s="61">
        <f>SUM(venta_a_mes11[[#This Row],[IMPORTE NETO]:[EXENTO]])</f>
        <v>45148.802599999995</v>
      </c>
      <c r="M234" s="55"/>
    </row>
    <row r="235" spans="2:13" x14ac:dyDescent="0.3">
      <c r="B235" s="105">
        <v>44838</v>
      </c>
      <c r="C235" s="37">
        <v>1</v>
      </c>
      <c r="D235" s="107">
        <v>10</v>
      </c>
      <c r="E235" s="108">
        <v>9419</v>
      </c>
      <c r="F235" s="251">
        <v>30717398196</v>
      </c>
      <c r="G235" s="95" t="str">
        <f>IFERROR(IF(venta_a_mes11[[#This Row],[CUIT]]="","-",VLOOKUP(venta_a_mes11[[#This Row],[CUIT]],Lista_CUIT[#All],2,0)),"CUIT NO CARGADO")</f>
        <v>QUANTUM KOSMETICA S.R.L.</v>
      </c>
      <c r="H235" s="96">
        <v>16915.7</v>
      </c>
      <c r="I235" s="97">
        <f>venta_a_mes11[[#This Row],[IMPORTE NETO]]*0.21</f>
        <v>3552.297</v>
      </c>
      <c r="J235" s="61"/>
      <c r="K235" s="61"/>
      <c r="L235" s="61">
        <f>SUM(venta_a_mes11[[#This Row],[IMPORTE NETO]:[EXENTO]])</f>
        <v>20467.996999999999</v>
      </c>
      <c r="M235" s="55"/>
    </row>
    <row r="236" spans="2:13" x14ac:dyDescent="0.3">
      <c r="B236" s="105">
        <v>44838</v>
      </c>
      <c r="C236" s="37">
        <v>1</v>
      </c>
      <c r="D236" s="107">
        <v>10</v>
      </c>
      <c r="E236" s="108">
        <v>9420</v>
      </c>
      <c r="F236" s="251">
        <v>20181612410</v>
      </c>
      <c r="G236" s="95" t="str">
        <f>IFERROR(IF(venta_a_mes11[[#This Row],[CUIT]]="","-",VLOOKUP(venta_a_mes11[[#This Row],[CUIT]],Lista_CUIT[#All],2,0)),"CUIT NO CARGADO")</f>
        <v>PACCOR ANGEL LUIS</v>
      </c>
      <c r="H236" s="96">
        <v>19422.150000000001</v>
      </c>
      <c r="I236" s="97">
        <f>venta_a_mes11[[#This Row],[IMPORTE NETO]]*0.21</f>
        <v>4078.6514999999999</v>
      </c>
      <c r="J236" s="61"/>
      <c r="K236" s="61"/>
      <c r="L236" s="61">
        <f>SUM(venta_a_mes11[[#This Row],[IMPORTE NETO]:[EXENTO]])</f>
        <v>23500.801500000001</v>
      </c>
      <c r="M236" s="55"/>
    </row>
    <row r="237" spans="2:13" x14ac:dyDescent="0.3">
      <c r="B237" s="105">
        <v>44839</v>
      </c>
      <c r="C237" s="37">
        <v>1</v>
      </c>
      <c r="D237" s="107">
        <v>10</v>
      </c>
      <c r="E237" s="108">
        <v>9421</v>
      </c>
      <c r="F237" s="251">
        <v>30592032909</v>
      </c>
      <c r="G237" s="95" t="str">
        <f>IFERROR(IF(venta_a_mes11[[#This Row],[CUIT]]="","-",VLOOKUP(venta_a_mes11[[#This Row],[CUIT]],Lista_CUIT[#All],2,0)),"CUIT NO CARGADO")</f>
        <v>RUEDAS LIBERAL S R L </v>
      </c>
      <c r="H237" s="96">
        <v>14024.79</v>
      </c>
      <c r="I237" s="97">
        <f>venta_a_mes11[[#This Row],[IMPORTE NETO]]*0.21</f>
        <v>2945.2058999999999</v>
      </c>
      <c r="J237" s="61"/>
      <c r="K237" s="61"/>
      <c r="L237" s="61">
        <f>SUM(venta_a_mes11[[#This Row],[IMPORTE NETO]:[EXENTO]])</f>
        <v>16969.995900000002</v>
      </c>
      <c r="M237" s="55"/>
    </row>
    <row r="238" spans="2:13" x14ac:dyDescent="0.3">
      <c r="B238" s="105">
        <v>44839</v>
      </c>
      <c r="C238" s="37">
        <v>1</v>
      </c>
      <c r="D238" s="107">
        <v>10</v>
      </c>
      <c r="E238" s="108">
        <v>9422</v>
      </c>
      <c r="F238" s="251">
        <v>30716421151</v>
      </c>
      <c r="G238" s="95" t="str">
        <f>IFERROR(IF(venta_a_mes11[[#This Row],[CUIT]]="","-",VLOOKUP(venta_a_mes11[[#This Row],[CUIT]],Lista_CUIT[#All],2,0)),"CUIT NO CARGADO")</f>
        <v>ILONA AYOUB S.A.S. </v>
      </c>
      <c r="H238" s="96">
        <v>27468.43</v>
      </c>
      <c r="I238" s="97">
        <f>venta_a_mes11[[#This Row],[IMPORTE NETO]]*0.21</f>
        <v>5768.3702999999996</v>
      </c>
      <c r="J238" s="61"/>
      <c r="K238" s="61"/>
      <c r="L238" s="61">
        <f>SUM(venta_a_mes11[[#This Row],[IMPORTE NETO]:[EXENTO]])</f>
        <v>33236.800300000003</v>
      </c>
      <c r="M238" s="55"/>
    </row>
    <row r="239" spans="2:13" x14ac:dyDescent="0.3">
      <c r="B239" s="105">
        <v>44839</v>
      </c>
      <c r="C239" s="37">
        <v>1</v>
      </c>
      <c r="D239" s="107">
        <v>10</v>
      </c>
      <c r="E239" s="108">
        <v>9423</v>
      </c>
      <c r="F239" s="251">
        <v>27061737230</v>
      </c>
      <c r="G239" s="95" t="str">
        <f>IFERROR(IF(venta_a_mes11[[#This Row],[CUIT]]="","-",VLOOKUP(venta_a_mes11[[#This Row],[CUIT]],Lista_CUIT[#All],2,0)),"CUIT NO CARGADO")</f>
        <v>LO DUCA STELLA MARIS RAMONA</v>
      </c>
      <c r="H239" s="96">
        <v>45087.6</v>
      </c>
      <c r="I239" s="97">
        <f>venta_a_mes11[[#This Row],[IMPORTE NETO]]*0.21</f>
        <v>9468.3959999999988</v>
      </c>
      <c r="J239" s="61"/>
      <c r="K239" s="61"/>
      <c r="L239" s="61">
        <f>SUM(venta_a_mes11[[#This Row],[IMPORTE NETO]:[EXENTO]])</f>
        <v>54555.995999999999</v>
      </c>
      <c r="M239" s="55"/>
    </row>
    <row r="240" spans="2:13" x14ac:dyDescent="0.3">
      <c r="B240" s="105">
        <v>44839</v>
      </c>
      <c r="C240" s="37">
        <v>1</v>
      </c>
      <c r="D240" s="107">
        <v>10</v>
      </c>
      <c r="E240" s="108">
        <v>9424</v>
      </c>
      <c r="F240" s="251">
        <v>20316511881</v>
      </c>
      <c r="G240" s="95" t="str">
        <f>IFERROR(IF(venta_a_mes11[[#This Row],[CUIT]]="","-",VLOOKUP(venta_a_mes11[[#This Row],[CUIT]],Lista_CUIT[#All],2,0)),"CUIT NO CARGADO")</f>
        <v>CUIT NO CARGADO</v>
      </c>
      <c r="H240" s="96">
        <v>21328.89</v>
      </c>
      <c r="I240" s="97">
        <f>venta_a_mes11[[#This Row],[IMPORTE NETO]]*0.21</f>
        <v>4479.0668999999998</v>
      </c>
      <c r="J240" s="61"/>
      <c r="K240" s="61"/>
      <c r="L240" s="61">
        <f>SUM(venta_a_mes11[[#This Row],[IMPORTE NETO]:[EXENTO]])</f>
        <v>25807.956899999997</v>
      </c>
      <c r="M240" s="55"/>
    </row>
    <row r="241" spans="2:13" x14ac:dyDescent="0.3">
      <c r="B241" s="105">
        <v>44839</v>
      </c>
      <c r="C241" s="37">
        <v>1</v>
      </c>
      <c r="D241" s="107">
        <v>10</v>
      </c>
      <c r="E241" s="108">
        <v>9425</v>
      </c>
      <c r="F241" s="251">
        <v>30711720169</v>
      </c>
      <c r="G241" s="95" t="str">
        <f>IFERROR(IF(venta_a_mes11[[#This Row],[CUIT]]="","-",VLOOKUP(venta_a_mes11[[#This Row],[CUIT]],Lista_CUIT[#All],2,0)),"CUIT NO CARGADO")</f>
        <v>KINE ESTETIC SRL</v>
      </c>
      <c r="H241" s="96">
        <v>44502.77</v>
      </c>
      <c r="I241" s="97">
        <f>venta_a_mes11[[#This Row],[IMPORTE NETO]]*0.21</f>
        <v>9345.5816999999988</v>
      </c>
      <c r="J241" s="61"/>
      <c r="K241" s="61"/>
      <c r="L241" s="61">
        <f>SUM(venta_a_mes11[[#This Row],[IMPORTE NETO]:[EXENTO]])</f>
        <v>53848.351699999999</v>
      </c>
      <c r="M241" s="55"/>
    </row>
    <row r="242" spans="2:13" x14ac:dyDescent="0.3">
      <c r="B242" s="105">
        <v>44840</v>
      </c>
      <c r="C242" s="37">
        <v>1</v>
      </c>
      <c r="D242" s="107">
        <v>10</v>
      </c>
      <c r="E242" s="108">
        <v>9426</v>
      </c>
      <c r="F242" s="251">
        <v>23269528214</v>
      </c>
      <c r="G242" s="95" t="str">
        <f>IFERROR(IF(venta_a_mes11[[#This Row],[CUIT]]="","-",VLOOKUP(venta_a_mes11[[#This Row],[CUIT]],Lista_CUIT[#All],2,0)),"CUIT NO CARGADO")</f>
        <v>VANINA ANABELLA ECHENIQUE</v>
      </c>
      <c r="H242" s="96">
        <v>88999.29</v>
      </c>
      <c r="I242" s="97">
        <f>venta_a_mes11[[#This Row],[IMPORTE NETO]]*0.21</f>
        <v>18689.850899999998</v>
      </c>
      <c r="J242" s="61"/>
      <c r="K242" s="61"/>
      <c r="L242" s="61">
        <f>SUM(venta_a_mes11[[#This Row],[IMPORTE NETO]:[EXENTO]])</f>
        <v>107689.1409</v>
      </c>
      <c r="M242" s="55"/>
    </row>
    <row r="243" spans="2:13" x14ac:dyDescent="0.3">
      <c r="B243" s="105">
        <v>44840</v>
      </c>
      <c r="C243" s="37">
        <v>1</v>
      </c>
      <c r="D243" s="107">
        <v>10</v>
      </c>
      <c r="E243" s="108">
        <v>9427</v>
      </c>
      <c r="F243" s="251">
        <v>23269528214</v>
      </c>
      <c r="G243" s="95" t="str">
        <f>IFERROR(IF(venta_a_mes11[[#This Row],[CUIT]]="","-",VLOOKUP(venta_a_mes11[[#This Row],[CUIT]],Lista_CUIT[#All],2,0)),"CUIT NO CARGADO")</f>
        <v>VANINA ANABELLA ECHENIQUE</v>
      </c>
      <c r="H243" s="96">
        <v>105523.04</v>
      </c>
      <c r="I243" s="97">
        <f>venta_a_mes11[[#This Row],[IMPORTE NETO]]*0.21</f>
        <v>22159.838399999997</v>
      </c>
      <c r="J243" s="61"/>
      <c r="K243" s="61"/>
      <c r="L243" s="61">
        <f>SUM(venta_a_mes11[[#This Row],[IMPORTE NETO]:[EXENTO]])</f>
        <v>127682.87839999999</v>
      </c>
      <c r="M243" s="55"/>
    </row>
    <row r="244" spans="2:13" x14ac:dyDescent="0.3">
      <c r="B244" s="105">
        <v>44840</v>
      </c>
      <c r="C244" s="37">
        <v>1</v>
      </c>
      <c r="D244" s="107">
        <v>10</v>
      </c>
      <c r="E244" s="108">
        <v>9428</v>
      </c>
      <c r="F244" s="251">
        <v>23269528214</v>
      </c>
      <c r="G244" s="95" t="str">
        <f>IFERROR(IF(venta_a_mes11[[#This Row],[CUIT]]="","-",VLOOKUP(venta_a_mes11[[#This Row],[CUIT]],Lista_CUIT[#All],2,0)),"CUIT NO CARGADO")</f>
        <v>VANINA ANABELLA ECHENIQUE</v>
      </c>
      <c r="H244" s="96">
        <v>9242.0300000000007</v>
      </c>
      <c r="I244" s="97">
        <f>venta_a_mes11[[#This Row],[IMPORTE NETO]]*0.21</f>
        <v>1940.8263000000002</v>
      </c>
      <c r="J244" s="61"/>
      <c r="K244" s="61"/>
      <c r="L244" s="61">
        <f>SUM(venta_a_mes11[[#This Row],[IMPORTE NETO]:[EXENTO]])</f>
        <v>11182.856300000001</v>
      </c>
      <c r="M244" s="55"/>
    </row>
    <row r="245" spans="2:13" x14ac:dyDescent="0.3">
      <c r="B245" s="105">
        <v>44840</v>
      </c>
      <c r="C245" s="37">
        <v>1</v>
      </c>
      <c r="D245" s="107">
        <v>10</v>
      </c>
      <c r="E245" s="108">
        <v>9429</v>
      </c>
      <c r="F245" s="251">
        <v>27327364567</v>
      </c>
      <c r="G245" s="95" t="str">
        <f>IFERROR(IF(venta_a_mes11[[#This Row],[CUIT]]="","-",VLOOKUP(venta_a_mes11[[#This Row],[CUIT]],Lista_CUIT[#All],2,0)),"CUIT NO CARGADO")</f>
        <v>CENTURION, Maria</v>
      </c>
      <c r="H245" s="96">
        <v>47305.78</v>
      </c>
      <c r="I245" s="97">
        <f>venta_a_mes11[[#This Row],[IMPORTE NETO]]*0.21</f>
        <v>9934.2137999999995</v>
      </c>
      <c r="J245" s="61"/>
      <c r="K245" s="61"/>
      <c r="L245" s="61">
        <f>SUM(venta_a_mes11[[#This Row],[IMPORTE NETO]:[EXENTO]])</f>
        <v>57239.993799999997</v>
      </c>
      <c r="M245" s="55"/>
    </row>
    <row r="246" spans="2:13" x14ac:dyDescent="0.3">
      <c r="B246" s="105">
        <v>44840</v>
      </c>
      <c r="C246" s="37">
        <v>1</v>
      </c>
      <c r="D246" s="107">
        <v>10</v>
      </c>
      <c r="E246" s="108">
        <v>9430</v>
      </c>
      <c r="F246" s="251">
        <v>30711604703</v>
      </c>
      <c r="G246" s="95" t="str">
        <f>IFERROR(IF(venta_a_mes11[[#This Row],[CUIT]]="","-",VLOOKUP(venta_a_mes11[[#This Row],[CUIT]],Lista_CUIT[#All],2,0)),"CUIT NO CARGADO")</f>
        <v>KORE S.A.</v>
      </c>
      <c r="H246" s="96">
        <v>100314.15</v>
      </c>
      <c r="I246" s="97">
        <f>venta_a_mes11[[#This Row],[IMPORTE NETO]]*0.21</f>
        <v>21065.9715</v>
      </c>
      <c r="J246" s="61"/>
      <c r="K246" s="61"/>
      <c r="L246" s="61">
        <f>SUM(venta_a_mes11[[#This Row],[IMPORTE NETO]:[EXENTO]])</f>
        <v>121380.12149999999</v>
      </c>
      <c r="M246" s="55"/>
    </row>
    <row r="247" spans="2:13" x14ac:dyDescent="0.3">
      <c r="B247" s="105">
        <v>44840</v>
      </c>
      <c r="C247" s="37">
        <v>1</v>
      </c>
      <c r="D247" s="107">
        <v>10</v>
      </c>
      <c r="E247" s="108">
        <v>9431</v>
      </c>
      <c r="F247" s="251">
        <v>20243351309</v>
      </c>
      <c r="G247" s="95" t="str">
        <f>IFERROR(IF(venta_a_mes11[[#This Row],[CUIT]]="","-",VLOOKUP(venta_a_mes11[[#This Row],[CUIT]],Lista_CUIT[#All],2,0)),"CUIT NO CARGADO")</f>
        <v>Silvio Jorge Giostra</v>
      </c>
      <c r="H247" s="96">
        <v>19785.12</v>
      </c>
      <c r="I247" s="97">
        <f>venta_a_mes11[[#This Row],[IMPORTE NETO]]*0.21</f>
        <v>4154.8751999999995</v>
      </c>
      <c r="J247" s="61"/>
      <c r="K247" s="61"/>
      <c r="L247" s="61">
        <f>SUM(venta_a_mes11[[#This Row],[IMPORTE NETO]:[EXENTO]])</f>
        <v>23939.995199999998</v>
      </c>
      <c r="M247" s="55"/>
    </row>
    <row r="248" spans="2:13" x14ac:dyDescent="0.3">
      <c r="B248" s="105">
        <v>44845</v>
      </c>
      <c r="C248" s="37">
        <v>1</v>
      </c>
      <c r="D248" s="107">
        <v>10</v>
      </c>
      <c r="E248" s="108">
        <v>9432</v>
      </c>
      <c r="F248" s="251">
        <v>23269528214</v>
      </c>
      <c r="G248" s="95" t="str">
        <f>IFERROR(IF(venta_a_mes11[[#This Row],[CUIT]]="","-",VLOOKUP(venta_a_mes11[[#This Row],[CUIT]],Lista_CUIT[#All],2,0)),"CUIT NO CARGADO")</f>
        <v>VANINA ANABELLA ECHENIQUE</v>
      </c>
      <c r="H248" s="96">
        <v>18277.189999999999</v>
      </c>
      <c r="I248" s="97">
        <f>venta_a_mes11[[#This Row],[IMPORTE NETO]]*0.21</f>
        <v>3838.2098999999994</v>
      </c>
      <c r="J248" s="61"/>
      <c r="K248" s="61"/>
      <c r="L248" s="61">
        <f>SUM(venta_a_mes11[[#This Row],[IMPORTE NETO]:[EXENTO]])</f>
        <v>22115.399899999997</v>
      </c>
      <c r="M248" s="55"/>
    </row>
    <row r="249" spans="2:13" x14ac:dyDescent="0.3">
      <c r="B249" s="105">
        <v>44845</v>
      </c>
      <c r="C249" s="37">
        <v>1</v>
      </c>
      <c r="D249" s="107">
        <v>10</v>
      </c>
      <c r="E249" s="108">
        <v>9433</v>
      </c>
      <c r="F249" s="251">
        <v>23265885594</v>
      </c>
      <c r="G249" s="95" t="str">
        <f>IFERROR(IF(venta_a_mes11[[#This Row],[CUIT]]="","-",VLOOKUP(venta_a_mes11[[#This Row],[CUIT]],Lista_CUIT[#All],2,0)),"CUIT NO CARGADO")</f>
        <v>Maria Celeste Fernandez</v>
      </c>
      <c r="H249" s="96">
        <v>14714.88</v>
      </c>
      <c r="I249" s="97">
        <f>venta_a_mes11[[#This Row],[IMPORTE NETO]]*0.21</f>
        <v>3090.1247999999996</v>
      </c>
      <c r="J249" s="61"/>
      <c r="K249" s="61"/>
      <c r="L249" s="61">
        <f>SUM(venta_a_mes11[[#This Row],[IMPORTE NETO]:[EXENTO]])</f>
        <v>17805.004799999999</v>
      </c>
      <c r="M249" s="55"/>
    </row>
    <row r="250" spans="2:13" x14ac:dyDescent="0.3">
      <c r="B250" s="105">
        <v>44845</v>
      </c>
      <c r="C250" s="247">
        <v>1</v>
      </c>
      <c r="D250" s="107">
        <v>10</v>
      </c>
      <c r="E250" s="108">
        <v>9434</v>
      </c>
      <c r="F250" s="251">
        <v>27242128252</v>
      </c>
      <c r="G250" s="95" t="str">
        <f>IFERROR(IF(venta_a_mes11[[#This Row],[CUIT]]="","-",VLOOKUP(venta_a_mes11[[#This Row],[CUIT]],Lista_CUIT[#All],2,0)),"CUIT NO CARGADO")</f>
        <v>ZALEWSKI MONICA ROXANA</v>
      </c>
      <c r="H250" s="96">
        <v>52771.64</v>
      </c>
      <c r="I250" s="97">
        <f>venta_a_mes11[[#This Row],[IMPORTE NETO]]*0.21</f>
        <v>11082.044399999999</v>
      </c>
      <c r="J250" s="61"/>
      <c r="K250" s="61"/>
      <c r="L250" s="61">
        <f>SUM(venta_a_mes11[[#This Row],[IMPORTE NETO]:[EXENTO]])</f>
        <v>63853.684399999998</v>
      </c>
      <c r="M250" s="55"/>
    </row>
    <row r="251" spans="2:13" x14ac:dyDescent="0.3">
      <c r="B251" s="105">
        <v>44845</v>
      </c>
      <c r="C251" s="247">
        <v>1</v>
      </c>
      <c r="D251" s="107">
        <v>10</v>
      </c>
      <c r="E251" s="108">
        <v>9435</v>
      </c>
      <c r="F251" s="251">
        <v>27242128252</v>
      </c>
      <c r="G251" s="95" t="str">
        <f>IFERROR(IF(venta_a_mes11[[#This Row],[CUIT]]="","-",VLOOKUP(venta_a_mes11[[#This Row],[CUIT]],Lista_CUIT[#All],2,0)),"CUIT NO CARGADO")</f>
        <v>ZALEWSKI MONICA ROXANA</v>
      </c>
      <c r="H251" s="96">
        <v>56255.93</v>
      </c>
      <c r="I251" s="97">
        <f>venta_a_mes11[[#This Row],[IMPORTE NETO]]*0.21</f>
        <v>11813.7453</v>
      </c>
      <c r="J251" s="61"/>
      <c r="K251" s="61"/>
      <c r="L251" s="61">
        <f>SUM(venta_a_mes11[[#This Row],[IMPORTE NETO]:[EXENTO]])</f>
        <v>68069.675300000003</v>
      </c>
      <c r="M251" s="55"/>
    </row>
    <row r="252" spans="2:13" x14ac:dyDescent="0.3">
      <c r="B252" s="105">
        <v>44845</v>
      </c>
      <c r="C252" s="247">
        <v>1</v>
      </c>
      <c r="D252" s="107">
        <v>10</v>
      </c>
      <c r="E252" s="108">
        <v>9436</v>
      </c>
      <c r="F252" s="251">
        <v>27242128252</v>
      </c>
      <c r="G252" s="95" t="str">
        <f>IFERROR(IF(venta_a_mes11[[#This Row],[CUIT]]="","-",VLOOKUP(venta_a_mes11[[#This Row],[CUIT]],Lista_CUIT[#All],2,0)),"CUIT NO CARGADO")</f>
        <v>ZALEWSKI MONICA ROXANA</v>
      </c>
      <c r="H252" s="96">
        <v>48974.28</v>
      </c>
      <c r="I252" s="97">
        <f>venta_a_mes11[[#This Row],[IMPORTE NETO]]*0.21</f>
        <v>10284.5988</v>
      </c>
      <c r="J252" s="61"/>
      <c r="K252" s="61"/>
      <c r="L252" s="61">
        <f>SUM(venta_a_mes11[[#This Row],[IMPORTE NETO]:[EXENTO]])</f>
        <v>59258.878799999999</v>
      </c>
      <c r="M252" s="55"/>
    </row>
    <row r="253" spans="2:13" x14ac:dyDescent="0.3">
      <c r="B253" s="105">
        <v>44845</v>
      </c>
      <c r="C253" s="37">
        <v>1</v>
      </c>
      <c r="D253" s="107">
        <v>10</v>
      </c>
      <c r="E253" s="108">
        <v>9437</v>
      </c>
      <c r="F253" s="251">
        <v>23269528214</v>
      </c>
      <c r="G253" s="95" t="str">
        <f>IFERROR(IF(venta_a_mes11[[#This Row],[CUIT]]="","-",VLOOKUP(venta_a_mes11[[#This Row],[CUIT]],Lista_CUIT[#All],2,0)),"CUIT NO CARGADO")</f>
        <v>VANINA ANABELLA ECHENIQUE</v>
      </c>
      <c r="H253" s="96">
        <v>47690.13</v>
      </c>
      <c r="I253" s="97">
        <f>venta_a_mes11[[#This Row],[IMPORTE NETO]]*0.21</f>
        <v>10014.927299999999</v>
      </c>
      <c r="J253" s="61"/>
      <c r="K253" s="61"/>
      <c r="L253" s="61">
        <f>SUM(venta_a_mes11[[#This Row],[IMPORTE NETO]:[EXENTO]])</f>
        <v>57705.0573</v>
      </c>
      <c r="M253" s="55"/>
    </row>
    <row r="254" spans="2:13" x14ac:dyDescent="0.3">
      <c r="B254" s="105">
        <v>44845</v>
      </c>
      <c r="C254" s="37">
        <v>1</v>
      </c>
      <c r="D254" s="107">
        <v>10</v>
      </c>
      <c r="E254" s="108">
        <v>9438</v>
      </c>
      <c r="F254" s="251">
        <v>23269528214</v>
      </c>
      <c r="G254" s="95" t="str">
        <f>IFERROR(IF(venta_a_mes11[[#This Row],[CUIT]]="","-",VLOOKUP(venta_a_mes11[[#This Row],[CUIT]],Lista_CUIT[#All],2,0)),"CUIT NO CARGADO")</f>
        <v>VANINA ANABELLA ECHENIQUE</v>
      </c>
      <c r="H254" s="96">
        <v>17862.22</v>
      </c>
      <c r="I254" s="97">
        <f>venta_a_mes11[[#This Row],[IMPORTE NETO]]*0.21</f>
        <v>3751.0662000000002</v>
      </c>
      <c r="J254" s="61"/>
      <c r="K254" s="61"/>
      <c r="L254" s="61">
        <f>SUM(venta_a_mes11[[#This Row],[IMPORTE NETO]:[EXENTO]])</f>
        <v>21613.286200000002</v>
      </c>
      <c r="M254" s="55"/>
    </row>
    <row r="255" spans="2:13" x14ac:dyDescent="0.3">
      <c r="B255" s="105">
        <v>44845</v>
      </c>
      <c r="C255" s="247">
        <v>1</v>
      </c>
      <c r="D255" s="107">
        <v>10</v>
      </c>
      <c r="E255" s="108">
        <v>9439</v>
      </c>
      <c r="F255" s="251">
        <v>30711604703</v>
      </c>
      <c r="G255" s="95" t="str">
        <f>IFERROR(IF(venta_a_mes11[[#This Row],[CUIT]]="","-",VLOOKUP(venta_a_mes11[[#This Row],[CUIT]],Lista_CUIT[#All],2,0)),"CUIT NO CARGADO")</f>
        <v>KORE S.A.</v>
      </c>
      <c r="H255" s="96">
        <v>98450.22</v>
      </c>
      <c r="I255" s="97">
        <f>venta_a_mes11[[#This Row],[IMPORTE NETO]]*0.21</f>
        <v>20674.546200000001</v>
      </c>
      <c r="J255" s="61"/>
      <c r="K255" s="61"/>
      <c r="L255" s="61">
        <f>SUM(venta_a_mes11[[#This Row],[IMPORTE NETO]:[EXENTO]])</f>
        <v>119124.7662</v>
      </c>
      <c r="M255" s="55"/>
    </row>
    <row r="256" spans="2:13" x14ac:dyDescent="0.3">
      <c r="B256" s="105">
        <v>44845</v>
      </c>
      <c r="C256" s="106">
        <v>1</v>
      </c>
      <c r="D256" s="107">
        <v>10</v>
      </c>
      <c r="E256" s="108">
        <v>9440</v>
      </c>
      <c r="F256" s="251">
        <v>30711604703</v>
      </c>
      <c r="G256" s="95" t="str">
        <f>IFERROR(IF(venta_a_mes11[[#This Row],[CUIT]]="","-",VLOOKUP(venta_a_mes11[[#This Row],[CUIT]],Lista_CUIT[#All],2,0)),"CUIT NO CARGADO")</f>
        <v>KORE S.A.</v>
      </c>
      <c r="H256" s="96">
        <v>92840.58</v>
      </c>
      <c r="I256" s="97">
        <f>venta_a_mes11[[#This Row],[IMPORTE NETO]]*0.21</f>
        <v>19496.521799999999</v>
      </c>
      <c r="J256" s="61"/>
      <c r="K256" s="61"/>
      <c r="L256" s="61">
        <f>SUM(venta_a_mes11[[#This Row],[IMPORTE NETO]:[EXENTO]])</f>
        <v>112337.1018</v>
      </c>
      <c r="M256" s="55"/>
    </row>
    <row r="257" spans="2:13" x14ac:dyDescent="0.3">
      <c r="B257" s="105">
        <v>44845</v>
      </c>
      <c r="C257" s="106">
        <v>1</v>
      </c>
      <c r="D257" s="107">
        <v>10</v>
      </c>
      <c r="E257" s="108">
        <v>9441</v>
      </c>
      <c r="F257" s="251">
        <v>30711604703</v>
      </c>
      <c r="G257" s="95" t="str">
        <f>IFERROR(IF(venta_a_mes11[[#This Row],[CUIT]]="","-",VLOOKUP(venta_a_mes11[[#This Row],[CUIT]],Lista_CUIT[#All],2,0)),"CUIT NO CARGADO")</f>
        <v>KORE S.A.</v>
      </c>
      <c r="H257" s="96">
        <v>132494.18</v>
      </c>
      <c r="I257" s="97">
        <f>venta_a_mes11[[#This Row],[IMPORTE NETO]]*0.21</f>
        <v>27823.777799999996</v>
      </c>
      <c r="J257" s="61"/>
      <c r="K257" s="61"/>
      <c r="L257" s="61">
        <f>SUM(venta_a_mes11[[#This Row],[IMPORTE NETO]:[EXENTO]])</f>
        <v>160317.95779999997</v>
      </c>
      <c r="M257" s="55"/>
    </row>
    <row r="258" spans="2:13" x14ac:dyDescent="0.3">
      <c r="B258" s="105">
        <v>44845</v>
      </c>
      <c r="C258" s="106">
        <v>1</v>
      </c>
      <c r="D258" s="107">
        <v>10</v>
      </c>
      <c r="E258" s="108">
        <v>9442</v>
      </c>
      <c r="F258" s="251">
        <v>30711604703</v>
      </c>
      <c r="G258" s="95" t="str">
        <f>IFERROR(IF(venta_a_mes11[[#This Row],[CUIT]]="","-",VLOOKUP(venta_a_mes11[[#This Row],[CUIT]],Lista_CUIT[#All],2,0)),"CUIT NO CARGADO")</f>
        <v>KORE S.A.</v>
      </c>
      <c r="H258" s="96">
        <v>34248.76</v>
      </c>
      <c r="I258" s="97">
        <f>venta_a_mes11[[#This Row],[IMPORTE NETO]]*0.21</f>
        <v>7192.2395999999999</v>
      </c>
      <c r="J258" s="61"/>
      <c r="K258" s="61"/>
      <c r="L258" s="61">
        <f>SUM(venta_a_mes11[[#This Row],[IMPORTE NETO]:[EXENTO]])</f>
        <v>41440.999600000003</v>
      </c>
      <c r="M258" s="55"/>
    </row>
    <row r="259" spans="2:13" x14ac:dyDescent="0.3">
      <c r="B259" s="105">
        <v>44845</v>
      </c>
      <c r="C259" s="106">
        <v>1</v>
      </c>
      <c r="D259" s="107">
        <v>10</v>
      </c>
      <c r="E259" s="108">
        <v>9443</v>
      </c>
      <c r="F259" s="251">
        <v>30711604703</v>
      </c>
      <c r="G259" s="95" t="str">
        <f>IFERROR(IF(venta_a_mes11[[#This Row],[CUIT]]="","-",VLOOKUP(venta_a_mes11[[#This Row],[CUIT]],Lista_CUIT[#All],2,0)),"CUIT NO CARGADO")</f>
        <v>KORE S.A.</v>
      </c>
      <c r="H259" s="96">
        <v>100314.15</v>
      </c>
      <c r="I259" s="97">
        <f>venta_a_mes11[[#This Row],[IMPORTE NETO]]*0.21</f>
        <v>21065.9715</v>
      </c>
      <c r="J259" s="61"/>
      <c r="K259" s="61"/>
      <c r="L259" s="61">
        <f>SUM(venta_a_mes11[[#This Row],[IMPORTE NETO]:[EXENTO]])</f>
        <v>121380.12149999999</v>
      </c>
      <c r="M259" s="55"/>
    </row>
    <row r="260" spans="2:13" x14ac:dyDescent="0.3">
      <c r="B260" s="105">
        <v>44845</v>
      </c>
      <c r="C260" s="106">
        <v>1</v>
      </c>
      <c r="D260" s="107">
        <v>10</v>
      </c>
      <c r="E260" s="108">
        <v>9444</v>
      </c>
      <c r="F260" s="251">
        <v>30711604703</v>
      </c>
      <c r="G260" s="95" t="str">
        <f>IFERROR(IF(venta_a_mes11[[#This Row],[CUIT]]="","-",VLOOKUP(venta_a_mes11[[#This Row],[CUIT]],Lista_CUIT[#All],2,0)),"CUIT NO CARGADO")</f>
        <v>KORE S.A.</v>
      </c>
      <c r="H260" s="96">
        <v>134678.35</v>
      </c>
      <c r="I260" s="97">
        <f>venta_a_mes11[[#This Row],[IMPORTE NETO]]*0.21</f>
        <v>28282.4535</v>
      </c>
      <c r="J260" s="61"/>
      <c r="K260" s="61"/>
      <c r="L260" s="61">
        <f>SUM(venta_a_mes11[[#This Row],[IMPORTE NETO]:[EXENTO]])</f>
        <v>162960.80350000001</v>
      </c>
      <c r="M260" s="55"/>
    </row>
    <row r="261" spans="2:13" x14ac:dyDescent="0.3">
      <c r="B261" s="105">
        <v>44845</v>
      </c>
      <c r="C261" s="106">
        <v>1</v>
      </c>
      <c r="D261" s="107">
        <v>10</v>
      </c>
      <c r="E261" s="108">
        <v>9445</v>
      </c>
      <c r="F261" s="251">
        <v>30711604703</v>
      </c>
      <c r="G261" s="95" t="str">
        <f>IFERROR(IF(venta_a_mes11[[#This Row],[CUIT]]="","-",VLOOKUP(venta_a_mes11[[#This Row],[CUIT]],Lista_CUIT[#All],2,0)),"CUIT NO CARGADO")</f>
        <v>KORE S.A.</v>
      </c>
      <c r="H261" s="96">
        <v>106966.89</v>
      </c>
      <c r="I261" s="97">
        <f>venta_a_mes11[[#This Row],[IMPORTE NETO]]*0.21</f>
        <v>22463.046899999998</v>
      </c>
      <c r="J261" s="61"/>
      <c r="K261" s="61"/>
      <c r="L261" s="61">
        <f>SUM(venta_a_mes11[[#This Row],[IMPORTE NETO]:[EXENTO]])</f>
        <v>129429.9369</v>
      </c>
      <c r="M261" s="55"/>
    </row>
    <row r="262" spans="2:13" x14ac:dyDescent="0.3">
      <c r="B262" s="105">
        <v>44845</v>
      </c>
      <c r="C262" s="106">
        <v>1</v>
      </c>
      <c r="D262" s="107">
        <v>10</v>
      </c>
      <c r="E262" s="108">
        <v>9446</v>
      </c>
      <c r="F262" s="251">
        <v>30711604703</v>
      </c>
      <c r="G262" s="95" t="str">
        <f>IFERROR(IF(venta_a_mes11[[#This Row],[CUIT]]="","-",VLOOKUP(venta_a_mes11[[#This Row],[CUIT]],Lista_CUIT[#All],2,0)),"CUIT NO CARGADO")</f>
        <v>KORE S.A.</v>
      </c>
      <c r="H262" s="96">
        <v>5586.78</v>
      </c>
      <c r="I262" s="97">
        <f>venta_a_mes11[[#This Row],[IMPORTE NETO]]*0.21</f>
        <v>1173.2238</v>
      </c>
      <c r="J262" s="61"/>
      <c r="K262" s="61"/>
      <c r="L262" s="61">
        <f>SUM(venta_a_mes11[[#This Row],[IMPORTE NETO]:[EXENTO]])</f>
        <v>6760.0037999999995</v>
      </c>
      <c r="M262" s="55"/>
    </row>
    <row r="263" spans="2:13" x14ac:dyDescent="0.3">
      <c r="B263" s="105">
        <v>44845</v>
      </c>
      <c r="C263" s="248">
        <v>1</v>
      </c>
      <c r="D263" s="107">
        <v>10</v>
      </c>
      <c r="E263" s="108">
        <v>9447</v>
      </c>
      <c r="F263" s="251">
        <v>30717700275</v>
      </c>
      <c r="G263" s="95" t="str">
        <f>IFERROR(IF(venta_a_mes11[[#This Row],[CUIT]]="","-",VLOOKUP(venta_a_mes11[[#This Row],[CUIT]],Lista_CUIT[#All],2,0)),"CUIT NO CARGADO")</f>
        <v>CUIT NO CARGADO</v>
      </c>
      <c r="H263" s="96">
        <v>42578.6</v>
      </c>
      <c r="I263" s="97">
        <f>venta_a_mes11[[#This Row],[IMPORTE NETO]]*0.21</f>
        <v>8941.5059999999994</v>
      </c>
      <c r="J263" s="61"/>
      <c r="K263" s="61"/>
      <c r="L263" s="61">
        <f>SUM(venta_a_mes11[[#This Row],[IMPORTE NETO]:[EXENTO]])</f>
        <v>51520.106</v>
      </c>
      <c r="M263" s="55"/>
    </row>
    <row r="264" spans="2:13" x14ac:dyDescent="0.3">
      <c r="B264" s="105">
        <v>44846</v>
      </c>
      <c r="C264" s="106">
        <v>1</v>
      </c>
      <c r="D264" s="107">
        <v>10</v>
      </c>
      <c r="E264" s="108">
        <v>9448</v>
      </c>
      <c r="F264" s="251">
        <v>20181612410</v>
      </c>
      <c r="G264" s="95" t="str">
        <f>IFERROR(IF(venta_a_mes11[[#This Row],[CUIT]]="","-",VLOOKUP(venta_a_mes11[[#This Row],[CUIT]],Lista_CUIT[#All],2,0)),"CUIT NO CARGADO")</f>
        <v>PACCOR ANGEL LUIS</v>
      </c>
      <c r="H264" s="96">
        <v>105435.77</v>
      </c>
      <c r="I264" s="97">
        <f>venta_a_mes11[[#This Row],[IMPORTE NETO]]*0.21</f>
        <v>22141.511699999999</v>
      </c>
      <c r="J264" s="61"/>
      <c r="K264" s="61"/>
      <c r="L264" s="61">
        <f>SUM(venta_a_mes11[[#This Row],[IMPORTE NETO]:[EXENTO]])</f>
        <v>127577.28170000001</v>
      </c>
      <c r="M264" s="55"/>
    </row>
    <row r="265" spans="2:13" x14ac:dyDescent="0.3">
      <c r="B265" s="105">
        <v>44846</v>
      </c>
      <c r="C265" s="106">
        <v>1</v>
      </c>
      <c r="D265" s="107">
        <v>10</v>
      </c>
      <c r="E265" s="108">
        <v>9449</v>
      </c>
      <c r="F265" s="251">
        <v>20181612410</v>
      </c>
      <c r="G265" s="95" t="str">
        <f>IFERROR(IF(venta_a_mes11[[#This Row],[CUIT]]="","-",VLOOKUP(venta_a_mes11[[#This Row],[CUIT]],Lista_CUIT[#All],2,0)),"CUIT NO CARGADO")</f>
        <v>PACCOR ANGEL LUIS</v>
      </c>
      <c r="H265" s="96">
        <v>34342.81</v>
      </c>
      <c r="I265" s="97">
        <f>venta_a_mes11[[#This Row],[IMPORTE NETO]]*0.21</f>
        <v>7211.9900999999991</v>
      </c>
      <c r="J265" s="61"/>
      <c r="K265" s="61"/>
      <c r="L265" s="61">
        <f>SUM(venta_a_mes11[[#This Row],[IMPORTE NETO]:[EXENTO]])</f>
        <v>41554.800099999993</v>
      </c>
      <c r="M265" s="55"/>
    </row>
    <row r="266" spans="2:13" x14ac:dyDescent="0.3">
      <c r="B266" s="105">
        <v>44846</v>
      </c>
      <c r="C266" s="106">
        <v>1</v>
      </c>
      <c r="D266" s="107">
        <v>10</v>
      </c>
      <c r="E266" s="108">
        <v>9450</v>
      </c>
      <c r="F266" s="251">
        <v>27940805258</v>
      </c>
      <c r="G266" s="95" t="str">
        <f>IFERROR(IF(venta_a_mes11[[#This Row],[CUIT]]="","-",VLOOKUP(venta_a_mes11[[#This Row],[CUIT]],Lista_CUIT[#All],2,0)),"CUIT NO CARGADO")</f>
        <v>CUIT NO CARGADO</v>
      </c>
      <c r="H266" s="96">
        <v>18454.55</v>
      </c>
      <c r="I266" s="97">
        <f>venta_a_mes11[[#This Row],[IMPORTE NETO]]*0.21</f>
        <v>3875.4554999999996</v>
      </c>
      <c r="J266" s="61"/>
      <c r="K266" s="61"/>
      <c r="L266" s="61">
        <f>SUM(venta_a_mes11[[#This Row],[IMPORTE NETO]:[EXENTO]])</f>
        <v>22330.005499999999</v>
      </c>
      <c r="M266" s="55"/>
    </row>
    <row r="267" spans="2:13" x14ac:dyDescent="0.3">
      <c r="B267" s="105">
        <v>44846</v>
      </c>
      <c r="C267" s="106">
        <v>1</v>
      </c>
      <c r="D267" s="107">
        <v>10</v>
      </c>
      <c r="E267" s="108">
        <v>9451</v>
      </c>
      <c r="F267" s="251">
        <v>30717390942</v>
      </c>
      <c r="G267" s="95" t="str">
        <f>IFERROR(IF(venta_a_mes11[[#This Row],[CUIT]]="","-",VLOOKUP(venta_a_mes11[[#This Row],[CUIT]],Lista_CUIT[#All],2,0)),"CUIT NO CARGADO")</f>
        <v>CYN BELLEZA CON ESTILO S.A.</v>
      </c>
      <c r="H267" s="96">
        <v>56033.06</v>
      </c>
      <c r="I267" s="97">
        <f>venta_a_mes11[[#This Row],[IMPORTE NETO]]*0.21</f>
        <v>11766.942599999998</v>
      </c>
      <c r="J267" s="61"/>
      <c r="K267" s="61"/>
      <c r="L267" s="61">
        <f>SUM(venta_a_mes11[[#This Row],[IMPORTE NETO]:[EXENTO]])</f>
        <v>67800.002599999993</v>
      </c>
      <c r="M267" s="55"/>
    </row>
    <row r="268" spans="2:13" x14ac:dyDescent="0.3">
      <c r="B268" s="105">
        <v>44847</v>
      </c>
      <c r="C268" s="106">
        <v>1</v>
      </c>
      <c r="D268" s="107">
        <v>10</v>
      </c>
      <c r="E268" s="108">
        <v>9452</v>
      </c>
      <c r="F268" s="251">
        <v>30709163503</v>
      </c>
      <c r="G268" s="95" t="str">
        <f>IFERROR(IF(venta_a_mes11[[#This Row],[CUIT]]="","-",VLOOKUP(venta_a_mes11[[#This Row],[CUIT]],Lista_CUIT[#All],2,0)),"CUIT NO CARGADO")</f>
        <v>CANADEZ S.R.L.</v>
      </c>
      <c r="H268" s="96">
        <v>92203.54</v>
      </c>
      <c r="I268" s="97">
        <f>venta_a_mes11[[#This Row],[IMPORTE NETO]]*0.21</f>
        <v>19362.743399999999</v>
      </c>
      <c r="J268" s="61"/>
      <c r="K268" s="61"/>
      <c r="L268" s="61">
        <f>SUM(venta_a_mes11[[#This Row],[IMPORTE NETO]:[EXENTO]])</f>
        <v>111566.28339999999</v>
      </c>
      <c r="M268" s="55"/>
    </row>
    <row r="269" spans="2:13" x14ac:dyDescent="0.3">
      <c r="B269" s="105">
        <v>44847</v>
      </c>
      <c r="C269" s="106">
        <v>1</v>
      </c>
      <c r="D269" s="107">
        <v>10</v>
      </c>
      <c r="E269" s="108">
        <v>9453</v>
      </c>
      <c r="F269" s="251">
        <v>27234905924</v>
      </c>
      <c r="G269" s="95" t="str">
        <f>IFERROR(IF(venta_a_mes11[[#This Row],[CUIT]]="","-",VLOOKUP(venta_a_mes11[[#This Row],[CUIT]],Lista_CUIT[#All],2,0)),"CUIT NO CARGADO")</f>
        <v>SANTORELLI CARLA</v>
      </c>
      <c r="H269" s="96">
        <v>85857.45</v>
      </c>
      <c r="I269" s="97">
        <f>venta_a_mes11[[#This Row],[IMPORTE NETO]]*0.21</f>
        <v>18030.0645</v>
      </c>
      <c r="J269" s="61"/>
      <c r="K269" s="61"/>
      <c r="L269" s="61">
        <f>SUM(venta_a_mes11[[#This Row],[IMPORTE NETO]:[EXENTO]])</f>
        <v>103887.51449999999</v>
      </c>
      <c r="M269" s="55"/>
    </row>
    <row r="270" spans="2:13" x14ac:dyDescent="0.3">
      <c r="B270" s="105">
        <v>44847</v>
      </c>
      <c r="C270" s="106">
        <v>1</v>
      </c>
      <c r="D270" s="107">
        <v>10</v>
      </c>
      <c r="E270" s="108">
        <v>9454</v>
      </c>
      <c r="F270" s="251">
        <v>30708994924</v>
      </c>
      <c r="G270" s="95" t="str">
        <f>IFERROR(IF(venta_a_mes11[[#This Row],[CUIT]]="","-",VLOOKUP(venta_a_mes11[[#This Row],[CUIT]],Lista_CUIT[#All],2,0)),"CUIT NO CARGADO")</f>
        <v>MILANO SA</v>
      </c>
      <c r="H270" s="96">
        <v>646456.07999999996</v>
      </c>
      <c r="I270" s="97">
        <f>venta_a_mes11[[#This Row],[IMPORTE NETO]]*0.21</f>
        <v>135755.77679999999</v>
      </c>
      <c r="J270" s="61"/>
      <c r="K270" s="61"/>
      <c r="L270" s="61">
        <f>SUM(venta_a_mes11[[#This Row],[IMPORTE NETO]:[EXENTO]])</f>
        <v>782211.85679999995</v>
      </c>
      <c r="M270" s="55"/>
    </row>
    <row r="271" spans="2:13" x14ac:dyDescent="0.3">
      <c r="B271" s="105">
        <v>44847</v>
      </c>
      <c r="C271" s="106">
        <v>1</v>
      </c>
      <c r="D271" s="107">
        <v>10</v>
      </c>
      <c r="E271" s="108">
        <v>9455</v>
      </c>
      <c r="F271" s="251">
        <v>27141689296</v>
      </c>
      <c r="G271" s="95" t="str">
        <f>IFERROR(IF(venta_a_mes11[[#This Row],[CUIT]]="","-",VLOOKUP(venta_a_mes11[[#This Row],[CUIT]],Lista_CUIT[#All],2,0)),"CUIT NO CARGADO")</f>
        <v>FLEYTAS MONICA LILIANA</v>
      </c>
      <c r="H271" s="96">
        <v>9256.2000000000007</v>
      </c>
      <c r="I271" s="97">
        <f>venta_a_mes11[[#This Row],[IMPORTE NETO]]*0.21</f>
        <v>1943.8020000000001</v>
      </c>
      <c r="J271" s="61"/>
      <c r="K271" s="61"/>
      <c r="L271" s="61">
        <f>SUM(venta_a_mes11[[#This Row],[IMPORTE NETO]:[EXENTO]])</f>
        <v>11200.002</v>
      </c>
      <c r="M271" s="55"/>
    </row>
    <row r="272" spans="2:13" x14ac:dyDescent="0.3">
      <c r="B272" s="105">
        <v>44847</v>
      </c>
      <c r="C272" s="106">
        <v>1</v>
      </c>
      <c r="D272" s="107">
        <v>10</v>
      </c>
      <c r="E272" s="108">
        <v>9456</v>
      </c>
      <c r="F272" s="251">
        <v>30717398196</v>
      </c>
      <c r="G272" s="95" t="str">
        <f>IFERROR(IF(venta_a_mes11[[#This Row],[CUIT]]="","-",VLOOKUP(venta_a_mes11[[#This Row],[CUIT]],Lista_CUIT[#All],2,0)),"CUIT NO CARGADO")</f>
        <v>QUANTUM KOSMETICA S.R.L.</v>
      </c>
      <c r="H272" s="96">
        <v>103173.55</v>
      </c>
      <c r="I272" s="97">
        <f>venta_a_mes11[[#This Row],[IMPORTE NETO]]*0.21</f>
        <v>21666.445499999998</v>
      </c>
      <c r="J272" s="61"/>
      <c r="K272" s="61"/>
      <c r="L272" s="61">
        <f>SUM(venta_a_mes11[[#This Row],[IMPORTE NETO]:[EXENTO]])</f>
        <v>124839.9955</v>
      </c>
      <c r="M272" s="55"/>
    </row>
    <row r="273" spans="2:13" x14ac:dyDescent="0.3">
      <c r="B273" s="105">
        <v>44847</v>
      </c>
      <c r="C273" s="106">
        <v>1</v>
      </c>
      <c r="D273" s="107">
        <v>10</v>
      </c>
      <c r="E273" s="108">
        <v>9457</v>
      </c>
      <c r="F273" s="251">
        <v>30717398196</v>
      </c>
      <c r="G273" s="95" t="str">
        <f>IFERROR(IF(venta_a_mes11[[#This Row],[CUIT]]="","-",VLOOKUP(venta_a_mes11[[#This Row],[CUIT]],Lista_CUIT[#All],2,0)),"CUIT NO CARGADO")</f>
        <v>QUANTUM KOSMETICA S.R.L.</v>
      </c>
      <c r="H273" s="96">
        <v>79866.45</v>
      </c>
      <c r="I273" s="97">
        <f>venta_a_mes11[[#This Row],[IMPORTE NETO]]*0.21</f>
        <v>16771.9545</v>
      </c>
      <c r="J273" s="61"/>
      <c r="K273" s="61"/>
      <c r="L273" s="61">
        <f>SUM(venta_a_mes11[[#This Row],[IMPORTE NETO]:[EXENTO]])</f>
        <v>96638.404500000004</v>
      </c>
      <c r="M273" s="55"/>
    </row>
    <row r="274" spans="2:13" x14ac:dyDescent="0.3">
      <c r="B274" s="105">
        <v>44847</v>
      </c>
      <c r="C274" s="106">
        <v>1</v>
      </c>
      <c r="D274" s="107">
        <v>10</v>
      </c>
      <c r="E274" s="108">
        <v>9458</v>
      </c>
      <c r="F274" s="251">
        <v>30717398196</v>
      </c>
      <c r="G274" s="95" t="str">
        <f>IFERROR(IF(venta_a_mes11[[#This Row],[CUIT]]="","-",VLOOKUP(venta_a_mes11[[#This Row],[CUIT]],Lista_CUIT[#All],2,0)),"CUIT NO CARGADO")</f>
        <v>QUANTUM KOSMETICA S.R.L.</v>
      </c>
      <c r="H274" s="96">
        <v>79973.929999999993</v>
      </c>
      <c r="I274" s="97">
        <f>venta_a_mes11[[#This Row],[IMPORTE NETO]]*0.21</f>
        <v>16794.525299999998</v>
      </c>
      <c r="J274" s="61"/>
      <c r="K274" s="61"/>
      <c r="L274" s="61">
        <f>SUM(venta_a_mes11[[#This Row],[IMPORTE NETO]:[EXENTO]])</f>
        <v>96768.455299999987</v>
      </c>
      <c r="M274" s="55"/>
    </row>
    <row r="275" spans="2:13" x14ac:dyDescent="0.3">
      <c r="B275" s="105">
        <v>44848</v>
      </c>
      <c r="C275" s="106">
        <v>1</v>
      </c>
      <c r="D275" s="107">
        <v>10</v>
      </c>
      <c r="E275" s="108">
        <v>9459</v>
      </c>
      <c r="F275" s="251">
        <v>23180421564</v>
      </c>
      <c r="G275" s="95" t="str">
        <f>IFERROR(IF(venta_a_mes11[[#This Row],[CUIT]]="","-",VLOOKUP(venta_a_mes11[[#This Row],[CUIT]],Lista_CUIT[#All],2,0)),"CUIT NO CARGADO")</f>
        <v>RAMOS CLAUDIA JAQUELINA</v>
      </c>
      <c r="H275" s="96">
        <v>85857.45</v>
      </c>
      <c r="I275" s="97">
        <f>venta_a_mes11[[#This Row],[IMPORTE NETO]]*0.21</f>
        <v>18030.0645</v>
      </c>
      <c r="J275" s="61"/>
      <c r="K275" s="61"/>
      <c r="L275" s="61">
        <f>SUM(venta_a_mes11[[#This Row],[IMPORTE NETO]:[EXENTO]])</f>
        <v>103887.51449999999</v>
      </c>
      <c r="M275" s="55"/>
    </row>
    <row r="276" spans="2:13" x14ac:dyDescent="0.3">
      <c r="B276" s="105">
        <v>44848</v>
      </c>
      <c r="C276" s="106">
        <v>1</v>
      </c>
      <c r="D276" s="107">
        <v>10</v>
      </c>
      <c r="E276" s="108">
        <v>9460</v>
      </c>
      <c r="F276" s="251">
        <v>30717072592</v>
      </c>
      <c r="G276" s="95" t="str">
        <f>IFERROR(IF(venta_a_mes11[[#This Row],[CUIT]]="","-",VLOOKUP(venta_a_mes11[[#This Row],[CUIT]],Lista_CUIT[#All],2,0)),"CUIT NO CARGADO")</f>
        <v>DERMOESTETIC SAS</v>
      </c>
      <c r="H276" s="96">
        <v>229351.25</v>
      </c>
      <c r="I276" s="97">
        <f>venta_a_mes11[[#This Row],[IMPORTE NETO]]*0.21</f>
        <v>48163.762499999997</v>
      </c>
      <c r="J276" s="61"/>
      <c r="K276" s="61"/>
      <c r="L276" s="61">
        <f>SUM(venta_a_mes11[[#This Row],[IMPORTE NETO]:[EXENTO]])</f>
        <v>277515.01250000001</v>
      </c>
      <c r="M276" s="55"/>
    </row>
    <row r="277" spans="2:13" x14ac:dyDescent="0.3">
      <c r="B277" s="105">
        <v>44849</v>
      </c>
      <c r="C277" s="106">
        <v>1</v>
      </c>
      <c r="D277" s="107">
        <v>10</v>
      </c>
      <c r="E277" s="108">
        <v>9461</v>
      </c>
      <c r="F277" s="251">
        <v>27266689875</v>
      </c>
      <c r="G277" s="95" t="str">
        <f>IFERROR(IF(venta_a_mes11[[#This Row],[CUIT]]="","-",VLOOKUP(venta_a_mes11[[#This Row],[CUIT]],Lista_CUIT[#All],2,0)),"CUIT NO CARGADO")</f>
        <v>KIKA COSMETICA</v>
      </c>
      <c r="H277" s="96">
        <v>56097.67</v>
      </c>
      <c r="I277" s="97">
        <f>venta_a_mes11[[#This Row],[IMPORTE NETO]]*0.21</f>
        <v>11780.510699999999</v>
      </c>
      <c r="J277" s="61"/>
      <c r="K277" s="61"/>
      <c r="L277" s="61">
        <f>SUM(venta_a_mes11[[#This Row],[IMPORTE NETO]:[EXENTO]])</f>
        <v>67878.180699999997</v>
      </c>
      <c r="M277" s="55"/>
    </row>
    <row r="278" spans="2:13" x14ac:dyDescent="0.3">
      <c r="B278" s="105">
        <v>44851</v>
      </c>
      <c r="C278" s="106">
        <v>1</v>
      </c>
      <c r="D278" s="107">
        <v>10</v>
      </c>
      <c r="E278" s="108">
        <v>9462</v>
      </c>
      <c r="F278" s="251">
        <v>30707950990</v>
      </c>
      <c r="G278" s="95" t="str">
        <f>IFERROR(IF(venta_a_mes11[[#This Row],[CUIT]]="","-",VLOOKUP(venta_a_mes11[[#This Row],[CUIT]],Lista_CUIT[#All],2,0)),"CUIT NO CARGADO")</f>
        <v>PHARMAPROJECTS SA</v>
      </c>
      <c r="H278" s="96">
        <v>4958.68</v>
      </c>
      <c r="I278" s="97">
        <f>venta_a_mes11[[#This Row],[IMPORTE NETO]]*0.21</f>
        <v>1041.3227999999999</v>
      </c>
      <c r="J278" s="61"/>
      <c r="K278" s="61"/>
      <c r="L278" s="61">
        <f>SUM(venta_a_mes11[[#This Row],[IMPORTE NETO]:[EXENTO]])</f>
        <v>6000.0028000000002</v>
      </c>
      <c r="M278" s="55"/>
    </row>
    <row r="279" spans="2:13" x14ac:dyDescent="0.3">
      <c r="B279" s="105">
        <v>44851</v>
      </c>
      <c r="C279" s="106">
        <v>1</v>
      </c>
      <c r="D279" s="107">
        <v>10</v>
      </c>
      <c r="E279" s="108">
        <v>9463</v>
      </c>
      <c r="F279" s="251">
        <v>30707950990</v>
      </c>
      <c r="G279" s="95" t="str">
        <f>IFERROR(IF(venta_a_mes11[[#This Row],[CUIT]]="","-",VLOOKUP(venta_a_mes11[[#This Row],[CUIT]],Lista_CUIT[#All],2,0)),"CUIT NO CARGADO")</f>
        <v>PHARMAPROJECTS SA</v>
      </c>
      <c r="H279" s="96">
        <v>2454.54</v>
      </c>
      <c r="I279" s="97">
        <f>venta_a_mes11[[#This Row],[IMPORTE NETO]]*0.21</f>
        <v>515.45339999999999</v>
      </c>
      <c r="J279" s="61"/>
      <c r="K279" s="61"/>
      <c r="L279" s="61">
        <f>SUM(venta_a_mes11[[#This Row],[IMPORTE NETO]:[EXENTO]])</f>
        <v>2969.9933999999998</v>
      </c>
      <c r="M279" s="55"/>
    </row>
    <row r="280" spans="2:13" x14ac:dyDescent="0.3">
      <c r="B280" s="105">
        <v>44852</v>
      </c>
      <c r="C280" s="106">
        <v>1</v>
      </c>
      <c r="D280" s="107">
        <v>10</v>
      </c>
      <c r="E280" s="108">
        <v>9464</v>
      </c>
      <c r="F280" s="251">
        <v>27259892509</v>
      </c>
      <c r="G280" s="95" t="str">
        <f>IFERROR(IF(venta_a_mes11[[#This Row],[CUIT]]="","-",VLOOKUP(venta_a_mes11[[#This Row],[CUIT]],Lista_CUIT[#All],2,0)),"CUIT NO CARGADO")</f>
        <v>CUIT NO CARGADO</v>
      </c>
      <c r="H280" s="96">
        <v>7803.31</v>
      </c>
      <c r="I280" s="97">
        <f>venta_a_mes11[[#This Row],[IMPORTE NETO]]*0.21</f>
        <v>1638.6950999999999</v>
      </c>
      <c r="J280" s="61"/>
      <c r="K280" s="61"/>
      <c r="L280" s="61">
        <f>SUM(venta_a_mes11[[#This Row],[IMPORTE NETO]:[EXENTO]])</f>
        <v>9442.0051000000003</v>
      </c>
      <c r="M280" s="55"/>
    </row>
    <row r="281" spans="2:13" x14ac:dyDescent="0.3">
      <c r="B281" s="105">
        <v>44852</v>
      </c>
      <c r="C281" s="106">
        <v>1</v>
      </c>
      <c r="D281" s="107">
        <v>10</v>
      </c>
      <c r="E281" s="108">
        <v>9465</v>
      </c>
      <c r="F281" s="251">
        <v>20218363807</v>
      </c>
      <c r="G281" s="95" t="str">
        <f>IFERROR(IF(venta_a_mes11[[#This Row],[CUIT]]="","-",VLOOKUP(venta_a_mes11[[#This Row],[CUIT]],Lista_CUIT[#All],2,0)),"CUIT NO CARGADO")</f>
        <v>BEIGBEDER LUIS PABLO</v>
      </c>
      <c r="H281" s="96">
        <v>2677.69</v>
      </c>
      <c r="I281" s="97">
        <f>venta_a_mes11[[#This Row],[IMPORTE NETO]]*0.21</f>
        <v>562.31489999999997</v>
      </c>
      <c r="J281" s="61"/>
      <c r="K281" s="61"/>
      <c r="L281" s="61">
        <f>SUM(venta_a_mes11[[#This Row],[IMPORTE NETO]:[EXENTO]])</f>
        <v>3240.0048999999999</v>
      </c>
      <c r="M281" s="55"/>
    </row>
    <row r="282" spans="2:13" x14ac:dyDescent="0.3">
      <c r="B282" s="105">
        <v>44852</v>
      </c>
      <c r="C282" s="106">
        <v>1</v>
      </c>
      <c r="D282" s="107">
        <v>10</v>
      </c>
      <c r="E282" s="108">
        <v>9466</v>
      </c>
      <c r="F282" s="251">
        <v>27181966330</v>
      </c>
      <c r="G282" s="95" t="str">
        <f>IFERROR(IF(venta_a_mes11[[#This Row],[CUIT]]="","-",VLOOKUP(venta_a_mes11[[#This Row],[CUIT]],Lista_CUIT[#All],2,0)),"CUIT NO CARGADO")</f>
        <v>CUIT NO CARGADO</v>
      </c>
      <c r="H282" s="96">
        <v>35796.22</v>
      </c>
      <c r="I282" s="97">
        <f>venta_a_mes11[[#This Row],[IMPORTE NETO]]*0.21</f>
        <v>7517.2061999999996</v>
      </c>
      <c r="J282" s="61"/>
      <c r="K282" s="61"/>
      <c r="L282" s="61">
        <f>SUM(venta_a_mes11[[#This Row],[IMPORTE NETO]:[EXENTO]])</f>
        <v>43313.426200000002</v>
      </c>
      <c r="M282" s="55"/>
    </row>
    <row r="283" spans="2:13" x14ac:dyDescent="0.3">
      <c r="B283" s="105">
        <v>44852</v>
      </c>
      <c r="C283" s="106">
        <v>1</v>
      </c>
      <c r="D283" s="107">
        <v>10</v>
      </c>
      <c r="E283" s="108">
        <v>9467</v>
      </c>
      <c r="F283" s="251">
        <v>27181966330</v>
      </c>
      <c r="G283" s="95" t="str">
        <f>IFERROR(IF(venta_a_mes11[[#This Row],[CUIT]]="","-",VLOOKUP(venta_a_mes11[[#This Row],[CUIT]],Lista_CUIT[#All],2,0)),"CUIT NO CARGADO")</f>
        <v>CUIT NO CARGADO</v>
      </c>
      <c r="H283" s="96">
        <v>10335.94</v>
      </c>
      <c r="I283" s="97">
        <f>venta_a_mes11[[#This Row],[IMPORTE NETO]]*0.21</f>
        <v>2170.5473999999999</v>
      </c>
      <c r="J283" s="61"/>
      <c r="K283" s="61"/>
      <c r="L283" s="61">
        <f>SUM(venta_a_mes11[[#This Row],[IMPORTE NETO]:[EXENTO]])</f>
        <v>12506.4874</v>
      </c>
      <c r="M283" s="55"/>
    </row>
    <row r="284" spans="2:13" x14ac:dyDescent="0.3">
      <c r="B284" s="105">
        <v>44852</v>
      </c>
      <c r="C284" s="106">
        <v>1</v>
      </c>
      <c r="D284" s="107">
        <v>10</v>
      </c>
      <c r="E284" s="108">
        <v>9468</v>
      </c>
      <c r="F284" s="251">
        <v>27181966330</v>
      </c>
      <c r="G284" s="95" t="str">
        <f>IFERROR(IF(venta_a_mes11[[#This Row],[CUIT]]="","-",VLOOKUP(venta_a_mes11[[#This Row],[CUIT]],Lista_CUIT[#All],2,0)),"CUIT NO CARGADO")</f>
        <v>CUIT NO CARGADO</v>
      </c>
      <c r="H284" s="96">
        <v>2600.83</v>
      </c>
      <c r="I284" s="97">
        <f>venta_a_mes11[[#This Row],[IMPORTE NETO]]*0.21</f>
        <v>546.17430000000002</v>
      </c>
      <c r="J284" s="61"/>
      <c r="K284" s="61"/>
      <c r="L284" s="61">
        <f>SUM(venta_a_mes11[[#This Row],[IMPORTE NETO]:[EXENTO]])</f>
        <v>3147.0043000000001</v>
      </c>
      <c r="M284" s="55"/>
    </row>
    <row r="285" spans="2:13" x14ac:dyDescent="0.3">
      <c r="B285" s="105">
        <v>44852</v>
      </c>
      <c r="C285" s="106">
        <v>1</v>
      </c>
      <c r="D285" s="107">
        <v>10</v>
      </c>
      <c r="E285" s="108">
        <v>9469</v>
      </c>
      <c r="F285" s="251">
        <v>27181966330</v>
      </c>
      <c r="G285" s="95" t="str">
        <f>IFERROR(IF(venta_a_mes11[[#This Row],[CUIT]]="","-",VLOOKUP(venta_a_mes11[[#This Row],[CUIT]],Lista_CUIT[#All],2,0)),"CUIT NO CARGADO")</f>
        <v>CUIT NO CARGADO</v>
      </c>
      <c r="H285" s="96">
        <v>57238.3</v>
      </c>
      <c r="I285" s="97">
        <f>venta_a_mes11[[#This Row],[IMPORTE NETO]]*0.21</f>
        <v>12020.043</v>
      </c>
      <c r="J285" s="61"/>
      <c r="K285" s="61"/>
      <c r="L285" s="61">
        <f>SUM(venta_a_mes11[[#This Row],[IMPORTE NETO]:[EXENTO]])</f>
        <v>69258.343000000008</v>
      </c>
      <c r="M285" s="55"/>
    </row>
    <row r="286" spans="2:13" x14ac:dyDescent="0.3">
      <c r="B286" s="105">
        <v>44852</v>
      </c>
      <c r="C286" s="106">
        <v>1</v>
      </c>
      <c r="D286" s="107">
        <v>10</v>
      </c>
      <c r="E286" s="108">
        <v>9470</v>
      </c>
      <c r="F286" s="251">
        <v>30647302803</v>
      </c>
      <c r="G286" s="95" t="str">
        <f>IFERROR(IF(venta_a_mes11[[#This Row],[CUIT]]="","-",VLOOKUP(venta_a_mes11[[#This Row],[CUIT]],Lista_CUIT[#All],2,0)),"CUIT NO CARGADO")</f>
        <v>PERFUCOR SOCIEDAD DE RESPONSABILIDAD    LIMITADA</v>
      </c>
      <c r="H286" s="96">
        <v>72422.78</v>
      </c>
      <c r="I286" s="97">
        <f>venta_a_mes11[[#This Row],[IMPORTE NETO]]*0.21</f>
        <v>15208.783799999999</v>
      </c>
      <c r="J286" s="61"/>
      <c r="K286" s="61"/>
      <c r="L286" s="61">
        <f>SUM(venta_a_mes11[[#This Row],[IMPORTE NETO]:[EXENTO]])</f>
        <v>87631.563800000004</v>
      </c>
      <c r="M286" s="55"/>
    </row>
    <row r="287" spans="2:13" x14ac:dyDescent="0.3">
      <c r="B287" s="105">
        <v>44853</v>
      </c>
      <c r="C287" s="106">
        <v>1</v>
      </c>
      <c r="D287" s="107">
        <v>10</v>
      </c>
      <c r="E287" s="108">
        <v>9471</v>
      </c>
      <c r="F287" s="251">
        <v>20268911066</v>
      </c>
      <c r="G287" s="95" t="str">
        <f>IFERROR(IF(venta_a_mes11[[#This Row],[CUIT]]="","-",VLOOKUP(venta_a_mes11[[#This Row],[CUIT]],Lista_CUIT[#All],2,0)),"CUIT NO CARGADO")</f>
        <v>CUIT NO CARGADO</v>
      </c>
      <c r="H287" s="96">
        <v>17981.16</v>
      </c>
      <c r="I287" s="97">
        <f>venta_a_mes11[[#This Row],[IMPORTE NETO]]*0.21</f>
        <v>3776.0436</v>
      </c>
      <c r="J287" s="61"/>
      <c r="K287" s="61"/>
      <c r="L287" s="61">
        <f>SUM(venta_a_mes11[[#This Row],[IMPORTE NETO]:[EXENTO]])</f>
        <v>21757.203600000001</v>
      </c>
      <c r="M287" s="55"/>
    </row>
    <row r="288" spans="2:13" x14ac:dyDescent="0.3">
      <c r="B288" s="105">
        <v>44853</v>
      </c>
      <c r="C288" s="106">
        <v>1</v>
      </c>
      <c r="D288" s="107">
        <v>10</v>
      </c>
      <c r="E288" s="108">
        <v>9472</v>
      </c>
      <c r="F288" s="251">
        <v>20284774958</v>
      </c>
      <c r="G288" s="95" t="str">
        <f>IFERROR(IF(venta_a_mes11[[#This Row],[CUIT]]="","-",VLOOKUP(venta_a_mes11[[#This Row],[CUIT]],Lista_CUIT[#All],2,0)),"CUIT NO CARGADO")</f>
        <v>CUIT NO CARGADO</v>
      </c>
      <c r="H288" s="96">
        <v>17528.93</v>
      </c>
      <c r="I288" s="97">
        <f>venta_a_mes11[[#This Row],[IMPORTE NETO]]*0.21</f>
        <v>3681.0753</v>
      </c>
      <c r="J288" s="61"/>
      <c r="K288" s="61"/>
      <c r="L288" s="61">
        <f>SUM(venta_a_mes11[[#This Row],[IMPORTE NETO]:[EXENTO]])</f>
        <v>21210.005300000001</v>
      </c>
      <c r="M288" s="55"/>
    </row>
    <row r="289" spans="2:13" x14ac:dyDescent="0.3">
      <c r="B289" s="105">
        <v>44854</v>
      </c>
      <c r="C289" s="106">
        <v>1</v>
      </c>
      <c r="D289" s="107">
        <v>10</v>
      </c>
      <c r="E289" s="108">
        <v>9473</v>
      </c>
      <c r="F289" s="251">
        <v>30715629336</v>
      </c>
      <c r="G289" s="95" t="str">
        <f>IFERROR(IF(venta_a_mes11[[#This Row],[CUIT]]="","-",VLOOKUP(venta_a_mes11[[#This Row],[CUIT]],Lista_CUIT[#All],2,0)),"CUIT NO CARGADO")</f>
        <v>IRSA - GALERIAS PACIFICO S.A. UT</v>
      </c>
      <c r="H289" s="96">
        <v>20826.45</v>
      </c>
      <c r="I289" s="97">
        <f>venta_a_mes11[[#This Row],[IMPORTE NETO]]*0.21</f>
        <v>4373.5545000000002</v>
      </c>
      <c r="J289" s="61"/>
      <c r="K289" s="61"/>
      <c r="L289" s="61">
        <f>SUM(venta_a_mes11[[#This Row],[IMPORTE NETO]:[EXENTO]])</f>
        <v>25200.004500000003</v>
      </c>
      <c r="M289" s="55"/>
    </row>
    <row r="290" spans="2:13" x14ac:dyDescent="0.3">
      <c r="B290" s="105">
        <v>44854</v>
      </c>
      <c r="C290" s="106">
        <v>1</v>
      </c>
      <c r="D290" s="107">
        <v>10</v>
      </c>
      <c r="E290" s="108">
        <v>9474</v>
      </c>
      <c r="F290" s="251">
        <v>30715629336</v>
      </c>
      <c r="G290" s="95" t="str">
        <f>IFERROR(IF(venta_a_mes11[[#This Row],[CUIT]]="","-",VLOOKUP(venta_a_mes11[[#This Row],[CUIT]],Lista_CUIT[#All],2,0)),"CUIT NO CARGADO")</f>
        <v>IRSA - GALERIAS PACIFICO S.A. UT</v>
      </c>
      <c r="H290" s="96">
        <v>149256.20000000001</v>
      </c>
      <c r="I290" s="97">
        <f>venta_a_mes11[[#This Row],[IMPORTE NETO]]*0.21</f>
        <v>31343.802</v>
      </c>
      <c r="J290" s="61"/>
      <c r="K290" s="61"/>
      <c r="L290" s="61">
        <f>SUM(venta_a_mes11[[#This Row],[IMPORTE NETO]:[EXENTO]])</f>
        <v>180600.00200000001</v>
      </c>
      <c r="M290" s="55"/>
    </row>
    <row r="291" spans="2:13" x14ac:dyDescent="0.3">
      <c r="B291" s="105">
        <v>44854</v>
      </c>
      <c r="C291" s="106">
        <v>1</v>
      </c>
      <c r="D291" s="107">
        <v>10</v>
      </c>
      <c r="E291" s="108">
        <v>9475</v>
      </c>
      <c r="F291" s="251">
        <v>30711428514</v>
      </c>
      <c r="G291" s="95" t="str">
        <f>IFERROR(IF(venta_a_mes11[[#This Row],[CUIT]]="","-",VLOOKUP(venta_a_mes11[[#This Row],[CUIT]],Lista_CUIT[#All],2,0)),"CUIT NO CARGADO")</f>
        <v>JABONES Y FRAGANCIAS S.A</v>
      </c>
      <c r="H291" s="96">
        <v>7025.95</v>
      </c>
      <c r="I291" s="97">
        <f>venta_a_mes11[[#This Row],[IMPORTE NETO]]*0.21</f>
        <v>1475.4494999999999</v>
      </c>
      <c r="J291" s="61"/>
      <c r="K291" s="61"/>
      <c r="L291" s="61">
        <f>SUM(venta_a_mes11[[#This Row],[IMPORTE NETO]:[EXENTO]])</f>
        <v>8501.3994999999995</v>
      </c>
      <c r="M291" s="55"/>
    </row>
    <row r="292" spans="2:13" x14ac:dyDescent="0.3">
      <c r="B292" s="105">
        <v>44854</v>
      </c>
      <c r="C292" s="106">
        <v>1</v>
      </c>
      <c r="D292" s="107">
        <v>10</v>
      </c>
      <c r="E292" s="108">
        <v>9476</v>
      </c>
      <c r="F292" s="251">
        <v>30709163503</v>
      </c>
      <c r="G292" s="95" t="str">
        <f>IFERROR(IF(venta_a_mes11[[#This Row],[CUIT]]="","-",VLOOKUP(venta_a_mes11[[#This Row],[CUIT]],Lista_CUIT[#All],2,0)),"CUIT NO CARGADO")</f>
        <v>CANADEZ S.R.L.</v>
      </c>
      <c r="H292" s="96">
        <v>54544.46</v>
      </c>
      <c r="I292" s="97">
        <f>venta_a_mes11[[#This Row],[IMPORTE NETO]]*0.21</f>
        <v>11454.336599999999</v>
      </c>
      <c r="J292" s="61"/>
      <c r="K292" s="61"/>
      <c r="L292" s="61">
        <f>SUM(venta_a_mes11[[#This Row],[IMPORTE NETO]:[EXENTO]])</f>
        <v>65998.796600000001</v>
      </c>
      <c r="M292" s="55"/>
    </row>
    <row r="293" spans="2:13" x14ac:dyDescent="0.3">
      <c r="B293" s="105">
        <v>44855</v>
      </c>
      <c r="C293" s="106">
        <v>1</v>
      </c>
      <c r="D293" s="107">
        <v>10</v>
      </c>
      <c r="E293" s="108">
        <v>9477</v>
      </c>
      <c r="F293" s="251">
        <v>27327364567</v>
      </c>
      <c r="G293" s="95" t="str">
        <f>IFERROR(IF(venta_a_mes11[[#This Row],[CUIT]]="","-",VLOOKUP(venta_a_mes11[[#This Row],[CUIT]],Lista_CUIT[#All],2,0)),"CUIT NO CARGADO")</f>
        <v>CENTURION, Maria</v>
      </c>
      <c r="H293" s="96">
        <v>29633.06</v>
      </c>
      <c r="I293" s="97">
        <f>venta_a_mes11[[#This Row],[IMPORTE NETO]]*0.21</f>
        <v>6222.9426000000003</v>
      </c>
      <c r="J293" s="61"/>
      <c r="K293" s="61"/>
      <c r="L293" s="61">
        <f>SUM(venta_a_mes11[[#This Row],[IMPORTE NETO]:[EXENTO]])</f>
        <v>35856.0026</v>
      </c>
      <c r="M293" s="55"/>
    </row>
    <row r="294" spans="2:13" x14ac:dyDescent="0.3">
      <c r="B294" s="105">
        <v>44858</v>
      </c>
      <c r="C294" s="106">
        <v>1</v>
      </c>
      <c r="D294" s="107">
        <v>10</v>
      </c>
      <c r="E294" s="108">
        <v>9478</v>
      </c>
      <c r="F294" s="251">
        <v>30717398196</v>
      </c>
      <c r="G294" s="95" t="str">
        <f>IFERROR(IF(venta_a_mes11[[#This Row],[CUIT]]="","-",VLOOKUP(venta_a_mes11[[#This Row],[CUIT]],Lista_CUIT[#All],2,0)),"CUIT NO CARGADO")</f>
        <v>QUANTUM KOSMETICA S.R.L.</v>
      </c>
      <c r="H294" s="96">
        <v>208995.04</v>
      </c>
      <c r="I294" s="97">
        <f>venta_a_mes11[[#This Row],[IMPORTE NETO]]*0.21</f>
        <v>43888.958400000003</v>
      </c>
      <c r="J294" s="61"/>
      <c r="K294" s="61"/>
      <c r="L294" s="61">
        <f>SUM(venta_a_mes11[[#This Row],[IMPORTE NETO]:[EXENTO]])</f>
        <v>252883.99840000001</v>
      </c>
      <c r="M294" s="55"/>
    </row>
    <row r="295" spans="2:13" x14ac:dyDescent="0.3">
      <c r="B295" s="105">
        <v>44858</v>
      </c>
      <c r="C295" s="106">
        <v>1</v>
      </c>
      <c r="D295" s="107">
        <v>10</v>
      </c>
      <c r="E295" s="108">
        <v>9479</v>
      </c>
      <c r="F295" s="251">
        <v>30717398196</v>
      </c>
      <c r="G295" s="95" t="str">
        <f>IFERROR(IF(venta_a_mes11[[#This Row],[CUIT]]="","-",VLOOKUP(venta_a_mes11[[#This Row],[CUIT]],Lista_CUIT[#All],2,0)),"CUIT NO CARGADO")</f>
        <v>QUANTUM KOSMETICA S.R.L.</v>
      </c>
      <c r="H295" s="96">
        <v>40483.97</v>
      </c>
      <c r="I295" s="97">
        <f>venta_a_mes11[[#This Row],[IMPORTE NETO]]*0.21</f>
        <v>8501.6337000000003</v>
      </c>
      <c r="J295" s="61"/>
      <c r="K295" s="61"/>
      <c r="L295" s="61">
        <f>SUM(venta_a_mes11[[#This Row],[IMPORTE NETO]:[EXENTO]])</f>
        <v>48985.6037</v>
      </c>
      <c r="M295" s="55"/>
    </row>
    <row r="296" spans="2:13" x14ac:dyDescent="0.3">
      <c r="B296" s="105">
        <v>44858</v>
      </c>
      <c r="C296" s="106">
        <v>1</v>
      </c>
      <c r="D296" s="107">
        <v>10</v>
      </c>
      <c r="E296" s="108">
        <v>9480</v>
      </c>
      <c r="F296" s="251">
        <v>23269528214</v>
      </c>
      <c r="G296" s="95" t="str">
        <f>IFERROR(IF(venta_a_mes11[[#This Row],[CUIT]]="","-",VLOOKUP(venta_a_mes11[[#This Row],[CUIT]],Lista_CUIT[#All],2,0)),"CUIT NO CARGADO")</f>
        <v>VANINA ANABELLA ECHENIQUE</v>
      </c>
      <c r="H296" s="96">
        <v>84854.5</v>
      </c>
      <c r="I296" s="97">
        <f>venta_a_mes11[[#This Row],[IMPORTE NETO]]*0.21</f>
        <v>17819.445</v>
      </c>
      <c r="J296" s="61"/>
      <c r="K296" s="61"/>
      <c r="L296" s="61">
        <f>SUM(venta_a_mes11[[#This Row],[IMPORTE NETO]:[EXENTO]])</f>
        <v>102673.94500000001</v>
      </c>
      <c r="M296" s="55"/>
    </row>
    <row r="297" spans="2:13" x14ac:dyDescent="0.3">
      <c r="B297" s="105">
        <v>44858</v>
      </c>
      <c r="C297" s="106">
        <v>1</v>
      </c>
      <c r="D297" s="107">
        <v>10</v>
      </c>
      <c r="E297" s="108">
        <v>9481</v>
      </c>
      <c r="F297" s="251">
        <v>23269528214</v>
      </c>
      <c r="G297" s="95" t="str">
        <f>IFERROR(IF(venta_a_mes11[[#This Row],[CUIT]]="","-",VLOOKUP(venta_a_mes11[[#This Row],[CUIT]],Lista_CUIT[#All],2,0)),"CUIT NO CARGADO")</f>
        <v>VANINA ANABELLA ECHENIQUE</v>
      </c>
      <c r="H297" s="96">
        <v>27945.62</v>
      </c>
      <c r="I297" s="97">
        <f>venta_a_mes11[[#This Row],[IMPORTE NETO]]*0.21</f>
        <v>5868.5801999999994</v>
      </c>
      <c r="J297" s="61"/>
      <c r="K297" s="61"/>
      <c r="L297" s="61">
        <f>SUM(venta_a_mes11[[#This Row],[IMPORTE NETO]:[EXENTO]])</f>
        <v>33814.200199999999</v>
      </c>
      <c r="M297" s="55"/>
    </row>
    <row r="298" spans="2:13" x14ac:dyDescent="0.3">
      <c r="B298" s="105">
        <v>44858</v>
      </c>
      <c r="C298" s="106">
        <v>1</v>
      </c>
      <c r="D298" s="107">
        <v>10</v>
      </c>
      <c r="E298" s="108">
        <v>9482</v>
      </c>
      <c r="F298" s="251">
        <v>30711604703</v>
      </c>
      <c r="G298" s="95" t="str">
        <f>IFERROR(IF(venta_a_mes11[[#This Row],[CUIT]]="","-",VLOOKUP(venta_a_mes11[[#This Row],[CUIT]],Lista_CUIT[#All],2,0)),"CUIT NO CARGADO")</f>
        <v>KORE S.A.</v>
      </c>
      <c r="H298" s="96">
        <v>359034.55</v>
      </c>
      <c r="I298" s="97">
        <f>venta_a_mes11[[#This Row],[IMPORTE NETO]]*0.21</f>
        <v>75397.255499999999</v>
      </c>
      <c r="J298" s="61"/>
      <c r="K298" s="61"/>
      <c r="L298" s="61">
        <f>SUM(venta_a_mes11[[#This Row],[IMPORTE NETO]:[EXENTO]])</f>
        <v>434431.80550000002</v>
      </c>
      <c r="M298" s="55"/>
    </row>
    <row r="299" spans="2:13" x14ac:dyDescent="0.3">
      <c r="B299" s="105">
        <v>44858</v>
      </c>
      <c r="C299" s="106">
        <v>1</v>
      </c>
      <c r="D299" s="107">
        <v>10</v>
      </c>
      <c r="E299" s="108">
        <v>9483</v>
      </c>
      <c r="F299" s="251">
        <v>30715119443</v>
      </c>
      <c r="G299" s="95" t="str">
        <f>IFERROR(IF(venta_a_mes11[[#This Row],[CUIT]]="","-",VLOOKUP(venta_a_mes11[[#This Row],[CUIT]],Lista_CUIT[#All],2,0)),"CUIT NO CARGADO")</f>
        <v>MORALLI ISABEL,MORALLI RENEE, CHIESA LUIS HERNAN Y INGE SOMMER</v>
      </c>
      <c r="H299" s="96">
        <v>105772.21</v>
      </c>
      <c r="I299" s="97">
        <f>venta_a_mes11[[#This Row],[IMPORTE NETO]]*0.21</f>
        <v>22212.164100000002</v>
      </c>
      <c r="J299" s="61"/>
      <c r="K299" s="61"/>
      <c r="L299" s="61">
        <f>SUM(venta_a_mes11[[#This Row],[IMPORTE NETO]:[EXENTO]])</f>
        <v>127984.37410000002</v>
      </c>
      <c r="M299" s="55"/>
    </row>
    <row r="300" spans="2:13" x14ac:dyDescent="0.3">
      <c r="B300" s="105">
        <v>44858</v>
      </c>
      <c r="C300" s="106">
        <v>1</v>
      </c>
      <c r="D300" s="107">
        <v>10</v>
      </c>
      <c r="E300" s="108">
        <v>9484</v>
      </c>
      <c r="F300" s="251">
        <v>30711604703</v>
      </c>
      <c r="G300" s="95" t="str">
        <f>IFERROR(IF(venta_a_mes11[[#This Row],[CUIT]]="","-",VLOOKUP(venta_a_mes11[[#This Row],[CUIT]],Lista_CUIT[#All],2,0)),"CUIT NO CARGADO")</f>
        <v>KORE S.A.</v>
      </c>
      <c r="H300" s="96">
        <v>143873.06</v>
      </c>
      <c r="I300" s="97">
        <f>venta_a_mes11[[#This Row],[IMPORTE NETO]]*0.21</f>
        <v>30213.3426</v>
      </c>
      <c r="J300" s="61"/>
      <c r="K300" s="61"/>
      <c r="L300" s="61">
        <f>SUM(venta_a_mes11[[#This Row],[IMPORTE NETO]:[EXENTO]])</f>
        <v>174086.4026</v>
      </c>
      <c r="M300" s="55"/>
    </row>
    <row r="301" spans="2:13" x14ac:dyDescent="0.3">
      <c r="B301" s="105">
        <v>44858</v>
      </c>
      <c r="C301" s="106">
        <v>1</v>
      </c>
      <c r="D301" s="107">
        <v>10</v>
      </c>
      <c r="E301" s="108">
        <v>9485</v>
      </c>
      <c r="F301" s="251">
        <v>30711428514</v>
      </c>
      <c r="G301" s="95" t="str">
        <f>IFERROR(IF(venta_a_mes11[[#This Row],[CUIT]]="","-",VLOOKUP(venta_a_mes11[[#This Row],[CUIT]],Lista_CUIT[#All],2,0)),"CUIT NO CARGADO")</f>
        <v>JABONES Y FRAGANCIAS S.A</v>
      </c>
      <c r="H301" s="96">
        <v>4459.09</v>
      </c>
      <c r="I301" s="97">
        <f>venta_a_mes11[[#This Row],[IMPORTE NETO]]*0.21</f>
        <v>936.40890000000002</v>
      </c>
      <c r="J301" s="61"/>
      <c r="K301" s="61"/>
      <c r="L301" s="61">
        <f>SUM(venta_a_mes11[[#This Row],[IMPORTE NETO]:[EXENTO]])</f>
        <v>5395.4989000000005</v>
      </c>
      <c r="M301" s="55"/>
    </row>
    <row r="302" spans="2:13" x14ac:dyDescent="0.3">
      <c r="B302" s="105">
        <v>44859</v>
      </c>
      <c r="C302" s="106">
        <v>1</v>
      </c>
      <c r="D302" s="107">
        <v>10</v>
      </c>
      <c r="E302" s="108">
        <v>9486</v>
      </c>
      <c r="F302" s="251">
        <v>30538688793</v>
      </c>
      <c r="G302" s="95" t="str">
        <f>IFERROR(IF(venta_a_mes11[[#This Row],[CUIT]]="","-",VLOOKUP(venta_a_mes11[[#This Row],[CUIT]],Lista_CUIT[#All],2,0)),"CUIT NO CARGADO")</f>
        <v>ASOCIACION DE EMPLEADOS FISCALES E INGRESOS PUBLICOS (A.E.F.I.P.)</v>
      </c>
      <c r="H302" s="96">
        <v>7144.22</v>
      </c>
      <c r="I302" s="97">
        <f>venta_a_mes11[[#This Row],[IMPORTE NETO]]*0.21</f>
        <v>1500.2862</v>
      </c>
      <c r="J302" s="61"/>
      <c r="K302" s="61"/>
      <c r="L302" s="61">
        <f>SUM(venta_a_mes11[[#This Row],[IMPORTE NETO]:[EXENTO]])</f>
        <v>8644.5061999999998</v>
      </c>
      <c r="M302" s="55"/>
    </row>
    <row r="303" spans="2:13" x14ac:dyDescent="0.3">
      <c r="B303" s="105">
        <v>44859</v>
      </c>
      <c r="C303" s="106">
        <v>1</v>
      </c>
      <c r="D303" s="107">
        <v>10</v>
      </c>
      <c r="E303" s="108">
        <v>9487</v>
      </c>
      <c r="F303" s="251">
        <v>30527225988</v>
      </c>
      <c r="G303" s="95" t="str">
        <f>IFERROR(IF(venta_a_mes11[[#This Row],[CUIT]]="","-",VLOOKUP(venta_a_mes11[[#This Row],[CUIT]],Lista_CUIT[#All],2,0)),"CUIT NO CARGADO")</f>
        <v>ALVEAR PALACE HOTEL SA I</v>
      </c>
      <c r="H303" s="96">
        <v>88276.02</v>
      </c>
      <c r="I303" s="97">
        <v>9268.98</v>
      </c>
      <c r="J303" s="61"/>
      <c r="K303" s="61"/>
      <c r="L303" s="61">
        <f>SUM(venta_a_mes11[[#This Row],[IMPORTE NETO]:[EXENTO]])</f>
        <v>97545</v>
      </c>
      <c r="M303" s="55"/>
    </row>
    <row r="304" spans="2:13" x14ac:dyDescent="0.3">
      <c r="B304" s="105">
        <v>44859</v>
      </c>
      <c r="C304" s="106">
        <v>1</v>
      </c>
      <c r="D304" s="107">
        <v>10</v>
      </c>
      <c r="E304" s="108">
        <v>9488</v>
      </c>
      <c r="F304" s="251">
        <v>27061737230</v>
      </c>
      <c r="G304" s="95" t="str">
        <f>IFERROR(IF(venta_a_mes11[[#This Row],[CUIT]]="","-",VLOOKUP(venta_a_mes11[[#This Row],[CUIT]],Lista_CUIT[#All],2,0)),"CUIT NO CARGADO")</f>
        <v>LO DUCA STELLA MARIS RAMONA</v>
      </c>
      <c r="H304" s="96">
        <v>90653.55</v>
      </c>
      <c r="I304" s="97">
        <f>venta_a_mes11[[#This Row],[IMPORTE NETO]]*0.21</f>
        <v>19037.245500000001</v>
      </c>
      <c r="J304" s="61"/>
      <c r="K304" s="61"/>
      <c r="L304" s="61">
        <f>SUM(venta_a_mes11[[#This Row],[IMPORTE NETO]:[EXENTO]])</f>
        <v>109690.79550000001</v>
      </c>
      <c r="M304" s="55"/>
    </row>
    <row r="305" spans="2:13" x14ac:dyDescent="0.3">
      <c r="B305" s="105">
        <v>44861</v>
      </c>
      <c r="C305" s="106">
        <v>1</v>
      </c>
      <c r="D305" s="107">
        <v>10</v>
      </c>
      <c r="E305" s="108">
        <v>9489</v>
      </c>
      <c r="F305" s="251">
        <v>27234905924</v>
      </c>
      <c r="G305" s="95" t="str">
        <f>IFERROR(IF(venta_a_mes11[[#This Row],[CUIT]]="","-",VLOOKUP(venta_a_mes11[[#This Row],[CUIT]],Lista_CUIT[#All],2,0)),"CUIT NO CARGADO")</f>
        <v>SANTORELLI CARLA</v>
      </c>
      <c r="H305" s="96">
        <v>5586.78</v>
      </c>
      <c r="I305" s="97">
        <f>venta_a_mes11[[#This Row],[IMPORTE NETO]]*0.21</f>
        <v>1173.2238</v>
      </c>
      <c r="J305" s="61"/>
      <c r="K305" s="61"/>
      <c r="L305" s="61">
        <f>SUM(venta_a_mes11[[#This Row],[IMPORTE NETO]:[EXENTO]])</f>
        <v>6760.0037999999995</v>
      </c>
      <c r="M305" s="55"/>
    </row>
    <row r="306" spans="2:13" x14ac:dyDescent="0.3">
      <c r="B306" s="105">
        <v>44861</v>
      </c>
      <c r="C306" s="106">
        <v>1</v>
      </c>
      <c r="D306" s="107">
        <v>10</v>
      </c>
      <c r="E306" s="108">
        <v>9490</v>
      </c>
      <c r="F306" s="251">
        <v>27234905924</v>
      </c>
      <c r="G306" s="95" t="str">
        <f>IFERROR(IF(venta_a_mes11[[#This Row],[CUIT]]="","-",VLOOKUP(venta_a_mes11[[#This Row],[CUIT]],Lista_CUIT[#All],2,0)),"CUIT NO CARGADO")</f>
        <v>SANTORELLI CARLA</v>
      </c>
      <c r="H306" s="96">
        <v>29600.83</v>
      </c>
      <c r="I306" s="97">
        <f>venta_a_mes11[[#This Row],[IMPORTE NETO]]*0.21</f>
        <v>6216.1743000000006</v>
      </c>
      <c r="J306" s="61"/>
      <c r="K306" s="61"/>
      <c r="L306" s="61">
        <f>SUM(venta_a_mes11[[#This Row],[IMPORTE NETO]:[EXENTO]])</f>
        <v>35817.004300000001</v>
      </c>
      <c r="M306" s="55"/>
    </row>
    <row r="307" spans="2:13" x14ac:dyDescent="0.3">
      <c r="B307" s="105">
        <v>44861</v>
      </c>
      <c r="C307" s="106">
        <v>1</v>
      </c>
      <c r="D307" s="107">
        <v>10</v>
      </c>
      <c r="E307" s="108">
        <v>9491</v>
      </c>
      <c r="F307" s="251">
        <v>30712104550</v>
      </c>
      <c r="G307" s="95" t="str">
        <f>IFERROR(IF(venta_a_mes11[[#This Row],[CUIT]]="","-",VLOOKUP(venta_a_mes11[[#This Row],[CUIT]],Lista_CUIT[#All],2,0)),"CUIT NO CARGADO")</f>
        <v>EUROCOSMETICA S.A.</v>
      </c>
      <c r="H307" s="96">
        <v>141639.76</v>
      </c>
      <c r="I307" s="97">
        <f>venta_a_mes11[[#This Row],[IMPORTE NETO]]*0.21</f>
        <v>29744.349600000001</v>
      </c>
      <c r="J307" s="61"/>
      <c r="K307" s="61"/>
      <c r="L307" s="61">
        <f>SUM(venta_a_mes11[[#This Row],[IMPORTE NETO]:[EXENTO]])</f>
        <v>171384.10960000003</v>
      </c>
      <c r="M307" s="55"/>
    </row>
    <row r="308" spans="2:13" x14ac:dyDescent="0.3">
      <c r="B308" s="105">
        <v>44861</v>
      </c>
      <c r="C308" s="106">
        <v>1</v>
      </c>
      <c r="D308" s="107">
        <v>10</v>
      </c>
      <c r="E308" s="108">
        <v>9492</v>
      </c>
      <c r="F308" s="251">
        <v>30712104550</v>
      </c>
      <c r="G308" s="95" t="str">
        <f>IFERROR(IF(venta_a_mes11[[#This Row],[CUIT]]="","-",VLOOKUP(venta_a_mes11[[#This Row],[CUIT]],Lista_CUIT[#All],2,0)),"CUIT NO CARGADO")</f>
        <v>EUROCOSMETICA S.A.</v>
      </c>
      <c r="H308" s="96">
        <v>106147.44</v>
      </c>
      <c r="I308" s="97">
        <f>venta_a_mes11[[#This Row],[IMPORTE NETO]]*0.21</f>
        <v>22290.9624</v>
      </c>
      <c r="J308" s="61"/>
      <c r="K308" s="61"/>
      <c r="L308" s="61">
        <f>SUM(venta_a_mes11[[#This Row],[IMPORTE NETO]:[EXENTO]])</f>
        <v>128438.40240000001</v>
      </c>
      <c r="M308" s="55"/>
    </row>
    <row r="309" spans="2:13" x14ac:dyDescent="0.3">
      <c r="B309" s="105">
        <v>44861</v>
      </c>
      <c r="C309" s="106">
        <v>1</v>
      </c>
      <c r="D309" s="107">
        <v>10</v>
      </c>
      <c r="E309" s="108">
        <v>9493</v>
      </c>
      <c r="F309" s="251">
        <v>30712104550</v>
      </c>
      <c r="G309" s="95" t="str">
        <f>IFERROR(IF(venta_a_mes11[[#This Row],[CUIT]]="","-",VLOOKUP(venta_a_mes11[[#This Row],[CUIT]],Lista_CUIT[#All],2,0)),"CUIT NO CARGADO")</f>
        <v>EUROCOSMETICA S.A.</v>
      </c>
      <c r="H309" s="96">
        <v>51948.3</v>
      </c>
      <c r="I309" s="97">
        <f>venta_a_mes11[[#This Row],[IMPORTE NETO]]*0.21</f>
        <v>10909.143</v>
      </c>
      <c r="J309" s="61"/>
      <c r="K309" s="61"/>
      <c r="L309" s="61">
        <f>SUM(venta_a_mes11[[#This Row],[IMPORTE NETO]:[EXENTO]])</f>
        <v>62857.442999999999</v>
      </c>
      <c r="M309" s="55"/>
    </row>
    <row r="310" spans="2:13" x14ac:dyDescent="0.3">
      <c r="B310" s="105">
        <v>44861</v>
      </c>
      <c r="C310" s="106">
        <v>1</v>
      </c>
      <c r="D310" s="107">
        <v>10</v>
      </c>
      <c r="E310" s="108">
        <v>9494</v>
      </c>
      <c r="F310" s="251">
        <v>30712104550</v>
      </c>
      <c r="G310" s="95" t="str">
        <f>IFERROR(IF(venta_a_mes11[[#This Row],[CUIT]]="","-",VLOOKUP(venta_a_mes11[[#This Row],[CUIT]],Lista_CUIT[#All],2,0)),"CUIT NO CARGADO")</f>
        <v>EUROCOSMETICA S.A.</v>
      </c>
      <c r="H310" s="96">
        <v>72840.06</v>
      </c>
      <c r="I310" s="97">
        <f>venta_a_mes11[[#This Row],[IMPORTE NETO]]*0.21</f>
        <v>15296.4126</v>
      </c>
      <c r="J310" s="61"/>
      <c r="K310" s="61"/>
      <c r="L310" s="61">
        <f>SUM(venta_a_mes11[[#This Row],[IMPORTE NETO]:[EXENTO]])</f>
        <v>88136.472599999994</v>
      </c>
      <c r="M310" s="55"/>
    </row>
    <row r="311" spans="2:13" x14ac:dyDescent="0.3">
      <c r="B311" s="105">
        <v>44861</v>
      </c>
      <c r="C311" s="106">
        <v>1</v>
      </c>
      <c r="D311" s="107">
        <v>10</v>
      </c>
      <c r="E311" s="108">
        <v>9495</v>
      </c>
      <c r="F311" s="251">
        <v>30712104550</v>
      </c>
      <c r="G311" s="95" t="str">
        <f>IFERROR(IF(venta_a_mes11[[#This Row],[CUIT]]="","-",VLOOKUP(venta_a_mes11[[#This Row],[CUIT]],Lista_CUIT[#All],2,0)),"CUIT NO CARGADO")</f>
        <v>EUROCOSMETICA S.A.</v>
      </c>
      <c r="H311" s="96">
        <v>68316.100000000006</v>
      </c>
      <c r="I311" s="97">
        <f>venta_a_mes11[[#This Row],[IMPORTE NETO]]*0.21</f>
        <v>14346.381000000001</v>
      </c>
      <c r="J311" s="61"/>
      <c r="K311" s="61"/>
      <c r="L311" s="61">
        <f>SUM(venta_a_mes11[[#This Row],[IMPORTE NETO]:[EXENTO]])</f>
        <v>82662.481</v>
      </c>
      <c r="M311" s="55"/>
    </row>
    <row r="312" spans="2:13" x14ac:dyDescent="0.3">
      <c r="B312" s="105">
        <v>44861</v>
      </c>
      <c r="C312" s="106">
        <v>1</v>
      </c>
      <c r="D312" s="107">
        <v>10</v>
      </c>
      <c r="E312" s="108">
        <v>9496</v>
      </c>
      <c r="F312" s="251">
        <v>27256969802</v>
      </c>
      <c r="G312" s="95" t="str">
        <f>IFERROR(IF(venta_a_mes11[[#This Row],[CUIT]]="","-",VLOOKUP(venta_a_mes11[[#This Row],[CUIT]],Lista_CUIT[#All],2,0)),"CUIT NO CARGADO")</f>
        <v>Alvarez Luisa Silvana</v>
      </c>
      <c r="H312" s="96">
        <v>70866.080000000002</v>
      </c>
      <c r="I312" s="97">
        <f>venta_a_mes11[[#This Row],[IMPORTE NETO]]*0.21</f>
        <v>14881.8768</v>
      </c>
      <c r="J312" s="61"/>
      <c r="K312" s="61"/>
      <c r="L312" s="61">
        <f>SUM(venta_a_mes11[[#This Row],[IMPORTE NETO]:[EXENTO]])</f>
        <v>85747.9568</v>
      </c>
      <c r="M312" s="55"/>
    </row>
    <row r="313" spans="2:13" x14ac:dyDescent="0.3">
      <c r="B313" s="105">
        <v>44861</v>
      </c>
      <c r="C313" s="106">
        <v>1</v>
      </c>
      <c r="D313" s="107">
        <v>10</v>
      </c>
      <c r="E313" s="108">
        <v>9497</v>
      </c>
      <c r="F313" s="251">
        <v>33716348569</v>
      </c>
      <c r="G313" s="95" t="str">
        <f>IFERROR(IF(venta_a_mes11[[#This Row],[CUIT]]="","-",VLOOKUP(venta_a_mes11[[#This Row],[CUIT]],Lista_CUIT[#All],2,0)),"CUIT NO CARGADO")</f>
        <v>BAIRES COMPANY</v>
      </c>
      <c r="H313" s="96">
        <v>12805.79</v>
      </c>
      <c r="I313" s="97">
        <f>venta_a_mes11[[#This Row],[IMPORTE NETO]]*0.21</f>
        <v>2689.2159000000001</v>
      </c>
      <c r="J313" s="61"/>
      <c r="K313" s="61"/>
      <c r="L313" s="61">
        <f>SUM(venta_a_mes11[[#This Row],[IMPORTE NETO]:[EXENTO]])</f>
        <v>15495.0059</v>
      </c>
      <c r="M313" s="55"/>
    </row>
    <row r="314" spans="2:13" x14ac:dyDescent="0.3">
      <c r="B314" s="105">
        <v>44861</v>
      </c>
      <c r="C314" s="106">
        <v>1</v>
      </c>
      <c r="D314" s="107">
        <v>10</v>
      </c>
      <c r="E314" s="108">
        <v>9498</v>
      </c>
      <c r="F314" s="251">
        <v>33716348569</v>
      </c>
      <c r="G314" s="95" t="str">
        <f>IFERROR(IF(venta_a_mes11[[#This Row],[CUIT]]="","-",VLOOKUP(venta_a_mes11[[#This Row],[CUIT]],Lista_CUIT[#All],2,0)),"CUIT NO CARGADO")</f>
        <v>BAIRES COMPANY</v>
      </c>
      <c r="H314" s="96">
        <v>24809.919999999998</v>
      </c>
      <c r="I314" s="97">
        <f>venta_a_mes11[[#This Row],[IMPORTE NETO]]*0.21</f>
        <v>5210.0831999999991</v>
      </c>
      <c r="J314" s="61"/>
      <c r="K314" s="61"/>
      <c r="L314" s="61">
        <f>SUM(venta_a_mes11[[#This Row],[IMPORTE NETO]:[EXENTO]])</f>
        <v>30020.003199999999</v>
      </c>
      <c r="M314" s="55"/>
    </row>
    <row r="315" spans="2:13" x14ac:dyDescent="0.3">
      <c r="B315" s="105">
        <v>44862</v>
      </c>
      <c r="C315" s="106">
        <v>1</v>
      </c>
      <c r="D315" s="107">
        <v>10</v>
      </c>
      <c r="E315" s="108">
        <v>9499</v>
      </c>
      <c r="F315" s="251">
        <v>27256969802</v>
      </c>
      <c r="G315" s="95" t="str">
        <f>IFERROR(IF(venta_a_mes11[[#This Row],[CUIT]]="","-",VLOOKUP(venta_a_mes11[[#This Row],[CUIT]],Lista_CUIT[#All],2,0)),"CUIT NO CARGADO")</f>
        <v>Alvarez Luisa Silvana</v>
      </c>
      <c r="H315" s="96">
        <v>67157.039999999994</v>
      </c>
      <c r="I315" s="97">
        <f>venta_a_mes11[[#This Row],[IMPORTE NETO]]*0.21</f>
        <v>14102.978399999998</v>
      </c>
      <c r="J315" s="61"/>
      <c r="K315" s="61"/>
      <c r="L315" s="61">
        <f>SUM(venta_a_mes11[[#This Row],[IMPORTE NETO]:[EXENTO]])</f>
        <v>81260.018399999986</v>
      </c>
      <c r="M315" s="55"/>
    </row>
    <row r="316" spans="2:13" x14ac:dyDescent="0.3">
      <c r="B316" s="105">
        <v>44862</v>
      </c>
      <c r="C316" s="106">
        <v>1</v>
      </c>
      <c r="D316" s="107">
        <v>10</v>
      </c>
      <c r="E316" s="108">
        <v>9500</v>
      </c>
      <c r="F316" s="251">
        <v>27256969802</v>
      </c>
      <c r="G316" s="95" t="str">
        <f>IFERROR(IF(venta_a_mes11[[#This Row],[CUIT]]="","-",VLOOKUP(venta_a_mes11[[#This Row],[CUIT]],Lista_CUIT[#All],2,0)),"CUIT NO CARGADO")</f>
        <v>Alvarez Luisa Silvana</v>
      </c>
      <c r="H316" s="96">
        <v>7327.89</v>
      </c>
      <c r="I316" s="97">
        <f>venta_a_mes11[[#This Row],[IMPORTE NETO]]*0.21</f>
        <v>1538.8569</v>
      </c>
      <c r="J316" s="61"/>
      <c r="K316" s="61"/>
      <c r="L316" s="61">
        <f>SUM(venta_a_mes11[[#This Row],[IMPORTE NETO]:[EXENTO]])</f>
        <v>8866.7469000000001</v>
      </c>
      <c r="M316" s="55"/>
    </row>
    <row r="317" spans="2:13" x14ac:dyDescent="0.3">
      <c r="B317" s="105">
        <v>44862</v>
      </c>
      <c r="C317" s="106">
        <v>1</v>
      </c>
      <c r="D317" s="107">
        <v>10</v>
      </c>
      <c r="E317" s="108">
        <v>9501</v>
      </c>
      <c r="F317" s="251">
        <v>27242128252</v>
      </c>
      <c r="G317" s="95" t="str">
        <f>IFERROR(IF(venta_a_mes11[[#This Row],[CUIT]]="","-",VLOOKUP(venta_a_mes11[[#This Row],[CUIT]],Lista_CUIT[#All],2,0)),"CUIT NO CARGADO")</f>
        <v>ZALEWSKI MONICA ROXANA</v>
      </c>
      <c r="H317" s="96">
        <v>72285.62</v>
      </c>
      <c r="I317" s="97">
        <f>venta_a_mes11[[#This Row],[IMPORTE NETO]]*0.21</f>
        <v>15179.980199999998</v>
      </c>
      <c r="J317" s="61"/>
      <c r="K317" s="61"/>
      <c r="L317" s="61">
        <f>SUM(venta_a_mes11[[#This Row],[IMPORTE NETO]:[EXENTO]])</f>
        <v>87465.600199999986</v>
      </c>
      <c r="M317" s="55"/>
    </row>
    <row r="318" spans="2:13" x14ac:dyDescent="0.3">
      <c r="B318" s="105">
        <v>44862</v>
      </c>
      <c r="C318" s="106">
        <v>1</v>
      </c>
      <c r="D318" s="107">
        <v>10</v>
      </c>
      <c r="E318" s="108">
        <v>9502</v>
      </c>
      <c r="F318" s="251">
        <v>27242128252</v>
      </c>
      <c r="G318" s="95" t="str">
        <f>IFERROR(IF(venta_a_mes11[[#This Row],[CUIT]]="","-",VLOOKUP(venta_a_mes11[[#This Row],[CUIT]],Lista_CUIT[#All],2,0)),"CUIT NO CARGADO")</f>
        <v>ZALEWSKI MONICA ROXANA</v>
      </c>
      <c r="H318" s="96">
        <v>90764.7</v>
      </c>
      <c r="I318" s="97">
        <f>venta_a_mes11[[#This Row],[IMPORTE NETO]]*0.21</f>
        <v>19060.587</v>
      </c>
      <c r="J318" s="61"/>
      <c r="K318" s="61"/>
      <c r="L318" s="61">
        <f>SUM(venta_a_mes11[[#This Row],[IMPORTE NETO]:[EXENTO]])</f>
        <v>109825.287</v>
      </c>
      <c r="M318" s="55"/>
    </row>
    <row r="319" spans="2:13" x14ac:dyDescent="0.3">
      <c r="B319" s="105">
        <v>44862</v>
      </c>
      <c r="C319" s="106">
        <v>1</v>
      </c>
      <c r="D319" s="107">
        <v>10</v>
      </c>
      <c r="E319" s="108">
        <v>9503</v>
      </c>
      <c r="F319" s="251">
        <v>27242128252</v>
      </c>
      <c r="G319" s="95" t="str">
        <f>IFERROR(IF(venta_a_mes11[[#This Row],[CUIT]]="","-",VLOOKUP(venta_a_mes11[[#This Row],[CUIT]],Lista_CUIT[#All],2,0)),"CUIT NO CARGADO")</f>
        <v>ZALEWSKI MONICA ROXANA</v>
      </c>
      <c r="H319" s="96">
        <v>96839.27</v>
      </c>
      <c r="I319" s="97">
        <f>venta_a_mes11[[#This Row],[IMPORTE NETO]]*0.21</f>
        <v>20336.2467</v>
      </c>
      <c r="J319" s="61"/>
      <c r="K319" s="61"/>
      <c r="L319" s="61">
        <f>SUM(venta_a_mes11[[#This Row],[IMPORTE NETO]:[EXENTO]])</f>
        <v>117175.51670000001</v>
      </c>
      <c r="M319" s="55"/>
    </row>
    <row r="320" spans="2:13" x14ac:dyDescent="0.3">
      <c r="B320" s="105">
        <v>44862</v>
      </c>
      <c r="C320" s="106">
        <v>1</v>
      </c>
      <c r="D320" s="107">
        <v>10</v>
      </c>
      <c r="E320" s="108">
        <v>9504</v>
      </c>
      <c r="F320" s="251">
        <v>27242128252</v>
      </c>
      <c r="G320" s="95" t="str">
        <f>IFERROR(IF(venta_a_mes11[[#This Row],[CUIT]]="","-",VLOOKUP(venta_a_mes11[[#This Row],[CUIT]],Lista_CUIT[#All],2,0)),"CUIT NO CARGADO")</f>
        <v>ZALEWSKI MONICA ROXANA</v>
      </c>
      <c r="H320" s="96">
        <v>2808.6</v>
      </c>
      <c r="I320" s="97">
        <f>venta_a_mes11[[#This Row],[IMPORTE NETO]]*0.21</f>
        <v>589.80599999999993</v>
      </c>
      <c r="J320" s="61"/>
      <c r="K320" s="61"/>
      <c r="L320" s="61">
        <f>SUM(venta_a_mes11[[#This Row],[IMPORTE NETO]:[EXENTO]])</f>
        <v>3398.4059999999999</v>
      </c>
      <c r="M320" s="55"/>
    </row>
    <row r="321" spans="2:13" x14ac:dyDescent="0.3">
      <c r="B321" s="105">
        <v>44862</v>
      </c>
      <c r="C321" s="106">
        <v>1</v>
      </c>
      <c r="D321" s="107">
        <v>10</v>
      </c>
      <c r="E321" s="108">
        <v>9505</v>
      </c>
      <c r="F321" s="251">
        <v>27242128252</v>
      </c>
      <c r="G321" s="95" t="str">
        <f>IFERROR(IF(venta_a_mes11[[#This Row],[CUIT]]="","-",VLOOKUP(venta_a_mes11[[#This Row],[CUIT]],Lista_CUIT[#All],2,0)),"CUIT NO CARGADO")</f>
        <v>ZALEWSKI MONICA ROXANA</v>
      </c>
      <c r="H321" s="96">
        <v>31302.33</v>
      </c>
      <c r="I321" s="97">
        <f>venta_a_mes11[[#This Row],[IMPORTE NETO]]*0.21</f>
        <v>6573.4893000000002</v>
      </c>
      <c r="J321" s="61"/>
      <c r="K321" s="61"/>
      <c r="L321" s="61">
        <f>SUM(venta_a_mes11[[#This Row],[IMPORTE NETO]:[EXENTO]])</f>
        <v>37875.819300000003</v>
      </c>
      <c r="M321" s="55"/>
    </row>
    <row r="322" spans="2:13" x14ac:dyDescent="0.3">
      <c r="B322" s="105">
        <v>44862</v>
      </c>
      <c r="C322" s="106">
        <v>1</v>
      </c>
      <c r="D322" s="107">
        <v>10</v>
      </c>
      <c r="E322" s="108">
        <v>9506</v>
      </c>
      <c r="F322" s="251">
        <v>27242128252</v>
      </c>
      <c r="G322" s="95" t="str">
        <f>IFERROR(IF(venta_a_mes11[[#This Row],[CUIT]]="","-",VLOOKUP(venta_a_mes11[[#This Row],[CUIT]],Lista_CUIT[#All],2,0)),"CUIT NO CARGADO")</f>
        <v>ZALEWSKI MONICA ROXANA</v>
      </c>
      <c r="H322" s="96">
        <v>25299.17</v>
      </c>
      <c r="I322" s="97">
        <f>venta_a_mes11[[#This Row],[IMPORTE NETO]]*0.21</f>
        <v>5312.8256999999994</v>
      </c>
      <c r="J322" s="61"/>
      <c r="K322" s="61"/>
      <c r="L322" s="61">
        <f>SUM(venta_a_mes11[[#This Row],[IMPORTE NETO]:[EXENTO]])</f>
        <v>30611.995699999999</v>
      </c>
      <c r="M322" s="55"/>
    </row>
    <row r="323" spans="2:13" x14ac:dyDescent="0.3">
      <c r="B323" s="105">
        <v>44862</v>
      </c>
      <c r="C323" s="106">
        <v>1</v>
      </c>
      <c r="D323" s="107">
        <v>10</v>
      </c>
      <c r="E323" s="108">
        <v>9507</v>
      </c>
      <c r="F323" s="251">
        <v>27277172874</v>
      </c>
      <c r="G323" s="95" t="str">
        <f>IFERROR(IF(venta_a_mes11[[#This Row],[CUIT]]="","-",VLOOKUP(venta_a_mes11[[#This Row],[CUIT]],Lista_CUIT[#All],2,0)),"CUIT NO CARGADO")</f>
        <v>MARIN MARIA SOL</v>
      </c>
      <c r="H323" s="96">
        <v>28731.57</v>
      </c>
      <c r="I323" s="97">
        <f>venta_a_mes11[[#This Row],[IMPORTE NETO]]*0.21</f>
        <v>6033.6296999999995</v>
      </c>
      <c r="J323" s="61"/>
      <c r="K323" s="61"/>
      <c r="L323" s="61">
        <f>SUM(venta_a_mes11[[#This Row],[IMPORTE NETO]:[EXENTO]])</f>
        <v>34765.199699999997</v>
      </c>
      <c r="M323" s="55"/>
    </row>
    <row r="324" spans="2:13" x14ac:dyDescent="0.3">
      <c r="B324" s="105">
        <v>44862</v>
      </c>
      <c r="C324" s="106">
        <v>1</v>
      </c>
      <c r="D324" s="107">
        <v>10</v>
      </c>
      <c r="E324" s="108">
        <v>9508</v>
      </c>
      <c r="F324" s="251">
        <v>27277172874</v>
      </c>
      <c r="G324" s="95" t="str">
        <f>IFERROR(IF(venta_a_mes11[[#This Row],[CUIT]]="","-",VLOOKUP(venta_a_mes11[[#This Row],[CUIT]],Lista_CUIT[#All],2,0)),"CUIT NO CARGADO")</f>
        <v>MARIN MARIA SOL</v>
      </c>
      <c r="H324" s="96">
        <v>10995.04</v>
      </c>
      <c r="I324" s="97">
        <f>venta_a_mes11[[#This Row],[IMPORTE NETO]]*0.21</f>
        <v>2308.9584</v>
      </c>
      <c r="J324" s="61"/>
      <c r="K324" s="61"/>
      <c r="L324" s="61">
        <f>SUM(venta_a_mes11[[#This Row],[IMPORTE NETO]:[EXENTO]])</f>
        <v>13303.9984</v>
      </c>
      <c r="M324" s="55"/>
    </row>
    <row r="325" spans="2:13" x14ac:dyDescent="0.3">
      <c r="B325" s="105">
        <v>44862</v>
      </c>
      <c r="C325" s="106">
        <v>1</v>
      </c>
      <c r="D325" s="107">
        <v>10</v>
      </c>
      <c r="E325" s="108">
        <v>9509</v>
      </c>
      <c r="F325" s="251">
        <v>20223632719</v>
      </c>
      <c r="G325" s="95" t="str">
        <f>IFERROR(IF(venta_a_mes11[[#This Row],[CUIT]]="","-",VLOOKUP(venta_a_mes11[[#This Row],[CUIT]],Lista_CUIT[#All],2,0)),"CUIT NO CARGADO")</f>
        <v>ROMAN GABINO</v>
      </c>
      <c r="H325" s="96">
        <v>6603.31</v>
      </c>
      <c r="I325" s="97">
        <f>venta_a_mes11[[#This Row],[IMPORTE NETO]]*0.21</f>
        <v>1386.6951000000001</v>
      </c>
      <c r="J325" s="61"/>
      <c r="K325" s="61"/>
      <c r="L325" s="61">
        <f>SUM(venta_a_mes11[[#This Row],[IMPORTE NETO]:[EXENTO]])</f>
        <v>7990.0051000000003</v>
      </c>
      <c r="M325" s="55"/>
    </row>
    <row r="326" spans="2:13" x14ac:dyDescent="0.3">
      <c r="B326" s="105">
        <v>44862</v>
      </c>
      <c r="C326" s="106">
        <v>1</v>
      </c>
      <c r="D326" s="107">
        <v>10</v>
      </c>
      <c r="E326" s="108">
        <v>9510</v>
      </c>
      <c r="F326" s="251">
        <v>30711604703</v>
      </c>
      <c r="G326" s="95" t="str">
        <f>IFERROR(IF(venta_a_mes11[[#This Row],[CUIT]]="","-",VLOOKUP(venta_a_mes11[[#This Row],[CUIT]],Lista_CUIT[#All],2,0)),"CUIT NO CARGADO")</f>
        <v>KORE S.A.</v>
      </c>
      <c r="H326" s="96">
        <v>207465.22</v>
      </c>
      <c r="I326" s="97">
        <f>venta_a_mes11[[#This Row],[IMPORTE NETO]]*0.21</f>
        <v>43567.696199999998</v>
      </c>
      <c r="J326" s="61"/>
      <c r="K326" s="61"/>
      <c r="L326" s="61">
        <f>SUM(venta_a_mes11[[#This Row],[IMPORTE NETO]:[EXENTO]])</f>
        <v>251032.91620000001</v>
      </c>
      <c r="M326" s="55"/>
    </row>
    <row r="327" spans="2:13" x14ac:dyDescent="0.3">
      <c r="B327" s="105">
        <v>44862</v>
      </c>
      <c r="C327" s="106">
        <v>1</v>
      </c>
      <c r="D327" s="107">
        <v>10</v>
      </c>
      <c r="E327" s="108">
        <v>9511</v>
      </c>
      <c r="F327" s="251">
        <v>30711604703</v>
      </c>
      <c r="G327" s="95" t="str">
        <f>IFERROR(IF(venta_a_mes11[[#This Row],[CUIT]]="","-",VLOOKUP(venta_a_mes11[[#This Row],[CUIT]],Lista_CUIT[#All],2,0)),"CUIT NO CARGADO")</f>
        <v>KORE S.A.</v>
      </c>
      <c r="H327" s="96">
        <v>53591.4</v>
      </c>
      <c r="I327" s="97">
        <f>venta_a_mes11[[#This Row],[IMPORTE NETO]]*0.21</f>
        <v>11254.194</v>
      </c>
      <c r="J327" s="61"/>
      <c r="K327" s="61"/>
      <c r="L327" s="61">
        <f>SUM(venta_a_mes11[[#This Row],[IMPORTE NETO]:[EXENTO]])</f>
        <v>64845.593999999997</v>
      </c>
      <c r="M327" s="55"/>
    </row>
    <row r="328" spans="2:13" x14ac:dyDescent="0.3">
      <c r="B328" s="105">
        <v>44862</v>
      </c>
      <c r="C328" s="106">
        <v>1</v>
      </c>
      <c r="D328" s="107">
        <v>10</v>
      </c>
      <c r="E328" s="108">
        <v>9512</v>
      </c>
      <c r="F328" s="251">
        <v>30716421151</v>
      </c>
      <c r="G328" s="95" t="str">
        <f>IFERROR(IF(venta_a_mes11[[#This Row],[CUIT]]="","-",VLOOKUP(venta_a_mes11[[#This Row],[CUIT]],Lista_CUIT[#All],2,0)),"CUIT NO CARGADO")</f>
        <v>ILONA AYOUB S.A.S. </v>
      </c>
      <c r="H328" s="96">
        <v>12750</v>
      </c>
      <c r="I328" s="97">
        <f>venta_a_mes11[[#This Row],[IMPORTE NETO]]*0.21</f>
        <v>2677.5</v>
      </c>
      <c r="J328" s="61"/>
      <c r="K328" s="61"/>
      <c r="L328" s="61">
        <f>SUM(venta_a_mes11[[#This Row],[IMPORTE NETO]:[EXENTO]])</f>
        <v>15427.5</v>
      </c>
      <c r="M328" s="55"/>
    </row>
    <row r="329" spans="2:13" x14ac:dyDescent="0.3">
      <c r="B329" s="105">
        <v>44863</v>
      </c>
      <c r="C329" s="106">
        <v>1</v>
      </c>
      <c r="D329" s="107">
        <v>10</v>
      </c>
      <c r="E329" s="108">
        <v>9513</v>
      </c>
      <c r="F329" s="251">
        <v>30711604703</v>
      </c>
      <c r="G329" s="95" t="str">
        <f>IFERROR(IF(venta_a_mes11[[#This Row],[CUIT]]="","-",VLOOKUP(venta_a_mes11[[#This Row],[CUIT]],Lista_CUIT[#All],2,0)),"CUIT NO CARGADO")</f>
        <v>KORE S.A.</v>
      </c>
      <c r="H329" s="96">
        <v>22492.560000000001</v>
      </c>
      <c r="I329" s="97">
        <f>venta_a_mes11[[#This Row],[IMPORTE NETO]]*0.21</f>
        <v>4723.4376000000002</v>
      </c>
      <c r="J329" s="61"/>
      <c r="K329" s="61"/>
      <c r="L329" s="61">
        <f>SUM(venta_a_mes11[[#This Row],[IMPORTE NETO]:[EXENTO]])</f>
        <v>27215.997600000002</v>
      </c>
      <c r="M329" s="55"/>
    </row>
    <row r="330" spans="2:13" x14ac:dyDescent="0.3">
      <c r="B330" s="105">
        <v>44863</v>
      </c>
      <c r="C330" s="106">
        <v>1</v>
      </c>
      <c r="D330" s="107">
        <v>10</v>
      </c>
      <c r="E330" s="108">
        <v>9514</v>
      </c>
      <c r="F330" s="251">
        <v>27277172874</v>
      </c>
      <c r="G330" s="95" t="str">
        <f>IFERROR(IF(venta_a_mes11[[#This Row],[CUIT]]="","-",VLOOKUP(venta_a_mes11[[#This Row],[CUIT]],Lista_CUIT[#All],2,0)),"CUIT NO CARGADO")</f>
        <v>MARIN MARIA SOL</v>
      </c>
      <c r="H330" s="96">
        <v>6747.77</v>
      </c>
      <c r="I330" s="97">
        <f>venta_a_mes11[[#This Row],[IMPORTE NETO]]*0.21</f>
        <v>1417.0317</v>
      </c>
      <c r="J330" s="61"/>
      <c r="K330" s="61"/>
      <c r="L330" s="61">
        <f>SUM(venta_a_mes11[[#This Row],[IMPORTE NETO]:[EXENTO]])</f>
        <v>8164.8017</v>
      </c>
      <c r="M330" s="55"/>
    </row>
    <row r="331" spans="2:13" x14ac:dyDescent="0.3">
      <c r="B331" s="105">
        <v>44863</v>
      </c>
      <c r="C331" s="106">
        <v>1</v>
      </c>
      <c r="D331" s="107">
        <v>10</v>
      </c>
      <c r="E331" s="108">
        <v>9515</v>
      </c>
      <c r="F331" s="251">
        <v>30715119443</v>
      </c>
      <c r="G331" s="95" t="str">
        <f>IFERROR(IF(venta_a_mes11[[#This Row],[CUIT]]="","-",VLOOKUP(venta_a_mes11[[#This Row],[CUIT]],Lista_CUIT[#All],2,0)),"CUIT NO CARGADO")</f>
        <v>MORALLI ISABEL,MORALLI RENEE, CHIESA LUIS HERNAN Y INGE SOMMER</v>
      </c>
      <c r="H331" s="96">
        <v>14738.02</v>
      </c>
      <c r="I331" s="97">
        <f>venta_a_mes11[[#This Row],[IMPORTE NETO]]*0.21</f>
        <v>3094.9841999999999</v>
      </c>
      <c r="J331" s="61"/>
      <c r="K331" s="61"/>
      <c r="L331" s="61">
        <f>SUM(venta_a_mes11[[#This Row],[IMPORTE NETO]:[EXENTO]])</f>
        <v>17833.004199999999</v>
      </c>
      <c r="M331" s="55"/>
    </row>
    <row r="332" spans="2:13" x14ac:dyDescent="0.3">
      <c r="B332" s="105">
        <v>44863</v>
      </c>
      <c r="C332" s="106">
        <v>1</v>
      </c>
      <c r="D332" s="107">
        <v>10</v>
      </c>
      <c r="E332" s="108">
        <v>9516</v>
      </c>
      <c r="F332" s="251">
        <v>30717398196</v>
      </c>
      <c r="G332" s="95" t="str">
        <f>IFERROR(IF(venta_a_mes11[[#This Row],[CUIT]]="","-",VLOOKUP(venta_a_mes11[[#This Row],[CUIT]],Lista_CUIT[#All],2,0)),"CUIT NO CARGADO")</f>
        <v>QUANTUM KOSMETICA S.R.L.</v>
      </c>
      <c r="H332" s="96">
        <v>107166.94</v>
      </c>
      <c r="I332" s="97">
        <f>venta_a_mes11[[#This Row],[IMPORTE NETO]]*0.21</f>
        <v>22505.057399999998</v>
      </c>
      <c r="J332" s="61"/>
      <c r="K332" s="61"/>
      <c r="L332" s="61">
        <f>SUM(venta_a_mes11[[#This Row],[IMPORTE NETO]:[EXENTO]])</f>
        <v>129671.99739999999</v>
      </c>
      <c r="M332" s="55"/>
    </row>
    <row r="333" spans="2:13" x14ac:dyDescent="0.3">
      <c r="B333" s="105">
        <v>44863</v>
      </c>
      <c r="C333" s="106">
        <v>1</v>
      </c>
      <c r="D333" s="107">
        <v>10</v>
      </c>
      <c r="E333" s="108">
        <v>9517</v>
      </c>
      <c r="F333" s="251">
        <v>30717398196</v>
      </c>
      <c r="G333" s="95" t="str">
        <f>IFERROR(IF(venta_a_mes11[[#This Row],[CUIT]]="","-",VLOOKUP(venta_a_mes11[[#This Row],[CUIT]],Lista_CUIT[#All],2,0)),"CUIT NO CARGADO")</f>
        <v>QUANTUM KOSMETICA S.R.L.</v>
      </c>
      <c r="H333" s="96">
        <v>102169.92</v>
      </c>
      <c r="I333" s="97">
        <f>venta_a_mes11[[#This Row],[IMPORTE NETO]]*0.21</f>
        <v>21455.683199999999</v>
      </c>
      <c r="J333" s="61"/>
      <c r="K333" s="61"/>
      <c r="L333" s="61">
        <f>SUM(venta_a_mes11[[#This Row],[IMPORTE NETO]:[EXENTO]])</f>
        <v>123625.6032</v>
      </c>
      <c r="M333" s="55"/>
    </row>
    <row r="334" spans="2:13" x14ac:dyDescent="0.3">
      <c r="B334" s="105">
        <v>44865</v>
      </c>
      <c r="C334" s="106">
        <v>1</v>
      </c>
      <c r="D334" s="107">
        <v>10</v>
      </c>
      <c r="E334" s="108">
        <v>9518</v>
      </c>
      <c r="F334" s="251">
        <v>27256969802</v>
      </c>
      <c r="G334" s="95" t="str">
        <f>IFERROR(IF(venta_a_mes11[[#This Row],[CUIT]]="","-",VLOOKUP(venta_a_mes11[[#This Row],[CUIT]],Lista_CUIT[#All],2,0)),"CUIT NO CARGADO")</f>
        <v>Alvarez Luisa Silvana</v>
      </c>
      <c r="H334" s="96">
        <v>7330.96</v>
      </c>
      <c r="I334" s="97">
        <f>venta_a_mes11[[#This Row],[IMPORTE NETO]]*0.21</f>
        <v>1539.5016000000001</v>
      </c>
      <c r="J334" s="61"/>
      <c r="K334" s="61"/>
      <c r="L334" s="61">
        <f>SUM(venta_a_mes11[[#This Row],[IMPORTE NETO]:[EXENTO]])</f>
        <v>8870.4616000000005</v>
      </c>
      <c r="M334" s="55"/>
    </row>
    <row r="335" spans="2:13" x14ac:dyDescent="0.3">
      <c r="B335" s="105">
        <v>44865</v>
      </c>
      <c r="C335" s="106">
        <v>1</v>
      </c>
      <c r="D335" s="107">
        <v>10</v>
      </c>
      <c r="E335" s="108">
        <v>9519</v>
      </c>
      <c r="F335" s="251">
        <v>30709163503</v>
      </c>
      <c r="G335" s="95" t="str">
        <f>IFERROR(IF(venta_a_mes11[[#This Row],[CUIT]]="","-",VLOOKUP(venta_a_mes11[[#This Row],[CUIT]],Lista_CUIT[#All],2,0)),"CUIT NO CARGADO")</f>
        <v>CANADEZ S.R.L.</v>
      </c>
      <c r="H335" s="96">
        <v>154060.66</v>
      </c>
      <c r="I335" s="97">
        <f>venta_a_mes11[[#This Row],[IMPORTE NETO]]*0.21</f>
        <v>32352.738600000001</v>
      </c>
      <c r="J335" s="61"/>
      <c r="K335" s="61"/>
      <c r="L335" s="61">
        <f>SUM(venta_a_mes11[[#This Row],[IMPORTE NETO]:[EXENTO]])</f>
        <v>186413.39860000001</v>
      </c>
      <c r="M335" s="55"/>
    </row>
    <row r="336" spans="2:13" x14ac:dyDescent="0.3">
      <c r="B336" s="105">
        <v>44865</v>
      </c>
      <c r="C336" s="106">
        <v>1</v>
      </c>
      <c r="D336" s="107">
        <v>10</v>
      </c>
      <c r="E336" s="108">
        <v>9520</v>
      </c>
      <c r="F336" s="251">
        <v>30709163503</v>
      </c>
      <c r="G336" s="95" t="str">
        <f>IFERROR(IF(venta_a_mes11[[#This Row],[CUIT]]="","-",VLOOKUP(venta_a_mes11[[#This Row],[CUIT]],Lista_CUIT[#All],2,0)),"CUIT NO CARGADO")</f>
        <v>CANADEZ S.R.L.</v>
      </c>
      <c r="H336" s="96">
        <v>25384.46</v>
      </c>
      <c r="I336" s="97">
        <f>venta_a_mes11[[#This Row],[IMPORTE NETO]]*0.21</f>
        <v>5330.7365999999993</v>
      </c>
      <c r="J336" s="61"/>
      <c r="K336" s="61"/>
      <c r="L336" s="61">
        <f>SUM(venta_a_mes11[[#This Row],[IMPORTE NETO]:[EXENTO]])</f>
        <v>30715.196599999999</v>
      </c>
      <c r="M336" s="55"/>
    </row>
    <row r="337" spans="2:13" x14ac:dyDescent="0.3">
      <c r="B337" s="105">
        <v>44865</v>
      </c>
      <c r="C337" s="106">
        <v>1</v>
      </c>
      <c r="D337" s="107">
        <v>10</v>
      </c>
      <c r="E337" s="108">
        <v>9521</v>
      </c>
      <c r="F337" s="251">
        <v>30709163503</v>
      </c>
      <c r="G337" s="95" t="str">
        <f>IFERROR(IF(venta_a_mes11[[#This Row],[CUIT]]="","-",VLOOKUP(venta_a_mes11[[#This Row],[CUIT]],Lista_CUIT[#All],2,0)),"CUIT NO CARGADO")</f>
        <v>CANADEZ S.R.L.</v>
      </c>
      <c r="H337" s="96">
        <v>68954.539999999994</v>
      </c>
      <c r="I337" s="97">
        <f>venta_a_mes11[[#This Row],[IMPORTE NETO]]*0.21</f>
        <v>14480.453399999999</v>
      </c>
      <c r="J337" s="61"/>
      <c r="K337" s="61"/>
      <c r="L337" s="61">
        <f>SUM(venta_a_mes11[[#This Row],[IMPORTE NETO]:[EXENTO]])</f>
        <v>83434.993399999992</v>
      </c>
      <c r="M337" s="55"/>
    </row>
    <row r="338" spans="2:13" x14ac:dyDescent="0.3">
      <c r="B338" s="105">
        <v>44865</v>
      </c>
      <c r="C338" s="106">
        <v>1</v>
      </c>
      <c r="D338" s="107">
        <v>10</v>
      </c>
      <c r="E338" s="108">
        <v>9522</v>
      </c>
      <c r="F338" s="251">
        <v>30711694605</v>
      </c>
      <c r="G338" s="95" t="str">
        <f>IFERROR(IF(venta_a_mes11[[#This Row],[CUIT]]="","-",VLOOKUP(venta_a_mes11[[#This Row],[CUIT]],Lista_CUIT[#All],2,0)),"CUIT NO CARGADO")</f>
        <v>Tortorello, Gustavo Sergio Y Pasini Santiago </v>
      </c>
      <c r="H338" s="96">
        <v>18695.509999999998</v>
      </c>
      <c r="I338" s="97">
        <f>venta_a_mes11[[#This Row],[IMPORTE NETO]]*0.21</f>
        <v>3926.0570999999995</v>
      </c>
      <c r="J338" s="61"/>
      <c r="K338" s="61"/>
      <c r="L338" s="61">
        <f>SUM(venta_a_mes11[[#This Row],[IMPORTE NETO]:[EXENTO]])</f>
        <v>22621.567099999997</v>
      </c>
      <c r="M338" s="55"/>
    </row>
    <row r="339" spans="2:13" x14ac:dyDescent="0.3">
      <c r="B339" s="246">
        <v>44837</v>
      </c>
      <c r="C339" s="248">
        <v>1</v>
      </c>
      <c r="D339" s="107">
        <v>11</v>
      </c>
      <c r="E339" s="249">
        <v>1604</v>
      </c>
      <c r="F339" s="251">
        <v>27280796552</v>
      </c>
      <c r="G339" s="95" t="str">
        <f>IFERROR(IF(venta_a_mes11[[#This Row],[CUIT]]="","-",VLOOKUP(venta_a_mes11[[#This Row],[CUIT]],Lista_CUIT[#All],2,0)),"CUIT NO CARGADO")</f>
        <v>CARRERO DANIELA SOLANGE </v>
      </c>
      <c r="H339" s="96">
        <v>10041.32</v>
      </c>
      <c r="I339" s="97">
        <f>venta_a_mes11[[#This Row],[IMPORTE NETO]]*0.21</f>
        <v>2108.6772000000001</v>
      </c>
      <c r="J339" s="61"/>
      <c r="K339" s="61"/>
      <c r="L339" s="61">
        <f>SUM(venta_a_mes11[[#This Row],[IMPORTE NETO]:[EXENTO]])</f>
        <v>12149.9972</v>
      </c>
      <c r="M339" s="55"/>
    </row>
    <row r="340" spans="2:13" x14ac:dyDescent="0.3">
      <c r="B340" s="246">
        <v>44837</v>
      </c>
      <c r="C340" s="248">
        <v>1</v>
      </c>
      <c r="D340" s="107">
        <v>11</v>
      </c>
      <c r="E340" s="249">
        <v>1605</v>
      </c>
      <c r="F340" s="251">
        <v>27280796552</v>
      </c>
      <c r="G340" s="95" t="str">
        <f>IFERROR(IF(venta_a_mes11[[#This Row],[CUIT]]="","-",VLOOKUP(venta_a_mes11[[#This Row],[CUIT]],Lista_CUIT[#All],2,0)),"CUIT NO CARGADO")</f>
        <v>CARRERO DANIELA SOLANGE </v>
      </c>
      <c r="H340" s="96">
        <v>24247.93</v>
      </c>
      <c r="I340" s="97">
        <f>venta_a_mes11[[#This Row],[IMPORTE NETO]]*0.21</f>
        <v>5092.0653000000002</v>
      </c>
      <c r="J340" s="61"/>
      <c r="K340" s="61"/>
      <c r="L340" s="61">
        <f>SUM(venta_a_mes11[[#This Row],[IMPORTE NETO]:[EXENTO]])</f>
        <v>29339.995300000002</v>
      </c>
      <c r="M340" s="55"/>
    </row>
    <row r="341" spans="2:13" x14ac:dyDescent="0.3">
      <c r="B341" s="105">
        <v>44838</v>
      </c>
      <c r="C341" s="248">
        <v>1</v>
      </c>
      <c r="D341" s="107">
        <v>11</v>
      </c>
      <c r="E341" s="108">
        <v>1606</v>
      </c>
      <c r="F341" s="251">
        <v>27280796552</v>
      </c>
      <c r="G341" s="95" t="str">
        <f>IFERROR(IF(venta_a_mes11[[#This Row],[CUIT]]="","-",VLOOKUP(venta_a_mes11[[#This Row],[CUIT]],Lista_CUIT[#All],2,0)),"CUIT NO CARGADO")</f>
        <v>CARRERO DANIELA SOLANGE </v>
      </c>
      <c r="H341" s="96">
        <v>4338.84</v>
      </c>
      <c r="I341" s="97">
        <f>venta_a_mes11[[#This Row],[IMPORTE NETO]]*0.21</f>
        <v>911.15639999999996</v>
      </c>
      <c r="J341" s="61"/>
      <c r="K341" s="61"/>
      <c r="L341" s="61">
        <f>SUM(venta_a_mes11[[#This Row],[IMPORTE NETO]:[EXENTO]])</f>
        <v>5249.9964</v>
      </c>
      <c r="M341" s="55"/>
    </row>
    <row r="342" spans="2:13" x14ac:dyDescent="0.3">
      <c r="B342" s="105">
        <v>44845</v>
      </c>
      <c r="C342" s="248">
        <v>1</v>
      </c>
      <c r="D342" s="107">
        <v>11</v>
      </c>
      <c r="E342" s="108">
        <v>1607</v>
      </c>
      <c r="F342" s="251">
        <v>20247934538</v>
      </c>
      <c r="G342" s="95" t="str">
        <f>IFERROR(IF(venta_a_mes11[[#This Row],[CUIT]]="","-",VLOOKUP(venta_a_mes11[[#This Row],[CUIT]],Lista_CUIT[#All],2,0)),"CUIT NO CARGADO")</f>
        <v>CUIT NO CARGADO</v>
      </c>
      <c r="H342" s="96">
        <v>26033.06</v>
      </c>
      <c r="I342" s="97">
        <f>venta_a_mes11[[#This Row],[IMPORTE NETO]]*0.21</f>
        <v>5466.9426000000003</v>
      </c>
      <c r="J342" s="61"/>
      <c r="K342" s="61"/>
      <c r="L342" s="61">
        <f>SUM(venta_a_mes11[[#This Row],[IMPORTE NETO]:[EXENTO]])</f>
        <v>31500.0026</v>
      </c>
      <c r="M342" s="55"/>
    </row>
    <row r="343" spans="2:13" x14ac:dyDescent="0.3">
      <c r="B343" s="105">
        <v>44846</v>
      </c>
      <c r="C343" s="106">
        <v>1</v>
      </c>
      <c r="D343" s="107">
        <v>11</v>
      </c>
      <c r="E343" s="108">
        <v>1608</v>
      </c>
      <c r="F343" s="251">
        <v>27226500338</v>
      </c>
      <c r="G343" s="95" t="str">
        <f>IFERROR(IF(venta_a_mes11[[#This Row],[CUIT]]="","-",VLOOKUP(venta_a_mes11[[#This Row],[CUIT]],Lista_CUIT[#All],2,0)),"CUIT NO CARGADO")</f>
        <v>SINGER KARINA</v>
      </c>
      <c r="H343" s="96">
        <v>15793.39</v>
      </c>
      <c r="I343" s="97">
        <f>venta_a_mes11[[#This Row],[IMPORTE NETO]]*0.21</f>
        <v>3316.6118999999999</v>
      </c>
      <c r="J343" s="61"/>
      <c r="K343" s="61"/>
      <c r="L343" s="61">
        <f>SUM(venta_a_mes11[[#This Row],[IMPORTE NETO]:[EXENTO]])</f>
        <v>19110.001899999999</v>
      </c>
      <c r="M343" s="55"/>
    </row>
    <row r="344" spans="2:13" x14ac:dyDescent="0.3">
      <c r="B344" s="105">
        <v>44851</v>
      </c>
      <c r="C344" s="106">
        <v>1</v>
      </c>
      <c r="D344" s="107">
        <v>11</v>
      </c>
      <c r="E344" s="108">
        <v>1609</v>
      </c>
      <c r="F344" s="251">
        <v>30715219014</v>
      </c>
      <c r="G344" s="95" t="str">
        <f>IFERROR(IF(venta_a_mes11[[#This Row],[CUIT]]="","-",VLOOKUP(venta_a_mes11[[#This Row],[CUIT]],Lista_CUIT[#All],2,0)),"CUIT NO CARGADO")</f>
        <v>KNOWLEDGE OF SERVICES S.R.L.</v>
      </c>
      <c r="H344" s="96">
        <v>6855.37</v>
      </c>
      <c r="I344" s="97">
        <f>venta_a_mes11[[#This Row],[IMPORTE NETO]]*0.21</f>
        <v>1439.6277</v>
      </c>
      <c r="J344" s="61"/>
      <c r="K344" s="61"/>
      <c r="L344" s="61">
        <f>SUM(venta_a_mes11[[#This Row],[IMPORTE NETO]:[EXENTO]])</f>
        <v>8294.9976999999999</v>
      </c>
      <c r="M344" s="55"/>
    </row>
    <row r="345" spans="2:13" x14ac:dyDescent="0.3">
      <c r="B345" s="105">
        <v>44851</v>
      </c>
      <c r="C345" s="106">
        <v>1</v>
      </c>
      <c r="D345" s="107">
        <v>11</v>
      </c>
      <c r="E345" s="108">
        <v>1610</v>
      </c>
      <c r="F345" s="251">
        <v>30715219014</v>
      </c>
      <c r="G345" s="95" t="str">
        <f>IFERROR(IF(venta_a_mes11[[#This Row],[CUIT]]="","-",VLOOKUP(venta_a_mes11[[#This Row],[CUIT]],Lista_CUIT[#All],2,0)),"CUIT NO CARGADO")</f>
        <v>KNOWLEDGE OF SERVICES S.R.L.</v>
      </c>
      <c r="H345" s="96">
        <v>5295.87</v>
      </c>
      <c r="I345" s="97">
        <f>venta_a_mes11[[#This Row],[IMPORTE NETO]]*0.21</f>
        <v>1112.1326999999999</v>
      </c>
      <c r="J345" s="61"/>
      <c r="K345" s="61"/>
      <c r="L345" s="61">
        <f>SUM(venta_a_mes11[[#This Row],[IMPORTE NETO]:[EXENTO]])</f>
        <v>6408.0027</v>
      </c>
      <c r="M345" s="55"/>
    </row>
    <row r="346" spans="2:13" x14ac:dyDescent="0.3">
      <c r="B346" s="105">
        <v>44851</v>
      </c>
      <c r="C346" s="106">
        <v>1</v>
      </c>
      <c r="D346" s="107">
        <v>11</v>
      </c>
      <c r="E346" s="108">
        <v>1611</v>
      </c>
      <c r="F346" s="251">
        <v>20132857432</v>
      </c>
      <c r="G346" s="95" t="str">
        <f>IFERROR(IF(venta_a_mes11[[#This Row],[CUIT]]="","-",VLOOKUP(venta_a_mes11[[#This Row],[CUIT]],Lista_CUIT[#All],2,0)),"CUIT NO CARGADO")</f>
        <v>MELELLA ERNESTO LUIS EDUARDO</v>
      </c>
      <c r="H346" s="96">
        <v>1561.99</v>
      </c>
      <c r="I346" s="97">
        <f>venta_a_mes11[[#This Row],[IMPORTE NETO]]*0.21</f>
        <v>328.0179</v>
      </c>
      <c r="J346" s="61"/>
      <c r="K346" s="61"/>
      <c r="L346" s="61">
        <f>SUM(venta_a_mes11[[#This Row],[IMPORTE NETO]:[EXENTO]])</f>
        <v>1890.0079000000001</v>
      </c>
      <c r="M346" s="55"/>
    </row>
    <row r="347" spans="2:13" x14ac:dyDescent="0.3">
      <c r="B347" s="105">
        <v>44854</v>
      </c>
      <c r="C347" s="106">
        <v>1</v>
      </c>
      <c r="D347" s="107">
        <v>11</v>
      </c>
      <c r="E347" s="108">
        <v>1612</v>
      </c>
      <c r="F347" s="251">
        <v>27280796552</v>
      </c>
      <c r="G347" s="95" t="str">
        <f>IFERROR(IF(venta_a_mes11[[#This Row],[CUIT]]="","-",VLOOKUP(venta_a_mes11[[#This Row],[CUIT]],Lista_CUIT[#All],2,0)),"CUIT NO CARGADO")</f>
        <v>CARRERO DANIELA SOLANGE </v>
      </c>
      <c r="H347" s="96">
        <v>27917.38</v>
      </c>
      <c r="I347" s="97">
        <f>venta_a_mes11[[#This Row],[IMPORTE NETO]]*0.21</f>
        <v>5862.6498000000001</v>
      </c>
      <c r="J347" s="61"/>
      <c r="K347" s="61"/>
      <c r="L347" s="61">
        <f>SUM(venta_a_mes11[[#This Row],[IMPORTE NETO]:[EXENTO]])</f>
        <v>33780.029800000004</v>
      </c>
      <c r="M347" s="55"/>
    </row>
    <row r="348" spans="2:13" x14ac:dyDescent="0.3">
      <c r="B348" s="105">
        <v>44854</v>
      </c>
      <c r="C348" s="106">
        <v>1</v>
      </c>
      <c r="D348" s="107">
        <v>11</v>
      </c>
      <c r="E348" s="108">
        <v>1613</v>
      </c>
      <c r="F348" s="251">
        <v>27280796552</v>
      </c>
      <c r="G348" s="95" t="str">
        <f>IFERROR(IF(venta_a_mes11[[#This Row],[CUIT]]="","-",VLOOKUP(venta_a_mes11[[#This Row],[CUIT]],Lista_CUIT[#All],2,0)),"CUIT NO CARGADO")</f>
        <v>CARRERO DANIELA SOLANGE </v>
      </c>
      <c r="H348" s="96">
        <v>22314.05</v>
      </c>
      <c r="I348" s="97">
        <f>venta_a_mes11[[#This Row],[IMPORTE NETO]]*0.21</f>
        <v>4685.9504999999999</v>
      </c>
      <c r="J348" s="61"/>
      <c r="K348" s="61"/>
      <c r="L348" s="61">
        <f>SUM(venta_a_mes11[[#This Row],[IMPORTE NETO]:[EXENTO]])</f>
        <v>27000.000499999998</v>
      </c>
      <c r="M348" s="55"/>
    </row>
    <row r="349" spans="2:13" x14ac:dyDescent="0.3">
      <c r="B349" s="105">
        <v>44855</v>
      </c>
      <c r="C349" s="106">
        <v>1</v>
      </c>
      <c r="D349" s="107">
        <v>11</v>
      </c>
      <c r="E349" s="108">
        <v>1614</v>
      </c>
      <c r="F349" s="251">
        <v>27226500338</v>
      </c>
      <c r="G349" s="95" t="str">
        <f>IFERROR(IF(venta_a_mes11[[#This Row],[CUIT]]="","-",VLOOKUP(venta_a_mes11[[#This Row],[CUIT]],Lista_CUIT[#All],2,0)),"CUIT NO CARGADO")</f>
        <v>SINGER KARINA</v>
      </c>
      <c r="H349" s="96">
        <v>22363.64</v>
      </c>
      <c r="I349" s="97">
        <f>venta_a_mes11[[#This Row],[IMPORTE NETO]]*0.21</f>
        <v>4696.3643999999995</v>
      </c>
      <c r="J349" s="61"/>
      <c r="K349" s="61"/>
      <c r="L349" s="61">
        <f>SUM(venta_a_mes11[[#This Row],[IMPORTE NETO]:[EXENTO]])</f>
        <v>27060.004399999998</v>
      </c>
      <c r="M349" s="55"/>
    </row>
    <row r="350" spans="2:13" x14ac:dyDescent="0.3">
      <c r="B350" s="105">
        <v>44856</v>
      </c>
      <c r="C350" s="106">
        <v>1</v>
      </c>
      <c r="D350" s="107">
        <v>11</v>
      </c>
      <c r="E350" s="108">
        <v>1615</v>
      </c>
      <c r="F350" s="251">
        <v>27226500338</v>
      </c>
      <c r="G350" s="95" t="str">
        <f>IFERROR(IF(venta_a_mes11[[#This Row],[CUIT]]="","-",VLOOKUP(venta_a_mes11[[#This Row],[CUIT]],Lista_CUIT[#All],2,0)),"CUIT NO CARGADO")</f>
        <v>SINGER KARINA</v>
      </c>
      <c r="H350" s="96">
        <v>18198.349999999999</v>
      </c>
      <c r="I350" s="97">
        <f>venta_a_mes11[[#This Row],[IMPORTE NETO]]*0.21</f>
        <v>3821.6534999999994</v>
      </c>
      <c r="J350" s="61"/>
      <c r="K350" s="61"/>
      <c r="L350" s="61">
        <f>SUM(venta_a_mes11[[#This Row],[IMPORTE NETO]:[EXENTO]])</f>
        <v>22020.003499999999</v>
      </c>
      <c r="M350" s="55"/>
    </row>
    <row r="351" spans="2:13" x14ac:dyDescent="0.3">
      <c r="B351" s="105">
        <v>44858</v>
      </c>
      <c r="C351" s="106">
        <v>1</v>
      </c>
      <c r="D351" s="107">
        <v>11</v>
      </c>
      <c r="E351" s="108">
        <v>1616</v>
      </c>
      <c r="F351" s="251">
        <v>30715219014</v>
      </c>
      <c r="G351" s="95" t="str">
        <f>IFERROR(IF(venta_a_mes11[[#This Row],[CUIT]]="","-",VLOOKUP(venta_a_mes11[[#This Row],[CUIT]],Lista_CUIT[#All],2,0)),"CUIT NO CARGADO")</f>
        <v>KNOWLEDGE OF SERVICES S.R.L.</v>
      </c>
      <c r="H351" s="96">
        <v>1214.8800000000001</v>
      </c>
      <c r="I351" s="97">
        <f>venta_a_mes11[[#This Row],[IMPORTE NETO]]*0.21</f>
        <v>255.12480000000002</v>
      </c>
      <c r="J351" s="61"/>
      <c r="K351" s="61"/>
      <c r="L351" s="61">
        <f>SUM(venta_a_mes11[[#This Row],[IMPORTE NETO]:[EXENTO]])</f>
        <v>1470.0048000000002</v>
      </c>
      <c r="M351" s="55"/>
    </row>
    <row r="352" spans="2:13" x14ac:dyDescent="0.3">
      <c r="B352" s="105">
        <v>44858</v>
      </c>
      <c r="C352" s="106">
        <v>1</v>
      </c>
      <c r="D352" s="107">
        <v>11</v>
      </c>
      <c r="E352" s="108">
        <v>1617</v>
      </c>
      <c r="F352" s="251">
        <v>27280796552</v>
      </c>
      <c r="G352" s="95" t="str">
        <f>IFERROR(IF(venta_a_mes11[[#This Row],[CUIT]]="","-",VLOOKUP(venta_a_mes11[[#This Row],[CUIT]],Lista_CUIT[#All],2,0)),"CUIT NO CARGADO")</f>
        <v>CARRERO DANIELA SOLANGE </v>
      </c>
      <c r="H352" s="96">
        <v>16537.189999999999</v>
      </c>
      <c r="I352" s="97">
        <f>venta_a_mes11[[#This Row],[IMPORTE NETO]]*0.21</f>
        <v>3472.8098999999997</v>
      </c>
      <c r="J352" s="61"/>
      <c r="K352" s="61"/>
      <c r="L352" s="61">
        <f>SUM(venta_a_mes11[[#This Row],[IMPORTE NETO]:[EXENTO]])</f>
        <v>20009.999899999999</v>
      </c>
      <c r="M352" s="55"/>
    </row>
    <row r="353" spans="2:13" x14ac:dyDescent="0.3">
      <c r="B353" s="105">
        <v>44859</v>
      </c>
      <c r="C353" s="106">
        <v>1</v>
      </c>
      <c r="D353" s="107">
        <v>11</v>
      </c>
      <c r="E353" s="108">
        <v>1618</v>
      </c>
      <c r="F353" s="251">
        <v>27058998503</v>
      </c>
      <c r="G353" s="95" t="str">
        <f>IFERROR(IF(venta_a_mes11[[#This Row],[CUIT]]="","-",VLOOKUP(venta_a_mes11[[#This Row],[CUIT]],Lista_CUIT[#All],2,0)),"CUIT NO CARGADO")</f>
        <v>CUIT NO CARGADO</v>
      </c>
      <c r="H353" s="96">
        <v>4580.17</v>
      </c>
      <c r="I353" s="97">
        <f>venta_a_mes11[[#This Row],[IMPORTE NETO]]*0.21</f>
        <v>961.83569999999997</v>
      </c>
      <c r="J353" s="61"/>
      <c r="K353" s="61"/>
      <c r="L353" s="61">
        <f>SUM(venta_a_mes11[[#This Row],[IMPORTE NETO]:[EXENTO]])</f>
        <v>5542.0056999999997</v>
      </c>
      <c r="M353" s="55"/>
    </row>
    <row r="354" spans="2:13" x14ac:dyDescent="0.3">
      <c r="B354" s="105">
        <v>44859</v>
      </c>
      <c r="C354" s="106">
        <v>1</v>
      </c>
      <c r="D354" s="107">
        <v>11</v>
      </c>
      <c r="E354" s="108">
        <v>1619</v>
      </c>
      <c r="F354" s="251">
        <v>27280796552</v>
      </c>
      <c r="G354" s="95" t="str">
        <f>IFERROR(IF(venta_a_mes11[[#This Row],[CUIT]]="","-",VLOOKUP(venta_a_mes11[[#This Row],[CUIT]],Lista_CUIT[#All],2,0)),"CUIT NO CARGADO")</f>
        <v>CARRERO DANIELA SOLANGE </v>
      </c>
      <c r="H354" s="96">
        <v>6917.36</v>
      </c>
      <c r="I354" s="97">
        <f>venta_a_mes11[[#This Row],[IMPORTE NETO]]*0.21</f>
        <v>1452.6455999999998</v>
      </c>
      <c r="J354" s="61"/>
      <c r="K354" s="61"/>
      <c r="L354" s="61">
        <f>SUM(venta_a_mes11[[#This Row],[IMPORTE NETO]:[EXENTO]])</f>
        <v>8370.0056000000004</v>
      </c>
      <c r="M354" s="55"/>
    </row>
    <row r="355" spans="2:13" x14ac:dyDescent="0.3">
      <c r="B355" s="105">
        <v>44861</v>
      </c>
      <c r="C355" s="106">
        <v>1</v>
      </c>
      <c r="D355" s="107">
        <v>11</v>
      </c>
      <c r="E355" s="108">
        <v>1620</v>
      </c>
      <c r="F355" s="251">
        <v>27280796552</v>
      </c>
      <c r="G355" s="95" t="str">
        <f>IFERROR(IF(venta_a_mes11[[#This Row],[CUIT]]="","-",VLOOKUP(venta_a_mes11[[#This Row],[CUIT]],Lista_CUIT[#All],2,0)),"CUIT NO CARGADO")</f>
        <v>CARRERO DANIELA SOLANGE </v>
      </c>
      <c r="H355" s="96">
        <v>16735.54</v>
      </c>
      <c r="I355" s="97">
        <f>venta_a_mes11[[#This Row],[IMPORTE NETO]]*0.21</f>
        <v>3514.4634000000001</v>
      </c>
      <c r="J355" s="61"/>
      <c r="K355" s="61"/>
      <c r="L355" s="61">
        <f>SUM(venta_a_mes11[[#This Row],[IMPORTE NETO]:[EXENTO]])</f>
        <v>20250.003400000001</v>
      </c>
      <c r="M355" s="55"/>
    </row>
    <row r="356" spans="2:13" x14ac:dyDescent="0.3">
      <c r="B356" s="105">
        <v>44861</v>
      </c>
      <c r="C356" s="106">
        <v>1</v>
      </c>
      <c r="D356" s="107">
        <v>11</v>
      </c>
      <c r="E356" s="108">
        <v>1621</v>
      </c>
      <c r="F356" s="251">
        <v>27161298285</v>
      </c>
      <c r="G356" s="95" t="str">
        <f>IFERROR(IF(venta_a_mes11[[#This Row],[CUIT]]="","-",VLOOKUP(venta_a_mes11[[#This Row],[CUIT]],Lista_CUIT[#All],2,0)),"CUIT NO CARGADO")</f>
        <v>ROLDAN MARIA CLAUDIA</v>
      </c>
      <c r="H356" s="96">
        <v>3355.37</v>
      </c>
      <c r="I356" s="97">
        <f>venta_a_mes11[[#This Row],[IMPORTE NETO]]*0.21</f>
        <v>704.6277</v>
      </c>
      <c r="J356" s="61"/>
      <c r="K356" s="61"/>
      <c r="L356" s="61">
        <f>SUM(venta_a_mes11[[#This Row],[IMPORTE NETO]:[EXENTO]])</f>
        <v>4059.9976999999999</v>
      </c>
      <c r="M356" s="55"/>
    </row>
    <row r="357" spans="2:13" x14ac:dyDescent="0.3">
      <c r="B357" s="105">
        <v>44861</v>
      </c>
      <c r="C357" s="106">
        <v>1</v>
      </c>
      <c r="D357" s="107">
        <v>11</v>
      </c>
      <c r="E357" s="108">
        <v>1622</v>
      </c>
      <c r="F357" s="251">
        <v>30715219014</v>
      </c>
      <c r="G357" s="95" t="str">
        <f>IFERROR(IF(venta_a_mes11[[#This Row],[CUIT]]="","-",VLOOKUP(venta_a_mes11[[#This Row],[CUIT]],Lista_CUIT[#All],2,0)),"CUIT NO CARGADO")</f>
        <v>KNOWLEDGE OF SERVICES S.R.L.</v>
      </c>
      <c r="H357" s="96">
        <v>9008.26</v>
      </c>
      <c r="I357" s="97">
        <f>venta_a_mes11[[#This Row],[IMPORTE NETO]]*0.21</f>
        <v>1891.7346</v>
      </c>
      <c r="J357" s="61"/>
      <c r="K357" s="61"/>
      <c r="L357" s="61">
        <f>SUM(venta_a_mes11[[#This Row],[IMPORTE NETO]:[EXENTO]])</f>
        <v>10899.9946</v>
      </c>
      <c r="M357" s="55"/>
    </row>
    <row r="358" spans="2:13" x14ac:dyDescent="0.3">
      <c r="B358" s="105">
        <v>44861</v>
      </c>
      <c r="C358" s="106">
        <v>1</v>
      </c>
      <c r="D358" s="107">
        <v>11</v>
      </c>
      <c r="E358" s="108">
        <v>1623</v>
      </c>
      <c r="F358" s="251">
        <v>30527225988</v>
      </c>
      <c r="G358" s="95" t="str">
        <f>IFERROR(IF(venta_a_mes11[[#This Row],[CUIT]]="","-",VLOOKUP(venta_a_mes11[[#This Row],[CUIT]],Lista_CUIT[#All],2,0)),"CUIT NO CARGADO")</f>
        <v>ALVEAR PALACE HOTEL SA I</v>
      </c>
      <c r="H358" s="96">
        <v>1933.88</v>
      </c>
      <c r="I358" s="97">
        <f>venta_a_mes11[[#This Row],[IMPORTE NETO]]*0.21</f>
        <v>406.1148</v>
      </c>
      <c r="J358" s="61"/>
      <c r="K358" s="61"/>
      <c r="L358" s="61">
        <f>SUM(venta_a_mes11[[#This Row],[IMPORTE NETO]:[EXENTO]])</f>
        <v>2339.9947999999999</v>
      </c>
      <c r="M358" s="55"/>
    </row>
    <row r="359" spans="2:13" x14ac:dyDescent="0.3">
      <c r="B359" s="105">
        <v>44862</v>
      </c>
      <c r="C359" s="106">
        <v>1</v>
      </c>
      <c r="D359" s="107">
        <v>11</v>
      </c>
      <c r="E359" s="108">
        <v>1624</v>
      </c>
      <c r="F359" s="251">
        <v>30716413817</v>
      </c>
      <c r="G359" s="95" t="str">
        <f>IFERROR(IF(venta_a_mes11[[#This Row],[CUIT]]="","-",VLOOKUP(venta_a_mes11[[#This Row],[CUIT]],Lista_CUIT[#All],2,0)),"CUIT NO CARGADO")</f>
        <v>MRF LOGISTICA Y SERVICIOS S.R.L.</v>
      </c>
      <c r="H359" s="96">
        <v>929.75</v>
      </c>
      <c r="I359" s="97">
        <f>venta_a_mes11[[#This Row],[IMPORTE NETO]]*0.21</f>
        <v>195.2475</v>
      </c>
      <c r="J359" s="61"/>
      <c r="K359" s="61"/>
      <c r="L359" s="61">
        <f>SUM(venta_a_mes11[[#This Row],[IMPORTE NETO]:[EXENTO]])</f>
        <v>1124.9974999999999</v>
      </c>
      <c r="M359" s="55"/>
    </row>
    <row r="360" spans="2:13" x14ac:dyDescent="0.3">
      <c r="B360" s="105">
        <v>44862</v>
      </c>
      <c r="C360" s="106">
        <v>1</v>
      </c>
      <c r="D360" s="107">
        <v>11</v>
      </c>
      <c r="E360" s="108">
        <v>1625</v>
      </c>
      <c r="F360" s="251">
        <v>30716753510</v>
      </c>
      <c r="G360" s="95" t="str">
        <f>IFERROR(IF(venta_a_mes11[[#This Row],[CUIT]]="","-",VLOOKUP(venta_a_mes11[[#This Row],[CUIT]],Lista_CUIT[#All],2,0)),"CUIT NO CARGADO")</f>
        <v>CUIT NO CARGADO</v>
      </c>
      <c r="H360" s="96">
        <v>2909.11</v>
      </c>
      <c r="I360" s="97">
        <f>venta_a_mes11[[#This Row],[IMPORTE NETO]]*0.21</f>
        <v>610.91309999999999</v>
      </c>
      <c r="J360" s="61"/>
      <c r="K360" s="61"/>
      <c r="L360" s="61">
        <f>SUM(venta_a_mes11[[#This Row],[IMPORTE NETO]:[EXENTO]])</f>
        <v>3520.0231000000003</v>
      </c>
      <c r="M360" s="55"/>
    </row>
    <row r="361" spans="2:13" x14ac:dyDescent="0.3">
      <c r="B361" s="105">
        <v>44863</v>
      </c>
      <c r="C361" s="106">
        <v>1</v>
      </c>
      <c r="D361" s="107">
        <v>11</v>
      </c>
      <c r="E361" s="108">
        <v>1626</v>
      </c>
      <c r="F361" s="251">
        <v>27280796552</v>
      </c>
      <c r="G361" s="95" t="str">
        <f>IFERROR(IF(venta_a_mes11[[#This Row],[CUIT]]="","-",VLOOKUP(venta_a_mes11[[#This Row],[CUIT]],Lista_CUIT[#All],2,0)),"CUIT NO CARGADO")</f>
        <v>CARRERO DANIELA SOLANGE </v>
      </c>
      <c r="H361" s="96">
        <v>8181.82</v>
      </c>
      <c r="I361" s="97">
        <f>venta_a_mes11[[#This Row],[IMPORTE NETO]]*0.21</f>
        <v>1718.1822</v>
      </c>
      <c r="J361" s="61"/>
      <c r="K361" s="61"/>
      <c r="L361" s="61">
        <f>SUM(venta_a_mes11[[#This Row],[IMPORTE NETO]:[EXENTO]])</f>
        <v>9900.002199999999</v>
      </c>
      <c r="M361" s="55"/>
    </row>
    <row r="362" spans="2:13" x14ac:dyDescent="0.3">
      <c r="B362" s="105">
        <v>44837</v>
      </c>
      <c r="C362" s="248">
        <v>1</v>
      </c>
      <c r="D362" s="107">
        <v>12</v>
      </c>
      <c r="E362" s="108">
        <v>1162</v>
      </c>
      <c r="F362" s="251">
        <v>23148974314</v>
      </c>
      <c r="G362" s="95" t="str">
        <f>IFERROR(IF(venta_a_mes11[[#This Row],[CUIT]]="","-",VLOOKUP(venta_a_mes11[[#This Row],[CUIT]],Lista_CUIT[#All],2,0)),"CUIT NO CARGADO")</f>
        <v>RIENZI CLAUDIA LILIANA </v>
      </c>
      <c r="H362" s="96">
        <v>19917.36</v>
      </c>
      <c r="I362" s="97">
        <f>venta_a_mes11[[#This Row],[IMPORTE NETO]]*0.21</f>
        <v>4182.6455999999998</v>
      </c>
      <c r="J362" s="61"/>
      <c r="K362" s="61"/>
      <c r="L362" s="61">
        <f>SUM(venta_a_mes11[[#This Row],[IMPORTE NETO]:[EXENTO]])</f>
        <v>24100.0056</v>
      </c>
      <c r="M362" s="55"/>
    </row>
    <row r="363" spans="2:13" x14ac:dyDescent="0.3">
      <c r="B363" s="105">
        <v>44837</v>
      </c>
      <c r="C363" s="248">
        <v>1</v>
      </c>
      <c r="D363" s="107">
        <v>12</v>
      </c>
      <c r="E363" s="108">
        <v>1163</v>
      </c>
      <c r="F363" s="251">
        <v>23166393574</v>
      </c>
      <c r="G363" s="95" t="str">
        <f>IFERROR(IF(venta_a_mes11[[#This Row],[CUIT]]="","-",VLOOKUP(venta_a_mes11[[#This Row],[CUIT]],Lista_CUIT[#All],2,0)),"CUIT NO CARGADO")</f>
        <v>Amelia Claudia Djelil</v>
      </c>
      <c r="H363" s="96">
        <v>2975.21</v>
      </c>
      <c r="I363" s="97">
        <f>venta_a_mes11[[#This Row],[IMPORTE NETO]]*0.21</f>
        <v>624.79409999999996</v>
      </c>
      <c r="J363" s="61"/>
      <c r="K363" s="61"/>
      <c r="L363" s="61">
        <f>SUM(venta_a_mes11[[#This Row],[IMPORTE NETO]:[EXENTO]])</f>
        <v>3600.0041000000001</v>
      </c>
      <c r="M363" s="55"/>
    </row>
    <row r="364" spans="2:13" x14ac:dyDescent="0.3">
      <c r="B364" s="105">
        <v>44838</v>
      </c>
      <c r="C364" s="248">
        <v>1</v>
      </c>
      <c r="D364" s="107">
        <v>12</v>
      </c>
      <c r="E364" s="108">
        <v>1164</v>
      </c>
      <c r="F364" s="251">
        <v>23148974314</v>
      </c>
      <c r="G364" s="95" t="str">
        <f>IFERROR(IF(venta_a_mes11[[#This Row],[CUIT]]="","-",VLOOKUP(venta_a_mes11[[#This Row],[CUIT]],Lista_CUIT[#All],2,0)),"CUIT NO CARGADO")</f>
        <v>RIENZI CLAUDIA LILIANA </v>
      </c>
      <c r="H364" s="96">
        <v>2066.12</v>
      </c>
      <c r="I364" s="97">
        <f>venta_a_mes11[[#This Row],[IMPORTE NETO]]*0.21</f>
        <v>433.88519999999994</v>
      </c>
      <c r="J364" s="61"/>
      <c r="K364" s="61"/>
      <c r="L364" s="61">
        <f>SUM(venta_a_mes11[[#This Row],[IMPORTE NETO]:[EXENTO]])</f>
        <v>2500.0051999999996</v>
      </c>
      <c r="M364" s="55"/>
    </row>
    <row r="365" spans="2:13" x14ac:dyDescent="0.3">
      <c r="B365" s="105">
        <v>44840</v>
      </c>
      <c r="C365" s="248">
        <v>1</v>
      </c>
      <c r="D365" s="107">
        <v>12</v>
      </c>
      <c r="E365" s="108">
        <v>1165</v>
      </c>
      <c r="F365" s="251">
        <v>20206659379</v>
      </c>
      <c r="G365" s="95" t="str">
        <f>IFERROR(IF(venta_a_mes11[[#This Row],[CUIT]]="","-",VLOOKUP(venta_a_mes11[[#This Row],[CUIT]],Lista_CUIT[#All],2,0)),"CUIT NO CARGADO")</f>
        <v>VELASCO ALBERTO </v>
      </c>
      <c r="H365" s="96">
        <v>5644.63</v>
      </c>
      <c r="I365" s="97">
        <f>venta_a_mes11[[#This Row],[IMPORTE NETO]]*0.21</f>
        <v>1185.3723</v>
      </c>
      <c r="J365" s="61"/>
      <c r="K365" s="61"/>
      <c r="L365" s="61">
        <f>SUM(venta_a_mes11[[#This Row],[IMPORTE NETO]:[EXENTO]])</f>
        <v>6830.0023000000001</v>
      </c>
      <c r="M365" s="55"/>
    </row>
    <row r="366" spans="2:13" x14ac:dyDescent="0.3">
      <c r="B366" s="105">
        <v>44849</v>
      </c>
      <c r="C366" s="106">
        <v>1</v>
      </c>
      <c r="D366" s="107">
        <v>12</v>
      </c>
      <c r="E366" s="108">
        <v>1166</v>
      </c>
      <c r="F366" s="251">
        <v>27175380146</v>
      </c>
      <c r="G366" s="95" t="str">
        <f>IFERROR(IF(venta_a_mes11[[#This Row],[CUIT]]="","-",VLOOKUP(venta_a_mes11[[#This Row],[CUIT]],Lista_CUIT[#All],2,0)),"CUIT NO CARGADO")</f>
        <v>CALICCHIO MARIA ANDREA</v>
      </c>
      <c r="H366" s="96">
        <v>6363.64</v>
      </c>
      <c r="I366" s="97">
        <f>venta_a_mes11[[#This Row],[IMPORTE NETO]]*0.21</f>
        <v>1336.3643999999999</v>
      </c>
      <c r="J366" s="61"/>
      <c r="K366" s="61"/>
      <c r="L366" s="61">
        <f>SUM(venta_a_mes11[[#This Row],[IMPORTE NETO]:[EXENTO]])</f>
        <v>7700.0043999999998</v>
      </c>
      <c r="M366" s="55"/>
    </row>
    <row r="367" spans="2:13" x14ac:dyDescent="0.3">
      <c r="B367" s="105">
        <v>44849</v>
      </c>
      <c r="C367" s="106">
        <v>1</v>
      </c>
      <c r="D367" s="107">
        <v>12</v>
      </c>
      <c r="E367" s="108">
        <v>1167</v>
      </c>
      <c r="F367" s="251">
        <v>30541213860</v>
      </c>
      <c r="G367" s="95" t="str">
        <f>IFERROR(IF(venta_a_mes11[[#This Row],[CUIT]]="","-",VLOOKUP(venta_a_mes11[[#This Row],[CUIT]],Lista_CUIT[#All],2,0)),"CUIT NO CARGADO")</f>
        <v>CENTRO DE EMPLEADOS DE COMERCIO ZONA NORTE</v>
      </c>
      <c r="H367" s="96">
        <v>1198.3499999999999</v>
      </c>
      <c r="I367" s="97">
        <f>venta_a_mes11[[#This Row],[IMPORTE NETO]]*0.21</f>
        <v>251.65349999999998</v>
      </c>
      <c r="J367" s="61"/>
      <c r="K367" s="61"/>
      <c r="L367" s="61">
        <f>SUM(venta_a_mes11[[#This Row],[IMPORTE NETO]:[EXENTO]])</f>
        <v>1450.0034999999998</v>
      </c>
      <c r="M367" s="55"/>
    </row>
    <row r="368" spans="2:13" x14ac:dyDescent="0.3">
      <c r="B368" s="105">
        <v>44849</v>
      </c>
      <c r="C368" s="106">
        <v>1</v>
      </c>
      <c r="D368" s="107">
        <v>12</v>
      </c>
      <c r="E368" s="108">
        <v>1168</v>
      </c>
      <c r="F368" s="251">
        <v>30541213860</v>
      </c>
      <c r="G368" s="95" t="str">
        <f>IFERROR(IF(venta_a_mes11[[#This Row],[CUIT]]="","-",VLOOKUP(venta_a_mes11[[#This Row],[CUIT]],Lista_CUIT[#All],2,0)),"CUIT NO CARGADO")</f>
        <v>CENTRO DE EMPLEADOS DE COMERCIO ZONA NORTE</v>
      </c>
      <c r="H368" s="96">
        <v>3388.44</v>
      </c>
      <c r="I368" s="97">
        <f>venta_a_mes11[[#This Row],[IMPORTE NETO]]*0.21</f>
        <v>711.57240000000002</v>
      </c>
      <c r="J368" s="61"/>
      <c r="K368" s="61"/>
      <c r="L368" s="61">
        <f>SUM(venta_a_mes11[[#This Row],[IMPORTE NETO]:[EXENTO]])</f>
        <v>4100.0123999999996</v>
      </c>
      <c r="M368" s="55"/>
    </row>
    <row r="369" spans="2:13" x14ac:dyDescent="0.3">
      <c r="B369" s="105">
        <v>44849</v>
      </c>
      <c r="C369" s="106">
        <v>1</v>
      </c>
      <c r="D369" s="107">
        <v>12</v>
      </c>
      <c r="E369" s="108">
        <v>1169</v>
      </c>
      <c r="F369" s="251">
        <v>30541213860</v>
      </c>
      <c r="G369" s="95" t="str">
        <f>IFERROR(IF(venta_a_mes11[[#This Row],[CUIT]]="","-",VLOOKUP(venta_a_mes11[[#This Row],[CUIT]],Lista_CUIT[#All],2,0)),"CUIT NO CARGADO")</f>
        <v>CENTRO DE EMPLEADOS DE COMERCIO ZONA NORTE</v>
      </c>
      <c r="H369" s="96">
        <v>4115.7</v>
      </c>
      <c r="I369" s="97">
        <f>venta_a_mes11[[#This Row],[IMPORTE NETO]]*0.21</f>
        <v>864.29699999999991</v>
      </c>
      <c r="J369" s="61"/>
      <c r="K369" s="61"/>
      <c r="L369" s="61">
        <f>SUM(venta_a_mes11[[#This Row],[IMPORTE NETO]:[EXENTO]])</f>
        <v>4979.9969999999994</v>
      </c>
      <c r="M369" s="55"/>
    </row>
    <row r="370" spans="2:13" x14ac:dyDescent="0.3">
      <c r="B370" s="105">
        <v>44851</v>
      </c>
      <c r="C370" s="106">
        <v>1</v>
      </c>
      <c r="D370" s="107">
        <v>12</v>
      </c>
      <c r="E370" s="108">
        <v>1170</v>
      </c>
      <c r="F370" s="251">
        <v>30686420953</v>
      </c>
      <c r="G370" s="95" t="str">
        <f>IFERROR(IF(venta_a_mes11[[#This Row],[CUIT]]="","-",VLOOKUP(venta_a_mes11[[#This Row],[CUIT]],Lista_CUIT[#All],2,0)),"CUIT NO CARGADO")</f>
        <v>CUIT NO CARGADO</v>
      </c>
      <c r="H370" s="96">
        <v>2115.6999999999998</v>
      </c>
      <c r="I370" s="97">
        <f>venta_a_mes11[[#This Row],[IMPORTE NETO]]*0.21</f>
        <v>444.29699999999997</v>
      </c>
      <c r="J370" s="61"/>
      <c r="K370" s="61"/>
      <c r="L370" s="61">
        <f>SUM(venta_a_mes11[[#This Row],[IMPORTE NETO]:[EXENTO]])</f>
        <v>2559.9969999999998</v>
      </c>
      <c r="M370" s="55"/>
    </row>
    <row r="371" spans="2:13" x14ac:dyDescent="0.3">
      <c r="B371" s="105">
        <v>44851</v>
      </c>
      <c r="C371" s="106">
        <v>1</v>
      </c>
      <c r="D371" s="107">
        <v>12</v>
      </c>
      <c r="E371" s="108">
        <v>1171</v>
      </c>
      <c r="F371" s="251">
        <v>30541213860</v>
      </c>
      <c r="G371" s="95" t="str">
        <f>IFERROR(IF(venta_a_mes11[[#This Row],[CUIT]]="","-",VLOOKUP(venta_a_mes11[[#This Row],[CUIT]],Lista_CUIT[#All],2,0)),"CUIT NO CARGADO")</f>
        <v>CENTRO DE EMPLEADOS DE COMERCIO ZONA NORTE</v>
      </c>
      <c r="H371" s="96">
        <v>5256.2</v>
      </c>
      <c r="I371" s="97">
        <f>venta_a_mes11[[#This Row],[IMPORTE NETO]]*0.21</f>
        <v>1103.8019999999999</v>
      </c>
      <c r="J371" s="61"/>
      <c r="K371" s="61"/>
      <c r="L371" s="61">
        <f>SUM(venta_a_mes11[[#This Row],[IMPORTE NETO]:[EXENTO]])</f>
        <v>6360.0019999999995</v>
      </c>
      <c r="M371" s="55"/>
    </row>
    <row r="372" spans="2:13" x14ac:dyDescent="0.3">
      <c r="B372" s="105">
        <v>44851</v>
      </c>
      <c r="C372" s="106">
        <v>1</v>
      </c>
      <c r="D372" s="107">
        <v>12</v>
      </c>
      <c r="E372" s="108">
        <v>1172</v>
      </c>
      <c r="F372" s="251">
        <v>27175380146</v>
      </c>
      <c r="G372" s="95" t="str">
        <f>IFERROR(IF(venta_a_mes11[[#This Row],[CUIT]]="","-",VLOOKUP(venta_a_mes11[[#This Row],[CUIT]],Lista_CUIT[#All],2,0)),"CUIT NO CARGADO")</f>
        <v>CALICCHIO MARIA ANDREA</v>
      </c>
      <c r="H372" s="96">
        <v>6314.05</v>
      </c>
      <c r="I372" s="97">
        <f>venta_a_mes11[[#This Row],[IMPORTE NETO]]*0.21</f>
        <v>1325.9504999999999</v>
      </c>
      <c r="J372" s="61"/>
      <c r="K372" s="61"/>
      <c r="L372" s="61">
        <f>SUM(venta_a_mes11[[#This Row],[IMPORTE NETO]:[EXENTO]])</f>
        <v>7640.0005000000001</v>
      </c>
      <c r="M372" s="55"/>
    </row>
    <row r="373" spans="2:13" x14ac:dyDescent="0.3">
      <c r="B373" s="105">
        <v>44851</v>
      </c>
      <c r="C373" s="106">
        <v>1</v>
      </c>
      <c r="D373" s="107">
        <v>12</v>
      </c>
      <c r="E373" s="108">
        <v>1173</v>
      </c>
      <c r="F373" s="251">
        <v>27175380146</v>
      </c>
      <c r="G373" s="95" t="str">
        <f>IFERROR(IF(venta_a_mes11[[#This Row],[CUIT]]="","-",VLOOKUP(venta_a_mes11[[#This Row],[CUIT]],Lista_CUIT[#All],2,0)),"CUIT NO CARGADO")</f>
        <v>CALICCHIO MARIA ANDREA</v>
      </c>
      <c r="H373" s="96">
        <v>2281</v>
      </c>
      <c r="I373" s="97">
        <f>venta_a_mes11[[#This Row],[IMPORTE NETO]]*0.21</f>
        <v>479.01</v>
      </c>
      <c r="J373" s="61"/>
      <c r="K373" s="61"/>
      <c r="L373" s="61">
        <f>SUM(venta_a_mes11[[#This Row],[IMPORTE NETO]:[EXENTO]])</f>
        <v>2760.01</v>
      </c>
      <c r="M373" s="55"/>
    </row>
    <row r="374" spans="2:13" x14ac:dyDescent="0.3">
      <c r="B374" s="105">
        <v>44851</v>
      </c>
      <c r="C374" s="106">
        <v>1</v>
      </c>
      <c r="D374" s="107">
        <v>12</v>
      </c>
      <c r="E374" s="108">
        <v>1174</v>
      </c>
      <c r="F374" s="251">
        <v>27175380146</v>
      </c>
      <c r="G374" s="95" t="str">
        <f>IFERROR(IF(venta_a_mes11[[#This Row],[CUIT]]="","-",VLOOKUP(venta_a_mes11[[#This Row],[CUIT]],Lista_CUIT[#All],2,0)),"CUIT NO CARGADO")</f>
        <v>CALICCHIO MARIA ANDREA</v>
      </c>
      <c r="H374" s="96">
        <v>1090.9100000000001</v>
      </c>
      <c r="I374" s="97">
        <f>venta_a_mes11[[#This Row],[IMPORTE NETO]]*0.21</f>
        <v>229.09110000000001</v>
      </c>
      <c r="J374" s="61"/>
      <c r="K374" s="61"/>
      <c r="L374" s="61">
        <f>SUM(venta_a_mes11[[#This Row],[IMPORTE NETO]:[EXENTO]])</f>
        <v>1320.0011000000002</v>
      </c>
      <c r="M374" s="55"/>
    </row>
    <row r="375" spans="2:13" x14ac:dyDescent="0.3">
      <c r="B375" s="105">
        <v>44853</v>
      </c>
      <c r="C375" s="106">
        <v>1</v>
      </c>
      <c r="D375" s="107">
        <v>12</v>
      </c>
      <c r="E375" s="108">
        <v>1175</v>
      </c>
      <c r="F375" s="251">
        <v>30715705946</v>
      </c>
      <c r="G375" s="95" t="str">
        <f>IFERROR(IF(venta_a_mes11[[#This Row],[CUIT]]="","-",VLOOKUP(venta_a_mes11[[#This Row],[CUIT]],Lista_CUIT[#All],2,0)),"CUIT NO CARGADO")</f>
        <v>MEDICINA Y ARTE S.R.L.</v>
      </c>
      <c r="H375" s="96">
        <v>19177.689999999999</v>
      </c>
      <c r="I375" s="97">
        <f>venta_a_mes11[[#This Row],[IMPORTE NETO]]*0.21</f>
        <v>4027.3148999999994</v>
      </c>
      <c r="J375" s="61"/>
      <c r="K375" s="61"/>
      <c r="L375" s="61">
        <f>SUM(venta_a_mes11[[#This Row],[IMPORTE NETO]:[EXENTO]])</f>
        <v>23205.0049</v>
      </c>
      <c r="M375" s="55"/>
    </row>
    <row r="376" spans="2:13" x14ac:dyDescent="0.3">
      <c r="B376" s="105">
        <v>44853</v>
      </c>
      <c r="C376" s="106">
        <v>1</v>
      </c>
      <c r="D376" s="107">
        <v>12</v>
      </c>
      <c r="E376" s="108">
        <v>1176</v>
      </c>
      <c r="F376" s="251">
        <v>30715802429</v>
      </c>
      <c r="G376" s="95" t="str">
        <f>IFERROR(IF(venta_a_mes11[[#This Row],[CUIT]]="","-",VLOOKUP(venta_a_mes11[[#This Row],[CUIT]],Lista_CUIT[#All],2,0)),"CUIT NO CARGADO")</f>
        <v>CUIT NO CARGADO</v>
      </c>
      <c r="H376" s="96">
        <v>15967.36</v>
      </c>
      <c r="I376" s="97">
        <f>venta_a_mes11[[#This Row],[IMPORTE NETO]]*0.21</f>
        <v>3353.1455999999998</v>
      </c>
      <c r="J376" s="61"/>
      <c r="K376" s="61"/>
      <c r="L376" s="61">
        <f>SUM(venta_a_mes11[[#This Row],[IMPORTE NETO]:[EXENTO]])</f>
        <v>19320.5056</v>
      </c>
      <c r="M376" s="55"/>
    </row>
    <row r="377" spans="2:13" x14ac:dyDescent="0.3">
      <c r="B377" s="105">
        <v>44856</v>
      </c>
      <c r="C377" s="106">
        <v>1</v>
      </c>
      <c r="D377" s="107">
        <v>12</v>
      </c>
      <c r="E377" s="108">
        <v>1177</v>
      </c>
      <c r="F377" s="251">
        <v>27175380146</v>
      </c>
      <c r="G377" s="95" t="str">
        <f>IFERROR(IF(venta_a_mes11[[#This Row],[CUIT]]="","-",VLOOKUP(venta_a_mes11[[#This Row],[CUIT]],Lista_CUIT[#All],2,0)),"CUIT NO CARGADO")</f>
        <v>CALICCHIO MARIA ANDREA</v>
      </c>
      <c r="H377" s="96">
        <v>20990.09</v>
      </c>
      <c r="I377" s="97">
        <f>venta_a_mes11[[#This Row],[IMPORTE NETO]]*0.21</f>
        <v>4407.9188999999997</v>
      </c>
      <c r="J377" s="61"/>
      <c r="K377" s="61"/>
      <c r="L377" s="61">
        <f>SUM(venta_a_mes11[[#This Row],[IMPORTE NETO]:[EXENTO]])</f>
        <v>25398.008900000001</v>
      </c>
      <c r="M377" s="55"/>
    </row>
    <row r="378" spans="2:13" x14ac:dyDescent="0.3">
      <c r="B378" s="105">
        <v>44858</v>
      </c>
      <c r="C378" s="106">
        <v>1</v>
      </c>
      <c r="D378" s="107">
        <v>12</v>
      </c>
      <c r="E378" s="108">
        <v>1178</v>
      </c>
      <c r="F378" s="251">
        <v>27175380146</v>
      </c>
      <c r="G378" s="95" t="str">
        <f>IFERROR(IF(venta_a_mes11[[#This Row],[CUIT]]="","-",VLOOKUP(venta_a_mes11[[#This Row],[CUIT]],Lista_CUIT[#All],2,0)),"CUIT NO CARGADO")</f>
        <v>CALICCHIO MARIA ANDREA</v>
      </c>
      <c r="H378" s="96">
        <v>7376.03</v>
      </c>
      <c r="I378" s="97">
        <f>venta_a_mes11[[#This Row],[IMPORTE NETO]]*0.21</f>
        <v>1548.9662999999998</v>
      </c>
      <c r="J378" s="61"/>
      <c r="K378" s="61"/>
      <c r="L378" s="61">
        <f>SUM(venta_a_mes11[[#This Row],[IMPORTE NETO]:[EXENTO]])</f>
        <v>8924.9962999999989</v>
      </c>
      <c r="M378" s="55"/>
    </row>
    <row r="379" spans="2:13" x14ac:dyDescent="0.3">
      <c r="B379" s="105">
        <v>44858</v>
      </c>
      <c r="C379" s="106">
        <v>1</v>
      </c>
      <c r="D379" s="107">
        <v>12</v>
      </c>
      <c r="E379" s="108">
        <v>1179</v>
      </c>
      <c r="F379" s="251">
        <v>20206659379</v>
      </c>
      <c r="G379" s="95" t="str">
        <f>IFERROR(IF(venta_a_mes11[[#This Row],[CUIT]]="","-",VLOOKUP(venta_a_mes11[[#This Row],[CUIT]],Lista_CUIT[#All],2,0)),"CUIT NO CARGADO")</f>
        <v>VELASCO ALBERTO </v>
      </c>
      <c r="H379" s="96">
        <v>11766.94</v>
      </c>
      <c r="I379" s="97">
        <f>venta_a_mes11[[#This Row],[IMPORTE NETO]]*0.21</f>
        <v>2471.0574000000001</v>
      </c>
      <c r="J379" s="61"/>
      <c r="K379" s="61"/>
      <c r="L379" s="61">
        <f>SUM(venta_a_mes11[[#This Row],[IMPORTE NETO]:[EXENTO]])</f>
        <v>14237.9974</v>
      </c>
      <c r="M379" s="55"/>
    </row>
    <row r="380" spans="2:13" x14ac:dyDescent="0.3">
      <c r="B380" s="105">
        <v>44859</v>
      </c>
      <c r="C380" s="106">
        <v>1</v>
      </c>
      <c r="D380" s="107">
        <v>12</v>
      </c>
      <c r="E380" s="108">
        <v>1180</v>
      </c>
      <c r="F380" s="251">
        <v>27103618792</v>
      </c>
      <c r="G380" s="95" t="str">
        <f>IFERROR(IF(venta_a_mes11[[#This Row],[CUIT]]="","-",VLOOKUP(venta_a_mes11[[#This Row],[CUIT]],Lista_CUIT[#All],2,0)),"CUIT NO CARGADO")</f>
        <v>SOSA MARIA TERESA</v>
      </c>
      <c r="H380" s="96">
        <v>4671.49</v>
      </c>
      <c r="I380" s="97">
        <f>venta_a_mes11[[#This Row],[IMPORTE NETO]]*0.21</f>
        <v>981.01289999999995</v>
      </c>
      <c r="J380" s="61"/>
      <c r="K380" s="61"/>
      <c r="L380" s="61">
        <f>SUM(venta_a_mes11[[#This Row],[IMPORTE NETO]:[EXENTO]])</f>
        <v>5652.5028999999995</v>
      </c>
      <c r="M380" s="55"/>
    </row>
    <row r="381" spans="2:13" x14ac:dyDescent="0.3">
      <c r="B381" s="105">
        <v>44861</v>
      </c>
      <c r="C381" s="106">
        <v>1</v>
      </c>
      <c r="D381" s="107">
        <v>12</v>
      </c>
      <c r="E381" s="108">
        <v>1181</v>
      </c>
      <c r="F381" s="251">
        <v>27172834189</v>
      </c>
      <c r="G381" s="95" t="str">
        <f>IFERROR(IF(venta_a_mes11[[#This Row],[CUIT]]="","-",VLOOKUP(venta_a_mes11[[#This Row],[CUIT]],Lista_CUIT[#All],2,0)),"CUIT NO CARGADO")</f>
        <v>BESSONE ADRIANA</v>
      </c>
      <c r="H381" s="96">
        <v>6743.8</v>
      </c>
      <c r="I381" s="97">
        <f>venta_a_mes11[[#This Row],[IMPORTE NETO]]*0.21</f>
        <v>1416.1980000000001</v>
      </c>
      <c r="J381" s="61"/>
      <c r="K381" s="61"/>
      <c r="L381" s="61">
        <f>SUM(venta_a_mes11[[#This Row],[IMPORTE NETO]:[EXENTO]])</f>
        <v>8159.9980000000005</v>
      </c>
      <c r="M381" s="55"/>
    </row>
    <row r="382" spans="2:13" x14ac:dyDescent="0.3">
      <c r="B382" s="105">
        <v>44861</v>
      </c>
      <c r="C382" s="106">
        <v>1</v>
      </c>
      <c r="D382" s="107">
        <v>12</v>
      </c>
      <c r="E382" s="108">
        <v>1182</v>
      </c>
      <c r="F382" s="251">
        <v>30708023910</v>
      </c>
      <c r="G382" s="95" t="str">
        <f>IFERROR(IF(venta_a_mes11[[#This Row],[CUIT]]="","-",VLOOKUP(venta_a_mes11[[#This Row],[CUIT]],Lista_CUIT[#All],2,0)),"CUIT NO CARGADO")</f>
        <v>IPMAG S.A. </v>
      </c>
      <c r="H382" s="96">
        <v>8851.24</v>
      </c>
      <c r="I382" s="97">
        <f>venta_a_mes11[[#This Row],[IMPORTE NETO]]*0.21</f>
        <v>1858.7603999999999</v>
      </c>
      <c r="J382" s="61"/>
      <c r="K382" s="61"/>
      <c r="L382" s="61">
        <f>SUM(venta_a_mes11[[#This Row],[IMPORTE NETO]:[EXENTO]])</f>
        <v>10710.000399999999</v>
      </c>
      <c r="M382" s="55"/>
    </row>
    <row r="383" spans="2:13" x14ac:dyDescent="0.3">
      <c r="B383" s="105">
        <v>44861</v>
      </c>
      <c r="C383" s="106">
        <v>1</v>
      </c>
      <c r="D383" s="107">
        <v>12</v>
      </c>
      <c r="E383" s="108">
        <v>1183</v>
      </c>
      <c r="F383" s="251">
        <v>30708023910</v>
      </c>
      <c r="G383" s="95" t="str">
        <f>IFERROR(IF(venta_a_mes11[[#This Row],[CUIT]]="","-",VLOOKUP(venta_a_mes11[[#This Row],[CUIT]],Lista_CUIT[#All],2,0)),"CUIT NO CARGADO")</f>
        <v>IPMAG S.A. </v>
      </c>
      <c r="H383" s="96">
        <v>5064.88</v>
      </c>
      <c r="I383" s="97">
        <f>venta_a_mes11[[#This Row],[IMPORTE NETO]]*0.21</f>
        <v>1063.6248000000001</v>
      </c>
      <c r="J383" s="61"/>
      <c r="K383" s="61"/>
      <c r="L383" s="61">
        <f>SUM(venta_a_mes11[[#This Row],[IMPORTE NETO]:[EXENTO]])</f>
        <v>6128.5048000000006</v>
      </c>
      <c r="M383" s="55"/>
    </row>
    <row r="384" spans="2:13" x14ac:dyDescent="0.3">
      <c r="B384" s="105">
        <v>44863</v>
      </c>
      <c r="C384" s="106">
        <v>1</v>
      </c>
      <c r="D384" s="107">
        <v>12</v>
      </c>
      <c r="E384" s="108">
        <v>1184</v>
      </c>
      <c r="F384" s="251">
        <v>20206005042</v>
      </c>
      <c r="G384" s="95" t="str">
        <f>IFERROR(IF(venta_a_mes11[[#This Row],[CUIT]]="","-",VLOOKUP(venta_a_mes11[[#This Row],[CUIT]],Lista_CUIT[#All],2,0)),"CUIT NO CARGADO")</f>
        <v>Damia Omar Pablo Alejandro </v>
      </c>
      <c r="H384" s="96">
        <v>20112.41</v>
      </c>
      <c r="I384" s="97">
        <f>venta_a_mes11[[#This Row],[IMPORTE NETO]]*0.21</f>
        <v>4223.6061</v>
      </c>
      <c r="J384" s="61"/>
      <c r="K384" s="61"/>
      <c r="L384" s="61">
        <f>SUM(venta_a_mes11[[#This Row],[IMPORTE NETO]:[EXENTO]])</f>
        <v>24336.016100000001</v>
      </c>
      <c r="M384" s="55"/>
    </row>
    <row r="385" spans="2:13" x14ac:dyDescent="0.3">
      <c r="B385" s="105">
        <v>44865</v>
      </c>
      <c r="C385" s="106">
        <v>1</v>
      </c>
      <c r="D385" s="107">
        <v>12</v>
      </c>
      <c r="E385" s="108">
        <v>1185</v>
      </c>
      <c r="F385" s="251">
        <v>27262800135</v>
      </c>
      <c r="G385" s="95" t="str">
        <f>IFERROR(IF(venta_a_mes11[[#This Row],[CUIT]]="","-",VLOOKUP(venta_a_mes11[[#This Row],[CUIT]],Lista_CUIT[#All],2,0)),"CUIT NO CARGADO")</f>
        <v>CUIT NO CARGADO</v>
      </c>
      <c r="H385" s="96">
        <v>7010.74</v>
      </c>
      <c r="I385" s="97">
        <f>venta_a_mes11[[#This Row],[IMPORTE NETO]]*0.21</f>
        <v>1472.2554</v>
      </c>
      <c r="J385" s="61"/>
      <c r="K385" s="61"/>
      <c r="L385" s="61">
        <f>SUM(venta_a_mes11[[#This Row],[IMPORTE NETO]:[EXENTO]])</f>
        <v>8482.9953999999998</v>
      </c>
      <c r="M385" s="55"/>
    </row>
    <row r="386" spans="2:13" x14ac:dyDescent="0.3">
      <c r="B386" s="105">
        <v>44865</v>
      </c>
      <c r="C386" s="106">
        <v>1</v>
      </c>
      <c r="D386" s="107">
        <v>12</v>
      </c>
      <c r="E386" s="108">
        <v>1186</v>
      </c>
      <c r="F386" s="251">
        <v>30708023910</v>
      </c>
      <c r="G386" s="95" t="str">
        <f>IFERROR(IF(venta_a_mes11[[#This Row],[CUIT]]="","-",VLOOKUP(venta_a_mes11[[#This Row],[CUIT]],Lista_CUIT[#All],2,0)),"CUIT NO CARGADO")</f>
        <v>IPMAG S.A. </v>
      </c>
      <c r="H386" s="96">
        <v>2276.0300000000002</v>
      </c>
      <c r="I386" s="97">
        <f>venta_a_mes11[[#This Row],[IMPORTE NETO]]*0.21</f>
        <v>477.96630000000005</v>
      </c>
      <c r="J386" s="61"/>
      <c r="K386" s="61"/>
      <c r="L386" s="61">
        <f>SUM(venta_a_mes11[[#This Row],[IMPORTE NETO]:[EXENTO]])</f>
        <v>2753.9963000000002</v>
      </c>
      <c r="M386" s="55"/>
    </row>
    <row r="387" spans="2:13" x14ac:dyDescent="0.3">
      <c r="B387" s="105">
        <v>44848</v>
      </c>
      <c r="C387" s="106">
        <v>1</v>
      </c>
      <c r="D387" s="107">
        <v>13</v>
      </c>
      <c r="E387" s="108">
        <v>1075</v>
      </c>
      <c r="F387" s="251">
        <v>30710144830</v>
      </c>
      <c r="G387" s="95" t="str">
        <f>IFERROR(IF(venta_a_mes11[[#This Row],[CUIT]]="","-",VLOOKUP(venta_a_mes11[[#This Row],[CUIT]],Lista_CUIT[#All],2,0)),"CUIT NO CARGADO")</f>
        <v>SEGURA HARO OMAR Y JARA FERNANDEZ MIRYAM S.H.</v>
      </c>
      <c r="H387" s="96">
        <v>2774.79</v>
      </c>
      <c r="I387" s="97">
        <f>venta_a_mes11[[#This Row],[IMPORTE NETO]]*0.21</f>
        <v>582.70589999999993</v>
      </c>
      <c r="J387" s="61"/>
      <c r="K387" s="61"/>
      <c r="L387" s="61">
        <f>SUM(venta_a_mes11[[#This Row],[IMPORTE NETO]:[EXENTO]])</f>
        <v>3357.4958999999999</v>
      </c>
      <c r="M387" s="55"/>
    </row>
    <row r="388" spans="2:13" x14ac:dyDescent="0.3">
      <c r="B388" s="105">
        <v>44855</v>
      </c>
      <c r="C388" s="106">
        <v>1</v>
      </c>
      <c r="D388" s="107">
        <v>13</v>
      </c>
      <c r="E388" s="108">
        <v>1076</v>
      </c>
      <c r="F388" s="251">
        <v>30709043117</v>
      </c>
      <c r="G388" s="95" t="str">
        <f>IFERROR(IF(venta_a_mes11[[#This Row],[CUIT]]="","-",VLOOKUP(venta_a_mes11[[#This Row],[CUIT]],Lista_CUIT[#All],2,0)),"CUIT NO CARGADO")</f>
        <v>CUIT NO CARGADO</v>
      </c>
      <c r="H388" s="96">
        <v>8219.01</v>
      </c>
      <c r="I388" s="97">
        <f>venta_a_mes11[[#This Row],[IMPORTE NETO]]*0.21</f>
        <v>1725.9920999999999</v>
      </c>
      <c r="J388" s="61"/>
      <c r="K388" s="61"/>
      <c r="L388" s="61">
        <f>SUM(venta_a_mes11[[#This Row],[IMPORTE NETO]:[EXENTO]])</f>
        <v>9945.0020999999997</v>
      </c>
      <c r="M388" s="55"/>
    </row>
    <row r="389" spans="2:13" x14ac:dyDescent="0.3">
      <c r="B389" s="105">
        <v>44855</v>
      </c>
      <c r="C389" s="106">
        <v>1</v>
      </c>
      <c r="D389" s="107">
        <v>13</v>
      </c>
      <c r="E389" s="108">
        <v>1077</v>
      </c>
      <c r="F389" s="251">
        <v>30710144830</v>
      </c>
      <c r="G389" s="95" t="str">
        <f>IFERROR(IF(venta_a_mes11[[#This Row],[CUIT]]="","-",VLOOKUP(venta_a_mes11[[#This Row],[CUIT]],Lista_CUIT[#All],2,0)),"CUIT NO CARGADO")</f>
        <v>SEGURA HARO OMAR Y JARA FERNANDEZ MIRYAM S.H.</v>
      </c>
      <c r="H389" s="250">
        <v>1138.01</v>
      </c>
      <c r="I389" s="97">
        <f>venta_a_mes11[[#This Row],[IMPORTE NETO]]*0.21</f>
        <v>238.9821</v>
      </c>
      <c r="J389" s="61"/>
      <c r="K389" s="61"/>
      <c r="L389" s="61">
        <f>SUM(venta_a_mes11[[#This Row],[IMPORTE NETO]:[EXENTO]])</f>
        <v>1376.9920999999999</v>
      </c>
      <c r="M389" s="55"/>
    </row>
    <row r="390" spans="2:13" x14ac:dyDescent="0.3">
      <c r="B390" s="105">
        <v>44862</v>
      </c>
      <c r="C390" s="106">
        <v>1</v>
      </c>
      <c r="D390" s="107">
        <v>13</v>
      </c>
      <c r="E390" s="108">
        <v>1078</v>
      </c>
      <c r="F390" s="251">
        <v>30710144830</v>
      </c>
      <c r="G390" s="95" t="str">
        <f>IFERROR(IF(venta_a_mes11[[#This Row],[CUIT]]="","-",VLOOKUP(venta_a_mes11[[#This Row],[CUIT]],Lista_CUIT[#All],2,0)),"CUIT NO CARGADO")</f>
        <v>SEGURA HARO OMAR Y JARA FERNANDEZ MIRYAM S.H.</v>
      </c>
      <c r="H390" s="250">
        <v>4601.24</v>
      </c>
      <c r="I390" s="97">
        <f>venta_a_mes11[[#This Row],[IMPORTE NETO]]*0.21</f>
        <v>966.26039999999989</v>
      </c>
      <c r="J390" s="61"/>
      <c r="K390" s="61"/>
      <c r="L390" s="61">
        <f>SUM(venta_a_mes11[[#This Row],[IMPORTE NETO]:[EXENTO]])</f>
        <v>5567.5003999999999</v>
      </c>
      <c r="M390" s="55"/>
    </row>
    <row r="391" spans="2:13" x14ac:dyDescent="0.3">
      <c r="B391" s="105">
        <v>44863</v>
      </c>
      <c r="C391" s="106">
        <v>1</v>
      </c>
      <c r="D391" s="107">
        <v>13</v>
      </c>
      <c r="E391" s="108">
        <v>1079</v>
      </c>
      <c r="F391" s="251">
        <v>27059572666</v>
      </c>
      <c r="G391" s="95" t="str">
        <f>IFERROR(IF(venta_a_mes11[[#This Row],[CUIT]]="","-",VLOOKUP(venta_a_mes11[[#This Row],[CUIT]],Lista_CUIT[#All],2,0)),"CUIT NO CARGADO")</f>
        <v>ALEVATTO STELLA MARIS </v>
      </c>
      <c r="H391" s="250">
        <v>5626.03</v>
      </c>
      <c r="I391" s="97">
        <f>venta_a_mes11[[#This Row],[IMPORTE NETO]]*0.21</f>
        <v>1181.4662999999998</v>
      </c>
      <c r="J391" s="61"/>
      <c r="K391" s="61"/>
      <c r="L391" s="61">
        <f>SUM(venta_a_mes11[[#This Row],[IMPORTE NETO]:[EXENTO]])</f>
        <v>6807.4962999999998</v>
      </c>
      <c r="M391" s="55"/>
    </row>
    <row r="392" spans="2:13" x14ac:dyDescent="0.3">
      <c r="B392" s="105">
        <v>44855</v>
      </c>
      <c r="C392" s="106">
        <v>1</v>
      </c>
      <c r="D392" s="107">
        <v>15</v>
      </c>
      <c r="E392" s="108">
        <v>221</v>
      </c>
      <c r="F392" s="251">
        <v>30715701975</v>
      </c>
      <c r="G392" s="95" t="str">
        <f>IFERROR(IF(venta_a_mes11[[#This Row],[CUIT]]="","-",VLOOKUP(venta_a_mes11[[#This Row],[CUIT]],Lista_CUIT[#All],2,0)),"CUIT NO CARGADO")</f>
        <v>Sociedad calvi y Fernandez sociedad ley 19750</v>
      </c>
      <c r="H392" s="250">
        <v>3969.01</v>
      </c>
      <c r="I392" s="97">
        <f>venta_a_mes11[[#This Row],[IMPORTE NETO]]*0.21</f>
        <v>833.49210000000005</v>
      </c>
      <c r="J392" s="61"/>
      <c r="K392" s="61"/>
      <c r="L392" s="61">
        <f>SUM(venta_a_mes11[[#This Row],[IMPORTE NETO]:[EXENTO]])</f>
        <v>4802.5021000000006</v>
      </c>
      <c r="M392" s="55"/>
    </row>
    <row r="393" spans="2:13" x14ac:dyDescent="0.3">
      <c r="B393" s="105">
        <v>44856</v>
      </c>
      <c r="C393" s="106">
        <v>1</v>
      </c>
      <c r="D393" s="107">
        <v>15</v>
      </c>
      <c r="E393" s="108">
        <v>222</v>
      </c>
      <c r="F393" s="251">
        <v>30715701975</v>
      </c>
      <c r="G393" s="95" t="str">
        <f>IFERROR(IF(venta_a_mes11[[#This Row],[CUIT]]="","-",VLOOKUP(venta_a_mes11[[#This Row],[CUIT]],Lista_CUIT[#All],2,0)),"CUIT NO CARGADO")</f>
        <v>Sociedad calvi y Fernandez sociedad ley 19750</v>
      </c>
      <c r="H393" s="250">
        <v>1194.21</v>
      </c>
      <c r="I393" s="97">
        <f>venta_a_mes11[[#This Row],[IMPORTE NETO]]*0.21</f>
        <v>250.7841</v>
      </c>
      <c r="J393" s="61"/>
      <c r="K393" s="61"/>
      <c r="L393" s="61">
        <f>SUM(venta_a_mes11[[#This Row],[IMPORTE NETO]:[EXENTO]])</f>
        <v>1444.9941000000001</v>
      </c>
      <c r="M393" s="55"/>
    </row>
    <row r="394" spans="2:13" x14ac:dyDescent="0.3">
      <c r="B394" s="105"/>
      <c r="C394" s="106"/>
      <c r="D394" s="107"/>
      <c r="E394" s="108"/>
      <c r="F394" s="109"/>
      <c r="G394" s="95" t="str">
        <f>IFERROR(IF(venta_a_mes11[[#This Row],[CUIT]]="","-",VLOOKUP(venta_a_mes11[[#This Row],[CUIT]],Lista_CUIT[#All],2,0)),"CUIT NO CARGADO")</f>
        <v>-</v>
      </c>
      <c r="H394" s="96"/>
      <c r="I394" s="97">
        <f>venta_a_mes11[[#This Row],[IMPORTE NETO]]*0.21</f>
        <v>0</v>
      </c>
      <c r="J394" s="61"/>
      <c r="K394" s="61"/>
      <c r="L394" s="61">
        <f>SUM(venta_a_mes11[[#This Row],[IMPORTE NETO]:[EXENTO]])</f>
        <v>0</v>
      </c>
      <c r="M394" s="55"/>
    </row>
    <row r="395" spans="2:13" x14ac:dyDescent="0.3">
      <c r="B395" s="105"/>
      <c r="C395" s="106"/>
      <c r="D395" s="107"/>
      <c r="E395" s="108"/>
      <c r="F395" s="109"/>
      <c r="G395" s="95" t="str">
        <f>IFERROR(IF(venta_a_mes11[[#This Row],[CUIT]]="","-",VLOOKUP(venta_a_mes11[[#This Row],[CUIT]],Lista_CUIT[#All],2,0)),"CUIT NO CARGADO")</f>
        <v>-</v>
      </c>
      <c r="H395" s="96"/>
      <c r="I395" s="97">
        <f>venta_a_mes11[[#This Row],[IMPORTE NETO]]*0.21</f>
        <v>0</v>
      </c>
      <c r="J395" s="61"/>
      <c r="K395" s="61"/>
      <c r="L395" s="61">
        <f>SUM(venta_a_mes11[[#This Row],[IMPORTE NETO]:[EXENTO]])</f>
        <v>0</v>
      </c>
      <c r="M395" s="55"/>
    </row>
    <row r="396" spans="2:13" x14ac:dyDescent="0.3">
      <c r="B396" s="105"/>
      <c r="C396" s="106"/>
      <c r="D396" s="107"/>
      <c r="E396" s="108"/>
      <c r="F396" s="109"/>
      <c r="G396" s="95" t="str">
        <f>IFERROR(IF(venta_a_mes11[[#This Row],[CUIT]]="","-",VLOOKUP(venta_a_mes11[[#This Row],[CUIT]],Lista_CUIT[#All],2,0)),"CUIT NO CARGADO")</f>
        <v>-</v>
      </c>
      <c r="H396" s="96"/>
      <c r="I396" s="97">
        <f>venta_a_mes11[[#This Row],[IMPORTE NETO]]*0.21</f>
        <v>0</v>
      </c>
      <c r="J396" s="61"/>
      <c r="K396" s="61"/>
      <c r="L396" s="61">
        <f>SUM(venta_a_mes11[[#This Row],[IMPORTE NETO]:[EXENTO]])</f>
        <v>0</v>
      </c>
      <c r="M396" s="55"/>
    </row>
    <row r="397" spans="2:13" x14ac:dyDescent="0.3">
      <c r="B397" s="105"/>
      <c r="C397" s="106"/>
      <c r="D397" s="107"/>
      <c r="E397" s="108"/>
      <c r="F397" s="109"/>
      <c r="G397" s="95" t="str">
        <f>IFERROR(IF(venta_a_mes11[[#This Row],[CUIT]]="","-",VLOOKUP(venta_a_mes11[[#This Row],[CUIT]],Lista_CUIT[#All],2,0)),"CUIT NO CARGADO")</f>
        <v>-</v>
      </c>
      <c r="H397" s="96"/>
      <c r="I397" s="97">
        <f>venta_a_mes11[[#This Row],[IMPORTE NETO]]*0.21</f>
        <v>0</v>
      </c>
      <c r="J397" s="61"/>
      <c r="K397" s="61"/>
      <c r="L397" s="61">
        <f>SUM(venta_a_mes11[[#This Row],[IMPORTE NETO]:[EXENTO]])</f>
        <v>0</v>
      </c>
      <c r="M397" s="55"/>
    </row>
    <row r="398" spans="2:13" x14ac:dyDescent="0.3">
      <c r="B398" s="105"/>
      <c r="C398" s="106"/>
      <c r="D398" s="107"/>
      <c r="E398" s="108"/>
      <c r="F398" s="109"/>
      <c r="G398" s="95" t="str">
        <f>IFERROR(IF(venta_a_mes11[[#This Row],[CUIT]]="","-",VLOOKUP(venta_a_mes11[[#This Row],[CUIT]],Lista_CUIT[#All],2,0)),"CUIT NO CARGADO")</f>
        <v>-</v>
      </c>
      <c r="H398" s="96"/>
      <c r="I398" s="97">
        <f>venta_a_mes11[[#This Row],[IMPORTE NETO]]*0.21</f>
        <v>0</v>
      </c>
      <c r="J398" s="61"/>
      <c r="K398" s="61"/>
      <c r="L398" s="61">
        <f>SUM(venta_a_mes11[[#This Row],[IMPORTE NETO]:[EXENTO]])</f>
        <v>0</v>
      </c>
      <c r="M398" s="55"/>
    </row>
    <row r="399" spans="2:13" x14ac:dyDescent="0.3">
      <c r="B399" s="105"/>
      <c r="C399" s="106"/>
      <c r="D399" s="107"/>
      <c r="E399" s="108"/>
      <c r="F399" s="109"/>
      <c r="G399" s="95" t="str">
        <f>IFERROR(IF(venta_a_mes11[[#This Row],[CUIT]]="","-",VLOOKUP(venta_a_mes11[[#This Row],[CUIT]],Lista_CUIT[#All],2,0)),"CUIT NO CARGADO")</f>
        <v>-</v>
      </c>
      <c r="H399" s="96"/>
      <c r="I399" s="97">
        <f>venta_a_mes11[[#This Row],[IMPORTE NETO]]*0.21</f>
        <v>0</v>
      </c>
      <c r="J399" s="61"/>
      <c r="K399" s="61"/>
      <c r="L399" s="61">
        <f>SUM(venta_a_mes11[[#This Row],[IMPORTE NETO]:[EXENTO]])</f>
        <v>0</v>
      </c>
      <c r="M399" s="55"/>
    </row>
    <row r="400" spans="2:13" x14ac:dyDescent="0.3">
      <c r="B400" s="105"/>
      <c r="C400" s="106"/>
      <c r="D400" s="107"/>
      <c r="E400" s="108"/>
      <c r="F400" s="109"/>
      <c r="G400" s="95" t="str">
        <f>IFERROR(IF(venta_a_mes11[[#This Row],[CUIT]]="","-",VLOOKUP(venta_a_mes11[[#This Row],[CUIT]],Lista_CUIT[#All],2,0)),"CUIT NO CARGADO")</f>
        <v>-</v>
      </c>
      <c r="H400" s="96"/>
      <c r="I400" s="97">
        <f>venta_a_mes11[[#This Row],[IMPORTE NETO]]*0.21</f>
        <v>0</v>
      </c>
      <c r="J400" s="61"/>
      <c r="K400" s="61"/>
      <c r="L400" s="61">
        <f>SUM(venta_a_mes11[[#This Row],[IMPORTE NETO]:[EXENTO]])</f>
        <v>0</v>
      </c>
      <c r="M400" s="55"/>
    </row>
    <row r="401" spans="2:13" x14ac:dyDescent="0.3">
      <c r="B401" s="105"/>
      <c r="C401" s="106"/>
      <c r="D401" s="107"/>
      <c r="E401" s="108"/>
      <c r="F401" s="109"/>
      <c r="G401" s="95" t="str">
        <f>IFERROR(IF(venta_a_mes11[[#This Row],[CUIT]]="","-",VLOOKUP(venta_a_mes11[[#This Row],[CUIT]],Lista_CUIT[#All],2,0)),"CUIT NO CARGADO")</f>
        <v>-</v>
      </c>
      <c r="H401" s="96"/>
      <c r="I401" s="97">
        <f>venta_a_mes11[[#This Row],[IMPORTE NETO]]*0.21</f>
        <v>0</v>
      </c>
      <c r="J401" s="61"/>
      <c r="K401" s="61"/>
      <c r="L401" s="61">
        <f>SUM(venta_a_mes11[[#This Row],[IMPORTE NETO]:[EXENTO]])</f>
        <v>0</v>
      </c>
      <c r="M401" s="55"/>
    </row>
    <row r="402" spans="2:13" x14ac:dyDescent="0.3">
      <c r="B402" s="105"/>
      <c r="C402" s="106"/>
      <c r="D402" s="107"/>
      <c r="E402" s="108"/>
      <c r="F402" s="109"/>
      <c r="G402" s="95" t="str">
        <f>IFERROR(IF(venta_a_mes11[[#This Row],[CUIT]]="","-",VLOOKUP(venta_a_mes11[[#This Row],[CUIT]],Lista_CUIT[#All],2,0)),"CUIT NO CARGADO")</f>
        <v>-</v>
      </c>
      <c r="H402" s="96"/>
      <c r="I402" s="97">
        <f>venta_a_mes11[[#This Row],[IMPORTE NETO]]*0.21</f>
        <v>0</v>
      </c>
      <c r="J402" s="61"/>
      <c r="K402" s="61"/>
      <c r="L402" s="61">
        <f>SUM(venta_a_mes11[[#This Row],[IMPORTE NETO]:[EXENTO]])</f>
        <v>0</v>
      </c>
      <c r="M402" s="55"/>
    </row>
    <row r="403" spans="2:13" x14ac:dyDescent="0.3">
      <c r="B403" s="62" t="s">
        <v>83</v>
      </c>
      <c r="C403" s="63"/>
      <c r="D403" s="63"/>
      <c r="E403" s="63"/>
      <c r="F403" s="63"/>
      <c r="G403" s="63"/>
      <c r="H403" s="65">
        <f>SUBTOTAL(109,venta_a_mes11[IMPORTE NETO])</f>
        <v>7765038.3299999982</v>
      </c>
      <c r="I403" s="66">
        <f>SUBTOTAL(109,venta_a_mes11[IVA 21%])</f>
        <v>1621389.0650999995</v>
      </c>
      <c r="J403" s="67">
        <f>SUBTOTAL(109,venta_a_mes11[IVA 10,5%])</f>
        <v>0</v>
      </c>
      <c r="K403" s="67">
        <f>SUBTOTAL(109,venta_a_mes11[EXENTO])</f>
        <v>0</v>
      </c>
      <c r="L403" s="67">
        <f>SUBTOTAL(109,venta_a_mes11[TOTAL])</f>
        <v>9386427.3950999938</v>
      </c>
      <c r="M403" s="64">
        <f>SUBTOTAL(103,venta_a_mes11[Provincia])</f>
        <v>0</v>
      </c>
    </row>
    <row r="404" spans="2:13" x14ac:dyDescent="0.3">
      <c r="B404" s="238"/>
      <c r="C404" s="238"/>
      <c r="D404" s="238"/>
      <c r="E404" s="238"/>
      <c r="F404" s="238"/>
      <c r="G404" s="238"/>
      <c r="H404" s="240"/>
      <c r="I404" s="241"/>
      <c r="J404" s="242"/>
      <c r="K404" s="242"/>
      <c r="L404" s="242"/>
      <c r="M404" s="239"/>
    </row>
    <row r="405" spans="2:13" ht="21" x14ac:dyDescent="0.3">
      <c r="B405" s="449" t="s">
        <v>31</v>
      </c>
      <c r="C405" s="449"/>
    </row>
    <row r="406" spans="2:13" ht="31.2" x14ac:dyDescent="0.3">
      <c r="B406" s="56" t="s">
        <v>0</v>
      </c>
      <c r="C406" s="57" t="s">
        <v>1</v>
      </c>
      <c r="D406" s="57" t="s">
        <v>21</v>
      </c>
      <c r="E406" s="57" t="s">
        <v>22</v>
      </c>
      <c r="F406" s="57" t="s">
        <v>3</v>
      </c>
      <c r="G406" s="57" t="s">
        <v>4</v>
      </c>
      <c r="H406" s="57" t="s">
        <v>23</v>
      </c>
      <c r="I406" s="57" t="s">
        <v>17</v>
      </c>
      <c r="J406" s="57" t="s">
        <v>7</v>
      </c>
      <c r="K406" s="57" t="s">
        <v>24</v>
      </c>
      <c r="L406" s="57" t="s">
        <v>10</v>
      </c>
      <c r="M406" s="58" t="s">
        <v>38</v>
      </c>
    </row>
    <row r="407" spans="2:13" x14ac:dyDescent="0.3">
      <c r="B407" s="113">
        <v>44838</v>
      </c>
      <c r="C407" s="302">
        <v>8</v>
      </c>
      <c r="D407" s="303">
        <v>13</v>
      </c>
      <c r="E407" s="194">
        <v>653</v>
      </c>
      <c r="F407" s="227">
        <v>16390316</v>
      </c>
      <c r="G407" s="1" t="s">
        <v>236</v>
      </c>
      <c r="H407" s="60">
        <v>-7727.27</v>
      </c>
      <c r="I407" s="228">
        <v>-1622.73</v>
      </c>
      <c r="J407" s="229"/>
      <c r="K407" s="229"/>
      <c r="L407" s="229">
        <f>SUM(ventas_b_mes11[[#This Row],[IMPORTE NETO]:[EXENTO]])</f>
        <v>-9350</v>
      </c>
      <c r="M407" s="55"/>
    </row>
    <row r="408" spans="2:13" x14ac:dyDescent="0.3">
      <c r="B408" s="113">
        <v>44838</v>
      </c>
      <c r="C408" s="302">
        <v>8</v>
      </c>
      <c r="D408" s="303">
        <v>13</v>
      </c>
      <c r="E408" s="194">
        <v>654</v>
      </c>
      <c r="F408" s="227">
        <v>20569293</v>
      </c>
      <c r="G408" s="1" t="s">
        <v>142</v>
      </c>
      <c r="H408" s="60">
        <v>-13045.17</v>
      </c>
      <c r="I408" s="228">
        <v>-2739.49</v>
      </c>
      <c r="J408" s="229"/>
      <c r="K408" s="229"/>
      <c r="L408" s="229">
        <f>SUM(ventas_b_mes11[[#This Row],[IMPORTE NETO]:[EXENTO]])</f>
        <v>-15784.66</v>
      </c>
      <c r="M408" s="55"/>
    </row>
    <row r="409" spans="2:13" x14ac:dyDescent="0.3">
      <c r="B409" s="113">
        <v>44847</v>
      </c>
      <c r="C409" s="302">
        <v>8</v>
      </c>
      <c r="D409" s="303">
        <v>13</v>
      </c>
      <c r="E409" s="194">
        <v>655</v>
      </c>
      <c r="F409" s="227">
        <v>1111</v>
      </c>
      <c r="G409" s="1"/>
      <c r="H409" s="60">
        <v>-30173.54</v>
      </c>
      <c r="I409" s="228">
        <v>-6336.44</v>
      </c>
      <c r="J409" s="229"/>
      <c r="K409" s="229"/>
      <c r="L409" s="229">
        <f>SUM(ventas_b_mes11[[#This Row],[IMPORTE NETO]:[EXENTO]])</f>
        <v>-36509.980000000003</v>
      </c>
      <c r="M409" s="55"/>
    </row>
    <row r="410" spans="2:13" x14ac:dyDescent="0.3">
      <c r="B410" s="113">
        <v>44855</v>
      </c>
      <c r="C410" s="302">
        <v>8</v>
      </c>
      <c r="D410" s="303">
        <v>13</v>
      </c>
      <c r="E410" s="194">
        <v>656</v>
      </c>
      <c r="F410" s="227">
        <v>17503067</v>
      </c>
      <c r="G410" s="1" t="s">
        <v>275</v>
      </c>
      <c r="H410" s="60">
        <v>-1826.45</v>
      </c>
      <c r="I410" s="228">
        <v>-383.55</v>
      </c>
      <c r="J410" s="229"/>
      <c r="K410" s="229"/>
      <c r="L410" s="229">
        <f>SUM(ventas_b_mes11[[#This Row],[IMPORTE NETO]:[EXENTO]])</f>
        <v>-2210</v>
      </c>
      <c r="M410" s="55"/>
    </row>
    <row r="411" spans="2:13" x14ac:dyDescent="0.3">
      <c r="B411" s="113">
        <v>44855</v>
      </c>
      <c r="C411" s="302">
        <v>8</v>
      </c>
      <c r="D411" s="303">
        <v>13</v>
      </c>
      <c r="E411" s="194">
        <v>657</v>
      </c>
      <c r="F411" s="227">
        <v>20569293</v>
      </c>
      <c r="G411" s="1" t="s">
        <v>142</v>
      </c>
      <c r="H411" s="60">
        <v>-3272.73</v>
      </c>
      <c r="I411" s="228">
        <v>-687.27</v>
      </c>
      <c r="J411" s="229"/>
      <c r="K411" s="229"/>
      <c r="L411" s="229">
        <f>SUM(ventas_b_mes11[[#This Row],[IMPORTE NETO]:[EXENTO]])</f>
        <v>-3960</v>
      </c>
      <c r="M411" s="55"/>
    </row>
    <row r="412" spans="2:13" x14ac:dyDescent="0.3">
      <c r="B412" s="113">
        <v>44855</v>
      </c>
      <c r="C412" s="302">
        <v>8</v>
      </c>
      <c r="D412" s="303">
        <v>13</v>
      </c>
      <c r="E412" s="194">
        <v>658</v>
      </c>
      <c r="F412" s="227">
        <v>17331658</v>
      </c>
      <c r="G412" s="1" t="s">
        <v>311</v>
      </c>
      <c r="H412" s="60">
        <v>-1608.68</v>
      </c>
      <c r="I412" s="228">
        <v>-337.82</v>
      </c>
      <c r="J412" s="229"/>
      <c r="K412" s="229"/>
      <c r="L412" s="229">
        <f>SUM(ventas_b_mes11[[#This Row],[IMPORTE NETO]:[EXENTO]])</f>
        <v>-1946.5</v>
      </c>
      <c r="M412" s="55"/>
    </row>
    <row r="413" spans="2:13" x14ac:dyDescent="0.3">
      <c r="B413" s="230">
        <v>44859</v>
      </c>
      <c r="C413" s="302">
        <v>8</v>
      </c>
      <c r="D413" s="231">
        <v>13</v>
      </c>
      <c r="E413" s="232">
        <v>659</v>
      </c>
      <c r="F413" s="227">
        <v>11111111</v>
      </c>
      <c r="G413" s="234"/>
      <c r="H413" s="235">
        <v>-864.05</v>
      </c>
      <c r="I413" s="236">
        <v>-181.45</v>
      </c>
      <c r="J413" s="237"/>
      <c r="K413" s="237"/>
      <c r="L413" s="237">
        <f>SUM(ventas_b_mes11[[#This Row],[IMPORTE NETO]:[EXENTO]])</f>
        <v>-1045.5</v>
      </c>
      <c r="M413" s="59"/>
    </row>
    <row r="414" spans="2:13" x14ac:dyDescent="0.3">
      <c r="B414" s="230">
        <v>44860</v>
      </c>
      <c r="C414" s="302">
        <v>8</v>
      </c>
      <c r="D414" s="231">
        <v>13</v>
      </c>
      <c r="E414" s="232">
        <v>660</v>
      </c>
      <c r="F414" s="227">
        <v>23834100</v>
      </c>
      <c r="G414" s="234" t="s">
        <v>1006</v>
      </c>
      <c r="H414" s="235">
        <v>-5247.52</v>
      </c>
      <c r="I414" s="236">
        <v>-1101.98</v>
      </c>
      <c r="J414" s="237"/>
      <c r="K414" s="237"/>
      <c r="L414" s="237">
        <f>SUM(ventas_b_mes11[[#This Row],[IMPORTE NETO]:[EXENTO]])</f>
        <v>-6349.5</v>
      </c>
      <c r="M414" s="59"/>
    </row>
    <row r="415" spans="2:13" x14ac:dyDescent="0.3">
      <c r="B415" s="230">
        <v>44837</v>
      </c>
      <c r="C415" s="302">
        <v>8</v>
      </c>
      <c r="D415" s="231">
        <v>12</v>
      </c>
      <c r="E415" s="232">
        <v>702</v>
      </c>
      <c r="F415" s="227">
        <v>94643934</v>
      </c>
      <c r="G415" s="234" t="s">
        <v>182</v>
      </c>
      <c r="H415" s="235">
        <v>-1688.43</v>
      </c>
      <c r="I415" s="236">
        <v>-354.57</v>
      </c>
      <c r="J415" s="237"/>
      <c r="K415" s="237"/>
      <c r="L415" s="237">
        <f>SUM(ventas_b_mes11[[#This Row],[IMPORTE NETO]:[EXENTO]])</f>
        <v>-2043</v>
      </c>
      <c r="M415" s="59"/>
    </row>
    <row r="416" spans="2:13" x14ac:dyDescent="0.3">
      <c r="B416" s="230">
        <v>44837</v>
      </c>
      <c r="C416" s="302">
        <v>8</v>
      </c>
      <c r="D416" s="231">
        <v>12</v>
      </c>
      <c r="E416" s="232">
        <v>703</v>
      </c>
      <c r="F416" s="233">
        <v>95530278</v>
      </c>
      <c r="G416" s="234" t="s">
        <v>178</v>
      </c>
      <c r="H416" s="235">
        <v>-2710.74</v>
      </c>
      <c r="I416" s="236">
        <v>-569.26</v>
      </c>
      <c r="J416" s="237"/>
      <c r="K416" s="237"/>
      <c r="L416" s="237">
        <f>SUM(ventas_b_mes11[[#This Row],[IMPORTE NETO]:[EXENTO]])</f>
        <v>-3280</v>
      </c>
      <c r="M416" s="59"/>
    </row>
    <row r="417" spans="2:13" x14ac:dyDescent="0.3">
      <c r="B417" s="230">
        <v>44847</v>
      </c>
      <c r="C417" s="302">
        <v>8</v>
      </c>
      <c r="D417" s="231">
        <v>12</v>
      </c>
      <c r="E417" s="232">
        <v>704</v>
      </c>
      <c r="F417" s="233">
        <v>16189362</v>
      </c>
      <c r="G417" s="234" t="s">
        <v>628</v>
      </c>
      <c r="H417" s="235">
        <v>-2500.33</v>
      </c>
      <c r="I417" s="236">
        <v>-525.07000000000005</v>
      </c>
      <c r="J417" s="237"/>
      <c r="K417" s="237"/>
      <c r="L417" s="237">
        <f>SUM(ventas_b_mes11[[#This Row],[IMPORTE NETO]:[EXENTO]])</f>
        <v>-3025.4</v>
      </c>
      <c r="M417" s="59"/>
    </row>
    <row r="418" spans="2:13" x14ac:dyDescent="0.3">
      <c r="B418" s="230">
        <v>44848</v>
      </c>
      <c r="C418" s="302">
        <v>8</v>
      </c>
      <c r="D418" s="231">
        <v>12</v>
      </c>
      <c r="E418" s="232">
        <v>705</v>
      </c>
      <c r="F418" s="233">
        <v>0</v>
      </c>
      <c r="G418" s="234"/>
      <c r="H418" s="235">
        <v>-1157.02</v>
      </c>
      <c r="I418" s="236">
        <v>-242.98</v>
      </c>
      <c r="J418" s="237"/>
      <c r="K418" s="237"/>
      <c r="L418" s="237">
        <f>SUM(ventas_b_mes11[[#This Row],[IMPORTE NETO]:[EXENTO]])</f>
        <v>-1400</v>
      </c>
      <c r="M418" s="59"/>
    </row>
    <row r="419" spans="2:13" x14ac:dyDescent="0.3">
      <c r="B419" s="230">
        <v>44851</v>
      </c>
      <c r="C419" s="302">
        <v>8</v>
      </c>
      <c r="D419" s="231">
        <v>12</v>
      </c>
      <c r="E419" s="232">
        <v>706</v>
      </c>
      <c r="F419" s="233">
        <v>22825602</v>
      </c>
      <c r="G419" s="234" t="s">
        <v>740</v>
      </c>
      <c r="H419" s="235">
        <v>-1140.5</v>
      </c>
      <c r="I419" s="236">
        <v>-239.51</v>
      </c>
      <c r="J419" s="237"/>
      <c r="K419" s="237"/>
      <c r="L419" s="237">
        <f>SUM(ventas_b_mes11[[#This Row],[IMPORTE NETO]:[EXENTO]])</f>
        <v>-1380.01</v>
      </c>
      <c r="M419" s="59"/>
    </row>
    <row r="420" spans="2:13" x14ac:dyDescent="0.3">
      <c r="B420" s="223">
        <v>44852</v>
      </c>
      <c r="C420" s="302">
        <v>8</v>
      </c>
      <c r="D420" s="225">
        <v>12</v>
      </c>
      <c r="E420" s="226">
        <v>707</v>
      </c>
      <c r="F420" s="227">
        <v>18409926</v>
      </c>
      <c r="G420" s="1" t="s">
        <v>209</v>
      </c>
      <c r="H420" s="60">
        <v>-11042.98</v>
      </c>
      <c r="I420" s="228">
        <v>-2319.02</v>
      </c>
      <c r="J420" s="229"/>
      <c r="K420" s="229"/>
      <c r="L420" s="229">
        <f>SUM(ventas_b_mes11[[#This Row],[IMPORTE NETO]:[EXENTO]])</f>
        <v>-13362</v>
      </c>
      <c r="M420" s="55"/>
    </row>
    <row r="421" spans="2:13" x14ac:dyDescent="0.3">
      <c r="B421" s="223">
        <v>44854</v>
      </c>
      <c r="C421" s="302">
        <v>8</v>
      </c>
      <c r="D421" s="225">
        <v>12</v>
      </c>
      <c r="E421" s="226">
        <v>708</v>
      </c>
      <c r="F421" s="227">
        <v>36288185</v>
      </c>
      <c r="G421" s="1" t="s">
        <v>833</v>
      </c>
      <c r="H421" s="60">
        <v>-4545.45</v>
      </c>
      <c r="I421" s="228">
        <v>-954.55</v>
      </c>
      <c r="J421" s="229"/>
      <c r="K421" s="229"/>
      <c r="L421" s="229">
        <f>SUM(ventas_b_mes11[[#This Row],[IMPORTE NETO]:[EXENTO]])</f>
        <v>-5500</v>
      </c>
      <c r="M421" s="55"/>
    </row>
    <row r="422" spans="2:13" x14ac:dyDescent="0.3">
      <c r="B422" s="223">
        <v>44859</v>
      </c>
      <c r="C422" s="302">
        <v>8</v>
      </c>
      <c r="D422" s="225">
        <v>12</v>
      </c>
      <c r="E422" s="226">
        <v>709</v>
      </c>
      <c r="F422" s="227">
        <v>0</v>
      </c>
      <c r="G422" s="1"/>
      <c r="H422" s="60">
        <v>-1446.28</v>
      </c>
      <c r="I422" s="228">
        <v>-303.72000000000003</v>
      </c>
      <c r="J422" s="229"/>
      <c r="K422" s="229"/>
      <c r="L422" s="229">
        <f>SUM(ventas_b_mes11[[#This Row],[IMPORTE NETO]:[EXENTO]])</f>
        <v>-1750</v>
      </c>
      <c r="M422" s="55"/>
    </row>
    <row r="423" spans="2:13" x14ac:dyDescent="0.3">
      <c r="B423" s="223">
        <v>44860</v>
      </c>
      <c r="C423" s="302">
        <v>8</v>
      </c>
      <c r="D423" s="225">
        <v>12</v>
      </c>
      <c r="E423" s="226">
        <v>710</v>
      </c>
      <c r="F423" s="227">
        <v>17201380</v>
      </c>
      <c r="G423" s="1" t="s">
        <v>976</v>
      </c>
      <c r="H423" s="60">
        <v>-4088.43</v>
      </c>
      <c r="I423" s="228">
        <v>-858.57</v>
      </c>
      <c r="J423" s="229"/>
      <c r="K423" s="229"/>
      <c r="L423" s="229">
        <f>SUM(ventas_b_mes11[[#This Row],[IMPORTE NETO]:[EXENTO]])</f>
        <v>-4947</v>
      </c>
      <c r="M423" s="55"/>
    </row>
    <row r="424" spans="2:13" x14ac:dyDescent="0.3">
      <c r="B424" s="223">
        <v>44861</v>
      </c>
      <c r="C424" s="302">
        <v>8</v>
      </c>
      <c r="D424" s="225">
        <v>12</v>
      </c>
      <c r="E424" s="226">
        <v>711</v>
      </c>
      <c r="F424" s="227">
        <v>26532643</v>
      </c>
      <c r="G424" s="1" t="s">
        <v>848</v>
      </c>
      <c r="H424" s="60">
        <v>-4469.01</v>
      </c>
      <c r="I424" s="228">
        <v>-938.49</v>
      </c>
      <c r="J424" s="229"/>
      <c r="K424" s="229"/>
      <c r="L424" s="229">
        <f>SUM(ventas_b_mes11[[#This Row],[IMPORTE NETO]:[EXENTO]])</f>
        <v>-5407.5</v>
      </c>
      <c r="M424" s="55"/>
    </row>
    <row r="425" spans="2:13" x14ac:dyDescent="0.3">
      <c r="B425" s="223">
        <v>44861</v>
      </c>
      <c r="C425" s="302">
        <v>8</v>
      </c>
      <c r="D425" s="225">
        <v>12</v>
      </c>
      <c r="E425" s="226">
        <v>712</v>
      </c>
      <c r="F425" s="227">
        <v>22661898</v>
      </c>
      <c r="G425" s="1" t="s">
        <v>1044</v>
      </c>
      <c r="H425" s="60">
        <v>-28925.599999999999</v>
      </c>
      <c r="I425" s="228">
        <v>-6074.38</v>
      </c>
      <c r="J425" s="229"/>
      <c r="K425" s="229"/>
      <c r="L425" s="229">
        <f>SUM(ventas_b_mes11[[#This Row],[IMPORTE NETO]:[EXENTO]])</f>
        <v>-34999.979999999996</v>
      </c>
      <c r="M425" s="55"/>
    </row>
    <row r="426" spans="2:13" x14ac:dyDescent="0.3">
      <c r="B426" s="223">
        <v>44863</v>
      </c>
      <c r="C426" s="302">
        <v>8</v>
      </c>
      <c r="D426" s="225">
        <v>12</v>
      </c>
      <c r="E426" s="226">
        <v>713</v>
      </c>
      <c r="F426" s="227">
        <v>17999490</v>
      </c>
      <c r="G426" s="1" t="s">
        <v>1087</v>
      </c>
      <c r="H426" s="60">
        <v>-5107.0200000000004</v>
      </c>
      <c r="I426" s="228">
        <v>-1072.48</v>
      </c>
      <c r="J426" s="229"/>
      <c r="K426" s="229"/>
      <c r="L426" s="229">
        <f>SUM(ventas_b_mes11[[#This Row],[IMPORTE NETO]:[EXENTO]])</f>
        <v>-6179.5</v>
      </c>
      <c r="M426" s="55"/>
    </row>
    <row r="427" spans="2:13" x14ac:dyDescent="0.3">
      <c r="B427" s="223">
        <v>44863</v>
      </c>
      <c r="C427" s="302">
        <v>8</v>
      </c>
      <c r="D427" s="225">
        <v>12</v>
      </c>
      <c r="E427" s="226">
        <v>714</v>
      </c>
      <c r="F427" s="227">
        <v>26442941</v>
      </c>
      <c r="G427" s="1" t="s">
        <v>1092</v>
      </c>
      <c r="H427" s="60">
        <v>-3983.47</v>
      </c>
      <c r="I427" s="228">
        <v>-836.53</v>
      </c>
      <c r="J427" s="229"/>
      <c r="K427" s="229"/>
      <c r="L427" s="229">
        <f>SUM(ventas_b_mes11[[#This Row],[IMPORTE NETO]:[EXENTO]])</f>
        <v>-4820</v>
      </c>
      <c r="M427" s="55"/>
    </row>
    <row r="428" spans="2:13" x14ac:dyDescent="0.3">
      <c r="B428" s="223">
        <v>44865</v>
      </c>
      <c r="C428" s="302">
        <v>8</v>
      </c>
      <c r="D428" s="225">
        <v>12</v>
      </c>
      <c r="E428" s="226">
        <v>715</v>
      </c>
      <c r="F428" s="227">
        <v>28995931</v>
      </c>
      <c r="G428" s="1" t="s">
        <v>1096</v>
      </c>
      <c r="H428" s="60">
        <v>-8816.1200000000008</v>
      </c>
      <c r="I428" s="228">
        <v>-1851.39</v>
      </c>
      <c r="J428" s="229"/>
      <c r="K428" s="229"/>
      <c r="L428" s="229">
        <f>SUM(ventas_b_mes11[[#This Row],[IMPORTE NETO]:[EXENTO]])</f>
        <v>-10667.51</v>
      </c>
      <c r="M428" s="55"/>
    </row>
    <row r="429" spans="2:13" x14ac:dyDescent="0.3">
      <c r="B429" s="223">
        <v>44842</v>
      </c>
      <c r="C429" s="302">
        <v>8</v>
      </c>
      <c r="D429" s="225">
        <v>11</v>
      </c>
      <c r="E429" s="226">
        <v>802</v>
      </c>
      <c r="F429" s="227">
        <v>16639762</v>
      </c>
      <c r="G429" s="1" t="s">
        <v>379</v>
      </c>
      <c r="H429" s="60">
        <v>-2818.18</v>
      </c>
      <c r="I429" s="228">
        <v>-591.82000000000005</v>
      </c>
      <c r="J429" s="229"/>
      <c r="K429" s="229"/>
      <c r="L429" s="229">
        <f>SUM(ventas_b_mes11[[#This Row],[IMPORTE NETO]:[EXENTO]])</f>
        <v>-3410</v>
      </c>
      <c r="M429" s="55"/>
    </row>
    <row r="430" spans="2:13" x14ac:dyDescent="0.3">
      <c r="B430" s="223">
        <v>44849</v>
      </c>
      <c r="C430" s="302">
        <v>8</v>
      </c>
      <c r="D430" s="225">
        <v>11</v>
      </c>
      <c r="E430" s="226">
        <v>803</v>
      </c>
      <c r="F430" s="227">
        <v>95512434</v>
      </c>
      <c r="G430" s="1" t="s">
        <v>710</v>
      </c>
      <c r="H430" s="60">
        <v>-751.65</v>
      </c>
      <c r="I430" s="228">
        <v>-157.85</v>
      </c>
      <c r="J430" s="229"/>
      <c r="K430" s="229"/>
      <c r="L430" s="229">
        <f>SUM(ventas_b_mes11[[#This Row],[IMPORTE NETO]:[EXENTO]])</f>
        <v>-909.5</v>
      </c>
      <c r="M430" s="55"/>
    </row>
    <row r="431" spans="2:13" x14ac:dyDescent="0.3">
      <c r="B431" s="223">
        <v>44852</v>
      </c>
      <c r="C431" s="302">
        <v>8</v>
      </c>
      <c r="D431" s="225">
        <v>11</v>
      </c>
      <c r="E431" s="226">
        <v>804</v>
      </c>
      <c r="F431" s="227">
        <v>10969522</v>
      </c>
      <c r="G431" s="1" t="s">
        <v>128</v>
      </c>
      <c r="H431" s="60">
        <v>-4088.43</v>
      </c>
      <c r="I431" s="228">
        <v>-858.57</v>
      </c>
      <c r="J431" s="229"/>
      <c r="K431" s="229"/>
      <c r="L431" s="229">
        <f>SUM(ventas_b_mes11[[#This Row],[IMPORTE NETO]:[EXENTO]])</f>
        <v>-4947</v>
      </c>
      <c r="M431" s="55"/>
    </row>
    <row r="432" spans="2:13" x14ac:dyDescent="0.3">
      <c r="B432" s="223">
        <v>44852</v>
      </c>
      <c r="C432" s="302">
        <v>8</v>
      </c>
      <c r="D432" s="225">
        <v>11</v>
      </c>
      <c r="E432" s="226">
        <v>805</v>
      </c>
      <c r="F432" s="227">
        <v>45542818</v>
      </c>
      <c r="G432" s="1" t="s">
        <v>764</v>
      </c>
      <c r="H432" s="60">
        <v>-3912.81</v>
      </c>
      <c r="I432" s="228">
        <v>-821.69</v>
      </c>
      <c r="J432" s="229"/>
      <c r="K432" s="229"/>
      <c r="L432" s="229">
        <f>SUM(ventas_b_mes11[[#This Row],[IMPORTE NETO]:[EXENTO]])</f>
        <v>-4734.5</v>
      </c>
      <c r="M432" s="55"/>
    </row>
    <row r="433" spans="2:13" x14ac:dyDescent="0.3">
      <c r="B433" s="223">
        <v>44853</v>
      </c>
      <c r="C433" s="302">
        <v>8</v>
      </c>
      <c r="D433" s="225">
        <v>11</v>
      </c>
      <c r="E433" s="226">
        <v>806</v>
      </c>
      <c r="F433" s="227">
        <v>23284387</v>
      </c>
      <c r="G433" s="1" t="s">
        <v>790</v>
      </c>
      <c r="H433" s="60">
        <v>-7867.77</v>
      </c>
      <c r="I433" s="228">
        <v>-1652.23</v>
      </c>
      <c r="J433" s="229"/>
      <c r="K433" s="229"/>
      <c r="L433" s="229">
        <f>SUM(ventas_b_mes11[[#This Row],[IMPORTE NETO]:[EXENTO]])</f>
        <v>-9520</v>
      </c>
      <c r="M433" s="55"/>
    </row>
    <row r="434" spans="2:13" x14ac:dyDescent="0.3">
      <c r="B434" s="223">
        <v>44860</v>
      </c>
      <c r="C434" s="302">
        <v>8</v>
      </c>
      <c r="D434" s="225">
        <v>11</v>
      </c>
      <c r="E434" s="226">
        <v>807</v>
      </c>
      <c r="F434" s="227">
        <v>18573238</v>
      </c>
      <c r="G434" s="1" t="s">
        <v>633</v>
      </c>
      <c r="H434" s="60">
        <v>-3666.94</v>
      </c>
      <c r="I434" s="228">
        <v>-770.06</v>
      </c>
      <c r="J434" s="229"/>
      <c r="K434" s="229"/>
      <c r="L434" s="229">
        <f>SUM(ventas_b_mes11[[#This Row],[IMPORTE NETO]:[EXENTO]])</f>
        <v>-4437</v>
      </c>
      <c r="M434" s="55"/>
    </row>
    <row r="435" spans="2:13" x14ac:dyDescent="0.3">
      <c r="B435" s="223">
        <v>44861</v>
      </c>
      <c r="C435" s="302">
        <v>8</v>
      </c>
      <c r="D435" s="225">
        <v>11</v>
      </c>
      <c r="E435" s="226">
        <v>808</v>
      </c>
      <c r="F435" s="227">
        <v>17318093</v>
      </c>
      <c r="G435" s="1" t="s">
        <v>993</v>
      </c>
      <c r="H435" s="60">
        <v>-5233.47</v>
      </c>
      <c r="I435" s="228">
        <v>-1099.03</v>
      </c>
      <c r="J435" s="229"/>
      <c r="K435" s="229"/>
      <c r="L435" s="229">
        <f>SUM(ventas_b_mes11[[#This Row],[IMPORTE NETO]:[EXENTO]])</f>
        <v>-6332.5</v>
      </c>
      <c r="M435" s="55"/>
    </row>
    <row r="436" spans="2:13" x14ac:dyDescent="0.3">
      <c r="B436" s="223">
        <v>44861</v>
      </c>
      <c r="C436" s="302">
        <v>8</v>
      </c>
      <c r="D436" s="225">
        <v>11</v>
      </c>
      <c r="E436" s="226">
        <v>809</v>
      </c>
      <c r="F436" s="227">
        <v>17318093</v>
      </c>
      <c r="G436" s="1" t="s">
        <v>993</v>
      </c>
      <c r="H436" s="60">
        <v>-1475.21</v>
      </c>
      <c r="I436" s="228">
        <v>-309.79000000000002</v>
      </c>
      <c r="J436" s="229"/>
      <c r="K436" s="229"/>
      <c r="L436" s="229">
        <f>SUM(ventas_b_mes11[[#This Row],[IMPORTE NETO]:[EXENTO]])</f>
        <v>-1785</v>
      </c>
      <c r="M436" s="55"/>
    </row>
    <row r="437" spans="2:13" x14ac:dyDescent="0.3">
      <c r="B437" s="223">
        <v>44863</v>
      </c>
      <c r="C437" s="302">
        <v>8</v>
      </c>
      <c r="D437" s="225">
        <v>11</v>
      </c>
      <c r="E437" s="226">
        <v>810</v>
      </c>
      <c r="F437" s="227">
        <v>1254</v>
      </c>
      <c r="G437" s="1"/>
      <c r="H437" s="60">
        <v>-1299.5899999999999</v>
      </c>
      <c r="I437" s="228">
        <v>-272.91000000000003</v>
      </c>
      <c r="J437" s="229"/>
      <c r="K437" s="229"/>
      <c r="L437" s="229">
        <f>SUM(ventas_b_mes11[[#This Row],[IMPORTE NETO]:[EXENTO]])</f>
        <v>-1572.5</v>
      </c>
      <c r="M437" s="55"/>
    </row>
    <row r="438" spans="2:13" x14ac:dyDescent="0.3">
      <c r="B438" s="223">
        <v>44865</v>
      </c>
      <c r="C438" s="302">
        <v>8</v>
      </c>
      <c r="D438" s="225">
        <v>11</v>
      </c>
      <c r="E438" s="226">
        <v>811</v>
      </c>
      <c r="F438" s="227">
        <v>36401278</v>
      </c>
      <c r="G438" s="1"/>
      <c r="H438" s="60">
        <v>-2367.77</v>
      </c>
      <c r="I438" s="228">
        <v>-497.23</v>
      </c>
      <c r="J438" s="229"/>
      <c r="K438" s="229"/>
      <c r="L438" s="229">
        <f>SUM(ventas_b_mes11[[#This Row],[IMPORTE NETO]:[EXENTO]])</f>
        <v>-2865</v>
      </c>
      <c r="M438" s="55"/>
    </row>
    <row r="439" spans="2:13" x14ac:dyDescent="0.3">
      <c r="B439" s="223">
        <v>44851</v>
      </c>
      <c r="C439" s="302">
        <v>8</v>
      </c>
      <c r="D439" s="225">
        <v>10</v>
      </c>
      <c r="E439" s="226">
        <v>1406</v>
      </c>
      <c r="F439" s="227">
        <v>123456</v>
      </c>
      <c r="G439" s="1"/>
      <c r="H439" s="60">
        <v>-2454.54</v>
      </c>
      <c r="I439" s="228">
        <v>-515.45000000000005</v>
      </c>
      <c r="J439" s="229"/>
      <c r="K439" s="229"/>
      <c r="L439" s="229">
        <f>SUM(ventas_b_mes11[[#This Row],[IMPORTE NETO]:[EXENTO]])</f>
        <v>-2969.99</v>
      </c>
      <c r="M439" s="55"/>
    </row>
    <row r="440" spans="2:13" x14ac:dyDescent="0.3">
      <c r="B440" s="223">
        <v>44852</v>
      </c>
      <c r="C440" s="302">
        <v>8</v>
      </c>
      <c r="D440" s="225">
        <v>10</v>
      </c>
      <c r="E440" s="226">
        <v>1407</v>
      </c>
      <c r="F440" s="227">
        <v>28459253</v>
      </c>
      <c r="G440" s="1" t="s">
        <v>772</v>
      </c>
      <c r="H440" s="60">
        <v>-4776.8599999999997</v>
      </c>
      <c r="I440" s="228">
        <v>-1003.14</v>
      </c>
      <c r="J440" s="229"/>
      <c r="K440" s="229"/>
      <c r="L440" s="229">
        <f>SUM(ventas_b_mes11[[#This Row],[IMPORTE NETO]:[EXENTO]])</f>
        <v>-5780</v>
      </c>
      <c r="M440" s="55"/>
    </row>
    <row r="441" spans="2:13" x14ac:dyDescent="0.3">
      <c r="B441" s="223">
        <v>44852</v>
      </c>
      <c r="C441" s="302">
        <v>8</v>
      </c>
      <c r="D441" s="225">
        <v>10</v>
      </c>
      <c r="E441" s="226">
        <v>1408</v>
      </c>
      <c r="F441" s="227">
        <v>24796372</v>
      </c>
      <c r="G441" s="1" t="s">
        <v>511</v>
      </c>
      <c r="H441" s="60">
        <v>-7231.4</v>
      </c>
      <c r="I441" s="228">
        <v>-1518.6</v>
      </c>
      <c r="J441" s="229"/>
      <c r="K441" s="229"/>
      <c r="L441" s="229">
        <f>SUM(ventas_b_mes11[[#This Row],[IMPORTE NETO]:[EXENTO]])</f>
        <v>-8750</v>
      </c>
      <c r="M441" s="55"/>
    </row>
    <row r="442" spans="2:13" x14ac:dyDescent="0.3">
      <c r="B442" s="223">
        <v>44858</v>
      </c>
      <c r="C442" s="302">
        <v>8</v>
      </c>
      <c r="D442" s="225">
        <v>10</v>
      </c>
      <c r="E442" s="226">
        <v>1409</v>
      </c>
      <c r="F442" s="227">
        <v>33352266</v>
      </c>
      <c r="G442" s="1" t="s">
        <v>1012</v>
      </c>
      <c r="H442" s="60">
        <v>-8429.75</v>
      </c>
      <c r="I442" s="228">
        <v>-1770.25</v>
      </c>
      <c r="J442" s="229"/>
      <c r="K442" s="229"/>
      <c r="L442" s="229">
        <f>SUM(ventas_b_mes11[[#This Row],[IMPORTE NETO]:[EXENTO]])</f>
        <v>-10200</v>
      </c>
      <c r="M442" s="55"/>
    </row>
    <row r="443" spans="2:13" x14ac:dyDescent="0.3">
      <c r="B443" s="223">
        <v>44859</v>
      </c>
      <c r="C443" s="302">
        <v>8</v>
      </c>
      <c r="D443" s="225">
        <v>10</v>
      </c>
      <c r="E443" s="226">
        <v>1410</v>
      </c>
      <c r="F443" s="227">
        <v>27220670878</v>
      </c>
      <c r="G443" s="1" t="s">
        <v>347</v>
      </c>
      <c r="H443" s="60">
        <v>-4439.01</v>
      </c>
      <c r="I443" s="228">
        <v>-932.19</v>
      </c>
      <c r="J443" s="229"/>
      <c r="K443" s="229"/>
      <c r="L443" s="229">
        <f>SUM(ventas_b_mes11[[#This Row],[IMPORTE NETO]:[EXENTO]])</f>
        <v>-5371.2000000000007</v>
      </c>
      <c r="M443" s="55"/>
    </row>
    <row r="444" spans="2:13" x14ac:dyDescent="0.3">
      <c r="B444" s="223">
        <v>44835</v>
      </c>
      <c r="C444" s="37">
        <v>6</v>
      </c>
      <c r="D444" s="225">
        <v>15</v>
      </c>
      <c r="E444" s="226">
        <v>6859</v>
      </c>
      <c r="F444" s="227">
        <v>3942773277</v>
      </c>
      <c r="G444" s="1"/>
      <c r="H444" s="60">
        <v>5487.6</v>
      </c>
      <c r="I444" s="228">
        <v>1152.4000000000001</v>
      </c>
      <c r="J444" s="229"/>
      <c r="K444" s="229"/>
      <c r="L444" s="229">
        <f>SUM(ventas_b_mes11[[#This Row],[IMPORTE NETO]:[EXENTO]])</f>
        <v>6640</v>
      </c>
      <c r="M444" s="55"/>
    </row>
    <row r="445" spans="2:13" x14ac:dyDescent="0.3">
      <c r="B445" s="223">
        <v>44835</v>
      </c>
      <c r="C445" s="37">
        <v>6</v>
      </c>
      <c r="D445" s="225">
        <v>15</v>
      </c>
      <c r="E445" s="226">
        <v>6860</v>
      </c>
      <c r="F445" s="227">
        <v>3942773277</v>
      </c>
      <c r="G445" s="1"/>
      <c r="H445" s="60">
        <v>3719.01</v>
      </c>
      <c r="I445" s="228">
        <v>780.99</v>
      </c>
      <c r="J445" s="229"/>
      <c r="K445" s="229"/>
      <c r="L445" s="229">
        <f>SUM(ventas_b_mes11[[#This Row],[IMPORTE NETO]:[EXENTO]])</f>
        <v>4500</v>
      </c>
      <c r="M445" s="55"/>
    </row>
    <row r="446" spans="2:13" x14ac:dyDescent="0.3">
      <c r="B446" s="223">
        <v>44835</v>
      </c>
      <c r="C446" s="37">
        <v>6</v>
      </c>
      <c r="D446" s="225">
        <v>15</v>
      </c>
      <c r="E446" s="226">
        <v>6861</v>
      </c>
      <c r="F446" s="227">
        <v>33924972</v>
      </c>
      <c r="G446" s="1" t="s">
        <v>136</v>
      </c>
      <c r="H446" s="60">
        <v>1157.02</v>
      </c>
      <c r="I446" s="228">
        <v>242.98</v>
      </c>
      <c r="J446" s="229"/>
      <c r="K446" s="229"/>
      <c r="L446" s="229">
        <f>SUM(ventas_b_mes11[[#This Row],[IMPORTE NETO]:[EXENTO]])</f>
        <v>1400</v>
      </c>
      <c r="M446" s="55"/>
    </row>
    <row r="447" spans="2:13" x14ac:dyDescent="0.3">
      <c r="B447" s="223">
        <v>44835</v>
      </c>
      <c r="C447" s="37">
        <v>6</v>
      </c>
      <c r="D447" s="225">
        <v>15</v>
      </c>
      <c r="E447" s="226">
        <v>6862</v>
      </c>
      <c r="F447" s="227">
        <v>22209881</v>
      </c>
      <c r="G447" s="1" t="s">
        <v>143</v>
      </c>
      <c r="H447" s="60">
        <v>1822.31</v>
      </c>
      <c r="I447" s="228">
        <v>382.69</v>
      </c>
      <c r="J447" s="229"/>
      <c r="K447" s="229"/>
      <c r="L447" s="229">
        <f>SUM(ventas_b_mes11[[#This Row],[IMPORTE NETO]:[EXENTO]])</f>
        <v>2205</v>
      </c>
      <c r="M447" s="55"/>
    </row>
    <row r="448" spans="2:13" x14ac:dyDescent="0.3">
      <c r="B448" s="223">
        <v>44837</v>
      </c>
      <c r="C448" s="302">
        <v>6</v>
      </c>
      <c r="D448" s="225">
        <v>15</v>
      </c>
      <c r="E448" s="226">
        <v>6863</v>
      </c>
      <c r="F448" s="227">
        <v>32094010</v>
      </c>
      <c r="G448" s="1"/>
      <c r="H448" s="60">
        <v>2975.21</v>
      </c>
      <c r="I448" s="228">
        <v>624.79</v>
      </c>
      <c r="J448" s="229"/>
      <c r="K448" s="229"/>
      <c r="L448" s="229">
        <f>SUM(ventas_b_mes11[[#This Row],[IMPORTE NETO]:[EXENTO]])</f>
        <v>3600</v>
      </c>
      <c r="M448" s="55"/>
    </row>
    <row r="449" spans="2:13" x14ac:dyDescent="0.3">
      <c r="B449" s="223">
        <v>44837</v>
      </c>
      <c r="C449" s="302">
        <v>6</v>
      </c>
      <c r="D449" s="225">
        <v>15</v>
      </c>
      <c r="E449" s="226">
        <v>6864</v>
      </c>
      <c r="F449" s="227">
        <v>19015786</v>
      </c>
      <c r="G449" s="1" t="s">
        <v>161</v>
      </c>
      <c r="H449" s="60">
        <v>2892.56</v>
      </c>
      <c r="I449" s="228">
        <v>607.44000000000005</v>
      </c>
      <c r="J449" s="229"/>
      <c r="K449" s="229"/>
      <c r="L449" s="229">
        <f>SUM(ventas_b_mes11[[#This Row],[IMPORTE NETO]:[EXENTO]])</f>
        <v>3500</v>
      </c>
      <c r="M449" s="55"/>
    </row>
    <row r="450" spans="2:13" x14ac:dyDescent="0.3">
      <c r="B450" s="223">
        <v>44837</v>
      </c>
      <c r="C450" s="37">
        <v>6</v>
      </c>
      <c r="D450" s="225">
        <v>15</v>
      </c>
      <c r="E450" s="226">
        <v>6865</v>
      </c>
      <c r="F450" s="227">
        <v>32290050</v>
      </c>
      <c r="G450" s="1" t="str">
        <f>IFERROR(IF(ventas_b_mes11[[#This Row],[CUIT]]="","-",VLOOKUP(ventas_b_mes11[[#This Row],[CUIT]],Lista_CUIT[#All],2,0)),"CUIT NO CARGADO")</f>
        <v>MENDEZ BELLA, MARIA DOLORES</v>
      </c>
      <c r="H450" s="60">
        <v>543.86</v>
      </c>
      <c r="I450" s="228">
        <v>114.21</v>
      </c>
      <c r="J450" s="229"/>
      <c r="K450" s="229"/>
      <c r="L450" s="229">
        <f>SUM(ventas_b_mes11[[#This Row],[IMPORTE NETO]:[EXENTO]])</f>
        <v>658.07</v>
      </c>
      <c r="M450" s="55"/>
    </row>
    <row r="451" spans="2:13" x14ac:dyDescent="0.3">
      <c r="B451" s="223">
        <v>44837</v>
      </c>
      <c r="C451" s="302">
        <v>6</v>
      </c>
      <c r="D451" s="225">
        <v>15</v>
      </c>
      <c r="E451" s="226">
        <v>6866</v>
      </c>
      <c r="F451" s="227">
        <v>26162942</v>
      </c>
      <c r="G451" s="1" t="s">
        <v>179</v>
      </c>
      <c r="H451" s="60">
        <v>8889.84</v>
      </c>
      <c r="I451" s="228">
        <v>1866.87</v>
      </c>
      <c r="J451" s="229"/>
      <c r="K451" s="229"/>
      <c r="L451" s="229">
        <f>SUM(ventas_b_mes11[[#This Row],[IMPORTE NETO]:[EXENTO]])</f>
        <v>10756.71</v>
      </c>
      <c r="M451" s="55"/>
    </row>
    <row r="452" spans="2:13" x14ac:dyDescent="0.3">
      <c r="B452" s="223">
        <v>44837</v>
      </c>
      <c r="C452" s="302">
        <v>6</v>
      </c>
      <c r="D452" s="225">
        <v>15</v>
      </c>
      <c r="E452" s="226">
        <v>6867</v>
      </c>
      <c r="F452" s="227">
        <v>28778142</v>
      </c>
      <c r="G452" s="1" t="s">
        <v>181</v>
      </c>
      <c r="H452" s="60">
        <v>4545.45</v>
      </c>
      <c r="I452" s="228">
        <v>954.55</v>
      </c>
      <c r="J452" s="229"/>
      <c r="K452" s="229"/>
      <c r="L452" s="229">
        <f>SUM(ventas_b_mes11[[#This Row],[IMPORTE NETO]:[EXENTO]])</f>
        <v>5500</v>
      </c>
      <c r="M452" s="55"/>
    </row>
    <row r="453" spans="2:13" x14ac:dyDescent="0.3">
      <c r="B453" s="223">
        <v>44837</v>
      </c>
      <c r="C453" s="302">
        <v>6</v>
      </c>
      <c r="D453" s="225">
        <v>15</v>
      </c>
      <c r="E453" s="226">
        <v>6868</v>
      </c>
      <c r="F453" s="227">
        <v>32458965</v>
      </c>
      <c r="G453" s="1" t="s">
        <v>193</v>
      </c>
      <c r="H453" s="60">
        <v>1314.05</v>
      </c>
      <c r="I453" s="228">
        <v>275.95</v>
      </c>
      <c r="J453" s="229"/>
      <c r="K453" s="229"/>
      <c r="L453" s="229">
        <f>SUM(ventas_b_mes11[[#This Row],[IMPORTE NETO]:[EXENTO]])</f>
        <v>1590</v>
      </c>
      <c r="M453" s="55"/>
    </row>
    <row r="454" spans="2:13" x14ac:dyDescent="0.3">
      <c r="B454" s="223">
        <v>44837</v>
      </c>
      <c r="C454" s="302">
        <v>6</v>
      </c>
      <c r="D454" s="225">
        <v>15</v>
      </c>
      <c r="E454" s="226">
        <v>6869</v>
      </c>
      <c r="F454" s="227">
        <v>26670209</v>
      </c>
      <c r="G454" s="1"/>
      <c r="H454" s="60">
        <v>4545.45</v>
      </c>
      <c r="I454" s="228">
        <v>954.55</v>
      </c>
      <c r="J454" s="229"/>
      <c r="K454" s="229"/>
      <c r="L454" s="229">
        <f>SUM(ventas_b_mes11[[#This Row],[IMPORTE NETO]:[EXENTO]])</f>
        <v>5500</v>
      </c>
      <c r="M454" s="55"/>
    </row>
    <row r="455" spans="2:13" x14ac:dyDescent="0.3">
      <c r="B455" s="223">
        <v>44837</v>
      </c>
      <c r="C455" s="224">
        <v>6</v>
      </c>
      <c r="D455" s="225">
        <v>15</v>
      </c>
      <c r="E455" s="226">
        <v>6870</v>
      </c>
      <c r="F455" s="227">
        <v>35942192</v>
      </c>
      <c r="G455" s="1" t="s">
        <v>197</v>
      </c>
      <c r="H455" s="60">
        <v>2685.95</v>
      </c>
      <c r="I455" s="228">
        <v>564.04999999999995</v>
      </c>
      <c r="J455" s="229"/>
      <c r="K455" s="229"/>
      <c r="L455" s="229">
        <f>SUM(ventas_b_mes11[[#This Row],[IMPORTE NETO]:[EXENTO]])</f>
        <v>3250</v>
      </c>
      <c r="M455" s="55"/>
    </row>
    <row r="456" spans="2:13" x14ac:dyDescent="0.3">
      <c r="B456" s="223">
        <v>44837</v>
      </c>
      <c r="C456" s="224">
        <v>6</v>
      </c>
      <c r="D456" s="225">
        <v>15</v>
      </c>
      <c r="E456" s="226">
        <v>6871</v>
      </c>
      <c r="F456" s="227">
        <v>34432726</v>
      </c>
      <c r="G456" s="1" t="s">
        <v>166</v>
      </c>
      <c r="H456" s="60">
        <v>5190.08</v>
      </c>
      <c r="I456" s="228">
        <v>1089.92</v>
      </c>
      <c r="J456" s="229"/>
      <c r="K456" s="229"/>
      <c r="L456" s="229">
        <f>SUM(ventas_b_mes11[[#This Row],[IMPORTE NETO]:[EXENTO]])</f>
        <v>6280</v>
      </c>
      <c r="M456" s="55"/>
    </row>
    <row r="457" spans="2:13" x14ac:dyDescent="0.3">
      <c r="B457" s="223">
        <v>44837</v>
      </c>
      <c r="C457" s="224">
        <v>6</v>
      </c>
      <c r="D457" s="225">
        <v>15</v>
      </c>
      <c r="E457" s="226">
        <v>6872</v>
      </c>
      <c r="F457" s="227">
        <v>34432726</v>
      </c>
      <c r="G457" s="1" t="s">
        <v>166</v>
      </c>
      <c r="H457" s="60">
        <v>400.83</v>
      </c>
      <c r="I457" s="228">
        <v>84.17</v>
      </c>
      <c r="J457" s="229"/>
      <c r="K457" s="229"/>
      <c r="L457" s="229">
        <f>SUM(ventas_b_mes11[[#This Row],[IMPORTE NETO]:[EXENTO]])</f>
        <v>485</v>
      </c>
      <c r="M457" s="55"/>
    </row>
    <row r="458" spans="2:13" x14ac:dyDescent="0.3">
      <c r="B458" s="223">
        <v>44837</v>
      </c>
      <c r="C458" s="248">
        <v>6</v>
      </c>
      <c r="D458" s="225">
        <v>15</v>
      </c>
      <c r="E458" s="226">
        <v>6873</v>
      </c>
      <c r="F458" s="227">
        <v>44512404</v>
      </c>
      <c r="G458" s="1" t="str">
        <f>IFERROR(IF(ventas_b_mes11[[#This Row],[CUIT]]="","-",VLOOKUP(ventas_b_mes11[[#This Row],[CUIT]],Lista_CUIT[#All],2,0)),"CUIT NO CARGADO")</f>
        <v>CUIT NO CARGADO</v>
      </c>
      <c r="H458" s="60">
        <v>1413.22</v>
      </c>
      <c r="I458" s="228">
        <v>296.77999999999997</v>
      </c>
      <c r="J458" s="229"/>
      <c r="K458" s="229"/>
      <c r="L458" s="229">
        <f>SUM(ventas_b_mes11[[#This Row],[IMPORTE NETO]:[EXENTO]])</f>
        <v>1710</v>
      </c>
      <c r="M458" s="55"/>
    </row>
    <row r="459" spans="2:13" x14ac:dyDescent="0.3">
      <c r="B459" s="223">
        <v>44837</v>
      </c>
      <c r="C459" s="224">
        <v>6</v>
      </c>
      <c r="D459" s="225">
        <v>15</v>
      </c>
      <c r="E459" s="226">
        <v>6874</v>
      </c>
      <c r="F459" s="227">
        <v>42117899</v>
      </c>
      <c r="G459" s="1" t="s">
        <v>168</v>
      </c>
      <c r="H459" s="60">
        <v>3220.66</v>
      </c>
      <c r="I459" s="228">
        <v>676.34</v>
      </c>
      <c r="J459" s="229"/>
      <c r="K459" s="229"/>
      <c r="L459" s="229">
        <f>SUM(ventas_b_mes11[[#This Row],[IMPORTE NETO]:[EXENTO]])</f>
        <v>3897</v>
      </c>
      <c r="M459" s="55"/>
    </row>
    <row r="460" spans="2:13" x14ac:dyDescent="0.3">
      <c r="B460" s="223">
        <v>44838</v>
      </c>
      <c r="C460" s="224">
        <v>6</v>
      </c>
      <c r="D460" s="225">
        <v>15</v>
      </c>
      <c r="E460" s="226">
        <v>6875</v>
      </c>
      <c r="F460" s="227">
        <v>30921865</v>
      </c>
      <c r="G460" s="1" t="s">
        <v>226</v>
      </c>
      <c r="H460" s="60">
        <v>3719.01</v>
      </c>
      <c r="I460" s="228">
        <v>780.99</v>
      </c>
      <c r="J460" s="229"/>
      <c r="K460" s="229"/>
      <c r="L460" s="229">
        <f>SUM(ventas_b_mes11[[#This Row],[IMPORTE NETO]:[EXENTO]])</f>
        <v>4500</v>
      </c>
      <c r="M460" s="55"/>
    </row>
    <row r="461" spans="2:13" x14ac:dyDescent="0.3">
      <c r="B461" s="223">
        <v>44838</v>
      </c>
      <c r="C461" s="224">
        <v>6</v>
      </c>
      <c r="D461" s="225">
        <v>15</v>
      </c>
      <c r="E461" s="226">
        <v>6876</v>
      </c>
      <c r="F461" s="227">
        <v>17681773</v>
      </c>
      <c r="G461" s="1" t="s">
        <v>215</v>
      </c>
      <c r="H461" s="60">
        <v>1611.57</v>
      </c>
      <c r="I461" s="228">
        <v>338.43</v>
      </c>
      <c r="J461" s="229"/>
      <c r="K461" s="229"/>
      <c r="L461" s="229">
        <f>SUM(ventas_b_mes11[[#This Row],[IMPORTE NETO]:[EXENTO]])</f>
        <v>1950</v>
      </c>
      <c r="M461" s="55"/>
    </row>
    <row r="462" spans="2:13" x14ac:dyDescent="0.3">
      <c r="B462" s="223">
        <v>44838</v>
      </c>
      <c r="C462" s="224">
        <v>6</v>
      </c>
      <c r="D462" s="225">
        <v>15</v>
      </c>
      <c r="E462" s="226">
        <v>6877</v>
      </c>
      <c r="F462" s="227">
        <v>5965253</v>
      </c>
      <c r="G462" s="1"/>
      <c r="H462" s="60">
        <v>7396.69</v>
      </c>
      <c r="I462" s="228">
        <v>1553.31</v>
      </c>
      <c r="J462" s="229"/>
      <c r="K462" s="229"/>
      <c r="L462" s="229">
        <f>SUM(ventas_b_mes11[[#This Row],[IMPORTE NETO]:[EXENTO]])</f>
        <v>8950</v>
      </c>
      <c r="M462" s="55"/>
    </row>
    <row r="463" spans="2:13" x14ac:dyDescent="0.3">
      <c r="B463" s="223">
        <v>44838</v>
      </c>
      <c r="C463" s="224">
        <v>6</v>
      </c>
      <c r="D463" s="225">
        <v>15</v>
      </c>
      <c r="E463" s="226">
        <v>6878</v>
      </c>
      <c r="F463" s="227">
        <v>26670209</v>
      </c>
      <c r="G463" s="1"/>
      <c r="H463" s="60">
        <v>4545.45</v>
      </c>
      <c r="I463" s="228">
        <v>954.55</v>
      </c>
      <c r="J463" s="229"/>
      <c r="K463" s="229"/>
      <c r="L463" s="229">
        <f>SUM(ventas_b_mes11[[#This Row],[IMPORTE NETO]:[EXENTO]])</f>
        <v>5500</v>
      </c>
      <c r="M463" s="55"/>
    </row>
    <row r="464" spans="2:13" x14ac:dyDescent="0.3">
      <c r="B464" s="223">
        <v>44838</v>
      </c>
      <c r="C464" s="224">
        <v>6</v>
      </c>
      <c r="D464" s="225">
        <v>15</v>
      </c>
      <c r="E464" s="226">
        <v>6879</v>
      </c>
      <c r="F464" s="227">
        <v>28043720</v>
      </c>
      <c r="G464" s="1" t="s">
        <v>244</v>
      </c>
      <c r="H464" s="60">
        <v>6842.98</v>
      </c>
      <c r="I464" s="228">
        <v>1437.02</v>
      </c>
      <c r="J464" s="229"/>
      <c r="K464" s="229"/>
      <c r="L464" s="229">
        <f>SUM(ventas_b_mes11[[#This Row],[IMPORTE NETO]:[EXENTO]])</f>
        <v>8280</v>
      </c>
      <c r="M464" s="55"/>
    </row>
    <row r="465" spans="2:13" x14ac:dyDescent="0.3">
      <c r="B465" s="223">
        <v>44838</v>
      </c>
      <c r="C465" s="224">
        <v>6</v>
      </c>
      <c r="D465" s="225">
        <v>15</v>
      </c>
      <c r="E465" s="226">
        <v>6880</v>
      </c>
      <c r="F465" s="227">
        <v>22209881</v>
      </c>
      <c r="G465" s="1" t="s">
        <v>143</v>
      </c>
      <c r="H465" s="60">
        <v>18842.98</v>
      </c>
      <c r="I465" s="228">
        <v>3957.02</v>
      </c>
      <c r="J465" s="229"/>
      <c r="K465" s="229"/>
      <c r="L465" s="229">
        <f>SUM(ventas_b_mes11[[#This Row],[IMPORTE NETO]:[EXENTO]])</f>
        <v>22800</v>
      </c>
      <c r="M465" s="55"/>
    </row>
    <row r="466" spans="2:13" x14ac:dyDescent="0.3">
      <c r="B466" s="223">
        <v>44838</v>
      </c>
      <c r="C466" s="224">
        <v>6</v>
      </c>
      <c r="D466" s="225">
        <v>15</v>
      </c>
      <c r="E466" s="226">
        <v>6881</v>
      </c>
      <c r="F466" s="227">
        <v>17193414</v>
      </c>
      <c r="G466" s="1" t="s">
        <v>241</v>
      </c>
      <c r="H466" s="60">
        <v>47438.02</v>
      </c>
      <c r="I466" s="228">
        <v>9961.98</v>
      </c>
      <c r="J466" s="229"/>
      <c r="K466" s="229"/>
      <c r="L466" s="229">
        <f>SUM(ventas_b_mes11[[#This Row],[IMPORTE NETO]:[EXENTO]])</f>
        <v>57400</v>
      </c>
      <c r="M466" s="55"/>
    </row>
    <row r="467" spans="2:13" x14ac:dyDescent="0.3">
      <c r="B467" s="223">
        <v>44838</v>
      </c>
      <c r="C467" s="224">
        <v>6</v>
      </c>
      <c r="D467" s="225">
        <v>15</v>
      </c>
      <c r="E467" s="226">
        <v>6882</v>
      </c>
      <c r="F467" s="227">
        <v>34624335</v>
      </c>
      <c r="G467" s="1" t="s">
        <v>253</v>
      </c>
      <c r="H467" s="60">
        <v>8925.6200000000008</v>
      </c>
      <c r="I467" s="228">
        <v>1874.38</v>
      </c>
      <c r="J467" s="229"/>
      <c r="K467" s="229"/>
      <c r="L467" s="229">
        <f>SUM(ventas_b_mes11[[#This Row],[IMPORTE NETO]:[EXENTO]])</f>
        <v>10800</v>
      </c>
      <c r="M467" s="55"/>
    </row>
    <row r="468" spans="2:13" x14ac:dyDescent="0.3">
      <c r="B468" s="223">
        <v>44838</v>
      </c>
      <c r="C468" s="224">
        <v>6</v>
      </c>
      <c r="D468" s="225">
        <v>15</v>
      </c>
      <c r="E468" s="226">
        <v>6883</v>
      </c>
      <c r="F468" s="227">
        <v>24717772</v>
      </c>
      <c r="G468" s="1" t="s">
        <v>228</v>
      </c>
      <c r="H468" s="60">
        <v>9867.75</v>
      </c>
      <c r="I468" s="228">
        <v>2072.23</v>
      </c>
      <c r="J468" s="229"/>
      <c r="K468" s="229"/>
      <c r="L468" s="229">
        <f>SUM(ventas_b_mes11[[#This Row],[IMPORTE NETO]:[EXENTO]])</f>
        <v>11939.98</v>
      </c>
      <c r="M468" s="55"/>
    </row>
    <row r="469" spans="2:13" x14ac:dyDescent="0.3">
      <c r="B469" s="223">
        <v>44838</v>
      </c>
      <c r="C469" s="224">
        <v>6</v>
      </c>
      <c r="D469" s="225">
        <v>15</v>
      </c>
      <c r="E469" s="226">
        <v>6884</v>
      </c>
      <c r="F469" s="227">
        <v>24569874</v>
      </c>
      <c r="G469" s="1" t="s">
        <v>255</v>
      </c>
      <c r="H469" s="60">
        <v>2066.12</v>
      </c>
      <c r="I469" s="228">
        <v>433.88</v>
      </c>
      <c r="J469" s="229"/>
      <c r="K469" s="229"/>
      <c r="L469" s="229">
        <f>SUM(ventas_b_mes11[[#This Row],[IMPORTE NETO]:[EXENTO]])</f>
        <v>2500</v>
      </c>
      <c r="M469" s="55"/>
    </row>
    <row r="470" spans="2:13" x14ac:dyDescent="0.3">
      <c r="B470" s="223">
        <v>44838</v>
      </c>
      <c r="C470" s="224">
        <v>6</v>
      </c>
      <c r="D470" s="225">
        <v>15</v>
      </c>
      <c r="E470" s="226">
        <v>6885</v>
      </c>
      <c r="F470" s="227">
        <v>22993607</v>
      </c>
      <c r="G470" s="1" t="s">
        <v>200</v>
      </c>
      <c r="H470" s="60">
        <v>10674.39</v>
      </c>
      <c r="I470" s="228">
        <v>2241.62</v>
      </c>
      <c r="J470" s="229"/>
      <c r="K470" s="229"/>
      <c r="L470" s="229">
        <f>SUM(ventas_b_mes11[[#This Row],[IMPORTE NETO]:[EXENTO]])</f>
        <v>12916.009999999998</v>
      </c>
      <c r="M470" s="55"/>
    </row>
    <row r="471" spans="2:13" x14ac:dyDescent="0.3">
      <c r="B471" s="223">
        <v>44838</v>
      </c>
      <c r="C471" s="224">
        <v>6</v>
      </c>
      <c r="D471" s="225">
        <v>15</v>
      </c>
      <c r="E471" s="226">
        <v>6886</v>
      </c>
      <c r="F471" s="227">
        <v>42043394</v>
      </c>
      <c r="G471" s="1" t="s">
        <v>234</v>
      </c>
      <c r="H471" s="60">
        <v>4958.68</v>
      </c>
      <c r="I471" s="228">
        <v>1041.32</v>
      </c>
      <c r="J471" s="229"/>
      <c r="K471" s="229"/>
      <c r="L471" s="229">
        <f>SUM(ventas_b_mes11[[#This Row],[IMPORTE NETO]:[EXENTO]])</f>
        <v>6000</v>
      </c>
      <c r="M471" s="55"/>
    </row>
    <row r="472" spans="2:13" x14ac:dyDescent="0.3">
      <c r="B472" s="223">
        <v>44838</v>
      </c>
      <c r="C472" s="224">
        <v>6</v>
      </c>
      <c r="D472" s="225">
        <v>15</v>
      </c>
      <c r="E472" s="226">
        <v>6887</v>
      </c>
      <c r="F472" s="227">
        <v>34569872</v>
      </c>
      <c r="G472" s="1"/>
      <c r="H472" s="60">
        <v>2066.12</v>
      </c>
      <c r="I472" s="228">
        <v>433.88</v>
      </c>
      <c r="J472" s="229"/>
      <c r="K472" s="229"/>
      <c r="L472" s="229">
        <f>SUM(ventas_b_mes11[[#This Row],[IMPORTE NETO]:[EXENTO]])</f>
        <v>2500</v>
      </c>
      <c r="M472" s="55"/>
    </row>
    <row r="473" spans="2:13" x14ac:dyDescent="0.3">
      <c r="B473" s="223">
        <v>44838</v>
      </c>
      <c r="C473" s="224">
        <v>6</v>
      </c>
      <c r="D473" s="225">
        <v>15</v>
      </c>
      <c r="E473" s="226">
        <v>6888</v>
      </c>
      <c r="F473" s="227">
        <v>41140845</v>
      </c>
      <c r="G473" s="1" t="s">
        <v>219</v>
      </c>
      <c r="H473" s="60">
        <v>392.56</v>
      </c>
      <c r="I473" s="228">
        <v>82.44</v>
      </c>
      <c r="J473" s="229"/>
      <c r="K473" s="229"/>
      <c r="L473" s="229">
        <f>SUM(ventas_b_mes11[[#This Row],[IMPORTE NETO]:[EXENTO]])</f>
        <v>475</v>
      </c>
      <c r="M473" s="55"/>
    </row>
    <row r="474" spans="2:13" x14ac:dyDescent="0.3">
      <c r="B474" s="223">
        <v>44838</v>
      </c>
      <c r="C474" s="224">
        <v>6</v>
      </c>
      <c r="D474" s="225">
        <v>15</v>
      </c>
      <c r="E474" s="226">
        <v>6889</v>
      </c>
      <c r="F474" s="227">
        <v>60433055</v>
      </c>
      <c r="G474" s="1"/>
      <c r="H474" s="60">
        <v>10669.42</v>
      </c>
      <c r="I474" s="228">
        <v>2240.58</v>
      </c>
      <c r="J474" s="229"/>
      <c r="K474" s="229"/>
      <c r="L474" s="229">
        <f>SUM(ventas_b_mes11[[#This Row],[IMPORTE NETO]:[EXENTO]])</f>
        <v>12910</v>
      </c>
      <c r="M474" s="55"/>
    </row>
    <row r="475" spans="2:13" x14ac:dyDescent="0.3">
      <c r="B475" s="223">
        <v>44838</v>
      </c>
      <c r="C475" s="224">
        <v>6</v>
      </c>
      <c r="D475" s="225">
        <v>15</v>
      </c>
      <c r="E475" s="226">
        <v>6890</v>
      </c>
      <c r="F475" s="227">
        <v>11001660</v>
      </c>
      <c r="G475" s="1" t="s">
        <v>211</v>
      </c>
      <c r="H475" s="60">
        <v>7090.08</v>
      </c>
      <c r="I475" s="228">
        <v>1488.92</v>
      </c>
      <c r="J475" s="229"/>
      <c r="K475" s="229"/>
      <c r="L475" s="229">
        <f>SUM(ventas_b_mes11[[#This Row],[IMPORTE NETO]:[EXENTO]])</f>
        <v>8579</v>
      </c>
      <c r="M475" s="55"/>
    </row>
    <row r="476" spans="2:13" x14ac:dyDescent="0.3">
      <c r="B476" s="223">
        <v>44839</v>
      </c>
      <c r="C476" s="224">
        <v>6</v>
      </c>
      <c r="D476" s="225">
        <v>15</v>
      </c>
      <c r="E476" s="226">
        <v>6891</v>
      </c>
      <c r="F476" s="227">
        <v>38268441</v>
      </c>
      <c r="G476" s="1" t="s">
        <v>276</v>
      </c>
      <c r="H476" s="60">
        <v>3205.79</v>
      </c>
      <c r="I476" s="228">
        <v>673.21</v>
      </c>
      <c r="J476" s="229"/>
      <c r="K476" s="229"/>
      <c r="L476" s="229">
        <f>SUM(ventas_b_mes11[[#This Row],[IMPORTE NETO]:[EXENTO]])</f>
        <v>3879</v>
      </c>
      <c r="M476" s="55"/>
    </row>
    <row r="477" spans="2:13" x14ac:dyDescent="0.3">
      <c r="B477" s="223">
        <v>44839</v>
      </c>
      <c r="C477" s="224">
        <v>6</v>
      </c>
      <c r="D477" s="225">
        <v>15</v>
      </c>
      <c r="E477" s="226">
        <v>6892</v>
      </c>
      <c r="F477" s="227">
        <v>36740584</v>
      </c>
      <c r="G477" s="1" t="s">
        <v>288</v>
      </c>
      <c r="H477" s="60">
        <v>4545.45</v>
      </c>
      <c r="I477" s="228">
        <v>954.55</v>
      </c>
      <c r="J477" s="229"/>
      <c r="K477" s="229"/>
      <c r="L477" s="229">
        <f>SUM(ventas_b_mes11[[#This Row],[IMPORTE NETO]:[EXENTO]])</f>
        <v>5500</v>
      </c>
      <c r="M477" s="55"/>
    </row>
    <row r="478" spans="2:13" x14ac:dyDescent="0.3">
      <c r="B478" s="223">
        <v>44839</v>
      </c>
      <c r="C478" s="224">
        <v>6</v>
      </c>
      <c r="D478" s="225">
        <v>15</v>
      </c>
      <c r="E478" s="226">
        <v>6893</v>
      </c>
      <c r="F478" s="227">
        <v>30921865</v>
      </c>
      <c r="G478" s="1" t="s">
        <v>226</v>
      </c>
      <c r="H478" s="60">
        <v>1570.25</v>
      </c>
      <c r="I478" s="228">
        <v>329.75</v>
      </c>
      <c r="J478" s="229"/>
      <c r="K478" s="229"/>
      <c r="L478" s="229">
        <f>SUM(ventas_b_mes11[[#This Row],[IMPORTE NETO]:[EXENTO]])</f>
        <v>1900</v>
      </c>
      <c r="M478" s="55"/>
    </row>
    <row r="479" spans="2:13" x14ac:dyDescent="0.3">
      <c r="B479" s="223">
        <v>44839</v>
      </c>
      <c r="C479" s="224">
        <v>6</v>
      </c>
      <c r="D479" s="225">
        <v>15</v>
      </c>
      <c r="E479" s="226">
        <v>6894</v>
      </c>
      <c r="F479" s="227">
        <v>23250680</v>
      </c>
      <c r="G479" s="1" t="s">
        <v>310</v>
      </c>
      <c r="H479" s="60">
        <v>2066.12</v>
      </c>
      <c r="I479" s="228">
        <v>433.88</v>
      </c>
      <c r="J479" s="229"/>
      <c r="K479" s="229"/>
      <c r="L479" s="229">
        <f>SUM(ventas_b_mes11[[#This Row],[IMPORTE NETO]:[EXENTO]])</f>
        <v>2500</v>
      </c>
      <c r="M479" s="55"/>
    </row>
    <row r="480" spans="2:13" x14ac:dyDescent="0.3">
      <c r="B480" s="223">
        <v>44839</v>
      </c>
      <c r="C480" s="224">
        <v>6</v>
      </c>
      <c r="D480" s="225">
        <v>15</v>
      </c>
      <c r="E480" s="226">
        <v>6895</v>
      </c>
      <c r="F480" s="227">
        <v>26822235</v>
      </c>
      <c r="G480" s="1" t="s">
        <v>285</v>
      </c>
      <c r="H480" s="60">
        <v>1239.67</v>
      </c>
      <c r="I480" s="228">
        <v>260.33</v>
      </c>
      <c r="J480" s="229"/>
      <c r="K480" s="229"/>
      <c r="L480" s="229">
        <f>SUM(ventas_b_mes11[[#This Row],[IMPORTE NETO]:[EXENTO]])</f>
        <v>1500</v>
      </c>
      <c r="M480" s="55"/>
    </row>
    <row r="481" spans="2:13" x14ac:dyDescent="0.3">
      <c r="B481" s="223">
        <v>44839</v>
      </c>
      <c r="C481" s="224">
        <v>6</v>
      </c>
      <c r="D481" s="225">
        <v>15</v>
      </c>
      <c r="E481" s="226">
        <v>6896</v>
      </c>
      <c r="F481" s="227">
        <v>14070535</v>
      </c>
      <c r="G481" s="1" t="s">
        <v>268</v>
      </c>
      <c r="H481" s="60">
        <v>4958.68</v>
      </c>
      <c r="I481" s="228">
        <v>1041.32</v>
      </c>
      <c r="J481" s="229"/>
      <c r="K481" s="229"/>
      <c r="L481" s="229">
        <f>SUM(ventas_b_mes11[[#This Row],[IMPORTE NETO]:[EXENTO]])</f>
        <v>6000</v>
      </c>
      <c r="M481" s="55"/>
    </row>
    <row r="482" spans="2:13" x14ac:dyDescent="0.3">
      <c r="B482" s="223">
        <v>44839</v>
      </c>
      <c r="C482" s="224">
        <v>6</v>
      </c>
      <c r="D482" s="225">
        <v>15</v>
      </c>
      <c r="E482" s="226">
        <v>6897</v>
      </c>
      <c r="F482" s="227">
        <v>25121194</v>
      </c>
      <c r="G482" s="1" t="s">
        <v>299</v>
      </c>
      <c r="H482" s="60">
        <v>4545.45</v>
      </c>
      <c r="I482" s="228">
        <v>954.55</v>
      </c>
      <c r="J482" s="229"/>
      <c r="K482" s="229"/>
      <c r="L482" s="229">
        <f>SUM(ventas_b_mes11[[#This Row],[IMPORTE NETO]:[EXENTO]])</f>
        <v>5500</v>
      </c>
      <c r="M482" s="55"/>
    </row>
    <row r="483" spans="2:13" x14ac:dyDescent="0.3">
      <c r="B483" s="223">
        <v>44839</v>
      </c>
      <c r="C483" s="224">
        <v>6</v>
      </c>
      <c r="D483" s="225">
        <v>15</v>
      </c>
      <c r="E483" s="226">
        <v>6898</v>
      </c>
      <c r="F483" s="227">
        <v>31784193</v>
      </c>
      <c r="G483" s="1" t="s">
        <v>266</v>
      </c>
      <c r="H483" s="60">
        <v>3057.85</v>
      </c>
      <c r="I483" s="228">
        <v>642.15</v>
      </c>
      <c r="J483" s="229"/>
      <c r="K483" s="229"/>
      <c r="L483" s="229">
        <f>SUM(ventas_b_mes11[[#This Row],[IMPORTE NETO]:[EXENTO]])</f>
        <v>3700</v>
      </c>
      <c r="M483" s="55"/>
    </row>
    <row r="484" spans="2:13" x14ac:dyDescent="0.3">
      <c r="B484" s="223">
        <v>44839</v>
      </c>
      <c r="C484" s="224">
        <v>6</v>
      </c>
      <c r="D484" s="225">
        <v>15</v>
      </c>
      <c r="E484" s="226">
        <v>6899</v>
      </c>
      <c r="F484" s="227">
        <v>26162942</v>
      </c>
      <c r="G484" s="1" t="s">
        <v>179</v>
      </c>
      <c r="H484" s="60">
        <v>4545.45</v>
      </c>
      <c r="I484" s="228">
        <v>954.55</v>
      </c>
      <c r="J484" s="229"/>
      <c r="K484" s="229"/>
      <c r="L484" s="229">
        <f>SUM(ventas_b_mes11[[#This Row],[IMPORTE NETO]:[EXENTO]])</f>
        <v>5500</v>
      </c>
      <c r="M484" s="55"/>
    </row>
    <row r="485" spans="2:13" x14ac:dyDescent="0.3">
      <c r="B485" s="223">
        <v>44839</v>
      </c>
      <c r="C485" s="224">
        <v>6</v>
      </c>
      <c r="D485" s="225">
        <v>15</v>
      </c>
      <c r="E485" s="226">
        <v>6900</v>
      </c>
      <c r="F485" s="227">
        <v>31617376</v>
      </c>
      <c r="G485" s="1" t="s">
        <v>306</v>
      </c>
      <c r="H485" s="60">
        <v>7107.43</v>
      </c>
      <c r="I485" s="228">
        <v>1492.56</v>
      </c>
      <c r="J485" s="229"/>
      <c r="K485" s="229"/>
      <c r="L485" s="229">
        <f>SUM(ventas_b_mes11[[#This Row],[IMPORTE NETO]:[EXENTO]])</f>
        <v>8599.99</v>
      </c>
      <c r="M485" s="55"/>
    </row>
    <row r="486" spans="2:13" x14ac:dyDescent="0.3">
      <c r="B486" s="223">
        <v>44839</v>
      </c>
      <c r="C486" s="224">
        <v>6</v>
      </c>
      <c r="D486" s="225">
        <v>15</v>
      </c>
      <c r="E486" s="226">
        <v>6901</v>
      </c>
      <c r="F486" s="227">
        <v>27251066863</v>
      </c>
      <c r="G486" s="1" t="s">
        <v>292</v>
      </c>
      <c r="H486" s="60">
        <v>10371.9</v>
      </c>
      <c r="I486" s="228">
        <v>2178.1</v>
      </c>
      <c r="J486" s="229"/>
      <c r="K486" s="229"/>
      <c r="L486" s="229">
        <f>SUM(ventas_b_mes11[[#This Row],[IMPORTE NETO]:[EXENTO]])</f>
        <v>12550</v>
      </c>
      <c r="M486" s="55"/>
    </row>
    <row r="487" spans="2:13" x14ac:dyDescent="0.3">
      <c r="B487" s="223">
        <v>44839</v>
      </c>
      <c r="C487" s="224">
        <v>6</v>
      </c>
      <c r="D487" s="225">
        <v>15</v>
      </c>
      <c r="E487" s="226">
        <v>6902</v>
      </c>
      <c r="F487" s="227">
        <v>23159787</v>
      </c>
      <c r="G487" s="1" t="s">
        <v>287</v>
      </c>
      <c r="H487" s="60">
        <v>10644.63</v>
      </c>
      <c r="I487" s="228">
        <v>2235.37</v>
      </c>
      <c r="J487" s="229"/>
      <c r="K487" s="229"/>
      <c r="L487" s="229">
        <f>SUM(ventas_b_mes11[[#This Row],[IMPORTE NETO]:[EXENTO]])</f>
        <v>12880</v>
      </c>
      <c r="M487" s="55"/>
    </row>
    <row r="488" spans="2:13" x14ac:dyDescent="0.3">
      <c r="B488" s="223">
        <v>44839</v>
      </c>
      <c r="C488" s="224">
        <v>6</v>
      </c>
      <c r="D488" s="225">
        <v>15</v>
      </c>
      <c r="E488" s="226">
        <v>6903</v>
      </c>
      <c r="F488" s="227">
        <v>26272486</v>
      </c>
      <c r="G488" s="1" t="s">
        <v>291</v>
      </c>
      <c r="H488" s="60">
        <v>4090.91</v>
      </c>
      <c r="I488" s="228">
        <v>859.09</v>
      </c>
      <c r="J488" s="229"/>
      <c r="K488" s="229"/>
      <c r="L488" s="229">
        <f>SUM(ventas_b_mes11[[#This Row],[IMPORTE NETO]:[EXENTO]])</f>
        <v>4950</v>
      </c>
      <c r="M488" s="55"/>
    </row>
    <row r="489" spans="2:13" x14ac:dyDescent="0.3">
      <c r="B489" s="223">
        <v>44839</v>
      </c>
      <c r="C489" s="224">
        <v>6</v>
      </c>
      <c r="D489" s="225">
        <v>15</v>
      </c>
      <c r="E489" s="226">
        <v>6904</v>
      </c>
      <c r="F489" s="227">
        <v>41209854</v>
      </c>
      <c r="G489" s="1" t="s">
        <v>300</v>
      </c>
      <c r="H489" s="60">
        <v>768.6</v>
      </c>
      <c r="I489" s="228">
        <v>161.4</v>
      </c>
      <c r="J489" s="229"/>
      <c r="K489" s="229"/>
      <c r="L489" s="229">
        <f>SUM(ventas_b_mes11[[#This Row],[IMPORTE NETO]:[EXENTO]])</f>
        <v>930</v>
      </c>
      <c r="M489" s="55"/>
    </row>
    <row r="490" spans="2:13" x14ac:dyDescent="0.3">
      <c r="B490" s="223">
        <v>44840</v>
      </c>
      <c r="C490" s="224">
        <v>6</v>
      </c>
      <c r="D490" s="225">
        <v>15</v>
      </c>
      <c r="E490" s="226">
        <v>6905</v>
      </c>
      <c r="F490" s="227">
        <v>34651132</v>
      </c>
      <c r="G490" s="1" t="s">
        <v>358</v>
      </c>
      <c r="H490" s="60">
        <v>3822.31</v>
      </c>
      <c r="I490" s="228">
        <v>802.69</v>
      </c>
      <c r="J490" s="229"/>
      <c r="K490" s="229"/>
      <c r="L490" s="229">
        <f>SUM(ventas_b_mes11[[#This Row],[IMPORTE NETO]:[EXENTO]])</f>
        <v>4625</v>
      </c>
      <c r="M490" s="55"/>
    </row>
    <row r="491" spans="2:13" x14ac:dyDescent="0.3">
      <c r="B491" s="223">
        <v>44840</v>
      </c>
      <c r="C491" s="224">
        <v>6</v>
      </c>
      <c r="D491" s="225">
        <v>15</v>
      </c>
      <c r="E491" s="226">
        <v>6906</v>
      </c>
      <c r="F491" s="227">
        <v>38009133</v>
      </c>
      <c r="G491" s="1" t="s">
        <v>323</v>
      </c>
      <c r="H491" s="60">
        <v>4958.68</v>
      </c>
      <c r="I491" s="228">
        <v>1041.32</v>
      </c>
      <c r="J491" s="229"/>
      <c r="K491" s="229"/>
      <c r="L491" s="229">
        <f>SUM(ventas_b_mes11[[#This Row],[IMPORTE NETO]:[EXENTO]])</f>
        <v>6000</v>
      </c>
      <c r="M491" s="55"/>
    </row>
    <row r="492" spans="2:13" x14ac:dyDescent="0.3">
      <c r="B492" s="223">
        <v>44840</v>
      </c>
      <c r="C492" s="224">
        <v>6</v>
      </c>
      <c r="D492" s="225">
        <v>15</v>
      </c>
      <c r="E492" s="226">
        <v>6907</v>
      </c>
      <c r="F492" s="227">
        <v>38009133</v>
      </c>
      <c r="G492" s="1" t="s">
        <v>323</v>
      </c>
      <c r="H492" s="60">
        <v>8479.34</v>
      </c>
      <c r="I492" s="228">
        <v>1780.66</v>
      </c>
      <c r="J492" s="229"/>
      <c r="K492" s="229"/>
      <c r="L492" s="229">
        <f>SUM(ventas_b_mes11[[#This Row],[IMPORTE NETO]:[EXENTO]])</f>
        <v>10260</v>
      </c>
      <c r="M492" s="55"/>
    </row>
    <row r="493" spans="2:13" x14ac:dyDescent="0.3">
      <c r="B493" s="223">
        <v>44840</v>
      </c>
      <c r="C493" s="224">
        <v>6</v>
      </c>
      <c r="D493" s="225">
        <v>15</v>
      </c>
      <c r="E493" s="226">
        <v>6908</v>
      </c>
      <c r="F493" s="227">
        <v>31784193</v>
      </c>
      <c r="G493" s="1" t="s">
        <v>266</v>
      </c>
      <c r="H493" s="60">
        <v>1363.64</v>
      </c>
      <c r="I493" s="228">
        <v>286.36</v>
      </c>
      <c r="J493" s="229"/>
      <c r="K493" s="229"/>
      <c r="L493" s="229">
        <f>SUM(ventas_b_mes11[[#This Row],[IMPORTE NETO]:[EXENTO]])</f>
        <v>1650</v>
      </c>
      <c r="M493" s="55"/>
    </row>
    <row r="494" spans="2:13" x14ac:dyDescent="0.3">
      <c r="B494" s="223">
        <v>44840</v>
      </c>
      <c r="C494" s="224">
        <v>6</v>
      </c>
      <c r="D494" s="225">
        <v>15</v>
      </c>
      <c r="E494" s="226">
        <v>6909</v>
      </c>
      <c r="F494" s="227">
        <v>94318201</v>
      </c>
      <c r="G494" s="1" t="s">
        <v>359</v>
      </c>
      <c r="H494" s="60">
        <v>4545.45</v>
      </c>
      <c r="I494" s="228">
        <v>954.55</v>
      </c>
      <c r="J494" s="229"/>
      <c r="K494" s="229"/>
      <c r="L494" s="229">
        <f>SUM(ventas_b_mes11[[#This Row],[IMPORTE NETO]:[EXENTO]])</f>
        <v>5500</v>
      </c>
      <c r="M494" s="55"/>
    </row>
    <row r="495" spans="2:13" x14ac:dyDescent="0.3">
      <c r="B495" s="223">
        <v>44840</v>
      </c>
      <c r="C495" s="224">
        <v>6</v>
      </c>
      <c r="D495" s="225">
        <v>15</v>
      </c>
      <c r="E495" s="226">
        <v>6910</v>
      </c>
      <c r="F495" s="227">
        <v>33524833</v>
      </c>
      <c r="G495" s="1" t="s">
        <v>317</v>
      </c>
      <c r="H495" s="60">
        <v>1971.08</v>
      </c>
      <c r="I495" s="228">
        <v>413.93</v>
      </c>
      <c r="J495" s="229"/>
      <c r="K495" s="229"/>
      <c r="L495" s="229">
        <f>SUM(ventas_b_mes11[[#This Row],[IMPORTE NETO]:[EXENTO]])</f>
        <v>2385.0099999999998</v>
      </c>
      <c r="M495" s="55"/>
    </row>
    <row r="496" spans="2:13" x14ac:dyDescent="0.3">
      <c r="B496" s="223">
        <v>44840</v>
      </c>
      <c r="C496" s="224">
        <v>6</v>
      </c>
      <c r="D496" s="225">
        <v>15</v>
      </c>
      <c r="E496" s="226">
        <v>6911</v>
      </c>
      <c r="F496" s="227">
        <v>5150827</v>
      </c>
      <c r="G496" s="1"/>
      <c r="H496" s="60">
        <v>6074.37</v>
      </c>
      <c r="I496" s="228">
        <v>1275.6199999999999</v>
      </c>
      <c r="J496" s="229"/>
      <c r="K496" s="229"/>
      <c r="L496" s="229">
        <f>SUM(ventas_b_mes11[[#This Row],[IMPORTE NETO]:[EXENTO]])</f>
        <v>7349.99</v>
      </c>
      <c r="M496" s="55"/>
    </row>
    <row r="497" spans="2:13" x14ac:dyDescent="0.3">
      <c r="B497" s="223">
        <v>44840</v>
      </c>
      <c r="C497" s="224">
        <v>6</v>
      </c>
      <c r="D497" s="225">
        <v>15</v>
      </c>
      <c r="E497" s="226">
        <v>6912</v>
      </c>
      <c r="F497" s="227">
        <v>37018499</v>
      </c>
      <c r="G497" s="1" t="s">
        <v>338</v>
      </c>
      <c r="H497" s="60">
        <v>4958.68</v>
      </c>
      <c r="I497" s="228">
        <v>1041.32</v>
      </c>
      <c r="J497" s="229"/>
      <c r="K497" s="229"/>
      <c r="L497" s="229">
        <f>SUM(ventas_b_mes11[[#This Row],[IMPORTE NETO]:[EXENTO]])</f>
        <v>6000</v>
      </c>
      <c r="M497" s="55"/>
    </row>
    <row r="498" spans="2:13" x14ac:dyDescent="0.3">
      <c r="B498" s="223">
        <v>44840</v>
      </c>
      <c r="C498" s="224">
        <v>6</v>
      </c>
      <c r="D498" s="225">
        <v>15</v>
      </c>
      <c r="E498" s="226">
        <v>6913</v>
      </c>
      <c r="F498" s="227">
        <v>26075379</v>
      </c>
      <c r="G498" s="1" t="s">
        <v>350</v>
      </c>
      <c r="H498" s="60">
        <v>3719.01</v>
      </c>
      <c r="I498" s="228">
        <v>780.99</v>
      </c>
      <c r="J498" s="229"/>
      <c r="K498" s="229"/>
      <c r="L498" s="229">
        <f>SUM(ventas_b_mes11[[#This Row],[IMPORTE NETO]:[EXENTO]])</f>
        <v>4500</v>
      </c>
      <c r="M498" s="55"/>
    </row>
    <row r="499" spans="2:13" x14ac:dyDescent="0.3">
      <c r="B499" s="223">
        <v>44840</v>
      </c>
      <c r="C499" s="224">
        <v>6</v>
      </c>
      <c r="D499" s="225">
        <v>15</v>
      </c>
      <c r="E499" s="226">
        <v>6914</v>
      </c>
      <c r="F499" s="227">
        <v>27816221</v>
      </c>
      <c r="G499" s="1" t="s">
        <v>336</v>
      </c>
      <c r="H499" s="60">
        <v>3057.85</v>
      </c>
      <c r="I499" s="228">
        <v>642.15</v>
      </c>
      <c r="J499" s="229"/>
      <c r="K499" s="229"/>
      <c r="L499" s="229">
        <f>SUM(ventas_b_mes11[[#This Row],[IMPORTE NETO]:[EXENTO]])</f>
        <v>3700</v>
      </c>
      <c r="M499" s="55"/>
    </row>
    <row r="500" spans="2:13" x14ac:dyDescent="0.3">
      <c r="B500" s="223">
        <v>44840</v>
      </c>
      <c r="C500" s="224">
        <v>6</v>
      </c>
      <c r="D500" s="225">
        <v>15</v>
      </c>
      <c r="E500" s="226">
        <v>6915</v>
      </c>
      <c r="F500" s="227">
        <v>43018540</v>
      </c>
      <c r="G500" s="1" t="s">
        <v>357</v>
      </c>
      <c r="H500" s="60">
        <v>4545.45</v>
      </c>
      <c r="I500" s="228">
        <v>954.55</v>
      </c>
      <c r="J500" s="229"/>
      <c r="K500" s="229"/>
      <c r="L500" s="229">
        <f>SUM(ventas_b_mes11[[#This Row],[IMPORTE NETO]:[EXENTO]])</f>
        <v>5500</v>
      </c>
      <c r="M500" s="55"/>
    </row>
    <row r="501" spans="2:13" x14ac:dyDescent="0.3">
      <c r="B501" s="223">
        <v>44840</v>
      </c>
      <c r="C501" s="224">
        <v>6</v>
      </c>
      <c r="D501" s="225">
        <v>15</v>
      </c>
      <c r="E501" s="226">
        <v>6916</v>
      </c>
      <c r="F501" s="227">
        <v>43018540</v>
      </c>
      <c r="G501" s="1" t="s">
        <v>357</v>
      </c>
      <c r="H501" s="60">
        <v>3719.01</v>
      </c>
      <c r="I501" s="228">
        <v>780.99</v>
      </c>
      <c r="J501" s="229"/>
      <c r="K501" s="229"/>
      <c r="L501" s="229">
        <f>SUM(ventas_b_mes11[[#This Row],[IMPORTE NETO]:[EXENTO]])</f>
        <v>4500</v>
      </c>
      <c r="M501" s="55"/>
    </row>
    <row r="502" spans="2:13" x14ac:dyDescent="0.3">
      <c r="B502" s="223">
        <v>44842</v>
      </c>
      <c r="C502" s="224">
        <v>6</v>
      </c>
      <c r="D502" s="225">
        <v>15</v>
      </c>
      <c r="E502" s="226">
        <v>6917</v>
      </c>
      <c r="F502" s="227">
        <v>26843489</v>
      </c>
      <c r="G502" s="1" t="s">
        <v>366</v>
      </c>
      <c r="H502" s="60">
        <v>3719.01</v>
      </c>
      <c r="I502" s="228">
        <v>780.99</v>
      </c>
      <c r="J502" s="229"/>
      <c r="K502" s="229"/>
      <c r="L502" s="229">
        <f>SUM(ventas_b_mes11[[#This Row],[IMPORTE NETO]:[EXENTO]])</f>
        <v>4500</v>
      </c>
      <c r="M502" s="55"/>
    </row>
    <row r="503" spans="2:13" x14ac:dyDescent="0.3">
      <c r="B503" s="223">
        <v>44842</v>
      </c>
      <c r="C503" s="224">
        <v>6</v>
      </c>
      <c r="D503" s="225">
        <v>15</v>
      </c>
      <c r="E503" s="226">
        <v>6918</v>
      </c>
      <c r="F503" s="227">
        <v>33524833</v>
      </c>
      <c r="G503" s="1" t="s">
        <v>317</v>
      </c>
      <c r="H503" s="60">
        <v>1483.47</v>
      </c>
      <c r="I503" s="228">
        <v>311.52999999999997</v>
      </c>
      <c r="J503" s="229"/>
      <c r="K503" s="229"/>
      <c r="L503" s="229">
        <f>SUM(ventas_b_mes11[[#This Row],[IMPORTE NETO]:[EXENTO]])</f>
        <v>1795</v>
      </c>
      <c r="M503" s="55"/>
    </row>
    <row r="504" spans="2:13" x14ac:dyDescent="0.3">
      <c r="B504" s="223">
        <v>44842</v>
      </c>
      <c r="C504" s="224">
        <v>6</v>
      </c>
      <c r="D504" s="225">
        <v>15</v>
      </c>
      <c r="E504" s="226">
        <v>6919</v>
      </c>
      <c r="F504" s="227">
        <v>29734146</v>
      </c>
      <c r="G504" s="1" t="s">
        <v>369</v>
      </c>
      <c r="H504" s="60">
        <v>1355.37</v>
      </c>
      <c r="I504" s="228">
        <v>284.63</v>
      </c>
      <c r="J504" s="229"/>
      <c r="K504" s="229"/>
      <c r="L504" s="229">
        <f>SUM(ventas_b_mes11[[#This Row],[IMPORTE NETO]:[EXENTO]])</f>
        <v>1640</v>
      </c>
      <c r="M504" s="55"/>
    </row>
    <row r="505" spans="2:13" x14ac:dyDescent="0.3">
      <c r="B505" s="223">
        <v>44842</v>
      </c>
      <c r="C505" s="224">
        <v>6</v>
      </c>
      <c r="D505" s="225">
        <v>15</v>
      </c>
      <c r="E505" s="226">
        <v>6920</v>
      </c>
      <c r="F505" s="227">
        <v>42192439</v>
      </c>
      <c r="G505" s="1" t="s">
        <v>389</v>
      </c>
      <c r="H505" s="60">
        <v>53.72</v>
      </c>
      <c r="I505" s="228">
        <v>11.28</v>
      </c>
      <c r="J505" s="229"/>
      <c r="K505" s="229"/>
      <c r="L505" s="229">
        <f>SUM(ventas_b_mes11[[#This Row],[IMPORTE NETO]:[EXENTO]])</f>
        <v>65</v>
      </c>
      <c r="M505" s="55"/>
    </row>
    <row r="506" spans="2:13" x14ac:dyDescent="0.3">
      <c r="B506" s="223">
        <v>44842</v>
      </c>
      <c r="C506" s="224">
        <v>6</v>
      </c>
      <c r="D506" s="225">
        <v>15</v>
      </c>
      <c r="E506" s="226">
        <v>6921</v>
      </c>
      <c r="F506" s="227">
        <v>21836083</v>
      </c>
      <c r="G506" s="1" t="s">
        <v>382</v>
      </c>
      <c r="H506" s="60">
        <v>2024.79</v>
      </c>
      <c r="I506" s="228">
        <v>425.21</v>
      </c>
      <c r="J506" s="229"/>
      <c r="K506" s="229"/>
      <c r="L506" s="229">
        <f>SUM(ventas_b_mes11[[#This Row],[IMPORTE NETO]:[EXENTO]])</f>
        <v>2450</v>
      </c>
      <c r="M506" s="55"/>
    </row>
    <row r="507" spans="2:13" x14ac:dyDescent="0.3">
      <c r="B507" s="223">
        <v>44842</v>
      </c>
      <c r="C507" s="224">
        <v>6</v>
      </c>
      <c r="D507" s="225">
        <v>15</v>
      </c>
      <c r="E507" s="226">
        <v>6922</v>
      </c>
      <c r="F507" s="227">
        <v>41140845</v>
      </c>
      <c r="G507" s="1" t="s">
        <v>219</v>
      </c>
      <c r="H507" s="60">
        <v>4958.68</v>
      </c>
      <c r="I507" s="228">
        <v>1041.32</v>
      </c>
      <c r="J507" s="229"/>
      <c r="K507" s="229"/>
      <c r="L507" s="229">
        <f>SUM(ventas_b_mes11[[#This Row],[IMPORTE NETO]:[EXENTO]])</f>
        <v>6000</v>
      </c>
      <c r="M507" s="55"/>
    </row>
    <row r="508" spans="2:13" x14ac:dyDescent="0.3">
      <c r="B508" s="223">
        <v>44845</v>
      </c>
      <c r="C508" s="224">
        <v>6</v>
      </c>
      <c r="D508" s="225">
        <v>15</v>
      </c>
      <c r="E508" s="226">
        <v>6923</v>
      </c>
      <c r="F508" s="227">
        <v>34624335</v>
      </c>
      <c r="G508" s="1" t="s">
        <v>253</v>
      </c>
      <c r="H508" s="60">
        <v>3719.01</v>
      </c>
      <c r="I508" s="228">
        <v>780.99</v>
      </c>
      <c r="J508" s="229"/>
      <c r="K508" s="229"/>
      <c r="L508" s="229">
        <f>SUM(ventas_b_mes11[[#This Row],[IMPORTE NETO]:[EXENTO]])</f>
        <v>4500</v>
      </c>
      <c r="M508" s="55"/>
    </row>
    <row r="509" spans="2:13" x14ac:dyDescent="0.3">
      <c r="B509" s="223">
        <v>44845</v>
      </c>
      <c r="C509" s="224">
        <v>6</v>
      </c>
      <c r="D509" s="225">
        <v>15</v>
      </c>
      <c r="E509" s="226">
        <v>6924</v>
      </c>
      <c r="F509" s="227">
        <v>22879936</v>
      </c>
      <c r="G509" s="1" t="s">
        <v>396</v>
      </c>
      <c r="H509" s="60">
        <v>4545.45</v>
      </c>
      <c r="I509" s="228">
        <v>954.55</v>
      </c>
      <c r="J509" s="229"/>
      <c r="K509" s="229"/>
      <c r="L509" s="229">
        <f>SUM(ventas_b_mes11[[#This Row],[IMPORTE NETO]:[EXENTO]])</f>
        <v>5500</v>
      </c>
      <c r="M509" s="55"/>
    </row>
    <row r="510" spans="2:13" x14ac:dyDescent="0.3">
      <c r="B510" s="223">
        <v>44845</v>
      </c>
      <c r="C510" s="224">
        <v>6</v>
      </c>
      <c r="D510" s="225">
        <v>15</v>
      </c>
      <c r="E510" s="226">
        <v>6925</v>
      </c>
      <c r="F510" s="227">
        <v>42622446</v>
      </c>
      <c r="G510" s="1" t="s">
        <v>490</v>
      </c>
      <c r="H510" s="60">
        <v>4545.45</v>
      </c>
      <c r="I510" s="228">
        <v>954.55</v>
      </c>
      <c r="J510" s="229"/>
      <c r="K510" s="229"/>
      <c r="L510" s="229">
        <f>SUM(ventas_b_mes11[[#This Row],[IMPORTE NETO]:[EXENTO]])</f>
        <v>5500</v>
      </c>
      <c r="M510" s="55"/>
    </row>
    <row r="511" spans="2:13" x14ac:dyDescent="0.3">
      <c r="B511" s="223" t="s">
        <v>109</v>
      </c>
      <c r="C511" s="224">
        <v>6</v>
      </c>
      <c r="D511" s="225">
        <v>15</v>
      </c>
      <c r="E511" s="226">
        <v>6926</v>
      </c>
      <c r="F511" s="227">
        <v>30954543</v>
      </c>
      <c r="G511" s="1" t="s">
        <v>466</v>
      </c>
      <c r="H511" s="60">
        <v>3719.01</v>
      </c>
      <c r="I511" s="228">
        <v>780.99</v>
      </c>
      <c r="J511" s="229"/>
      <c r="K511" s="229"/>
      <c r="L511" s="229">
        <f>SUM(ventas_b_mes11[[#This Row],[IMPORTE NETO]:[EXENTO]])</f>
        <v>4500</v>
      </c>
      <c r="M511" s="55"/>
    </row>
    <row r="512" spans="2:13" x14ac:dyDescent="0.3">
      <c r="B512" s="223">
        <v>44845</v>
      </c>
      <c r="C512" s="224">
        <v>6</v>
      </c>
      <c r="D512" s="225">
        <v>15</v>
      </c>
      <c r="E512" s="226">
        <v>6927</v>
      </c>
      <c r="F512" s="227">
        <v>40423390</v>
      </c>
      <c r="G512" s="1" t="s">
        <v>505</v>
      </c>
      <c r="H512" s="60">
        <v>4958.68</v>
      </c>
      <c r="I512" s="228">
        <v>1041.32</v>
      </c>
      <c r="J512" s="229"/>
      <c r="K512" s="229"/>
      <c r="L512" s="229">
        <f>SUM(ventas_b_mes11[[#This Row],[IMPORTE NETO]:[EXENTO]])</f>
        <v>6000</v>
      </c>
      <c r="M512" s="55"/>
    </row>
    <row r="513" spans="2:13" x14ac:dyDescent="0.3">
      <c r="B513" s="223" t="s">
        <v>109</v>
      </c>
      <c r="C513" s="224">
        <v>6</v>
      </c>
      <c r="D513" s="225">
        <v>15</v>
      </c>
      <c r="E513" s="226">
        <v>6928</v>
      </c>
      <c r="F513" s="227">
        <v>26927710</v>
      </c>
      <c r="G513" s="1" t="s">
        <v>464</v>
      </c>
      <c r="H513" s="60">
        <v>4958.68</v>
      </c>
      <c r="I513" s="228">
        <v>1041.32</v>
      </c>
      <c r="J513" s="229"/>
      <c r="K513" s="229"/>
      <c r="L513" s="229">
        <f>SUM(ventas_b_mes11[[#This Row],[IMPORTE NETO]:[EXENTO]])</f>
        <v>6000</v>
      </c>
      <c r="M513" s="55"/>
    </row>
    <row r="514" spans="2:13" x14ac:dyDescent="0.3">
      <c r="B514" s="223">
        <v>44845</v>
      </c>
      <c r="C514" s="224">
        <v>6</v>
      </c>
      <c r="D514" s="225">
        <v>15</v>
      </c>
      <c r="E514" s="226">
        <v>6929</v>
      </c>
      <c r="F514" s="227">
        <v>40231445</v>
      </c>
      <c r="G514" s="1"/>
      <c r="H514" s="60">
        <v>4958.68</v>
      </c>
      <c r="I514" s="228">
        <v>1041.32</v>
      </c>
      <c r="J514" s="229"/>
      <c r="K514" s="229"/>
      <c r="L514" s="229">
        <f>SUM(ventas_b_mes11[[#This Row],[IMPORTE NETO]:[EXENTO]])</f>
        <v>6000</v>
      </c>
      <c r="M514" s="55"/>
    </row>
    <row r="515" spans="2:13" x14ac:dyDescent="0.3">
      <c r="B515" s="223">
        <v>44845</v>
      </c>
      <c r="C515" s="224">
        <v>6</v>
      </c>
      <c r="D515" s="225">
        <v>15</v>
      </c>
      <c r="E515" s="226">
        <v>6930</v>
      </c>
      <c r="F515" s="227">
        <v>33524833</v>
      </c>
      <c r="G515" s="1" t="s">
        <v>317</v>
      </c>
      <c r="H515" s="60">
        <v>4958.68</v>
      </c>
      <c r="I515" s="228">
        <v>1041.32</v>
      </c>
      <c r="J515" s="229"/>
      <c r="K515" s="229"/>
      <c r="L515" s="229">
        <f>SUM(ventas_b_mes11[[#This Row],[IMPORTE NETO]:[EXENTO]])</f>
        <v>6000</v>
      </c>
      <c r="M515" s="55"/>
    </row>
    <row r="516" spans="2:13" x14ac:dyDescent="0.3">
      <c r="B516" s="223">
        <v>44845</v>
      </c>
      <c r="C516" s="224">
        <v>6</v>
      </c>
      <c r="D516" s="225">
        <v>15</v>
      </c>
      <c r="E516" s="226">
        <v>6931</v>
      </c>
      <c r="F516" s="227">
        <v>31508290</v>
      </c>
      <c r="G516" s="1" t="s">
        <v>496</v>
      </c>
      <c r="H516" s="60">
        <v>4545.45</v>
      </c>
      <c r="I516" s="228">
        <v>954.55</v>
      </c>
      <c r="J516" s="229"/>
      <c r="K516" s="229"/>
      <c r="L516" s="229">
        <f>SUM(ventas_b_mes11[[#This Row],[IMPORTE NETO]:[EXENTO]])</f>
        <v>5500</v>
      </c>
      <c r="M516" s="55"/>
    </row>
    <row r="517" spans="2:13" x14ac:dyDescent="0.3">
      <c r="B517" s="223">
        <v>44845</v>
      </c>
      <c r="C517" s="224">
        <v>6</v>
      </c>
      <c r="D517" s="225">
        <v>15</v>
      </c>
      <c r="E517" s="226">
        <v>6932</v>
      </c>
      <c r="F517" s="227">
        <v>36291697</v>
      </c>
      <c r="G517" s="1" t="s">
        <v>423</v>
      </c>
      <c r="H517" s="60">
        <v>3719.01</v>
      </c>
      <c r="I517" s="228">
        <v>780.99</v>
      </c>
      <c r="J517" s="229"/>
      <c r="K517" s="229"/>
      <c r="L517" s="229">
        <f>SUM(ventas_b_mes11[[#This Row],[IMPORTE NETO]:[EXENTO]])</f>
        <v>4500</v>
      </c>
      <c r="M517" s="55"/>
    </row>
    <row r="518" spans="2:13" x14ac:dyDescent="0.3">
      <c r="B518" s="223">
        <v>44845</v>
      </c>
      <c r="C518" s="224">
        <v>6</v>
      </c>
      <c r="D518" s="225">
        <v>15</v>
      </c>
      <c r="E518" s="226">
        <v>6933</v>
      </c>
      <c r="F518" s="227">
        <v>36291697</v>
      </c>
      <c r="G518" s="1" t="s">
        <v>423</v>
      </c>
      <c r="H518" s="60">
        <v>1239.67</v>
      </c>
      <c r="I518" s="228">
        <v>260.33</v>
      </c>
      <c r="J518" s="229"/>
      <c r="K518" s="229"/>
      <c r="L518" s="229">
        <f>SUM(ventas_b_mes11[[#This Row],[IMPORTE NETO]:[EXENTO]])</f>
        <v>1500</v>
      </c>
      <c r="M518" s="55"/>
    </row>
    <row r="519" spans="2:13" x14ac:dyDescent="0.3">
      <c r="B519" s="223">
        <v>44845</v>
      </c>
      <c r="C519" s="224">
        <v>6</v>
      </c>
      <c r="D519" s="225">
        <v>15</v>
      </c>
      <c r="E519" s="226">
        <v>6934</v>
      </c>
      <c r="F519" s="227">
        <v>33086180</v>
      </c>
      <c r="G519" s="1" t="s">
        <v>509</v>
      </c>
      <c r="H519" s="60">
        <v>4958.68</v>
      </c>
      <c r="I519" s="228">
        <v>1041.32</v>
      </c>
      <c r="J519" s="229"/>
      <c r="K519" s="229"/>
      <c r="L519" s="229">
        <f>SUM(ventas_b_mes11[[#This Row],[IMPORTE NETO]:[EXENTO]])</f>
        <v>6000</v>
      </c>
      <c r="M519" s="55"/>
    </row>
    <row r="520" spans="2:13" x14ac:dyDescent="0.3">
      <c r="B520" s="223">
        <v>44845</v>
      </c>
      <c r="C520" s="224">
        <v>6</v>
      </c>
      <c r="D520" s="225">
        <v>15</v>
      </c>
      <c r="E520" s="226">
        <v>6935</v>
      </c>
      <c r="F520" s="227">
        <v>39671178</v>
      </c>
      <c r="G520" s="1" t="s">
        <v>402</v>
      </c>
      <c r="H520" s="60">
        <v>4958.68</v>
      </c>
      <c r="I520" s="228">
        <v>1041.32</v>
      </c>
      <c r="J520" s="229"/>
      <c r="K520" s="229"/>
      <c r="L520" s="229">
        <f>SUM(ventas_b_mes11[[#This Row],[IMPORTE NETO]:[EXENTO]])</f>
        <v>6000</v>
      </c>
      <c r="M520" s="55"/>
    </row>
    <row r="521" spans="2:13" x14ac:dyDescent="0.3">
      <c r="B521" s="223" t="s">
        <v>109</v>
      </c>
      <c r="C521" s="224">
        <v>6</v>
      </c>
      <c r="D521" s="225">
        <v>15</v>
      </c>
      <c r="E521" s="226">
        <v>6936</v>
      </c>
      <c r="F521" s="227">
        <v>18198929</v>
      </c>
      <c r="G521" s="1" t="s">
        <v>559</v>
      </c>
      <c r="H521" s="60">
        <v>6146.28</v>
      </c>
      <c r="I521" s="228">
        <v>1290.72</v>
      </c>
      <c r="J521" s="229"/>
      <c r="K521" s="229"/>
      <c r="L521" s="229">
        <f>SUM(ventas_b_mes11[[#This Row],[IMPORTE NETO]:[EXENTO]])</f>
        <v>7437</v>
      </c>
      <c r="M521" s="55"/>
    </row>
    <row r="522" spans="2:13" x14ac:dyDescent="0.3">
      <c r="B522" s="223">
        <v>44845</v>
      </c>
      <c r="C522" s="224">
        <v>6</v>
      </c>
      <c r="D522" s="225">
        <v>15</v>
      </c>
      <c r="E522" s="226">
        <v>6937</v>
      </c>
      <c r="F522" s="227">
        <v>17193414</v>
      </c>
      <c r="G522" s="1" t="s">
        <v>241</v>
      </c>
      <c r="H522" s="60">
        <v>16115.7</v>
      </c>
      <c r="I522" s="228">
        <v>3384.3</v>
      </c>
      <c r="J522" s="229"/>
      <c r="K522" s="229"/>
      <c r="L522" s="229">
        <f>SUM(ventas_b_mes11[[#This Row],[IMPORTE NETO]:[EXENTO]])</f>
        <v>19500</v>
      </c>
      <c r="M522" s="55"/>
    </row>
    <row r="523" spans="2:13" x14ac:dyDescent="0.3">
      <c r="B523" s="223">
        <v>44845</v>
      </c>
      <c r="C523" s="224">
        <v>6</v>
      </c>
      <c r="D523" s="225">
        <v>15</v>
      </c>
      <c r="E523" s="226">
        <v>6938</v>
      </c>
      <c r="F523" s="227">
        <v>345689745</v>
      </c>
      <c r="G523" s="1"/>
      <c r="H523" s="60">
        <v>2231.41</v>
      </c>
      <c r="I523" s="228">
        <v>468.6</v>
      </c>
      <c r="J523" s="229"/>
      <c r="K523" s="229"/>
      <c r="L523" s="229">
        <f>SUM(ventas_b_mes11[[#This Row],[IMPORTE NETO]:[EXENTO]])</f>
        <v>2700.0099999999998</v>
      </c>
      <c r="M523" s="55"/>
    </row>
    <row r="524" spans="2:13" x14ac:dyDescent="0.3">
      <c r="B524" s="223">
        <v>44845</v>
      </c>
      <c r="C524" s="224">
        <v>6</v>
      </c>
      <c r="D524" s="225">
        <v>15</v>
      </c>
      <c r="E524" s="226">
        <v>6939</v>
      </c>
      <c r="F524" s="227">
        <v>11368071</v>
      </c>
      <c r="G524" s="1" t="s">
        <v>410</v>
      </c>
      <c r="H524" s="60">
        <v>5975.21</v>
      </c>
      <c r="I524" s="228">
        <v>1254.79</v>
      </c>
      <c r="J524" s="229"/>
      <c r="K524" s="229"/>
      <c r="L524" s="229">
        <f>SUM(ventas_b_mes11[[#This Row],[IMPORTE NETO]:[EXENTO]])</f>
        <v>7230</v>
      </c>
      <c r="M524" s="55"/>
    </row>
    <row r="525" spans="2:13" x14ac:dyDescent="0.3">
      <c r="B525" s="223">
        <v>44845</v>
      </c>
      <c r="C525" s="224">
        <v>6</v>
      </c>
      <c r="D525" s="225">
        <v>15</v>
      </c>
      <c r="E525" s="226">
        <v>6940</v>
      </c>
      <c r="F525" s="227">
        <v>42043394</v>
      </c>
      <c r="G525" s="1" t="s">
        <v>234</v>
      </c>
      <c r="H525" s="60">
        <v>235.54</v>
      </c>
      <c r="I525" s="228">
        <v>49.46</v>
      </c>
      <c r="J525" s="229"/>
      <c r="K525" s="229"/>
      <c r="L525" s="229">
        <f>SUM(ventas_b_mes11[[#This Row],[IMPORTE NETO]:[EXENTO]])</f>
        <v>285</v>
      </c>
      <c r="M525" s="55"/>
    </row>
    <row r="526" spans="2:13" x14ac:dyDescent="0.3">
      <c r="B526" s="223" t="s">
        <v>109</v>
      </c>
      <c r="C526" s="224">
        <v>6</v>
      </c>
      <c r="D526" s="225">
        <v>15</v>
      </c>
      <c r="E526" s="226">
        <v>6941</v>
      </c>
      <c r="F526" s="227">
        <v>42942625</v>
      </c>
      <c r="G526" s="1" t="s">
        <v>548</v>
      </c>
      <c r="H526" s="60">
        <v>9090.91</v>
      </c>
      <c r="I526" s="228">
        <v>1909.09</v>
      </c>
      <c r="J526" s="229"/>
      <c r="K526" s="229"/>
      <c r="L526" s="229">
        <f>SUM(ventas_b_mes11[[#This Row],[IMPORTE NETO]:[EXENTO]])</f>
        <v>11000</v>
      </c>
      <c r="M526" s="55"/>
    </row>
    <row r="527" spans="2:13" x14ac:dyDescent="0.3">
      <c r="B527" s="223">
        <v>44845</v>
      </c>
      <c r="C527" s="224">
        <v>6</v>
      </c>
      <c r="D527" s="225">
        <v>15</v>
      </c>
      <c r="E527" s="226">
        <v>6942</v>
      </c>
      <c r="F527" s="227">
        <v>24871779</v>
      </c>
      <c r="G527" s="1" t="s">
        <v>522</v>
      </c>
      <c r="H527" s="60">
        <v>3161.16</v>
      </c>
      <c r="I527" s="228">
        <v>663.84</v>
      </c>
      <c r="J527" s="229"/>
      <c r="K527" s="229"/>
      <c r="L527" s="229">
        <f>SUM(ventas_b_mes11[[#This Row],[IMPORTE NETO]:[EXENTO]])</f>
        <v>3825</v>
      </c>
      <c r="M527" s="55"/>
    </row>
    <row r="528" spans="2:13" x14ac:dyDescent="0.3">
      <c r="B528" s="223">
        <v>44845</v>
      </c>
      <c r="C528" s="224">
        <v>6</v>
      </c>
      <c r="D528" s="225">
        <v>15</v>
      </c>
      <c r="E528" s="226">
        <v>6943</v>
      </c>
      <c r="F528" s="227">
        <v>60433055</v>
      </c>
      <c r="G528" s="1"/>
      <c r="H528" s="60">
        <v>7818.18</v>
      </c>
      <c r="I528" s="228">
        <v>1641.82</v>
      </c>
      <c r="J528" s="229"/>
      <c r="K528" s="229"/>
      <c r="L528" s="229">
        <f>SUM(ventas_b_mes11[[#This Row],[IMPORTE NETO]:[EXENTO]])</f>
        <v>9460</v>
      </c>
      <c r="M528" s="55"/>
    </row>
    <row r="529" spans="2:13" x14ac:dyDescent="0.3">
      <c r="B529" s="223" t="s">
        <v>109</v>
      </c>
      <c r="C529" s="224">
        <v>6</v>
      </c>
      <c r="D529" s="225">
        <v>15</v>
      </c>
      <c r="E529" s="226">
        <v>6944</v>
      </c>
      <c r="F529" s="227">
        <v>34569874</v>
      </c>
      <c r="G529" s="1"/>
      <c r="H529" s="60">
        <v>5743.8</v>
      </c>
      <c r="I529" s="228">
        <v>1206.2</v>
      </c>
      <c r="J529" s="229"/>
      <c r="K529" s="229"/>
      <c r="L529" s="229">
        <f>SUM(ventas_b_mes11[[#This Row],[IMPORTE NETO]:[EXENTO]])</f>
        <v>6950</v>
      </c>
      <c r="M529" s="55"/>
    </row>
    <row r="530" spans="2:13" x14ac:dyDescent="0.3">
      <c r="B530" s="223">
        <v>44846</v>
      </c>
      <c r="C530" s="224">
        <v>6</v>
      </c>
      <c r="D530" s="225">
        <v>15</v>
      </c>
      <c r="E530" s="226">
        <v>6945</v>
      </c>
      <c r="F530" s="227">
        <v>30910546</v>
      </c>
      <c r="G530" s="1" t="s">
        <v>590</v>
      </c>
      <c r="H530" s="60">
        <v>4958.68</v>
      </c>
      <c r="I530" s="228">
        <v>1041.32</v>
      </c>
      <c r="J530" s="229"/>
      <c r="K530" s="229"/>
      <c r="L530" s="229">
        <f>SUM(ventas_b_mes11[[#This Row],[IMPORTE NETO]:[EXENTO]])</f>
        <v>6000</v>
      </c>
      <c r="M530" s="55"/>
    </row>
    <row r="531" spans="2:13" x14ac:dyDescent="0.3">
      <c r="B531" s="223">
        <v>44846</v>
      </c>
      <c r="C531" s="224">
        <v>6</v>
      </c>
      <c r="D531" s="225">
        <v>15</v>
      </c>
      <c r="E531" s="226">
        <v>6946</v>
      </c>
      <c r="F531" s="227">
        <v>44512404</v>
      </c>
      <c r="G531" s="1" t="s">
        <v>155</v>
      </c>
      <c r="H531" s="60">
        <v>4958.68</v>
      </c>
      <c r="I531" s="228">
        <v>1041.32</v>
      </c>
      <c r="J531" s="229"/>
      <c r="K531" s="229"/>
      <c r="L531" s="229">
        <f>SUM(ventas_b_mes11[[#This Row],[IMPORTE NETO]:[EXENTO]])</f>
        <v>6000</v>
      </c>
      <c r="M531" s="55"/>
    </row>
    <row r="532" spans="2:13" x14ac:dyDescent="0.3">
      <c r="B532" s="223">
        <v>44846</v>
      </c>
      <c r="C532" s="224">
        <v>6</v>
      </c>
      <c r="D532" s="225">
        <v>15</v>
      </c>
      <c r="E532" s="226">
        <v>6947</v>
      </c>
      <c r="F532" s="227">
        <v>18039953</v>
      </c>
      <c r="G532" s="1" t="s">
        <v>604</v>
      </c>
      <c r="H532" s="60">
        <v>9330.57</v>
      </c>
      <c r="I532" s="228">
        <v>1959.42</v>
      </c>
      <c r="J532" s="229"/>
      <c r="K532" s="229"/>
      <c r="L532" s="229">
        <f>SUM(ventas_b_mes11[[#This Row],[IMPORTE NETO]:[EXENTO]])</f>
        <v>11289.99</v>
      </c>
      <c r="M532" s="55"/>
    </row>
    <row r="533" spans="2:13" x14ac:dyDescent="0.3">
      <c r="B533" s="223">
        <v>44846</v>
      </c>
      <c r="C533" s="224">
        <v>6</v>
      </c>
      <c r="D533" s="225">
        <v>15</v>
      </c>
      <c r="E533" s="226">
        <v>6948</v>
      </c>
      <c r="F533" s="227">
        <v>18039953</v>
      </c>
      <c r="G533" s="1" t="s">
        <v>604</v>
      </c>
      <c r="H533" s="60">
        <v>4958.68</v>
      </c>
      <c r="I533" s="228">
        <v>1041.32</v>
      </c>
      <c r="J533" s="229"/>
      <c r="K533" s="229"/>
      <c r="L533" s="229">
        <f>SUM(ventas_b_mes11[[#This Row],[IMPORTE NETO]:[EXENTO]])</f>
        <v>6000</v>
      </c>
      <c r="M533" s="55"/>
    </row>
    <row r="534" spans="2:13" x14ac:dyDescent="0.3">
      <c r="B534" s="223">
        <v>44846</v>
      </c>
      <c r="C534" s="224">
        <v>6</v>
      </c>
      <c r="D534" s="225">
        <v>15</v>
      </c>
      <c r="E534" s="226">
        <v>6949</v>
      </c>
      <c r="F534" s="227">
        <v>11001660</v>
      </c>
      <c r="G534" s="1" t="s">
        <v>211</v>
      </c>
      <c r="H534" s="60">
        <v>4958.68</v>
      </c>
      <c r="I534" s="228">
        <v>1041.32</v>
      </c>
      <c r="J534" s="229"/>
      <c r="K534" s="229"/>
      <c r="L534" s="229">
        <f>SUM(ventas_b_mes11[[#This Row],[IMPORTE NETO]:[EXENTO]])</f>
        <v>6000</v>
      </c>
      <c r="M534" s="55"/>
    </row>
    <row r="535" spans="2:13" x14ac:dyDescent="0.3">
      <c r="B535" s="223">
        <v>44846</v>
      </c>
      <c r="C535" s="224">
        <v>6</v>
      </c>
      <c r="D535" s="225">
        <v>15</v>
      </c>
      <c r="E535" s="226">
        <v>6950</v>
      </c>
      <c r="F535" s="227">
        <v>18396100</v>
      </c>
      <c r="G535" s="1" t="s">
        <v>600</v>
      </c>
      <c r="H535" s="60">
        <v>8684.91</v>
      </c>
      <c r="I535" s="228">
        <v>1823.83</v>
      </c>
      <c r="J535" s="229"/>
      <c r="K535" s="229"/>
      <c r="L535" s="229">
        <f>SUM(ventas_b_mes11[[#This Row],[IMPORTE NETO]:[EXENTO]])</f>
        <v>10508.74</v>
      </c>
      <c r="M535" s="55"/>
    </row>
    <row r="536" spans="2:13" x14ac:dyDescent="0.3">
      <c r="B536" s="223">
        <v>44846</v>
      </c>
      <c r="C536" s="224">
        <v>6</v>
      </c>
      <c r="D536" s="225">
        <v>15</v>
      </c>
      <c r="E536" s="226">
        <v>6951</v>
      </c>
      <c r="F536" s="227">
        <v>18396100</v>
      </c>
      <c r="G536" s="1" t="s">
        <v>600</v>
      </c>
      <c r="H536" s="60">
        <v>4958.68</v>
      </c>
      <c r="I536" s="228">
        <v>1041.32</v>
      </c>
      <c r="J536" s="229"/>
      <c r="K536" s="229"/>
      <c r="L536" s="229">
        <f>SUM(ventas_b_mes11[[#This Row],[IMPORTE NETO]:[EXENTO]])</f>
        <v>6000</v>
      </c>
      <c r="M536" s="55"/>
    </row>
    <row r="537" spans="2:13" x14ac:dyDescent="0.3">
      <c r="B537" s="223">
        <v>44846</v>
      </c>
      <c r="C537" s="224">
        <v>6</v>
      </c>
      <c r="D537" s="225">
        <v>15</v>
      </c>
      <c r="E537" s="226">
        <v>6952</v>
      </c>
      <c r="F537" s="227">
        <v>41785127</v>
      </c>
      <c r="G537" s="1" t="s">
        <v>612</v>
      </c>
      <c r="H537" s="60">
        <v>4338.8500000000004</v>
      </c>
      <c r="I537" s="228">
        <v>911.16</v>
      </c>
      <c r="J537" s="229"/>
      <c r="K537" s="229"/>
      <c r="L537" s="229">
        <f>SUM(ventas_b_mes11[[#This Row],[IMPORTE NETO]:[EXENTO]])</f>
        <v>5250.01</v>
      </c>
      <c r="M537" s="55"/>
    </row>
    <row r="538" spans="2:13" x14ac:dyDescent="0.3">
      <c r="B538" s="223">
        <v>44846</v>
      </c>
      <c r="C538" s="224">
        <v>6</v>
      </c>
      <c r="D538" s="225">
        <v>15</v>
      </c>
      <c r="E538" s="226">
        <v>6953</v>
      </c>
      <c r="F538" s="227">
        <v>30146742</v>
      </c>
      <c r="G538" s="1"/>
      <c r="H538" s="60">
        <v>5619.83</v>
      </c>
      <c r="I538" s="228">
        <v>1180.17</v>
      </c>
      <c r="J538" s="229"/>
      <c r="K538" s="229"/>
      <c r="L538" s="229">
        <f>SUM(ventas_b_mes11[[#This Row],[IMPORTE NETO]:[EXENTO]])</f>
        <v>6800</v>
      </c>
      <c r="M538" s="55"/>
    </row>
    <row r="539" spans="2:13" x14ac:dyDescent="0.3">
      <c r="B539" s="223">
        <v>44846</v>
      </c>
      <c r="C539" s="224">
        <v>6</v>
      </c>
      <c r="D539" s="225">
        <v>15</v>
      </c>
      <c r="E539" s="226">
        <v>6954</v>
      </c>
      <c r="F539" s="227">
        <v>32758476</v>
      </c>
      <c r="G539" s="1" t="s">
        <v>595</v>
      </c>
      <c r="H539" s="60">
        <v>4958.68</v>
      </c>
      <c r="I539" s="228">
        <v>1041.32</v>
      </c>
      <c r="J539" s="229"/>
      <c r="K539" s="229"/>
      <c r="L539" s="229">
        <f>SUM(ventas_b_mes11[[#This Row],[IMPORTE NETO]:[EXENTO]])</f>
        <v>6000</v>
      </c>
      <c r="M539" s="55"/>
    </row>
    <row r="540" spans="2:13" x14ac:dyDescent="0.3">
      <c r="B540" s="223">
        <v>44846</v>
      </c>
      <c r="C540" s="224">
        <v>6</v>
      </c>
      <c r="D540" s="225">
        <v>15</v>
      </c>
      <c r="E540" s="226">
        <v>6955</v>
      </c>
      <c r="F540" s="227">
        <v>42043394</v>
      </c>
      <c r="G540" s="1" t="s">
        <v>234</v>
      </c>
      <c r="H540" s="60">
        <v>4958.68</v>
      </c>
      <c r="I540" s="228">
        <v>1041.32</v>
      </c>
      <c r="J540" s="229"/>
      <c r="K540" s="229"/>
      <c r="L540" s="229">
        <f>SUM(ventas_b_mes11[[#This Row],[IMPORTE NETO]:[EXENTO]])</f>
        <v>6000</v>
      </c>
      <c r="M540" s="55"/>
    </row>
    <row r="541" spans="2:13" x14ac:dyDescent="0.3">
      <c r="B541" s="223">
        <v>44846</v>
      </c>
      <c r="C541" s="224">
        <v>6</v>
      </c>
      <c r="D541" s="225">
        <v>15</v>
      </c>
      <c r="E541" s="226">
        <v>6956</v>
      </c>
      <c r="F541" s="227">
        <v>18039953</v>
      </c>
      <c r="G541" s="1" t="s">
        <v>604</v>
      </c>
      <c r="H541" s="60">
        <v>2929.75</v>
      </c>
      <c r="I541" s="228">
        <v>615.25</v>
      </c>
      <c r="J541" s="229"/>
      <c r="K541" s="229"/>
      <c r="L541" s="229">
        <f>SUM(ventas_b_mes11[[#This Row],[IMPORTE NETO]:[EXENTO]])</f>
        <v>3545</v>
      </c>
      <c r="M541" s="55"/>
    </row>
    <row r="542" spans="2:13" x14ac:dyDescent="0.3">
      <c r="B542" s="223">
        <v>44846</v>
      </c>
      <c r="C542" s="224">
        <v>6</v>
      </c>
      <c r="D542" s="225">
        <v>15</v>
      </c>
      <c r="E542" s="226">
        <v>6957</v>
      </c>
      <c r="F542" s="227">
        <v>42043394</v>
      </c>
      <c r="G542" s="1" t="s">
        <v>234</v>
      </c>
      <c r="H542" s="60">
        <v>2512.4</v>
      </c>
      <c r="I542" s="228">
        <v>527.6</v>
      </c>
      <c r="J542" s="229"/>
      <c r="K542" s="229"/>
      <c r="L542" s="229">
        <f>SUM(ventas_b_mes11[[#This Row],[IMPORTE NETO]:[EXENTO]])</f>
        <v>3040</v>
      </c>
      <c r="M542" s="55"/>
    </row>
    <row r="543" spans="2:13" x14ac:dyDescent="0.3">
      <c r="B543" s="223">
        <v>44846</v>
      </c>
      <c r="C543" s="224">
        <v>6</v>
      </c>
      <c r="D543" s="225">
        <v>15</v>
      </c>
      <c r="E543" s="226">
        <v>6958</v>
      </c>
      <c r="F543" s="227">
        <v>30040891</v>
      </c>
      <c r="G543" s="1" t="s">
        <v>620</v>
      </c>
      <c r="H543" s="60">
        <v>1198.3499999999999</v>
      </c>
      <c r="I543" s="228">
        <v>251.65</v>
      </c>
      <c r="J543" s="229"/>
      <c r="K543" s="229"/>
      <c r="L543" s="229">
        <f>SUM(ventas_b_mes11[[#This Row],[IMPORTE NETO]:[EXENTO]])</f>
        <v>1450</v>
      </c>
      <c r="M543" s="55"/>
    </row>
    <row r="544" spans="2:13" x14ac:dyDescent="0.3">
      <c r="B544" s="223">
        <v>44846</v>
      </c>
      <c r="C544" s="224">
        <v>6</v>
      </c>
      <c r="D544" s="225">
        <v>15</v>
      </c>
      <c r="E544" s="226">
        <v>6959</v>
      </c>
      <c r="F544" s="227">
        <v>5150827</v>
      </c>
      <c r="G544" s="1"/>
      <c r="H544" s="60">
        <v>2603.31</v>
      </c>
      <c r="I544" s="228">
        <v>546.69000000000005</v>
      </c>
      <c r="J544" s="229"/>
      <c r="K544" s="229"/>
      <c r="L544" s="229">
        <f>SUM(ventas_b_mes11[[#This Row],[IMPORTE NETO]:[EXENTO]])</f>
        <v>3150</v>
      </c>
      <c r="M544" s="55"/>
    </row>
    <row r="545" spans="2:13" x14ac:dyDescent="0.3">
      <c r="B545" s="223">
        <v>44846</v>
      </c>
      <c r="C545" s="224">
        <v>6</v>
      </c>
      <c r="D545" s="225">
        <v>15</v>
      </c>
      <c r="E545" s="226">
        <v>6960</v>
      </c>
      <c r="F545" s="227">
        <v>26272486</v>
      </c>
      <c r="G545" s="1" t="s">
        <v>291</v>
      </c>
      <c r="H545" s="60">
        <v>2685.95</v>
      </c>
      <c r="I545" s="228">
        <v>564.04999999999995</v>
      </c>
      <c r="J545" s="229"/>
      <c r="K545" s="229"/>
      <c r="L545" s="229">
        <f>SUM(ventas_b_mes11[[#This Row],[IMPORTE NETO]:[EXENTO]])</f>
        <v>3250</v>
      </c>
      <c r="M545" s="55"/>
    </row>
    <row r="546" spans="2:13" x14ac:dyDescent="0.3">
      <c r="B546" s="223">
        <v>44846</v>
      </c>
      <c r="C546" s="224">
        <v>6</v>
      </c>
      <c r="D546" s="225">
        <v>15</v>
      </c>
      <c r="E546" s="226">
        <v>6961</v>
      </c>
      <c r="F546" s="227">
        <v>26272486</v>
      </c>
      <c r="G546" s="1" t="s">
        <v>291</v>
      </c>
      <c r="H546" s="60">
        <v>1322.31</v>
      </c>
      <c r="I546" s="228">
        <v>277.69</v>
      </c>
      <c r="J546" s="229"/>
      <c r="K546" s="229"/>
      <c r="L546" s="229">
        <f>SUM(ventas_b_mes11[[#This Row],[IMPORTE NETO]:[EXENTO]])</f>
        <v>1600</v>
      </c>
      <c r="M546" s="55"/>
    </row>
    <row r="547" spans="2:13" x14ac:dyDescent="0.3">
      <c r="B547" s="223">
        <v>44847</v>
      </c>
      <c r="C547" s="224">
        <v>6</v>
      </c>
      <c r="D547" s="225">
        <v>15</v>
      </c>
      <c r="E547" s="226">
        <v>6962</v>
      </c>
      <c r="F547" s="227">
        <v>25231635</v>
      </c>
      <c r="G547" s="1" t="s">
        <v>644</v>
      </c>
      <c r="H547" s="60">
        <v>4958.68</v>
      </c>
      <c r="I547" s="228">
        <v>1041.32</v>
      </c>
      <c r="J547" s="229"/>
      <c r="K547" s="229"/>
      <c r="L547" s="229">
        <f>SUM(ventas_b_mes11[[#This Row],[IMPORTE NETO]:[EXENTO]])</f>
        <v>6000</v>
      </c>
      <c r="M547" s="55"/>
    </row>
    <row r="548" spans="2:13" x14ac:dyDescent="0.3">
      <c r="B548" s="223">
        <v>44847</v>
      </c>
      <c r="C548" s="224">
        <v>6</v>
      </c>
      <c r="D548" s="225">
        <v>15</v>
      </c>
      <c r="E548" s="226">
        <v>6963</v>
      </c>
      <c r="F548" s="227">
        <v>25231635</v>
      </c>
      <c r="G548" s="1" t="s">
        <v>644</v>
      </c>
      <c r="H548" s="60">
        <v>4958.68</v>
      </c>
      <c r="I548" s="228">
        <v>1041.32</v>
      </c>
      <c r="J548" s="229"/>
      <c r="K548" s="229"/>
      <c r="L548" s="229">
        <f>SUM(ventas_b_mes11[[#This Row],[IMPORTE NETO]:[EXENTO]])</f>
        <v>6000</v>
      </c>
      <c r="M548" s="55"/>
    </row>
    <row r="549" spans="2:13" x14ac:dyDescent="0.3">
      <c r="B549" s="223">
        <v>44847</v>
      </c>
      <c r="C549" s="224">
        <v>6</v>
      </c>
      <c r="D549" s="225">
        <v>15</v>
      </c>
      <c r="E549" s="226">
        <v>6964</v>
      </c>
      <c r="F549" s="227">
        <v>25231635</v>
      </c>
      <c r="G549" s="1" t="s">
        <v>644</v>
      </c>
      <c r="H549" s="60">
        <v>3719.01</v>
      </c>
      <c r="I549" s="228">
        <v>780.99</v>
      </c>
      <c r="J549" s="229"/>
      <c r="K549" s="229"/>
      <c r="L549" s="229">
        <f>SUM(ventas_b_mes11[[#This Row],[IMPORTE NETO]:[EXENTO]])</f>
        <v>4500</v>
      </c>
      <c r="M549" s="55"/>
    </row>
    <row r="550" spans="2:13" x14ac:dyDescent="0.3">
      <c r="B550" s="223">
        <v>44847</v>
      </c>
      <c r="C550" s="224">
        <v>6</v>
      </c>
      <c r="D550" s="225">
        <v>15</v>
      </c>
      <c r="E550" s="226">
        <v>6965</v>
      </c>
      <c r="F550" s="227">
        <v>17347731</v>
      </c>
      <c r="G550" s="1" t="s">
        <v>624</v>
      </c>
      <c r="H550" s="60">
        <v>3272.73</v>
      </c>
      <c r="I550" s="228">
        <v>687.27</v>
      </c>
      <c r="J550" s="229"/>
      <c r="K550" s="229"/>
      <c r="L550" s="229">
        <f>SUM(ventas_b_mes11[[#This Row],[IMPORTE NETO]:[EXENTO]])</f>
        <v>3960</v>
      </c>
      <c r="M550" s="55"/>
    </row>
    <row r="551" spans="2:13" x14ac:dyDescent="0.3">
      <c r="B551" s="223">
        <v>44847</v>
      </c>
      <c r="C551" s="224">
        <v>6</v>
      </c>
      <c r="D551" s="225">
        <v>15</v>
      </c>
      <c r="E551" s="226">
        <v>6966</v>
      </c>
      <c r="F551" s="227">
        <v>33528637</v>
      </c>
      <c r="G551" s="1" t="s">
        <v>643</v>
      </c>
      <c r="H551" s="60">
        <v>3512.4</v>
      </c>
      <c r="I551" s="228">
        <v>737.6</v>
      </c>
      <c r="J551" s="229"/>
      <c r="K551" s="229"/>
      <c r="L551" s="229">
        <f>SUM(ventas_b_mes11[[#This Row],[IMPORTE NETO]:[EXENTO]])</f>
        <v>4250</v>
      </c>
      <c r="M551" s="55"/>
    </row>
    <row r="552" spans="2:13" x14ac:dyDescent="0.3">
      <c r="B552" s="223">
        <v>44847</v>
      </c>
      <c r="C552" s="224">
        <v>6</v>
      </c>
      <c r="D552" s="225">
        <v>15</v>
      </c>
      <c r="E552" s="226">
        <v>6967</v>
      </c>
      <c r="F552" s="227">
        <v>24589431</v>
      </c>
      <c r="G552" s="1"/>
      <c r="H552" s="60">
        <v>3681.82</v>
      </c>
      <c r="I552" s="228">
        <v>773.18</v>
      </c>
      <c r="J552" s="229"/>
      <c r="K552" s="229"/>
      <c r="L552" s="229">
        <f>SUM(ventas_b_mes11[[#This Row],[IMPORTE NETO]:[EXENTO]])</f>
        <v>4455</v>
      </c>
      <c r="M552" s="55"/>
    </row>
    <row r="553" spans="2:13" x14ac:dyDescent="0.3">
      <c r="B553" s="223">
        <v>44847</v>
      </c>
      <c r="C553" s="224">
        <v>6</v>
      </c>
      <c r="D553" s="225">
        <v>15</v>
      </c>
      <c r="E553" s="226">
        <v>6968</v>
      </c>
      <c r="F553" s="227">
        <v>14825817</v>
      </c>
      <c r="G553" s="1" t="s">
        <v>650</v>
      </c>
      <c r="H553" s="60">
        <v>12334.74</v>
      </c>
      <c r="I553" s="228">
        <v>2590.3000000000002</v>
      </c>
      <c r="J553" s="229"/>
      <c r="K553" s="229"/>
      <c r="L553" s="229">
        <f>SUM(ventas_b_mes11[[#This Row],[IMPORTE NETO]:[EXENTO]])</f>
        <v>14925.04</v>
      </c>
      <c r="M553" s="55"/>
    </row>
    <row r="554" spans="2:13" x14ac:dyDescent="0.3">
      <c r="B554" s="223">
        <v>44847</v>
      </c>
      <c r="C554" s="224">
        <v>6</v>
      </c>
      <c r="D554" s="225">
        <v>15</v>
      </c>
      <c r="E554" s="226">
        <v>6969</v>
      </c>
      <c r="F554" s="227">
        <v>35041832</v>
      </c>
      <c r="G554" s="1" t="s">
        <v>623</v>
      </c>
      <c r="H554" s="60">
        <v>4545.45</v>
      </c>
      <c r="I554" s="228">
        <v>954.55</v>
      </c>
      <c r="J554" s="229"/>
      <c r="K554" s="229"/>
      <c r="L554" s="229">
        <f>SUM(ventas_b_mes11[[#This Row],[IMPORTE NETO]:[EXENTO]])</f>
        <v>5500</v>
      </c>
      <c r="M554" s="55"/>
    </row>
    <row r="555" spans="2:13" x14ac:dyDescent="0.3">
      <c r="B555" s="223">
        <v>44848</v>
      </c>
      <c r="C555" s="224">
        <v>6</v>
      </c>
      <c r="D555" s="225">
        <v>15</v>
      </c>
      <c r="E555" s="226">
        <v>6970</v>
      </c>
      <c r="F555" s="227">
        <v>14434879</v>
      </c>
      <c r="G555" s="1" t="s">
        <v>667</v>
      </c>
      <c r="H555" s="60">
        <v>5370.25</v>
      </c>
      <c r="I555" s="228">
        <v>1127.75</v>
      </c>
      <c r="J555" s="229"/>
      <c r="K555" s="229"/>
      <c r="L555" s="229">
        <f>SUM(ventas_b_mes11[[#This Row],[IMPORTE NETO]:[EXENTO]])</f>
        <v>6498</v>
      </c>
      <c r="M555" s="55"/>
    </row>
    <row r="556" spans="2:13" x14ac:dyDescent="0.3">
      <c r="B556" s="223">
        <v>44848</v>
      </c>
      <c r="C556" s="224">
        <v>6</v>
      </c>
      <c r="D556" s="225">
        <v>15</v>
      </c>
      <c r="E556" s="226">
        <v>6971</v>
      </c>
      <c r="F556" s="227">
        <v>16273293</v>
      </c>
      <c r="G556" s="1" t="s">
        <v>660</v>
      </c>
      <c r="H556" s="60">
        <v>5619.83</v>
      </c>
      <c r="I556" s="228">
        <v>1180.17</v>
      </c>
      <c r="J556" s="229"/>
      <c r="K556" s="229"/>
      <c r="L556" s="229">
        <f>SUM(ventas_b_mes11[[#This Row],[IMPORTE NETO]:[EXENTO]])</f>
        <v>6800</v>
      </c>
      <c r="M556" s="55"/>
    </row>
    <row r="557" spans="2:13" x14ac:dyDescent="0.3">
      <c r="B557" s="223">
        <v>44848</v>
      </c>
      <c r="C557" s="224">
        <v>6</v>
      </c>
      <c r="D557" s="225">
        <v>15</v>
      </c>
      <c r="E557" s="226">
        <v>6972</v>
      </c>
      <c r="F557" s="227">
        <v>30146742</v>
      </c>
      <c r="G557" s="1"/>
      <c r="H557" s="60">
        <v>9892.56</v>
      </c>
      <c r="I557" s="228">
        <v>2077.44</v>
      </c>
      <c r="J557" s="229"/>
      <c r="K557" s="229"/>
      <c r="L557" s="229">
        <f>SUM(ventas_b_mes11[[#This Row],[IMPORTE NETO]:[EXENTO]])</f>
        <v>11970</v>
      </c>
      <c r="M557" s="55"/>
    </row>
    <row r="558" spans="2:13" x14ac:dyDescent="0.3">
      <c r="B558" s="223">
        <v>44848</v>
      </c>
      <c r="C558" s="224">
        <v>6</v>
      </c>
      <c r="D558" s="225">
        <v>15</v>
      </c>
      <c r="E558" s="226">
        <v>6973</v>
      </c>
      <c r="F558" s="227">
        <v>20621121</v>
      </c>
      <c r="G558" s="1" t="s">
        <v>421</v>
      </c>
      <c r="H558" s="60">
        <v>8541.32</v>
      </c>
      <c r="I558" s="228">
        <v>1793.68</v>
      </c>
      <c r="J558" s="229"/>
      <c r="K558" s="229"/>
      <c r="L558" s="229">
        <f>SUM(ventas_b_mes11[[#This Row],[IMPORTE NETO]:[EXENTO]])</f>
        <v>10335</v>
      </c>
      <c r="M558" s="55"/>
    </row>
    <row r="559" spans="2:13" x14ac:dyDescent="0.3">
      <c r="B559" s="223">
        <v>44849</v>
      </c>
      <c r="C559" s="224">
        <v>6</v>
      </c>
      <c r="D559" s="225">
        <v>15</v>
      </c>
      <c r="E559" s="226">
        <v>6974</v>
      </c>
      <c r="F559" s="227">
        <v>26843489</v>
      </c>
      <c r="G559" s="1" t="s">
        <v>366</v>
      </c>
      <c r="H559" s="60">
        <v>966.94</v>
      </c>
      <c r="I559" s="228">
        <v>203.06</v>
      </c>
      <c r="J559" s="229"/>
      <c r="K559" s="229"/>
      <c r="L559" s="229">
        <f>SUM(ventas_b_mes11[[#This Row],[IMPORTE NETO]:[EXENTO]])</f>
        <v>1170</v>
      </c>
      <c r="M559" s="55"/>
    </row>
    <row r="560" spans="2:13" x14ac:dyDescent="0.3">
      <c r="B560" s="223">
        <v>44849</v>
      </c>
      <c r="C560" s="224">
        <v>6</v>
      </c>
      <c r="D560" s="225">
        <v>15</v>
      </c>
      <c r="E560" s="226">
        <v>6975</v>
      </c>
      <c r="F560" s="227">
        <v>29535593</v>
      </c>
      <c r="G560" s="1" t="s">
        <v>709</v>
      </c>
      <c r="H560" s="60">
        <v>6487.6</v>
      </c>
      <c r="I560" s="228">
        <v>1362.4</v>
      </c>
      <c r="J560" s="229"/>
      <c r="K560" s="229"/>
      <c r="L560" s="229">
        <f>SUM(ventas_b_mes11[[#This Row],[IMPORTE NETO]:[EXENTO]])</f>
        <v>7850</v>
      </c>
      <c r="M560" s="55"/>
    </row>
    <row r="561" spans="2:13" x14ac:dyDescent="0.3">
      <c r="B561" s="223">
        <v>44849</v>
      </c>
      <c r="C561" s="224">
        <v>6</v>
      </c>
      <c r="D561" s="225">
        <v>15</v>
      </c>
      <c r="E561" s="226">
        <v>6976</v>
      </c>
      <c r="F561" s="227">
        <v>26886918</v>
      </c>
      <c r="G561" s="1" t="s">
        <v>707</v>
      </c>
      <c r="H561" s="60">
        <v>4545.45</v>
      </c>
      <c r="I561" s="228">
        <v>954.55</v>
      </c>
      <c r="J561" s="229"/>
      <c r="K561" s="229"/>
      <c r="L561" s="229">
        <f>SUM(ventas_b_mes11[[#This Row],[IMPORTE NETO]:[EXENTO]])</f>
        <v>5500</v>
      </c>
      <c r="M561" s="55"/>
    </row>
    <row r="562" spans="2:13" x14ac:dyDescent="0.3">
      <c r="B562" s="223">
        <v>44849</v>
      </c>
      <c r="C562" s="224">
        <v>6</v>
      </c>
      <c r="D562" s="225">
        <v>15</v>
      </c>
      <c r="E562" s="226">
        <v>6977</v>
      </c>
      <c r="F562" s="227">
        <v>18800655</v>
      </c>
      <c r="G562" s="1" t="s">
        <v>708</v>
      </c>
      <c r="H562" s="60">
        <v>4545.45</v>
      </c>
      <c r="I562" s="228">
        <v>954.55</v>
      </c>
      <c r="J562" s="229"/>
      <c r="K562" s="229"/>
      <c r="L562" s="229">
        <f>SUM(ventas_b_mes11[[#This Row],[IMPORTE NETO]:[EXENTO]])</f>
        <v>5500</v>
      </c>
      <c r="M562" s="55"/>
    </row>
    <row r="563" spans="2:13" x14ac:dyDescent="0.3">
      <c r="B563" s="223">
        <v>44851</v>
      </c>
      <c r="C563" s="224">
        <v>6</v>
      </c>
      <c r="D563" s="225">
        <v>15</v>
      </c>
      <c r="E563" s="226">
        <v>6978</v>
      </c>
      <c r="F563" s="227">
        <v>35630052</v>
      </c>
      <c r="G563" s="1" t="s">
        <v>732</v>
      </c>
      <c r="H563" s="60">
        <v>5206.6099999999997</v>
      </c>
      <c r="I563" s="228">
        <v>1093.3900000000001</v>
      </c>
      <c r="J563" s="229"/>
      <c r="K563" s="229"/>
      <c r="L563" s="229">
        <f>SUM(ventas_b_mes11[[#This Row],[IMPORTE NETO]:[EXENTO]])</f>
        <v>6300</v>
      </c>
      <c r="M563" s="55"/>
    </row>
    <row r="564" spans="2:13" x14ac:dyDescent="0.3">
      <c r="B564" s="223">
        <v>44851</v>
      </c>
      <c r="C564" s="224">
        <v>6</v>
      </c>
      <c r="D564" s="225">
        <v>15</v>
      </c>
      <c r="E564" s="226">
        <v>6979</v>
      </c>
      <c r="F564" s="227">
        <v>26927710</v>
      </c>
      <c r="G564" s="1" t="s">
        <v>464</v>
      </c>
      <c r="H564" s="60">
        <v>4958.68</v>
      </c>
      <c r="I564" s="228">
        <v>1041.32</v>
      </c>
      <c r="J564" s="229"/>
      <c r="K564" s="229"/>
      <c r="L564" s="229">
        <f>SUM(ventas_b_mes11[[#This Row],[IMPORTE NETO]:[EXENTO]])</f>
        <v>6000</v>
      </c>
      <c r="M564" s="55"/>
    </row>
    <row r="565" spans="2:13" x14ac:dyDescent="0.3">
      <c r="B565" s="223">
        <v>44851</v>
      </c>
      <c r="C565" s="224">
        <v>6</v>
      </c>
      <c r="D565" s="225">
        <v>15</v>
      </c>
      <c r="E565" s="226">
        <v>6980</v>
      </c>
      <c r="F565" s="227">
        <v>28778142</v>
      </c>
      <c r="G565" s="1" t="s">
        <v>181</v>
      </c>
      <c r="H565" s="60">
        <v>10480.99</v>
      </c>
      <c r="I565" s="228">
        <v>2201.0100000000002</v>
      </c>
      <c r="J565" s="229"/>
      <c r="K565" s="229"/>
      <c r="L565" s="229">
        <f>SUM(ventas_b_mes11[[#This Row],[IMPORTE NETO]:[EXENTO]])</f>
        <v>12682</v>
      </c>
      <c r="M565" s="55"/>
    </row>
    <row r="566" spans="2:13" x14ac:dyDescent="0.3">
      <c r="B566" s="223">
        <v>44851</v>
      </c>
      <c r="C566" s="224">
        <v>6</v>
      </c>
      <c r="D566" s="225">
        <v>15</v>
      </c>
      <c r="E566" s="226">
        <v>6981</v>
      </c>
      <c r="F566" s="227">
        <v>29734146</v>
      </c>
      <c r="G566" s="1" t="s">
        <v>369</v>
      </c>
      <c r="H566" s="60">
        <v>2634.3</v>
      </c>
      <c r="I566" s="228">
        <v>553.20000000000005</v>
      </c>
      <c r="J566" s="229"/>
      <c r="K566" s="229"/>
      <c r="L566" s="229">
        <f>SUM(ventas_b_mes11[[#This Row],[IMPORTE NETO]:[EXENTO]])</f>
        <v>3187.5</v>
      </c>
      <c r="M566" s="55"/>
    </row>
    <row r="567" spans="2:13" x14ac:dyDescent="0.3">
      <c r="B567" s="223">
        <v>44851</v>
      </c>
      <c r="C567" s="224">
        <v>6</v>
      </c>
      <c r="D567" s="225">
        <v>15</v>
      </c>
      <c r="E567" s="226">
        <v>6982</v>
      </c>
      <c r="F567" s="227">
        <v>40231445</v>
      </c>
      <c r="G567" s="1"/>
      <c r="H567" s="60">
        <v>148.76</v>
      </c>
      <c r="I567" s="228">
        <v>31.24</v>
      </c>
      <c r="J567" s="229"/>
      <c r="K567" s="229"/>
      <c r="L567" s="229">
        <f>SUM(ventas_b_mes11[[#This Row],[IMPORTE NETO]:[EXENTO]])</f>
        <v>180</v>
      </c>
      <c r="M567" s="55"/>
    </row>
    <row r="568" spans="2:13" x14ac:dyDescent="0.3">
      <c r="B568" s="223">
        <v>44851</v>
      </c>
      <c r="C568" s="224">
        <v>6</v>
      </c>
      <c r="D568" s="225">
        <v>15</v>
      </c>
      <c r="E568" s="226">
        <v>6983</v>
      </c>
      <c r="F568" s="227">
        <v>94591381</v>
      </c>
      <c r="G568" s="1" t="s">
        <v>745</v>
      </c>
      <c r="H568" s="60">
        <v>6259.1</v>
      </c>
      <c r="I568" s="228">
        <v>1314.41</v>
      </c>
      <c r="J568" s="229"/>
      <c r="K568" s="229"/>
      <c r="L568" s="229">
        <f>SUM(ventas_b_mes11[[#This Row],[IMPORTE NETO]:[EXENTO]])</f>
        <v>7573.51</v>
      </c>
      <c r="M568" s="55"/>
    </row>
    <row r="569" spans="2:13" x14ac:dyDescent="0.3">
      <c r="B569" s="223">
        <v>44851</v>
      </c>
      <c r="C569" s="224">
        <v>6</v>
      </c>
      <c r="D569" s="225">
        <v>15</v>
      </c>
      <c r="E569" s="226">
        <v>6984</v>
      </c>
      <c r="F569" s="227">
        <v>42117899</v>
      </c>
      <c r="G569" s="1" t="s">
        <v>168</v>
      </c>
      <c r="H569" s="60">
        <v>991.74</v>
      </c>
      <c r="I569" s="228">
        <v>208.26</v>
      </c>
      <c r="J569" s="229"/>
      <c r="K569" s="229"/>
      <c r="L569" s="229">
        <f>SUM(ventas_b_mes11[[#This Row],[IMPORTE NETO]:[EXENTO]])</f>
        <v>1200</v>
      </c>
      <c r="M569" s="55"/>
    </row>
    <row r="570" spans="2:13" x14ac:dyDescent="0.3">
      <c r="B570" s="223">
        <v>44851</v>
      </c>
      <c r="C570" s="224">
        <v>6</v>
      </c>
      <c r="D570" s="225">
        <v>15</v>
      </c>
      <c r="E570" s="226">
        <v>6985</v>
      </c>
      <c r="F570" s="227">
        <v>42117899</v>
      </c>
      <c r="G570" s="1" t="s">
        <v>168</v>
      </c>
      <c r="H570" s="60">
        <v>2566.12</v>
      </c>
      <c r="I570" s="228">
        <v>538.88</v>
      </c>
      <c r="J570" s="229"/>
      <c r="K570" s="229"/>
      <c r="L570" s="229">
        <f>SUM(ventas_b_mes11[[#This Row],[IMPORTE NETO]:[EXENTO]])</f>
        <v>3105</v>
      </c>
      <c r="M570" s="55"/>
    </row>
    <row r="571" spans="2:13" x14ac:dyDescent="0.3">
      <c r="B571" s="223">
        <v>44852</v>
      </c>
      <c r="C571" s="224">
        <v>6</v>
      </c>
      <c r="D571" s="225">
        <v>15</v>
      </c>
      <c r="E571" s="226">
        <v>6986</v>
      </c>
      <c r="F571" s="227">
        <v>32530128</v>
      </c>
      <c r="G571" s="1" t="s">
        <v>767</v>
      </c>
      <c r="H571" s="60">
        <v>4958.68</v>
      </c>
      <c r="I571" s="228">
        <v>1041.32</v>
      </c>
      <c r="J571" s="229"/>
      <c r="K571" s="229"/>
      <c r="L571" s="229">
        <f>SUM(ventas_b_mes11[[#This Row],[IMPORTE NETO]:[EXENTO]])</f>
        <v>6000</v>
      </c>
      <c r="M571" s="55"/>
    </row>
    <row r="572" spans="2:13" x14ac:dyDescent="0.3">
      <c r="B572" s="223">
        <v>44852</v>
      </c>
      <c r="C572" s="224">
        <v>6</v>
      </c>
      <c r="D572" s="225">
        <v>15</v>
      </c>
      <c r="E572" s="226">
        <v>6987</v>
      </c>
      <c r="F572" s="227">
        <v>25795171</v>
      </c>
      <c r="G572" s="1" t="s">
        <v>755</v>
      </c>
      <c r="H572" s="60">
        <v>7130.18</v>
      </c>
      <c r="I572" s="228">
        <v>1497.34</v>
      </c>
      <c r="J572" s="229"/>
      <c r="K572" s="229"/>
      <c r="L572" s="229">
        <f>SUM(ventas_b_mes11[[#This Row],[IMPORTE NETO]:[EXENTO]])</f>
        <v>8627.52</v>
      </c>
      <c r="M572" s="55"/>
    </row>
    <row r="573" spans="2:13" x14ac:dyDescent="0.3">
      <c r="B573" s="223">
        <v>44852</v>
      </c>
      <c r="C573" s="224">
        <v>6</v>
      </c>
      <c r="D573" s="225">
        <v>15</v>
      </c>
      <c r="E573" s="226">
        <v>6988</v>
      </c>
      <c r="F573" s="227">
        <v>16273293</v>
      </c>
      <c r="G573" s="1" t="s">
        <v>660</v>
      </c>
      <c r="H573" s="60">
        <v>16227.27</v>
      </c>
      <c r="I573" s="228">
        <v>3407.73</v>
      </c>
      <c r="J573" s="229"/>
      <c r="K573" s="229"/>
      <c r="L573" s="229">
        <f>SUM(ventas_b_mes11[[#This Row],[IMPORTE NETO]:[EXENTO]])</f>
        <v>19635</v>
      </c>
      <c r="M573" s="55"/>
    </row>
    <row r="574" spans="2:13" x14ac:dyDescent="0.3">
      <c r="B574" s="223">
        <v>44852</v>
      </c>
      <c r="C574" s="224">
        <v>6</v>
      </c>
      <c r="D574" s="225">
        <v>15</v>
      </c>
      <c r="E574" s="226">
        <v>6989</v>
      </c>
      <c r="F574" s="227">
        <v>13542713</v>
      </c>
      <c r="G574" s="1" t="s">
        <v>756</v>
      </c>
      <c r="H574" s="60">
        <v>6252.07</v>
      </c>
      <c r="I574" s="228">
        <v>1312.93</v>
      </c>
      <c r="J574" s="229"/>
      <c r="K574" s="229"/>
      <c r="L574" s="229">
        <f>SUM(ventas_b_mes11[[#This Row],[IMPORTE NETO]:[EXENTO]])</f>
        <v>7565</v>
      </c>
      <c r="M574" s="55"/>
    </row>
    <row r="575" spans="2:13" x14ac:dyDescent="0.3">
      <c r="B575" s="223">
        <v>44852</v>
      </c>
      <c r="C575" s="224">
        <v>6</v>
      </c>
      <c r="D575" s="225">
        <v>15</v>
      </c>
      <c r="E575" s="226">
        <v>6990</v>
      </c>
      <c r="F575" s="227">
        <v>12824335</v>
      </c>
      <c r="G575" s="1" t="s">
        <v>747</v>
      </c>
      <c r="H575" s="60">
        <v>6849.19</v>
      </c>
      <c r="I575" s="228">
        <v>1438.33</v>
      </c>
      <c r="J575" s="229"/>
      <c r="K575" s="229"/>
      <c r="L575" s="229">
        <f>SUM(ventas_b_mes11[[#This Row],[IMPORTE NETO]:[EXENTO]])</f>
        <v>8287.52</v>
      </c>
      <c r="M575" s="55"/>
    </row>
    <row r="576" spans="2:13" x14ac:dyDescent="0.3">
      <c r="B576" s="223">
        <v>44852</v>
      </c>
      <c r="C576" s="224">
        <v>6</v>
      </c>
      <c r="D576" s="225">
        <v>15</v>
      </c>
      <c r="E576" s="226">
        <v>6991</v>
      </c>
      <c r="F576" s="227">
        <v>42043394</v>
      </c>
      <c r="G576" s="1" t="s">
        <v>234</v>
      </c>
      <c r="H576" s="60">
        <v>1413.22</v>
      </c>
      <c r="I576" s="228">
        <v>296.77999999999997</v>
      </c>
      <c r="J576" s="229"/>
      <c r="K576" s="229"/>
      <c r="L576" s="229">
        <f>SUM(ventas_b_mes11[[#This Row],[IMPORTE NETO]:[EXENTO]])</f>
        <v>1710</v>
      </c>
      <c r="M576" s="55"/>
    </row>
    <row r="577" spans="2:13" x14ac:dyDescent="0.3">
      <c r="B577" s="223">
        <v>44852</v>
      </c>
      <c r="C577" s="224">
        <v>6</v>
      </c>
      <c r="D577" s="225">
        <v>15</v>
      </c>
      <c r="E577" s="226">
        <v>6992</v>
      </c>
      <c r="F577" s="227">
        <v>30954543</v>
      </c>
      <c r="G577" s="1" t="s">
        <v>466</v>
      </c>
      <c r="H577" s="60">
        <v>4581.82</v>
      </c>
      <c r="I577" s="228">
        <v>962.18</v>
      </c>
      <c r="J577" s="229"/>
      <c r="K577" s="229"/>
      <c r="L577" s="229">
        <f>SUM(ventas_b_mes11[[#This Row],[IMPORTE NETO]:[EXENTO]])</f>
        <v>5544</v>
      </c>
      <c r="M577" s="55"/>
    </row>
    <row r="578" spans="2:13" x14ac:dyDescent="0.3">
      <c r="B578" s="223">
        <v>44852</v>
      </c>
      <c r="C578" s="224">
        <v>6</v>
      </c>
      <c r="D578" s="225">
        <v>15</v>
      </c>
      <c r="E578" s="226">
        <v>6993</v>
      </c>
      <c r="F578" s="227">
        <v>27146840</v>
      </c>
      <c r="G578" s="1" t="s">
        <v>757</v>
      </c>
      <c r="H578" s="60">
        <v>4840.08</v>
      </c>
      <c r="I578" s="228">
        <v>1016.42</v>
      </c>
      <c r="J578" s="229"/>
      <c r="K578" s="229"/>
      <c r="L578" s="229">
        <f>SUM(ventas_b_mes11[[#This Row],[IMPORTE NETO]:[EXENTO]])</f>
        <v>5856.5</v>
      </c>
      <c r="M578" s="55"/>
    </row>
    <row r="579" spans="2:13" x14ac:dyDescent="0.3">
      <c r="B579" s="223">
        <v>44852</v>
      </c>
      <c r="C579" s="224">
        <v>6</v>
      </c>
      <c r="D579" s="225">
        <v>15</v>
      </c>
      <c r="E579" s="226">
        <v>6994</v>
      </c>
      <c r="F579" s="227">
        <v>27816221</v>
      </c>
      <c r="G579" s="1" t="s">
        <v>336</v>
      </c>
      <c r="H579" s="60">
        <v>5661.16</v>
      </c>
      <c r="I579" s="228">
        <v>1188.8399999999999</v>
      </c>
      <c r="J579" s="229"/>
      <c r="K579" s="229"/>
      <c r="L579" s="229">
        <f>SUM(ventas_b_mes11[[#This Row],[IMPORTE NETO]:[EXENTO]])</f>
        <v>6850</v>
      </c>
      <c r="M579" s="55"/>
    </row>
    <row r="580" spans="2:13" x14ac:dyDescent="0.3">
      <c r="B580" s="223">
        <v>44853</v>
      </c>
      <c r="C580" s="224">
        <v>6</v>
      </c>
      <c r="D580" s="225">
        <v>15</v>
      </c>
      <c r="E580" s="226">
        <v>6995</v>
      </c>
      <c r="F580" s="227">
        <v>14434879</v>
      </c>
      <c r="G580" s="1" t="s">
        <v>667</v>
      </c>
      <c r="H580" s="60">
        <v>1161.1600000000001</v>
      </c>
      <c r="I580" s="228">
        <v>243.84</v>
      </c>
      <c r="J580" s="229"/>
      <c r="K580" s="229"/>
      <c r="L580" s="229">
        <f>SUM(ventas_b_mes11[[#This Row],[IMPORTE NETO]:[EXENTO]])</f>
        <v>1405</v>
      </c>
      <c r="M580" s="55"/>
    </row>
    <row r="581" spans="2:13" x14ac:dyDescent="0.3">
      <c r="B581" s="223">
        <v>44853</v>
      </c>
      <c r="C581" s="224">
        <v>6</v>
      </c>
      <c r="D581" s="225">
        <v>15</v>
      </c>
      <c r="E581" s="226">
        <v>6996</v>
      </c>
      <c r="F581" s="227">
        <v>14434879</v>
      </c>
      <c r="G581" s="1" t="s">
        <v>667</v>
      </c>
      <c r="H581" s="60">
        <v>1475.21</v>
      </c>
      <c r="I581" s="228">
        <v>309.79000000000002</v>
      </c>
      <c r="J581" s="229"/>
      <c r="K581" s="229"/>
      <c r="L581" s="229">
        <f>SUM(ventas_b_mes11[[#This Row],[IMPORTE NETO]:[EXENTO]])</f>
        <v>1785</v>
      </c>
      <c r="M581" s="55"/>
    </row>
    <row r="582" spans="2:13" x14ac:dyDescent="0.3">
      <c r="B582" s="223">
        <v>44853</v>
      </c>
      <c r="C582" s="224">
        <v>6</v>
      </c>
      <c r="D582" s="225">
        <v>15</v>
      </c>
      <c r="E582" s="226">
        <v>6997</v>
      </c>
      <c r="F582" s="227">
        <v>17347731</v>
      </c>
      <c r="G582" s="1" t="s">
        <v>624</v>
      </c>
      <c r="H582" s="60">
        <v>4425.62</v>
      </c>
      <c r="I582" s="228">
        <v>929.38</v>
      </c>
      <c r="J582" s="229"/>
      <c r="K582" s="229"/>
      <c r="L582" s="229">
        <f>SUM(ventas_b_mes11[[#This Row],[IMPORTE NETO]:[EXENTO]])</f>
        <v>5355</v>
      </c>
      <c r="M582" s="55"/>
    </row>
    <row r="583" spans="2:13" x14ac:dyDescent="0.3">
      <c r="B583" s="223">
        <v>44853</v>
      </c>
      <c r="C583" s="224">
        <v>6</v>
      </c>
      <c r="D583" s="225">
        <v>15</v>
      </c>
      <c r="E583" s="226">
        <v>6998</v>
      </c>
      <c r="F583" s="227">
        <v>2143749</v>
      </c>
      <c r="G583" s="1"/>
      <c r="H583" s="60">
        <v>18553.75</v>
      </c>
      <c r="I583" s="228">
        <v>3896.29</v>
      </c>
      <c r="J583" s="229"/>
      <c r="K583" s="229"/>
      <c r="L583" s="229">
        <f>SUM(ventas_b_mes11[[#This Row],[IMPORTE NETO]:[EXENTO]])</f>
        <v>22450.04</v>
      </c>
      <c r="M583" s="55"/>
    </row>
    <row r="584" spans="2:13" x14ac:dyDescent="0.3">
      <c r="B584" s="223">
        <v>44853</v>
      </c>
      <c r="C584" s="224">
        <v>6</v>
      </c>
      <c r="D584" s="225">
        <v>15</v>
      </c>
      <c r="E584" s="226">
        <v>6999</v>
      </c>
      <c r="F584" s="227">
        <v>5143707</v>
      </c>
      <c r="G584" s="1"/>
      <c r="H584" s="60">
        <v>6125.62</v>
      </c>
      <c r="I584" s="228">
        <v>1286.3800000000001</v>
      </c>
      <c r="J584" s="229"/>
      <c r="K584" s="229"/>
      <c r="L584" s="229">
        <f>SUM(ventas_b_mes11[[#This Row],[IMPORTE NETO]:[EXENTO]])</f>
        <v>7412</v>
      </c>
      <c r="M584" s="55"/>
    </row>
    <row r="585" spans="2:13" x14ac:dyDescent="0.3">
      <c r="B585" s="223">
        <v>44853</v>
      </c>
      <c r="C585" s="224">
        <v>6</v>
      </c>
      <c r="D585" s="225">
        <v>15</v>
      </c>
      <c r="E585" s="226">
        <v>7000</v>
      </c>
      <c r="F585" s="227">
        <v>20947613</v>
      </c>
      <c r="G585" s="1" t="s">
        <v>782</v>
      </c>
      <c r="H585" s="60">
        <v>7460.33</v>
      </c>
      <c r="I585" s="228">
        <v>1566.67</v>
      </c>
      <c r="J585" s="229"/>
      <c r="K585" s="229"/>
      <c r="L585" s="229">
        <f>SUM(ventas_b_mes11[[#This Row],[IMPORTE NETO]:[EXENTO]])</f>
        <v>9027</v>
      </c>
      <c r="M585" s="55"/>
    </row>
    <row r="586" spans="2:13" x14ac:dyDescent="0.3">
      <c r="B586" s="223">
        <v>44853</v>
      </c>
      <c r="C586" s="224">
        <v>6</v>
      </c>
      <c r="D586" s="225">
        <v>15</v>
      </c>
      <c r="E586" s="226">
        <v>7001</v>
      </c>
      <c r="F586" s="227">
        <v>92475517</v>
      </c>
      <c r="G586" s="1"/>
      <c r="H586" s="60">
        <v>17686.36</v>
      </c>
      <c r="I586" s="228">
        <v>3714.14</v>
      </c>
      <c r="J586" s="229"/>
      <c r="K586" s="229"/>
      <c r="L586" s="229">
        <f>SUM(ventas_b_mes11[[#This Row],[IMPORTE NETO]:[EXENTO]])</f>
        <v>21400.5</v>
      </c>
      <c r="M586" s="55"/>
    </row>
    <row r="587" spans="2:13" x14ac:dyDescent="0.3">
      <c r="B587" s="223">
        <v>44853</v>
      </c>
      <c r="C587" s="224">
        <v>6</v>
      </c>
      <c r="D587" s="225">
        <v>15</v>
      </c>
      <c r="E587" s="226">
        <v>7002</v>
      </c>
      <c r="F587" s="227">
        <v>36408763</v>
      </c>
      <c r="G587" s="1" t="s">
        <v>824</v>
      </c>
      <c r="H587" s="60">
        <v>1971.07</v>
      </c>
      <c r="I587" s="228">
        <v>413.93</v>
      </c>
      <c r="J587" s="229"/>
      <c r="K587" s="229"/>
      <c r="L587" s="229">
        <f>SUM(ventas_b_mes11[[#This Row],[IMPORTE NETO]:[EXENTO]])</f>
        <v>2385</v>
      </c>
      <c r="M587" s="55"/>
    </row>
    <row r="588" spans="2:13" x14ac:dyDescent="0.3">
      <c r="B588" s="223">
        <v>44853</v>
      </c>
      <c r="C588" s="224">
        <v>6</v>
      </c>
      <c r="D588" s="225">
        <v>15</v>
      </c>
      <c r="E588" s="226">
        <v>7003</v>
      </c>
      <c r="F588" s="227">
        <v>36740584</v>
      </c>
      <c r="G588" s="1" t="s">
        <v>288</v>
      </c>
      <c r="H588" s="60">
        <v>4116.53</v>
      </c>
      <c r="I588" s="228">
        <v>864.47</v>
      </c>
      <c r="J588" s="229"/>
      <c r="K588" s="229"/>
      <c r="L588" s="229">
        <f>SUM(ventas_b_mes11[[#This Row],[IMPORTE NETO]:[EXENTO]])</f>
        <v>4981</v>
      </c>
      <c r="M588" s="55"/>
    </row>
    <row r="589" spans="2:13" x14ac:dyDescent="0.3">
      <c r="B589" s="223">
        <v>44853</v>
      </c>
      <c r="C589" s="224">
        <v>6</v>
      </c>
      <c r="D589" s="225">
        <v>15</v>
      </c>
      <c r="E589" s="226">
        <v>7004</v>
      </c>
      <c r="F589" s="227">
        <v>23206465</v>
      </c>
      <c r="G589" s="1" t="s">
        <v>799</v>
      </c>
      <c r="H589" s="60">
        <v>5444.21</v>
      </c>
      <c r="I589" s="228">
        <v>1143.29</v>
      </c>
      <c r="J589" s="229"/>
      <c r="K589" s="229"/>
      <c r="L589" s="229">
        <f>SUM(ventas_b_mes11[[#This Row],[IMPORTE NETO]:[EXENTO]])</f>
        <v>6587.5</v>
      </c>
      <c r="M589" s="55"/>
    </row>
    <row r="590" spans="2:13" x14ac:dyDescent="0.3">
      <c r="B590" s="223">
        <v>44853</v>
      </c>
      <c r="C590" s="224">
        <v>6</v>
      </c>
      <c r="D590" s="225">
        <v>15</v>
      </c>
      <c r="E590" s="226">
        <v>7005</v>
      </c>
      <c r="F590" s="227">
        <v>24871779</v>
      </c>
      <c r="G590" s="1" t="s">
        <v>522</v>
      </c>
      <c r="H590" s="60">
        <v>9090.91</v>
      </c>
      <c r="I590" s="228">
        <v>1909.09</v>
      </c>
      <c r="J590" s="229"/>
      <c r="K590" s="229"/>
      <c r="L590" s="229">
        <f>SUM(ventas_b_mes11[[#This Row],[IMPORTE NETO]:[EXENTO]])</f>
        <v>11000</v>
      </c>
      <c r="M590" s="55"/>
    </row>
    <row r="591" spans="2:13" x14ac:dyDescent="0.3">
      <c r="B591" s="223">
        <v>44853</v>
      </c>
      <c r="C591" s="224">
        <v>6</v>
      </c>
      <c r="D591" s="225">
        <v>15</v>
      </c>
      <c r="E591" s="226">
        <v>7006</v>
      </c>
      <c r="F591" s="227">
        <v>33106249</v>
      </c>
      <c r="G591" s="1" t="s">
        <v>813</v>
      </c>
      <c r="H591" s="60">
        <v>5787.73</v>
      </c>
      <c r="I591" s="228">
        <v>1215.42</v>
      </c>
      <c r="J591" s="229"/>
      <c r="K591" s="229"/>
      <c r="L591" s="229">
        <f>SUM(ventas_b_mes11[[#This Row],[IMPORTE NETO]:[EXENTO]])</f>
        <v>7003.15</v>
      </c>
      <c r="M591" s="55"/>
    </row>
    <row r="592" spans="2:13" x14ac:dyDescent="0.3">
      <c r="B592" s="223">
        <v>44853</v>
      </c>
      <c r="C592" s="224">
        <v>6</v>
      </c>
      <c r="D592" s="225">
        <v>15</v>
      </c>
      <c r="E592" s="226">
        <v>7007</v>
      </c>
      <c r="F592" s="227">
        <v>16826280</v>
      </c>
      <c r="G592" s="1" t="s">
        <v>778</v>
      </c>
      <c r="H592" s="60">
        <v>4088.43</v>
      </c>
      <c r="I592" s="228">
        <v>858.57</v>
      </c>
      <c r="J592" s="229"/>
      <c r="K592" s="229"/>
      <c r="L592" s="229">
        <f>SUM(ventas_b_mes11[[#This Row],[IMPORTE NETO]:[EXENTO]])</f>
        <v>4947</v>
      </c>
      <c r="M592" s="55"/>
    </row>
    <row r="593" spans="2:13" x14ac:dyDescent="0.3">
      <c r="B593" s="223">
        <v>44853</v>
      </c>
      <c r="C593" s="224">
        <v>6</v>
      </c>
      <c r="D593" s="225">
        <v>15</v>
      </c>
      <c r="E593" s="226">
        <v>7008</v>
      </c>
      <c r="F593" s="227">
        <v>18134041</v>
      </c>
      <c r="G593" s="1" t="s">
        <v>781</v>
      </c>
      <c r="H593" s="60">
        <v>6582.23</v>
      </c>
      <c r="I593" s="228">
        <v>1382.27</v>
      </c>
      <c r="J593" s="229"/>
      <c r="K593" s="229"/>
      <c r="L593" s="229">
        <f>SUM(ventas_b_mes11[[#This Row],[IMPORTE NETO]:[EXENTO]])</f>
        <v>7964.5</v>
      </c>
      <c r="M593" s="55"/>
    </row>
    <row r="594" spans="2:13" x14ac:dyDescent="0.3">
      <c r="B594" s="223">
        <v>44853</v>
      </c>
      <c r="C594" s="224">
        <v>6</v>
      </c>
      <c r="D594" s="225">
        <v>15</v>
      </c>
      <c r="E594" s="226">
        <v>7009</v>
      </c>
      <c r="F594" s="227">
        <v>33528637</v>
      </c>
      <c r="G594" s="1" t="s">
        <v>643</v>
      </c>
      <c r="H594" s="60">
        <v>3983.06</v>
      </c>
      <c r="I594" s="228">
        <v>836.44</v>
      </c>
      <c r="J594" s="229"/>
      <c r="K594" s="229"/>
      <c r="L594" s="229">
        <f>SUM(ventas_b_mes11[[#This Row],[IMPORTE NETO]:[EXENTO]])</f>
        <v>4819.5</v>
      </c>
      <c r="M594" s="55"/>
    </row>
    <row r="595" spans="2:13" x14ac:dyDescent="0.3">
      <c r="B595" s="223">
        <v>44853</v>
      </c>
      <c r="C595" s="224">
        <v>6</v>
      </c>
      <c r="D595" s="225">
        <v>15</v>
      </c>
      <c r="E595" s="226">
        <v>7010</v>
      </c>
      <c r="F595" s="227">
        <v>25671318</v>
      </c>
      <c r="G595" s="1" t="s">
        <v>796</v>
      </c>
      <c r="H595" s="60">
        <v>11661.16</v>
      </c>
      <c r="I595" s="228">
        <v>2448.84</v>
      </c>
      <c r="J595" s="229"/>
      <c r="K595" s="229"/>
      <c r="L595" s="229">
        <f>SUM(ventas_b_mes11[[#This Row],[IMPORTE NETO]:[EXENTO]])</f>
        <v>14110</v>
      </c>
      <c r="M595" s="55"/>
    </row>
    <row r="596" spans="2:13" x14ac:dyDescent="0.3">
      <c r="B596" s="223">
        <v>44853</v>
      </c>
      <c r="C596" s="224">
        <v>6</v>
      </c>
      <c r="D596" s="225">
        <v>15</v>
      </c>
      <c r="E596" s="226">
        <v>7011</v>
      </c>
      <c r="F596" s="227">
        <v>36065512</v>
      </c>
      <c r="G596" s="1" t="s">
        <v>789</v>
      </c>
      <c r="H596" s="60">
        <v>3877.69</v>
      </c>
      <c r="I596" s="228">
        <v>814.31</v>
      </c>
      <c r="J596" s="229"/>
      <c r="K596" s="229"/>
      <c r="L596" s="229">
        <f>SUM(ventas_b_mes11[[#This Row],[IMPORTE NETO]:[EXENTO]])</f>
        <v>4692</v>
      </c>
      <c r="M596" s="55"/>
    </row>
    <row r="597" spans="2:13" x14ac:dyDescent="0.3">
      <c r="B597" s="223">
        <v>44853</v>
      </c>
      <c r="C597" s="224">
        <v>6</v>
      </c>
      <c r="D597" s="225">
        <v>15</v>
      </c>
      <c r="E597" s="226">
        <v>7012</v>
      </c>
      <c r="F597" s="227">
        <v>22489713</v>
      </c>
      <c r="G597" s="1" t="s">
        <v>826</v>
      </c>
      <c r="H597" s="60">
        <v>4566.12</v>
      </c>
      <c r="I597" s="228">
        <v>958.88</v>
      </c>
      <c r="J597" s="229"/>
      <c r="K597" s="229"/>
      <c r="L597" s="229">
        <f>SUM(ventas_b_mes11[[#This Row],[IMPORTE NETO]:[EXENTO]])</f>
        <v>5525</v>
      </c>
      <c r="M597" s="55"/>
    </row>
    <row r="598" spans="2:13" x14ac:dyDescent="0.3">
      <c r="B598" s="223">
        <v>44853</v>
      </c>
      <c r="C598" s="224">
        <v>6</v>
      </c>
      <c r="D598" s="225">
        <v>15</v>
      </c>
      <c r="E598" s="226">
        <v>7013</v>
      </c>
      <c r="F598" s="227">
        <v>29535593</v>
      </c>
      <c r="G598" s="1" t="s">
        <v>709</v>
      </c>
      <c r="H598" s="60">
        <v>6757.85</v>
      </c>
      <c r="I598" s="228">
        <v>1419.15</v>
      </c>
      <c r="J598" s="229"/>
      <c r="K598" s="229"/>
      <c r="L598" s="229">
        <f>SUM(ventas_b_mes11[[#This Row],[IMPORTE NETO]:[EXENTO]])</f>
        <v>8177</v>
      </c>
      <c r="M598" s="55"/>
    </row>
    <row r="599" spans="2:13" x14ac:dyDescent="0.3">
      <c r="B599" s="223">
        <v>44853</v>
      </c>
      <c r="C599" s="224">
        <v>6</v>
      </c>
      <c r="D599" s="225">
        <v>15</v>
      </c>
      <c r="E599" s="226">
        <v>7014</v>
      </c>
      <c r="F599" s="227">
        <v>10514389</v>
      </c>
      <c r="G599" s="1" t="s">
        <v>802</v>
      </c>
      <c r="H599" s="60">
        <v>2766.94</v>
      </c>
      <c r="I599" s="228">
        <v>581.05999999999995</v>
      </c>
      <c r="J599" s="229"/>
      <c r="K599" s="229"/>
      <c r="L599" s="229">
        <f>SUM(ventas_b_mes11[[#This Row],[IMPORTE NETO]:[EXENTO]])</f>
        <v>3348</v>
      </c>
      <c r="M599" s="55"/>
    </row>
    <row r="600" spans="2:13" x14ac:dyDescent="0.3">
      <c r="B600" s="223">
        <v>44853</v>
      </c>
      <c r="C600" s="224">
        <v>6</v>
      </c>
      <c r="D600" s="225">
        <v>15</v>
      </c>
      <c r="E600" s="226">
        <v>7015</v>
      </c>
      <c r="F600" s="227">
        <v>35113211</v>
      </c>
      <c r="G600" s="1" t="s">
        <v>804</v>
      </c>
      <c r="H600" s="60">
        <v>6276.3</v>
      </c>
      <c r="I600" s="228">
        <v>1318.02</v>
      </c>
      <c r="J600" s="229"/>
      <c r="K600" s="229"/>
      <c r="L600" s="229">
        <f>SUM(ventas_b_mes11[[#This Row],[IMPORTE NETO]:[EXENTO]])</f>
        <v>7594.32</v>
      </c>
      <c r="M600" s="55"/>
    </row>
    <row r="601" spans="2:13" x14ac:dyDescent="0.3">
      <c r="B601" s="223">
        <v>44853</v>
      </c>
      <c r="C601" s="224">
        <v>6</v>
      </c>
      <c r="D601" s="225">
        <v>15</v>
      </c>
      <c r="E601" s="226">
        <v>7016</v>
      </c>
      <c r="F601" s="227">
        <v>17417087</v>
      </c>
      <c r="G601" s="1" t="s">
        <v>797</v>
      </c>
      <c r="H601" s="60">
        <v>5563.64</v>
      </c>
      <c r="I601" s="228">
        <v>1168.3599999999999</v>
      </c>
      <c r="J601" s="229"/>
      <c r="K601" s="229"/>
      <c r="L601" s="229">
        <f>SUM(ventas_b_mes11[[#This Row],[IMPORTE NETO]:[EXENTO]])</f>
        <v>6732</v>
      </c>
      <c r="M601" s="55"/>
    </row>
    <row r="602" spans="2:13" x14ac:dyDescent="0.3">
      <c r="B602" s="223">
        <v>44853</v>
      </c>
      <c r="C602" s="224">
        <v>6</v>
      </c>
      <c r="D602" s="225">
        <v>15</v>
      </c>
      <c r="E602" s="226">
        <v>7017</v>
      </c>
      <c r="F602" s="227">
        <v>34485611</v>
      </c>
      <c r="G602" s="1" t="s">
        <v>809</v>
      </c>
      <c r="H602" s="60">
        <v>5914.88</v>
      </c>
      <c r="I602" s="228">
        <v>1242.1199999999999</v>
      </c>
      <c r="J602" s="229"/>
      <c r="K602" s="229"/>
      <c r="L602" s="229">
        <f>SUM(ventas_b_mes11[[#This Row],[IMPORTE NETO]:[EXENTO]])</f>
        <v>7157</v>
      </c>
      <c r="M602" s="55"/>
    </row>
    <row r="603" spans="2:13" x14ac:dyDescent="0.3">
      <c r="B603" s="223">
        <v>44853</v>
      </c>
      <c r="C603" s="224">
        <v>6</v>
      </c>
      <c r="D603" s="225">
        <v>15</v>
      </c>
      <c r="E603" s="226">
        <v>7018</v>
      </c>
      <c r="F603" s="227">
        <v>28434680</v>
      </c>
      <c r="G603" s="1" t="s">
        <v>818</v>
      </c>
      <c r="H603" s="60">
        <v>2599.17</v>
      </c>
      <c r="I603" s="228">
        <v>545.83000000000004</v>
      </c>
      <c r="J603" s="229"/>
      <c r="K603" s="229"/>
      <c r="L603" s="229">
        <f>SUM(ventas_b_mes11[[#This Row],[IMPORTE NETO]:[EXENTO]])</f>
        <v>3145</v>
      </c>
      <c r="M603" s="55"/>
    </row>
    <row r="604" spans="2:13" x14ac:dyDescent="0.3">
      <c r="B604" s="223">
        <v>44854</v>
      </c>
      <c r="C604" s="224">
        <v>6</v>
      </c>
      <c r="D604" s="225">
        <v>15</v>
      </c>
      <c r="E604" s="226">
        <v>7019</v>
      </c>
      <c r="F604" s="227">
        <v>5965253</v>
      </c>
      <c r="G604" s="1"/>
      <c r="H604" s="60">
        <v>4088.43</v>
      </c>
      <c r="I604" s="228">
        <v>858.57</v>
      </c>
      <c r="J604" s="229"/>
      <c r="K604" s="229"/>
      <c r="L604" s="229">
        <f>SUM(ventas_b_mes11[[#This Row],[IMPORTE NETO]:[EXENTO]])</f>
        <v>4947</v>
      </c>
      <c r="M604" s="55"/>
    </row>
    <row r="605" spans="2:13" x14ac:dyDescent="0.3">
      <c r="B605" s="223">
        <v>44854</v>
      </c>
      <c r="C605" s="224">
        <v>6</v>
      </c>
      <c r="D605" s="225">
        <v>15</v>
      </c>
      <c r="E605" s="226">
        <v>7020</v>
      </c>
      <c r="F605" s="227">
        <v>5965253</v>
      </c>
      <c r="G605" s="1"/>
      <c r="H605" s="60">
        <v>966.94</v>
      </c>
      <c r="I605" s="228">
        <v>203.06</v>
      </c>
      <c r="J605" s="229"/>
      <c r="K605" s="229"/>
      <c r="L605" s="229">
        <f>SUM(ventas_b_mes11[[#This Row],[IMPORTE NETO]:[EXENTO]])</f>
        <v>1170</v>
      </c>
      <c r="M605" s="55"/>
    </row>
    <row r="606" spans="2:13" x14ac:dyDescent="0.3">
      <c r="B606" s="223">
        <v>44854</v>
      </c>
      <c r="C606" s="224">
        <v>6</v>
      </c>
      <c r="D606" s="225">
        <v>15</v>
      </c>
      <c r="E606" s="226">
        <v>7021</v>
      </c>
      <c r="F606" s="227">
        <v>17681773</v>
      </c>
      <c r="G606" s="1" t="s">
        <v>215</v>
      </c>
      <c r="H606" s="60">
        <v>4987.6000000000004</v>
      </c>
      <c r="I606" s="228">
        <v>1047.4000000000001</v>
      </c>
      <c r="J606" s="229"/>
      <c r="K606" s="229"/>
      <c r="L606" s="229">
        <f>SUM(ventas_b_mes11[[#This Row],[IMPORTE NETO]:[EXENTO]])</f>
        <v>6035</v>
      </c>
      <c r="M606" s="55"/>
    </row>
    <row r="607" spans="2:13" x14ac:dyDescent="0.3">
      <c r="B607" s="223">
        <v>44854</v>
      </c>
      <c r="C607" s="224">
        <v>6</v>
      </c>
      <c r="D607" s="225">
        <v>15</v>
      </c>
      <c r="E607" s="226">
        <v>7022</v>
      </c>
      <c r="F607" s="227">
        <v>17681773</v>
      </c>
      <c r="G607" s="1" t="s">
        <v>215</v>
      </c>
      <c r="H607" s="60">
        <v>1475.21</v>
      </c>
      <c r="I607" s="228">
        <v>309.79000000000002</v>
      </c>
      <c r="J607" s="229"/>
      <c r="K607" s="229"/>
      <c r="L607" s="229">
        <f>SUM(ventas_b_mes11[[#This Row],[IMPORTE NETO]:[EXENTO]])</f>
        <v>1785</v>
      </c>
      <c r="M607" s="55"/>
    </row>
    <row r="608" spans="2:13" x14ac:dyDescent="0.3">
      <c r="B608" s="223">
        <v>44854</v>
      </c>
      <c r="C608" s="224">
        <v>6</v>
      </c>
      <c r="D608" s="225">
        <v>15</v>
      </c>
      <c r="E608" s="226">
        <v>7023</v>
      </c>
      <c r="F608" s="227">
        <v>33879446</v>
      </c>
      <c r="G608" s="1" t="s">
        <v>834</v>
      </c>
      <c r="H608" s="60">
        <v>533.05999999999995</v>
      </c>
      <c r="I608" s="228">
        <v>111.94</v>
      </c>
      <c r="J608" s="229"/>
      <c r="K608" s="229"/>
      <c r="L608" s="229">
        <f>SUM(ventas_b_mes11[[#This Row],[IMPORTE NETO]:[EXENTO]])</f>
        <v>645</v>
      </c>
      <c r="M608" s="55"/>
    </row>
    <row r="609" spans="2:13" x14ac:dyDescent="0.3">
      <c r="B609" s="223">
        <v>44854</v>
      </c>
      <c r="C609" s="224">
        <v>6</v>
      </c>
      <c r="D609" s="225">
        <v>15</v>
      </c>
      <c r="E609" s="226">
        <v>7024</v>
      </c>
      <c r="F609" s="227">
        <v>35942192</v>
      </c>
      <c r="G609" s="1" t="s">
        <v>197</v>
      </c>
      <c r="H609" s="60">
        <v>3547.52</v>
      </c>
      <c r="I609" s="228">
        <v>744.98</v>
      </c>
      <c r="J609" s="229"/>
      <c r="K609" s="229"/>
      <c r="L609" s="229">
        <f>SUM(ventas_b_mes11[[#This Row],[IMPORTE NETO]:[EXENTO]])</f>
        <v>4292.5</v>
      </c>
      <c r="M609" s="55"/>
    </row>
    <row r="610" spans="2:13" x14ac:dyDescent="0.3">
      <c r="B610" s="223">
        <v>44854</v>
      </c>
      <c r="C610" s="224">
        <v>6</v>
      </c>
      <c r="D610" s="225">
        <v>15</v>
      </c>
      <c r="E610" s="226">
        <v>7025</v>
      </c>
      <c r="F610" s="227">
        <v>28951546</v>
      </c>
      <c r="G610" s="1" t="s">
        <v>832</v>
      </c>
      <c r="H610" s="60">
        <v>11520.66</v>
      </c>
      <c r="I610" s="228">
        <v>2419.34</v>
      </c>
      <c r="J610" s="229"/>
      <c r="K610" s="229"/>
      <c r="L610" s="229">
        <f>SUM(ventas_b_mes11[[#This Row],[IMPORTE NETO]:[EXENTO]])</f>
        <v>13940</v>
      </c>
      <c r="M610" s="55"/>
    </row>
    <row r="611" spans="2:13" x14ac:dyDescent="0.3">
      <c r="B611" s="223">
        <v>44854</v>
      </c>
      <c r="C611" s="224">
        <v>6</v>
      </c>
      <c r="D611" s="225">
        <v>15</v>
      </c>
      <c r="E611" s="226">
        <v>7026</v>
      </c>
      <c r="F611" s="227">
        <v>21769705</v>
      </c>
      <c r="G611" s="1" t="s">
        <v>838</v>
      </c>
      <c r="H611" s="60">
        <v>4545.45</v>
      </c>
      <c r="I611" s="228">
        <v>954.55</v>
      </c>
      <c r="J611" s="229"/>
      <c r="K611" s="229"/>
      <c r="L611" s="229">
        <f>SUM(ventas_b_mes11[[#This Row],[IMPORTE NETO]:[EXENTO]])</f>
        <v>5500</v>
      </c>
      <c r="M611" s="55"/>
    </row>
    <row r="612" spans="2:13" x14ac:dyDescent="0.3">
      <c r="B612" s="223">
        <v>44854</v>
      </c>
      <c r="C612" s="224">
        <v>6</v>
      </c>
      <c r="D612" s="225">
        <v>15</v>
      </c>
      <c r="E612" s="226">
        <v>7027</v>
      </c>
      <c r="F612" s="227">
        <v>42117899</v>
      </c>
      <c r="G612" s="1" t="s">
        <v>168</v>
      </c>
      <c r="H612" s="60">
        <v>4958.68</v>
      </c>
      <c r="I612" s="228">
        <v>1041.32</v>
      </c>
      <c r="J612" s="229"/>
      <c r="K612" s="229"/>
      <c r="L612" s="229">
        <f>SUM(ventas_b_mes11[[#This Row],[IMPORTE NETO]:[EXENTO]])</f>
        <v>6000</v>
      </c>
      <c r="M612" s="55"/>
    </row>
    <row r="613" spans="2:13" x14ac:dyDescent="0.3">
      <c r="B613" s="223">
        <v>44854</v>
      </c>
      <c r="C613" s="224">
        <v>6</v>
      </c>
      <c r="D613" s="225">
        <v>15</v>
      </c>
      <c r="E613" s="226">
        <v>7028</v>
      </c>
      <c r="F613" s="227">
        <v>37937689</v>
      </c>
      <c r="G613" s="1"/>
      <c r="H613" s="60">
        <v>4545.45</v>
      </c>
      <c r="I613" s="228">
        <v>954.55</v>
      </c>
      <c r="J613" s="229"/>
      <c r="K613" s="229"/>
      <c r="L613" s="229">
        <f>SUM(ventas_b_mes11[[#This Row],[IMPORTE NETO]:[EXENTO]])</f>
        <v>5500</v>
      </c>
      <c r="M613" s="55"/>
    </row>
    <row r="614" spans="2:13" x14ac:dyDescent="0.3">
      <c r="B614" s="223">
        <v>44854</v>
      </c>
      <c r="C614" s="224">
        <v>6</v>
      </c>
      <c r="D614" s="225">
        <v>15</v>
      </c>
      <c r="E614" s="226">
        <v>7029</v>
      </c>
      <c r="F614" s="227">
        <v>29381165</v>
      </c>
      <c r="G614" s="1" t="s">
        <v>830</v>
      </c>
      <c r="H614" s="60">
        <v>3719.01</v>
      </c>
      <c r="I614" s="228">
        <v>780.99</v>
      </c>
      <c r="J614" s="229"/>
      <c r="K614" s="229"/>
      <c r="L614" s="229">
        <f>SUM(ventas_b_mes11[[#This Row],[IMPORTE NETO]:[EXENTO]])</f>
        <v>4500</v>
      </c>
      <c r="M614" s="55"/>
    </row>
    <row r="615" spans="2:13" x14ac:dyDescent="0.3">
      <c r="B615" s="223">
        <v>44854</v>
      </c>
      <c r="C615" s="224">
        <v>6</v>
      </c>
      <c r="D615" s="225">
        <v>15</v>
      </c>
      <c r="E615" s="226">
        <v>7030</v>
      </c>
      <c r="F615" s="227">
        <v>29381165</v>
      </c>
      <c r="G615" s="1" t="s">
        <v>830</v>
      </c>
      <c r="H615" s="60">
        <v>3719.01</v>
      </c>
      <c r="I615" s="228">
        <v>780.99</v>
      </c>
      <c r="J615" s="229"/>
      <c r="K615" s="229"/>
      <c r="L615" s="229">
        <f>SUM(ventas_b_mes11[[#This Row],[IMPORTE NETO]:[EXENTO]])</f>
        <v>4500</v>
      </c>
      <c r="M615" s="55"/>
    </row>
    <row r="616" spans="2:13" x14ac:dyDescent="0.3">
      <c r="B616" s="223">
        <v>44854</v>
      </c>
      <c r="C616" s="224">
        <v>6</v>
      </c>
      <c r="D616" s="225">
        <v>15</v>
      </c>
      <c r="E616" s="226">
        <v>7031</v>
      </c>
      <c r="F616" s="227">
        <v>42683175</v>
      </c>
      <c r="G616" s="1" t="s">
        <v>853</v>
      </c>
      <c r="H616" s="60">
        <v>4545.45</v>
      </c>
      <c r="I616" s="228">
        <v>954.55</v>
      </c>
      <c r="J616" s="229"/>
      <c r="K616" s="229"/>
      <c r="L616" s="229">
        <f>SUM(ventas_b_mes11[[#This Row],[IMPORTE NETO]:[EXENTO]])</f>
        <v>5500</v>
      </c>
      <c r="M616" s="55"/>
    </row>
    <row r="617" spans="2:13" x14ac:dyDescent="0.3">
      <c r="B617" s="223">
        <v>44854</v>
      </c>
      <c r="C617" s="224">
        <v>6</v>
      </c>
      <c r="D617" s="225">
        <v>15</v>
      </c>
      <c r="E617" s="226">
        <v>7032</v>
      </c>
      <c r="F617" s="227">
        <v>18462045</v>
      </c>
      <c r="G617" s="1" t="s">
        <v>858</v>
      </c>
      <c r="H617" s="60">
        <v>4958.68</v>
      </c>
      <c r="I617" s="228">
        <v>1041.32</v>
      </c>
      <c r="J617" s="229"/>
      <c r="K617" s="229"/>
      <c r="L617" s="229">
        <f>SUM(ventas_b_mes11[[#This Row],[IMPORTE NETO]:[EXENTO]])</f>
        <v>6000</v>
      </c>
      <c r="M617" s="55"/>
    </row>
    <row r="618" spans="2:13" x14ac:dyDescent="0.3">
      <c r="B618" s="223">
        <v>44854</v>
      </c>
      <c r="C618" s="224">
        <v>6</v>
      </c>
      <c r="D618" s="225">
        <v>15</v>
      </c>
      <c r="E618" s="226">
        <v>7033</v>
      </c>
      <c r="F618" s="227">
        <v>37034742</v>
      </c>
      <c r="G618" s="1" t="s">
        <v>846</v>
      </c>
      <c r="H618" s="60">
        <v>4958.68</v>
      </c>
      <c r="I618" s="228">
        <v>1041.32</v>
      </c>
      <c r="J618" s="229"/>
      <c r="K618" s="229"/>
      <c r="L618" s="229">
        <f>SUM(ventas_b_mes11[[#This Row],[IMPORTE NETO]:[EXENTO]])</f>
        <v>6000</v>
      </c>
      <c r="M618" s="55"/>
    </row>
    <row r="619" spans="2:13" x14ac:dyDescent="0.3">
      <c r="B619" s="223">
        <v>44855</v>
      </c>
      <c r="C619" s="224">
        <v>6</v>
      </c>
      <c r="D619" s="225">
        <v>15</v>
      </c>
      <c r="E619" s="226">
        <v>7034</v>
      </c>
      <c r="F619" s="227">
        <v>93964463</v>
      </c>
      <c r="G619" s="1" t="s">
        <v>866</v>
      </c>
      <c r="H619" s="60">
        <v>4958.68</v>
      </c>
      <c r="I619" s="228">
        <v>1041.32</v>
      </c>
      <c r="J619" s="229"/>
      <c r="K619" s="229"/>
      <c r="L619" s="229">
        <f>SUM(ventas_b_mes11[[#This Row],[IMPORTE NETO]:[EXENTO]])</f>
        <v>6000</v>
      </c>
      <c r="M619" s="55"/>
    </row>
    <row r="620" spans="2:13" x14ac:dyDescent="0.3">
      <c r="B620" s="223">
        <v>44855</v>
      </c>
      <c r="C620" s="224">
        <v>6</v>
      </c>
      <c r="D620" s="225">
        <v>15</v>
      </c>
      <c r="E620" s="226">
        <v>7035</v>
      </c>
      <c r="F620" s="227">
        <v>26272486</v>
      </c>
      <c r="G620" s="1" t="s">
        <v>291</v>
      </c>
      <c r="H620" s="60">
        <v>4425.62</v>
      </c>
      <c r="I620" s="228">
        <v>929.38</v>
      </c>
      <c r="J620" s="229"/>
      <c r="K620" s="229"/>
      <c r="L620" s="229">
        <f>SUM(ventas_b_mes11[[#This Row],[IMPORTE NETO]:[EXENTO]])</f>
        <v>5355</v>
      </c>
      <c r="M620" s="55"/>
    </row>
    <row r="621" spans="2:13" x14ac:dyDescent="0.3">
      <c r="B621" s="223">
        <v>44855</v>
      </c>
      <c r="C621" s="224">
        <v>6</v>
      </c>
      <c r="D621" s="225">
        <v>15</v>
      </c>
      <c r="E621" s="226">
        <v>7036</v>
      </c>
      <c r="F621" s="227">
        <v>20204180</v>
      </c>
      <c r="G621" s="1" t="s">
        <v>876</v>
      </c>
      <c r="H621" s="60">
        <v>3442.15</v>
      </c>
      <c r="I621" s="228">
        <v>722.85</v>
      </c>
      <c r="J621" s="229"/>
      <c r="K621" s="229"/>
      <c r="L621" s="229">
        <f>SUM(ventas_b_mes11[[#This Row],[IMPORTE NETO]:[EXENTO]])</f>
        <v>4165</v>
      </c>
      <c r="M621" s="55"/>
    </row>
    <row r="622" spans="2:13" x14ac:dyDescent="0.3">
      <c r="B622" s="223">
        <v>44855</v>
      </c>
      <c r="C622" s="224">
        <v>6</v>
      </c>
      <c r="D622" s="225">
        <v>15</v>
      </c>
      <c r="E622" s="226">
        <v>7037</v>
      </c>
      <c r="F622" s="227">
        <v>30005896</v>
      </c>
      <c r="G622" s="1" t="s">
        <v>867</v>
      </c>
      <c r="H622" s="60">
        <v>3758.26</v>
      </c>
      <c r="I622" s="228">
        <v>789.24</v>
      </c>
      <c r="J622" s="229"/>
      <c r="K622" s="229"/>
      <c r="L622" s="229">
        <f>SUM(ventas_b_mes11[[#This Row],[IMPORTE NETO]:[EXENTO]])</f>
        <v>4547.5</v>
      </c>
      <c r="M622" s="55"/>
    </row>
    <row r="623" spans="2:13" x14ac:dyDescent="0.3">
      <c r="B623" s="223">
        <v>44856</v>
      </c>
      <c r="C623" s="224">
        <v>6</v>
      </c>
      <c r="D623" s="225">
        <v>15</v>
      </c>
      <c r="E623" s="226">
        <v>7038</v>
      </c>
      <c r="F623" s="227">
        <v>24589431</v>
      </c>
      <c r="G623" s="1"/>
      <c r="H623" s="60">
        <v>3898.76</v>
      </c>
      <c r="I623" s="228">
        <v>818.74</v>
      </c>
      <c r="J623" s="229"/>
      <c r="K623" s="229"/>
      <c r="L623" s="229">
        <f>SUM(ventas_b_mes11[[#This Row],[IMPORTE NETO]:[EXENTO]])</f>
        <v>4717.5</v>
      </c>
      <c r="M623" s="55"/>
    </row>
    <row r="624" spans="2:13" x14ac:dyDescent="0.3">
      <c r="B624" s="223">
        <v>44856</v>
      </c>
      <c r="C624" s="224">
        <v>6</v>
      </c>
      <c r="D624" s="225">
        <v>15</v>
      </c>
      <c r="E624" s="226">
        <v>7039</v>
      </c>
      <c r="F624" s="227">
        <v>12760724</v>
      </c>
      <c r="G624" s="1" t="s">
        <v>896</v>
      </c>
      <c r="H624" s="60">
        <v>5057.8599999999997</v>
      </c>
      <c r="I624" s="228">
        <v>1062.1500000000001</v>
      </c>
      <c r="J624" s="229"/>
      <c r="K624" s="229"/>
      <c r="L624" s="229">
        <f>SUM(ventas_b_mes11[[#This Row],[IMPORTE NETO]:[EXENTO]])</f>
        <v>6120.01</v>
      </c>
      <c r="M624" s="55"/>
    </row>
    <row r="625" spans="2:13" x14ac:dyDescent="0.3">
      <c r="B625" s="223">
        <v>44856</v>
      </c>
      <c r="C625" s="224">
        <v>6</v>
      </c>
      <c r="D625" s="225">
        <v>15</v>
      </c>
      <c r="E625" s="226">
        <v>7040</v>
      </c>
      <c r="F625" s="227">
        <v>32094010</v>
      </c>
      <c r="G625" s="1"/>
      <c r="H625" s="60">
        <v>4861.16</v>
      </c>
      <c r="I625" s="228">
        <v>1020.84</v>
      </c>
      <c r="J625" s="229"/>
      <c r="K625" s="229"/>
      <c r="L625" s="229">
        <f>SUM(ventas_b_mes11[[#This Row],[IMPORTE NETO]:[EXENTO]])</f>
        <v>5882</v>
      </c>
      <c r="M625" s="55"/>
    </row>
    <row r="626" spans="2:13" x14ac:dyDescent="0.3">
      <c r="B626" s="223">
        <v>44856</v>
      </c>
      <c r="C626" s="224">
        <v>6</v>
      </c>
      <c r="D626" s="225">
        <v>15</v>
      </c>
      <c r="E626" s="226">
        <v>7041</v>
      </c>
      <c r="F626" s="227">
        <v>17303289</v>
      </c>
      <c r="G626" s="1" t="s">
        <v>894</v>
      </c>
      <c r="H626" s="60">
        <v>3863.64</v>
      </c>
      <c r="I626" s="228">
        <v>811.36</v>
      </c>
      <c r="J626" s="229"/>
      <c r="K626" s="229"/>
      <c r="L626" s="229">
        <f>SUM(ventas_b_mes11[[#This Row],[IMPORTE NETO]:[EXENTO]])</f>
        <v>4675</v>
      </c>
      <c r="M626" s="55"/>
    </row>
    <row r="627" spans="2:13" x14ac:dyDescent="0.3">
      <c r="B627" s="223">
        <v>44856</v>
      </c>
      <c r="C627" s="224">
        <v>6</v>
      </c>
      <c r="D627" s="225">
        <v>15</v>
      </c>
      <c r="E627" s="226">
        <v>7042</v>
      </c>
      <c r="F627" s="227">
        <v>3942773277</v>
      </c>
      <c r="G627" s="1"/>
      <c r="H627" s="60">
        <v>1933.88</v>
      </c>
      <c r="I627" s="228">
        <v>406.12</v>
      </c>
      <c r="J627" s="229"/>
      <c r="K627" s="229"/>
      <c r="L627" s="229">
        <f>SUM(ventas_b_mes11[[#This Row],[IMPORTE NETO]:[EXENTO]])</f>
        <v>2340</v>
      </c>
      <c r="M627" s="55"/>
    </row>
    <row r="628" spans="2:13" x14ac:dyDescent="0.3">
      <c r="B628" s="223">
        <v>44858</v>
      </c>
      <c r="C628" s="224">
        <v>6</v>
      </c>
      <c r="D628" s="225">
        <v>15</v>
      </c>
      <c r="E628" s="226">
        <v>7043</v>
      </c>
      <c r="F628" s="227">
        <v>37596714</v>
      </c>
      <c r="G628" s="1" t="s">
        <v>945</v>
      </c>
      <c r="H628" s="60">
        <v>4545.45</v>
      </c>
      <c r="I628" s="228">
        <v>954.55</v>
      </c>
      <c r="J628" s="229"/>
      <c r="K628" s="229"/>
      <c r="L628" s="229">
        <f>SUM(ventas_b_mes11[[#This Row],[IMPORTE NETO]:[EXENTO]])</f>
        <v>5500</v>
      </c>
      <c r="M628" s="55"/>
    </row>
    <row r="629" spans="2:13" x14ac:dyDescent="0.3">
      <c r="B629" s="223">
        <v>44858</v>
      </c>
      <c r="C629" s="224">
        <v>6</v>
      </c>
      <c r="D629" s="225">
        <v>15</v>
      </c>
      <c r="E629" s="226">
        <v>7044</v>
      </c>
      <c r="F629" s="227">
        <v>22479614</v>
      </c>
      <c r="G629" s="1" t="s">
        <v>918</v>
      </c>
      <c r="H629" s="60">
        <v>2066.12</v>
      </c>
      <c r="I629" s="228">
        <v>433.88</v>
      </c>
      <c r="J629" s="229"/>
      <c r="K629" s="229"/>
      <c r="L629" s="229">
        <f>SUM(ventas_b_mes11[[#This Row],[IMPORTE NETO]:[EXENTO]])</f>
        <v>2500</v>
      </c>
      <c r="M629" s="55"/>
    </row>
    <row r="630" spans="2:13" x14ac:dyDescent="0.3">
      <c r="B630" s="223">
        <v>44858</v>
      </c>
      <c r="C630" s="224">
        <v>6</v>
      </c>
      <c r="D630" s="225">
        <v>15</v>
      </c>
      <c r="E630" s="226">
        <v>7045</v>
      </c>
      <c r="F630" s="227">
        <v>27816221</v>
      </c>
      <c r="G630" s="1" t="s">
        <v>336</v>
      </c>
      <c r="H630" s="60">
        <v>2479.34</v>
      </c>
      <c r="I630" s="228">
        <v>520.66</v>
      </c>
      <c r="J630" s="229"/>
      <c r="K630" s="229"/>
      <c r="L630" s="229">
        <f>SUM(ventas_b_mes11[[#This Row],[IMPORTE NETO]:[EXENTO]])</f>
        <v>3000</v>
      </c>
      <c r="M630" s="55"/>
    </row>
    <row r="631" spans="2:13" x14ac:dyDescent="0.3">
      <c r="B631" s="223">
        <v>44858</v>
      </c>
      <c r="C631" s="224">
        <v>6</v>
      </c>
      <c r="D631" s="225">
        <v>15</v>
      </c>
      <c r="E631" s="226">
        <v>7046</v>
      </c>
      <c r="F631" s="227">
        <v>95454827</v>
      </c>
      <c r="G631" s="1" t="s">
        <v>932</v>
      </c>
      <c r="H631" s="60">
        <v>3933.88</v>
      </c>
      <c r="I631" s="228">
        <v>826.12</v>
      </c>
      <c r="J631" s="229"/>
      <c r="K631" s="229"/>
      <c r="L631" s="229">
        <f>SUM(ventas_b_mes11[[#This Row],[IMPORTE NETO]:[EXENTO]])</f>
        <v>4760</v>
      </c>
      <c r="M631" s="55"/>
    </row>
    <row r="632" spans="2:13" x14ac:dyDescent="0.3">
      <c r="B632" s="223">
        <v>44858</v>
      </c>
      <c r="C632" s="224">
        <v>6</v>
      </c>
      <c r="D632" s="225">
        <v>15</v>
      </c>
      <c r="E632" s="226">
        <v>7047</v>
      </c>
      <c r="F632" s="227">
        <v>17417087</v>
      </c>
      <c r="G632" s="1" t="s">
        <v>797</v>
      </c>
      <c r="H632" s="60">
        <v>7038.84</v>
      </c>
      <c r="I632" s="228">
        <v>1478.16</v>
      </c>
      <c r="J632" s="229"/>
      <c r="K632" s="229"/>
      <c r="L632" s="229">
        <f>SUM(ventas_b_mes11[[#This Row],[IMPORTE NETO]:[EXENTO]])</f>
        <v>8517</v>
      </c>
      <c r="M632" s="55"/>
    </row>
    <row r="633" spans="2:13" x14ac:dyDescent="0.3">
      <c r="B633" s="223">
        <v>44858</v>
      </c>
      <c r="C633" s="224">
        <v>6</v>
      </c>
      <c r="D633" s="225">
        <v>15</v>
      </c>
      <c r="E633" s="226">
        <v>7048</v>
      </c>
      <c r="F633" s="227">
        <v>28778142</v>
      </c>
      <c r="G633" s="1" t="s">
        <v>181</v>
      </c>
      <c r="H633" s="60">
        <v>4545.45</v>
      </c>
      <c r="I633" s="228">
        <v>954.55</v>
      </c>
      <c r="J633" s="229"/>
      <c r="K633" s="229"/>
      <c r="L633" s="229">
        <f>SUM(ventas_b_mes11[[#This Row],[IMPORTE NETO]:[EXENTO]])</f>
        <v>5500</v>
      </c>
      <c r="M633" s="55"/>
    </row>
    <row r="634" spans="2:13" x14ac:dyDescent="0.3">
      <c r="B634" s="223">
        <v>44858</v>
      </c>
      <c r="C634" s="224">
        <v>6</v>
      </c>
      <c r="D634" s="225">
        <v>15</v>
      </c>
      <c r="E634" s="226">
        <v>7049</v>
      </c>
      <c r="F634" s="227">
        <v>28778142</v>
      </c>
      <c r="G634" s="1" t="s">
        <v>181</v>
      </c>
      <c r="H634" s="60">
        <v>6736.78</v>
      </c>
      <c r="I634" s="228">
        <v>1414.72</v>
      </c>
      <c r="J634" s="229"/>
      <c r="K634" s="229"/>
      <c r="L634" s="229">
        <f>SUM(ventas_b_mes11[[#This Row],[IMPORTE NETO]:[EXENTO]])</f>
        <v>8151.5</v>
      </c>
      <c r="M634" s="55"/>
    </row>
    <row r="635" spans="2:13" x14ac:dyDescent="0.3">
      <c r="B635" s="223">
        <v>44858</v>
      </c>
      <c r="C635" s="224">
        <v>6</v>
      </c>
      <c r="D635" s="225">
        <v>15</v>
      </c>
      <c r="E635" s="226">
        <v>7050</v>
      </c>
      <c r="F635" s="227">
        <v>13064512</v>
      </c>
      <c r="G635" s="1" t="s">
        <v>910</v>
      </c>
      <c r="H635" s="60">
        <v>20001.21</v>
      </c>
      <c r="I635" s="228">
        <v>4200.26</v>
      </c>
      <c r="J635" s="229"/>
      <c r="K635" s="229"/>
      <c r="L635" s="229">
        <f>SUM(ventas_b_mes11[[#This Row],[IMPORTE NETO]:[EXENTO]])</f>
        <v>24201.47</v>
      </c>
      <c r="M635" s="55"/>
    </row>
    <row r="636" spans="2:13" x14ac:dyDescent="0.3">
      <c r="B636" s="223">
        <v>44858</v>
      </c>
      <c r="C636" s="224">
        <v>6</v>
      </c>
      <c r="D636" s="225">
        <v>15</v>
      </c>
      <c r="E636" s="226">
        <v>7051</v>
      </c>
      <c r="F636" s="227">
        <v>13064512</v>
      </c>
      <c r="G636" s="1" t="s">
        <v>910</v>
      </c>
      <c r="H636" s="60">
        <v>3111.57</v>
      </c>
      <c r="I636" s="228">
        <v>653.42999999999995</v>
      </c>
      <c r="J636" s="229"/>
      <c r="K636" s="229"/>
      <c r="L636" s="229">
        <f>SUM(ventas_b_mes11[[#This Row],[IMPORTE NETO]:[EXENTO]])</f>
        <v>3765</v>
      </c>
      <c r="M636" s="55"/>
    </row>
    <row r="637" spans="2:13" x14ac:dyDescent="0.3">
      <c r="B637" s="223">
        <v>44858</v>
      </c>
      <c r="C637" s="224">
        <v>6</v>
      </c>
      <c r="D637" s="225">
        <v>15</v>
      </c>
      <c r="E637" s="226">
        <v>7052</v>
      </c>
      <c r="F637" s="227">
        <v>34432726</v>
      </c>
      <c r="G637" s="1" t="s">
        <v>166</v>
      </c>
      <c r="H637" s="60">
        <v>4958.68</v>
      </c>
      <c r="I637" s="228">
        <v>1041.32</v>
      </c>
      <c r="J637" s="229"/>
      <c r="K637" s="229"/>
      <c r="L637" s="229">
        <f>SUM(ventas_b_mes11[[#This Row],[IMPORTE NETO]:[EXENTO]])</f>
        <v>6000</v>
      </c>
      <c r="M637" s="55"/>
    </row>
    <row r="638" spans="2:13" x14ac:dyDescent="0.3">
      <c r="B638" s="223">
        <v>44858</v>
      </c>
      <c r="C638" s="224">
        <v>6</v>
      </c>
      <c r="D638" s="225">
        <v>15</v>
      </c>
      <c r="E638" s="226">
        <v>7053</v>
      </c>
      <c r="F638" s="227">
        <v>34569874</v>
      </c>
      <c r="G638" s="1"/>
      <c r="H638" s="60">
        <v>1115.7</v>
      </c>
      <c r="I638" s="228">
        <v>234.3</v>
      </c>
      <c r="J638" s="229"/>
      <c r="K638" s="229"/>
      <c r="L638" s="229">
        <f>SUM(ventas_b_mes11[[#This Row],[IMPORTE NETO]:[EXENTO]])</f>
        <v>1350</v>
      </c>
      <c r="M638" s="55"/>
    </row>
    <row r="639" spans="2:13" x14ac:dyDescent="0.3">
      <c r="B639" s="223">
        <v>44858</v>
      </c>
      <c r="C639" s="224">
        <v>6</v>
      </c>
      <c r="D639" s="225">
        <v>15</v>
      </c>
      <c r="E639" s="226">
        <v>7054</v>
      </c>
      <c r="F639" s="227">
        <v>12980812</v>
      </c>
      <c r="G639" s="1" t="s">
        <v>937</v>
      </c>
      <c r="H639" s="60">
        <v>11640.08</v>
      </c>
      <c r="I639" s="228">
        <v>2444.42</v>
      </c>
      <c r="J639" s="229"/>
      <c r="K639" s="229"/>
      <c r="L639" s="229">
        <f>SUM(ventas_b_mes11[[#This Row],[IMPORTE NETO]:[EXENTO]])</f>
        <v>14084.5</v>
      </c>
      <c r="M639" s="55"/>
    </row>
    <row r="640" spans="2:13" x14ac:dyDescent="0.3">
      <c r="B640" s="223">
        <v>44858</v>
      </c>
      <c r="C640" s="224">
        <v>6</v>
      </c>
      <c r="D640" s="225">
        <v>15</v>
      </c>
      <c r="E640" s="226">
        <v>7055</v>
      </c>
      <c r="F640" s="227">
        <v>37052587</v>
      </c>
      <c r="G640" s="1" t="s">
        <v>934</v>
      </c>
      <c r="H640" s="60">
        <v>743.8</v>
      </c>
      <c r="I640" s="228">
        <v>156.19999999999999</v>
      </c>
      <c r="J640" s="229"/>
      <c r="K640" s="229"/>
      <c r="L640" s="229">
        <f>SUM(ventas_b_mes11[[#This Row],[IMPORTE NETO]:[EXENTO]])</f>
        <v>900</v>
      </c>
      <c r="M640" s="55"/>
    </row>
    <row r="641" spans="2:13" x14ac:dyDescent="0.3">
      <c r="B641" s="223">
        <v>44858</v>
      </c>
      <c r="C641" s="224">
        <v>6</v>
      </c>
      <c r="D641" s="225">
        <v>15</v>
      </c>
      <c r="E641" s="226">
        <v>7056</v>
      </c>
      <c r="F641" s="227">
        <v>35357420</v>
      </c>
      <c r="G641" s="1" t="s">
        <v>941</v>
      </c>
      <c r="H641" s="60">
        <v>1450.41</v>
      </c>
      <c r="I641" s="228">
        <v>304.58999999999997</v>
      </c>
      <c r="J641" s="229"/>
      <c r="K641" s="229"/>
      <c r="L641" s="229">
        <f>SUM(ventas_b_mes11[[#This Row],[IMPORTE NETO]:[EXENTO]])</f>
        <v>1755</v>
      </c>
      <c r="M641" s="55"/>
    </row>
    <row r="642" spans="2:13" x14ac:dyDescent="0.3">
      <c r="B642" s="223">
        <v>44859</v>
      </c>
      <c r="C642" s="224">
        <v>6</v>
      </c>
      <c r="D642" s="225">
        <v>15</v>
      </c>
      <c r="E642" s="226">
        <v>7057</v>
      </c>
      <c r="F642" s="227">
        <v>34624335</v>
      </c>
      <c r="G642" s="1" t="s">
        <v>253</v>
      </c>
      <c r="H642" s="60">
        <v>4581.82</v>
      </c>
      <c r="I642" s="228">
        <v>962.18</v>
      </c>
      <c r="J642" s="229"/>
      <c r="K642" s="229"/>
      <c r="L642" s="229">
        <f>SUM(ventas_b_mes11[[#This Row],[IMPORTE NETO]:[EXENTO]])</f>
        <v>5544</v>
      </c>
      <c r="M642" s="55"/>
    </row>
    <row r="643" spans="2:13" x14ac:dyDescent="0.3">
      <c r="B643" s="223">
        <v>44859</v>
      </c>
      <c r="C643" s="224">
        <v>6</v>
      </c>
      <c r="D643" s="225">
        <v>15</v>
      </c>
      <c r="E643" s="226">
        <v>7058</v>
      </c>
      <c r="F643" s="227">
        <v>43018540</v>
      </c>
      <c r="G643" s="1" t="s">
        <v>357</v>
      </c>
      <c r="H643" s="60">
        <v>4581.82</v>
      </c>
      <c r="I643" s="228">
        <v>962.18</v>
      </c>
      <c r="J643" s="229"/>
      <c r="K643" s="229"/>
      <c r="L643" s="229">
        <f>SUM(ventas_b_mes11[[#This Row],[IMPORTE NETO]:[EXENTO]])</f>
        <v>5544</v>
      </c>
      <c r="M643" s="55"/>
    </row>
    <row r="644" spans="2:13" x14ac:dyDescent="0.3">
      <c r="B644" s="223" t="s">
        <v>114</v>
      </c>
      <c r="C644" s="224">
        <v>6</v>
      </c>
      <c r="D644" s="225">
        <v>15</v>
      </c>
      <c r="E644" s="226">
        <v>7059</v>
      </c>
      <c r="F644" s="227">
        <v>5143707</v>
      </c>
      <c r="G644" s="1"/>
      <c r="H644" s="60">
        <v>2985.54</v>
      </c>
      <c r="I644" s="228">
        <v>626.96</v>
      </c>
      <c r="J644" s="229"/>
      <c r="K644" s="229"/>
      <c r="L644" s="229">
        <f>SUM(ventas_b_mes11[[#This Row],[IMPORTE NETO]:[EXENTO]])</f>
        <v>3612.5</v>
      </c>
      <c r="M644" s="55"/>
    </row>
    <row r="645" spans="2:13" x14ac:dyDescent="0.3">
      <c r="B645" s="223">
        <v>44859</v>
      </c>
      <c r="C645" s="224">
        <v>6</v>
      </c>
      <c r="D645" s="225">
        <v>15</v>
      </c>
      <c r="E645" s="226">
        <v>7060</v>
      </c>
      <c r="F645" s="227">
        <v>23682871</v>
      </c>
      <c r="G645" s="1" t="s">
        <v>959</v>
      </c>
      <c r="H645" s="60">
        <v>4109.51</v>
      </c>
      <c r="I645" s="228">
        <v>863</v>
      </c>
      <c r="J645" s="229"/>
      <c r="K645" s="229"/>
      <c r="L645" s="229">
        <f>SUM(ventas_b_mes11[[#This Row],[IMPORTE NETO]:[EXENTO]])</f>
        <v>4972.51</v>
      </c>
      <c r="M645" s="55"/>
    </row>
    <row r="646" spans="2:13" x14ac:dyDescent="0.3">
      <c r="B646" s="223">
        <v>44859</v>
      </c>
      <c r="C646" s="224">
        <v>6</v>
      </c>
      <c r="D646" s="225">
        <v>15</v>
      </c>
      <c r="E646" s="226">
        <v>7061</v>
      </c>
      <c r="F646" s="227">
        <v>22209881</v>
      </c>
      <c r="G646" s="1" t="s">
        <v>143</v>
      </c>
      <c r="H646" s="60">
        <v>43476.05</v>
      </c>
      <c r="I646" s="228">
        <v>9129.9699999999993</v>
      </c>
      <c r="J646" s="229"/>
      <c r="K646" s="229"/>
      <c r="L646" s="229">
        <f>SUM(ventas_b_mes11[[#This Row],[IMPORTE NETO]:[EXENTO]])</f>
        <v>52606.020000000004</v>
      </c>
      <c r="M646" s="55"/>
    </row>
    <row r="647" spans="2:13" x14ac:dyDescent="0.3">
      <c r="B647" s="223">
        <v>44859</v>
      </c>
      <c r="C647" s="224">
        <v>6</v>
      </c>
      <c r="D647" s="225">
        <v>15</v>
      </c>
      <c r="E647" s="226">
        <v>7062</v>
      </c>
      <c r="F647" s="227">
        <v>42043394</v>
      </c>
      <c r="G647" s="1" t="s">
        <v>234</v>
      </c>
      <c r="H647" s="60">
        <v>1152.8900000000001</v>
      </c>
      <c r="I647" s="228">
        <v>242.11</v>
      </c>
      <c r="J647" s="229"/>
      <c r="K647" s="229"/>
      <c r="L647" s="229">
        <f>SUM(ventas_b_mes11[[#This Row],[IMPORTE NETO]:[EXENTO]])</f>
        <v>1395</v>
      </c>
      <c r="M647" s="55"/>
    </row>
    <row r="648" spans="2:13" x14ac:dyDescent="0.3">
      <c r="B648" s="223">
        <v>44859</v>
      </c>
      <c r="C648" s="224">
        <v>6</v>
      </c>
      <c r="D648" s="225">
        <v>15</v>
      </c>
      <c r="E648" s="226">
        <v>7063</v>
      </c>
      <c r="F648" s="227">
        <v>11368071</v>
      </c>
      <c r="G648" s="1" t="s">
        <v>410</v>
      </c>
      <c r="H648" s="60">
        <v>13009.92</v>
      </c>
      <c r="I648" s="228">
        <v>2732.08</v>
      </c>
      <c r="J648" s="229"/>
      <c r="K648" s="229"/>
      <c r="L648" s="229">
        <f>SUM(ventas_b_mes11[[#This Row],[IMPORTE NETO]:[EXENTO]])</f>
        <v>15742</v>
      </c>
      <c r="M648" s="55"/>
    </row>
    <row r="649" spans="2:13" x14ac:dyDescent="0.3">
      <c r="B649" s="223">
        <v>44860</v>
      </c>
      <c r="C649" s="224">
        <v>6</v>
      </c>
      <c r="D649" s="225">
        <v>15</v>
      </c>
      <c r="E649" s="226">
        <v>7064</v>
      </c>
      <c r="F649" s="227">
        <v>30465635</v>
      </c>
      <c r="G649" s="1" t="s">
        <v>970</v>
      </c>
      <c r="H649" s="60">
        <v>14892.57</v>
      </c>
      <c r="I649" s="228">
        <v>3127.44</v>
      </c>
      <c r="J649" s="229"/>
      <c r="K649" s="229"/>
      <c r="L649" s="229">
        <f>SUM(ventas_b_mes11[[#This Row],[IMPORTE NETO]:[EXENTO]])</f>
        <v>18020.009999999998</v>
      </c>
      <c r="M649" s="55"/>
    </row>
    <row r="650" spans="2:13" x14ac:dyDescent="0.3">
      <c r="B650" s="223">
        <v>44860</v>
      </c>
      <c r="C650" s="224">
        <v>6</v>
      </c>
      <c r="D650" s="225">
        <v>15</v>
      </c>
      <c r="E650" s="226">
        <v>7065</v>
      </c>
      <c r="F650" s="227">
        <v>11144587</v>
      </c>
      <c r="G650" s="1" t="s">
        <v>978</v>
      </c>
      <c r="H650" s="60">
        <v>10115.700000000001</v>
      </c>
      <c r="I650" s="228">
        <v>2124.3000000000002</v>
      </c>
      <c r="J650" s="229"/>
      <c r="K650" s="229"/>
      <c r="L650" s="229">
        <f>SUM(ventas_b_mes11[[#This Row],[IMPORTE NETO]:[EXENTO]])</f>
        <v>12240</v>
      </c>
      <c r="M650" s="55"/>
    </row>
    <row r="651" spans="2:13" x14ac:dyDescent="0.3">
      <c r="B651" s="223">
        <v>44860</v>
      </c>
      <c r="C651" s="224">
        <v>6</v>
      </c>
      <c r="D651" s="225">
        <v>15</v>
      </c>
      <c r="E651" s="226">
        <v>7066</v>
      </c>
      <c r="F651" s="227">
        <v>16736509</v>
      </c>
      <c r="G651" s="1" t="s">
        <v>562</v>
      </c>
      <c r="H651" s="60">
        <v>2066.12</v>
      </c>
      <c r="I651" s="228">
        <v>433.88</v>
      </c>
      <c r="J651" s="229"/>
      <c r="K651" s="229"/>
      <c r="L651" s="229">
        <f>SUM(ventas_b_mes11[[#This Row],[IMPORTE NETO]:[EXENTO]])</f>
        <v>2500</v>
      </c>
      <c r="M651" s="55"/>
    </row>
    <row r="652" spans="2:13" x14ac:dyDescent="0.3">
      <c r="B652" s="223">
        <v>44860</v>
      </c>
      <c r="C652" s="224">
        <v>6</v>
      </c>
      <c r="D652" s="225">
        <v>15</v>
      </c>
      <c r="E652" s="226">
        <v>7067</v>
      </c>
      <c r="F652" s="227">
        <v>25121194</v>
      </c>
      <c r="G652" s="1" t="s">
        <v>299</v>
      </c>
      <c r="H652" s="60">
        <v>4123.55</v>
      </c>
      <c r="I652" s="228">
        <v>865.95</v>
      </c>
      <c r="J652" s="229"/>
      <c r="K652" s="229"/>
      <c r="L652" s="229">
        <f>SUM(ventas_b_mes11[[#This Row],[IMPORTE NETO]:[EXENTO]])</f>
        <v>4989.5</v>
      </c>
      <c r="M652" s="55"/>
    </row>
    <row r="653" spans="2:13" x14ac:dyDescent="0.3">
      <c r="B653" s="223">
        <v>44860</v>
      </c>
      <c r="C653" s="224">
        <v>6</v>
      </c>
      <c r="D653" s="225">
        <v>15</v>
      </c>
      <c r="E653" s="226">
        <v>7068</v>
      </c>
      <c r="F653" s="227">
        <v>12493401</v>
      </c>
      <c r="G653" s="1" t="s">
        <v>1011</v>
      </c>
      <c r="H653" s="60">
        <v>8478.93</v>
      </c>
      <c r="I653" s="228">
        <v>1780.57</v>
      </c>
      <c r="J653" s="229"/>
      <c r="K653" s="229"/>
      <c r="L653" s="229">
        <f>SUM(ventas_b_mes11[[#This Row],[IMPORTE NETO]:[EXENTO]])</f>
        <v>10259.5</v>
      </c>
      <c r="M653" s="55"/>
    </row>
    <row r="654" spans="2:13" x14ac:dyDescent="0.3">
      <c r="B654" s="223">
        <v>44860</v>
      </c>
      <c r="C654" s="224">
        <v>6</v>
      </c>
      <c r="D654" s="225">
        <v>15</v>
      </c>
      <c r="E654" s="226">
        <v>7069</v>
      </c>
      <c r="F654" s="227">
        <v>22879936</v>
      </c>
      <c r="G654" s="1" t="s">
        <v>396</v>
      </c>
      <c r="H654" s="60">
        <v>5971.08</v>
      </c>
      <c r="I654" s="228">
        <v>1253.93</v>
      </c>
      <c r="J654" s="229"/>
      <c r="K654" s="229"/>
      <c r="L654" s="229">
        <f>SUM(ventas_b_mes11[[#This Row],[IMPORTE NETO]:[EXENTO]])</f>
        <v>7225.01</v>
      </c>
      <c r="M654" s="55"/>
    </row>
    <row r="655" spans="2:13" x14ac:dyDescent="0.3">
      <c r="B655" s="223">
        <v>44860</v>
      </c>
      <c r="C655" s="224">
        <v>6</v>
      </c>
      <c r="D655" s="225">
        <v>15</v>
      </c>
      <c r="E655" s="226">
        <v>7070</v>
      </c>
      <c r="F655" s="227">
        <v>34651132</v>
      </c>
      <c r="G655" s="1" t="s">
        <v>358</v>
      </c>
      <c r="H655" s="60">
        <v>4809.92</v>
      </c>
      <c r="I655" s="228">
        <v>1010.08</v>
      </c>
      <c r="J655" s="229"/>
      <c r="K655" s="229"/>
      <c r="L655" s="229">
        <f>SUM(ventas_b_mes11[[#This Row],[IMPORTE NETO]:[EXENTO]])</f>
        <v>5820</v>
      </c>
      <c r="M655" s="55"/>
    </row>
    <row r="656" spans="2:13" x14ac:dyDescent="0.3">
      <c r="B656" s="223">
        <v>44861</v>
      </c>
      <c r="C656" s="224">
        <v>6</v>
      </c>
      <c r="D656" s="225">
        <v>15</v>
      </c>
      <c r="E656" s="226">
        <v>7071</v>
      </c>
      <c r="F656" s="227">
        <v>13262270</v>
      </c>
      <c r="G656" s="1" t="s">
        <v>1058</v>
      </c>
      <c r="H656" s="60">
        <v>5198.3500000000004</v>
      </c>
      <c r="I656" s="228">
        <v>1091.6500000000001</v>
      </c>
      <c r="J656" s="229"/>
      <c r="K656" s="229"/>
      <c r="L656" s="229">
        <f>SUM(ventas_b_mes11[[#This Row],[IMPORTE NETO]:[EXENTO]])</f>
        <v>6290</v>
      </c>
      <c r="M656" s="55"/>
    </row>
    <row r="657" spans="2:13" x14ac:dyDescent="0.3">
      <c r="B657" s="223">
        <v>44861</v>
      </c>
      <c r="C657" s="224">
        <v>6</v>
      </c>
      <c r="D657" s="225">
        <v>15</v>
      </c>
      <c r="E657" s="226">
        <v>7072</v>
      </c>
      <c r="F657" s="227">
        <v>23866620</v>
      </c>
      <c r="G657" s="1" t="s">
        <v>1029</v>
      </c>
      <c r="H657" s="60">
        <v>9748.27</v>
      </c>
      <c r="I657" s="228">
        <v>2047.14</v>
      </c>
      <c r="J657" s="229"/>
      <c r="K657" s="229"/>
      <c r="L657" s="229">
        <f>SUM(ventas_b_mes11[[#This Row],[IMPORTE NETO]:[EXENTO]])</f>
        <v>11795.41</v>
      </c>
      <c r="M657" s="55"/>
    </row>
    <row r="658" spans="2:13" x14ac:dyDescent="0.3">
      <c r="B658" s="223">
        <v>44861</v>
      </c>
      <c r="C658" s="224">
        <v>6</v>
      </c>
      <c r="D658" s="225">
        <v>15</v>
      </c>
      <c r="E658" s="226">
        <v>7073</v>
      </c>
      <c r="F658" s="227">
        <v>31316007</v>
      </c>
      <c r="G658" s="1" t="s">
        <v>1039</v>
      </c>
      <c r="H658" s="60">
        <v>1977.48</v>
      </c>
      <c r="I658" s="228">
        <v>415.27</v>
      </c>
      <c r="J658" s="229"/>
      <c r="K658" s="229"/>
      <c r="L658" s="229">
        <f>SUM(ventas_b_mes11[[#This Row],[IMPORTE NETO]:[EXENTO]])</f>
        <v>2392.75</v>
      </c>
      <c r="M658" s="55"/>
    </row>
    <row r="659" spans="2:13" x14ac:dyDescent="0.3">
      <c r="B659" s="223">
        <v>44861</v>
      </c>
      <c r="C659" s="224">
        <v>6</v>
      </c>
      <c r="D659" s="225">
        <v>15</v>
      </c>
      <c r="E659" s="226">
        <v>7074</v>
      </c>
      <c r="F659" s="227">
        <v>22993607</v>
      </c>
      <c r="G659" s="1" t="s">
        <v>200</v>
      </c>
      <c r="H659" s="60">
        <v>4601.25</v>
      </c>
      <c r="I659" s="228">
        <v>966.26</v>
      </c>
      <c r="J659" s="229"/>
      <c r="K659" s="229"/>
      <c r="L659" s="229">
        <f>SUM(ventas_b_mes11[[#This Row],[IMPORTE NETO]:[EXENTO]])</f>
        <v>5567.51</v>
      </c>
      <c r="M659" s="55"/>
    </row>
    <row r="660" spans="2:13" x14ac:dyDescent="0.3">
      <c r="B660" s="223">
        <v>44861</v>
      </c>
      <c r="C660" s="224">
        <v>6</v>
      </c>
      <c r="D660" s="225">
        <v>15</v>
      </c>
      <c r="E660" s="226">
        <v>7075</v>
      </c>
      <c r="F660" s="227">
        <v>33879446</v>
      </c>
      <c r="G660" s="1" t="s">
        <v>834</v>
      </c>
      <c r="H660" s="60">
        <v>4958.68</v>
      </c>
      <c r="I660" s="228">
        <v>1041.32</v>
      </c>
      <c r="J660" s="229"/>
      <c r="K660" s="229"/>
      <c r="L660" s="229">
        <f>SUM(ventas_b_mes11[[#This Row],[IMPORTE NETO]:[EXENTO]])</f>
        <v>6000</v>
      </c>
      <c r="M660" s="55"/>
    </row>
    <row r="661" spans="2:13" x14ac:dyDescent="0.3">
      <c r="B661" s="223">
        <v>44861</v>
      </c>
      <c r="C661" s="224">
        <v>6</v>
      </c>
      <c r="D661" s="225">
        <v>15</v>
      </c>
      <c r="E661" s="226">
        <v>7076</v>
      </c>
      <c r="F661" s="227">
        <v>16708728</v>
      </c>
      <c r="G661" s="1" t="s">
        <v>1035</v>
      </c>
      <c r="H661" s="60">
        <v>7130.17</v>
      </c>
      <c r="I661" s="228">
        <v>1497.33</v>
      </c>
      <c r="J661" s="229"/>
      <c r="K661" s="229"/>
      <c r="L661" s="229">
        <f>SUM(ventas_b_mes11[[#This Row],[IMPORTE NETO]:[EXENTO]])</f>
        <v>8627.5</v>
      </c>
      <c r="M661" s="55"/>
    </row>
    <row r="662" spans="2:13" x14ac:dyDescent="0.3">
      <c r="B662" s="223">
        <v>44861</v>
      </c>
      <c r="C662" s="224">
        <v>6</v>
      </c>
      <c r="D662" s="225">
        <v>15</v>
      </c>
      <c r="E662" s="226">
        <v>7077</v>
      </c>
      <c r="F662" s="227">
        <v>17681773</v>
      </c>
      <c r="G662" s="1" t="s">
        <v>215</v>
      </c>
      <c r="H662" s="60">
        <v>3301.65</v>
      </c>
      <c r="I662" s="228">
        <v>693.35</v>
      </c>
      <c r="J662" s="229"/>
      <c r="K662" s="229"/>
      <c r="L662" s="229">
        <f>SUM(ventas_b_mes11[[#This Row],[IMPORTE NETO]:[EXENTO]])</f>
        <v>3995</v>
      </c>
      <c r="M662" s="55"/>
    </row>
    <row r="663" spans="2:13" x14ac:dyDescent="0.3">
      <c r="B663" s="223">
        <v>44861</v>
      </c>
      <c r="C663" s="224">
        <v>6</v>
      </c>
      <c r="D663" s="225">
        <v>15</v>
      </c>
      <c r="E663" s="226">
        <v>7078</v>
      </c>
      <c r="F663" s="227">
        <v>17681773</v>
      </c>
      <c r="G663" s="1" t="s">
        <v>215</v>
      </c>
      <c r="H663" s="60">
        <v>2086.36</v>
      </c>
      <c r="I663" s="228">
        <v>438.14</v>
      </c>
      <c r="J663" s="229"/>
      <c r="K663" s="229"/>
      <c r="L663" s="229">
        <f>SUM(ventas_b_mes11[[#This Row],[IMPORTE NETO]:[EXENTO]])</f>
        <v>2524.5</v>
      </c>
      <c r="M663" s="55"/>
    </row>
    <row r="664" spans="2:13" x14ac:dyDescent="0.3">
      <c r="B664" s="223">
        <v>44861</v>
      </c>
      <c r="C664" s="224">
        <v>6</v>
      </c>
      <c r="D664" s="225">
        <v>15</v>
      </c>
      <c r="E664" s="226">
        <v>7079</v>
      </c>
      <c r="F664" s="227">
        <v>35942192</v>
      </c>
      <c r="G664" s="1" t="s">
        <v>197</v>
      </c>
      <c r="H664" s="60">
        <v>4917.3599999999997</v>
      </c>
      <c r="I664" s="228">
        <v>1032.6400000000001</v>
      </c>
      <c r="J664" s="229"/>
      <c r="K664" s="229"/>
      <c r="L664" s="229">
        <f>SUM(ventas_b_mes11[[#This Row],[IMPORTE NETO]:[EXENTO]])</f>
        <v>5950</v>
      </c>
      <c r="M664" s="55"/>
    </row>
    <row r="665" spans="2:13" x14ac:dyDescent="0.3">
      <c r="B665" s="223">
        <v>44861</v>
      </c>
      <c r="C665" s="224">
        <v>6</v>
      </c>
      <c r="D665" s="225">
        <v>15</v>
      </c>
      <c r="E665" s="226">
        <v>7080</v>
      </c>
      <c r="F665" s="227">
        <v>20621121</v>
      </c>
      <c r="G665" s="1" t="s">
        <v>421</v>
      </c>
      <c r="H665" s="60">
        <v>4501.6499999999996</v>
      </c>
      <c r="I665" s="228">
        <v>945.35</v>
      </c>
      <c r="J665" s="229"/>
      <c r="K665" s="229"/>
      <c r="L665" s="229">
        <f>SUM(ventas_b_mes11[[#This Row],[IMPORTE NETO]:[EXENTO]])</f>
        <v>5447</v>
      </c>
      <c r="M665" s="55"/>
    </row>
    <row r="666" spans="2:13" x14ac:dyDescent="0.3">
      <c r="B666" s="223">
        <v>44861</v>
      </c>
      <c r="C666" s="224">
        <v>6</v>
      </c>
      <c r="D666" s="225">
        <v>15</v>
      </c>
      <c r="E666" s="226">
        <v>7081</v>
      </c>
      <c r="F666" s="227">
        <v>36373638</v>
      </c>
      <c r="G666" s="1" t="s">
        <v>1040</v>
      </c>
      <c r="H666" s="60">
        <v>19362.82</v>
      </c>
      <c r="I666" s="228">
        <v>4066.19</v>
      </c>
      <c r="J666" s="229"/>
      <c r="K666" s="229"/>
      <c r="L666" s="229">
        <f>SUM(ventas_b_mes11[[#This Row],[IMPORTE NETO]:[EXENTO]])</f>
        <v>23429.01</v>
      </c>
      <c r="M666" s="55"/>
    </row>
    <row r="667" spans="2:13" x14ac:dyDescent="0.3">
      <c r="B667" s="223">
        <v>44861</v>
      </c>
      <c r="C667" s="224">
        <v>6</v>
      </c>
      <c r="D667" s="225">
        <v>15</v>
      </c>
      <c r="E667" s="226">
        <v>7082</v>
      </c>
      <c r="F667" s="227">
        <v>22209881</v>
      </c>
      <c r="G667" s="1" t="s">
        <v>143</v>
      </c>
      <c r="H667" s="60">
        <v>7706.61</v>
      </c>
      <c r="I667" s="228">
        <v>1618.39</v>
      </c>
      <c r="J667" s="229"/>
      <c r="K667" s="229"/>
      <c r="L667" s="229">
        <f>SUM(ventas_b_mes11[[#This Row],[IMPORTE NETO]:[EXENTO]])</f>
        <v>9325</v>
      </c>
      <c r="M667" s="55"/>
    </row>
    <row r="668" spans="2:13" x14ac:dyDescent="0.3">
      <c r="B668" s="223">
        <v>44861</v>
      </c>
      <c r="C668" s="224">
        <v>6</v>
      </c>
      <c r="D668" s="225">
        <v>15</v>
      </c>
      <c r="E668" s="226">
        <v>7083</v>
      </c>
      <c r="F668" s="227">
        <v>95775679</v>
      </c>
      <c r="G668" s="1" t="s">
        <v>1037</v>
      </c>
      <c r="H668" s="60">
        <v>5001.6499999999996</v>
      </c>
      <c r="I668" s="228">
        <v>1050.3499999999999</v>
      </c>
      <c r="J668" s="229"/>
      <c r="K668" s="229"/>
      <c r="L668" s="229">
        <f>SUM(ventas_b_mes11[[#This Row],[IMPORTE NETO]:[EXENTO]])</f>
        <v>6052</v>
      </c>
      <c r="M668" s="55"/>
    </row>
    <row r="669" spans="2:13" x14ac:dyDescent="0.3">
      <c r="B669" s="223">
        <v>44861</v>
      </c>
      <c r="C669" s="224">
        <v>6</v>
      </c>
      <c r="D669" s="225">
        <v>15</v>
      </c>
      <c r="E669" s="226">
        <v>7084</v>
      </c>
      <c r="F669" s="227">
        <v>17193414</v>
      </c>
      <c r="G669" s="1" t="s">
        <v>241</v>
      </c>
      <c r="H669" s="60">
        <v>23673.55</v>
      </c>
      <c r="I669" s="228">
        <v>4971.45</v>
      </c>
      <c r="J669" s="229"/>
      <c r="K669" s="229"/>
      <c r="L669" s="229">
        <f>SUM(ventas_b_mes11[[#This Row],[IMPORTE NETO]:[EXENTO]])</f>
        <v>28645</v>
      </c>
      <c r="M669" s="55"/>
    </row>
    <row r="670" spans="2:13" x14ac:dyDescent="0.3">
      <c r="B670" s="223">
        <v>44861</v>
      </c>
      <c r="C670" s="224">
        <v>6</v>
      </c>
      <c r="D670" s="225">
        <v>15</v>
      </c>
      <c r="E670" s="226">
        <v>7085</v>
      </c>
      <c r="F670" s="227">
        <v>25795171</v>
      </c>
      <c r="G670" s="1" t="s">
        <v>755</v>
      </c>
      <c r="H670" s="60">
        <v>4088.43</v>
      </c>
      <c r="I670" s="228">
        <v>858.57</v>
      </c>
      <c r="J670" s="229"/>
      <c r="K670" s="229"/>
      <c r="L670" s="229">
        <f>SUM(ventas_b_mes11[[#This Row],[IMPORTE NETO]:[EXENTO]])</f>
        <v>4947</v>
      </c>
      <c r="M670" s="55"/>
    </row>
    <row r="671" spans="2:13" x14ac:dyDescent="0.3">
      <c r="B671" s="223">
        <v>44862</v>
      </c>
      <c r="C671" s="224">
        <v>6</v>
      </c>
      <c r="D671" s="225">
        <v>15</v>
      </c>
      <c r="E671" s="226">
        <v>7086</v>
      </c>
      <c r="F671" s="227">
        <v>28951546</v>
      </c>
      <c r="G671" s="1" t="s">
        <v>832</v>
      </c>
      <c r="H671" s="60">
        <v>4088.43</v>
      </c>
      <c r="I671" s="228">
        <v>858.57</v>
      </c>
      <c r="J671" s="229"/>
      <c r="K671" s="229"/>
      <c r="L671" s="229">
        <f>SUM(ventas_b_mes11[[#This Row],[IMPORTE NETO]:[EXENTO]])</f>
        <v>4947</v>
      </c>
      <c r="M671" s="55"/>
    </row>
    <row r="672" spans="2:13" x14ac:dyDescent="0.3">
      <c r="B672" s="223">
        <v>44862</v>
      </c>
      <c r="C672" s="224">
        <v>6</v>
      </c>
      <c r="D672" s="225">
        <v>15</v>
      </c>
      <c r="E672" s="226">
        <v>7087</v>
      </c>
      <c r="F672" s="227">
        <v>5150827</v>
      </c>
      <c r="G672" s="1"/>
      <c r="H672" s="60">
        <v>1078.51</v>
      </c>
      <c r="I672" s="228">
        <v>226.49</v>
      </c>
      <c r="J672" s="229"/>
      <c r="K672" s="229"/>
      <c r="L672" s="229">
        <f>SUM(ventas_b_mes11[[#This Row],[IMPORTE NETO]:[EXENTO]])</f>
        <v>1305</v>
      </c>
      <c r="M672" s="55"/>
    </row>
    <row r="673" spans="2:13" x14ac:dyDescent="0.3">
      <c r="B673" s="223">
        <v>44862</v>
      </c>
      <c r="C673" s="224">
        <v>6</v>
      </c>
      <c r="D673" s="225">
        <v>15</v>
      </c>
      <c r="E673" s="226">
        <v>7088</v>
      </c>
      <c r="F673" s="227">
        <v>21836083</v>
      </c>
      <c r="G673" s="1" t="s">
        <v>382</v>
      </c>
      <c r="H673" s="60">
        <v>7024.79</v>
      </c>
      <c r="I673" s="228">
        <v>1475.21</v>
      </c>
      <c r="J673" s="229"/>
      <c r="K673" s="229"/>
      <c r="L673" s="229">
        <f>SUM(ventas_b_mes11[[#This Row],[IMPORTE NETO]:[EXENTO]])</f>
        <v>8500</v>
      </c>
      <c r="M673" s="55"/>
    </row>
    <row r="674" spans="2:13" x14ac:dyDescent="0.3">
      <c r="B674" s="223">
        <v>44862</v>
      </c>
      <c r="C674" s="224">
        <v>6</v>
      </c>
      <c r="D674" s="225">
        <v>15</v>
      </c>
      <c r="E674" s="226">
        <v>7089</v>
      </c>
      <c r="F674" s="227">
        <v>34963656</v>
      </c>
      <c r="G674" s="1" t="s">
        <v>1068</v>
      </c>
      <c r="H674" s="60">
        <v>14435.94</v>
      </c>
      <c r="I674" s="228">
        <v>3031.55</v>
      </c>
      <c r="J674" s="229"/>
      <c r="K674" s="229"/>
      <c r="L674" s="229">
        <f>SUM(ventas_b_mes11[[#This Row],[IMPORTE NETO]:[EXENTO]])</f>
        <v>17467.490000000002</v>
      </c>
      <c r="M674" s="55"/>
    </row>
    <row r="675" spans="2:13" x14ac:dyDescent="0.3">
      <c r="B675" s="223">
        <v>44862</v>
      </c>
      <c r="C675" s="224">
        <v>6</v>
      </c>
      <c r="D675" s="225">
        <v>15</v>
      </c>
      <c r="E675" s="226">
        <v>7090</v>
      </c>
      <c r="F675" s="227">
        <v>24847198</v>
      </c>
      <c r="G675" s="1" t="s">
        <v>1079</v>
      </c>
      <c r="H675" s="60">
        <v>10235.129999999999</v>
      </c>
      <c r="I675" s="228">
        <v>2149.38</v>
      </c>
      <c r="J675" s="229"/>
      <c r="K675" s="229"/>
      <c r="L675" s="229">
        <f>SUM(ventas_b_mes11[[#This Row],[IMPORTE NETO]:[EXENTO]])</f>
        <v>12384.509999999998</v>
      </c>
      <c r="M675" s="55"/>
    </row>
    <row r="676" spans="2:13" x14ac:dyDescent="0.3">
      <c r="B676" s="223">
        <v>44862</v>
      </c>
      <c r="C676" s="224">
        <v>6</v>
      </c>
      <c r="D676" s="225">
        <v>15</v>
      </c>
      <c r="E676" s="226">
        <v>7091</v>
      </c>
      <c r="F676" s="227">
        <v>32094010</v>
      </c>
      <c r="G676" s="1"/>
      <c r="H676" s="60">
        <v>11302.89</v>
      </c>
      <c r="I676" s="228">
        <v>2373.61</v>
      </c>
      <c r="J676" s="229"/>
      <c r="K676" s="229"/>
      <c r="L676" s="229">
        <f>SUM(ventas_b_mes11[[#This Row],[IMPORTE NETO]:[EXENTO]])</f>
        <v>13676.5</v>
      </c>
      <c r="M676" s="55"/>
    </row>
    <row r="677" spans="2:13" x14ac:dyDescent="0.3">
      <c r="B677" s="223">
        <v>44862</v>
      </c>
      <c r="C677" s="224">
        <v>6</v>
      </c>
      <c r="D677" s="225">
        <v>15</v>
      </c>
      <c r="E677" s="226">
        <v>7092</v>
      </c>
      <c r="F677" s="227">
        <v>2143749</v>
      </c>
      <c r="G677" s="1"/>
      <c r="H677" s="60">
        <v>8176.86</v>
      </c>
      <c r="I677" s="228">
        <v>1717.14</v>
      </c>
      <c r="J677" s="229"/>
      <c r="K677" s="229"/>
      <c r="L677" s="229">
        <f>SUM(ventas_b_mes11[[#This Row],[IMPORTE NETO]:[EXENTO]])</f>
        <v>9894</v>
      </c>
      <c r="M677" s="55"/>
    </row>
    <row r="678" spans="2:13" x14ac:dyDescent="0.3">
      <c r="B678" s="223">
        <v>44862</v>
      </c>
      <c r="C678" s="224">
        <v>6</v>
      </c>
      <c r="D678" s="225">
        <v>15</v>
      </c>
      <c r="E678" s="226">
        <v>7093</v>
      </c>
      <c r="F678" s="227">
        <v>16273293</v>
      </c>
      <c r="G678" s="1" t="s">
        <v>660</v>
      </c>
      <c r="H678" s="60">
        <v>9813.64</v>
      </c>
      <c r="I678" s="228">
        <v>2060.86</v>
      </c>
      <c r="J678" s="229"/>
      <c r="K678" s="229"/>
      <c r="L678" s="229">
        <f>SUM(ventas_b_mes11[[#This Row],[IMPORTE NETO]:[EXENTO]])</f>
        <v>11874.5</v>
      </c>
      <c r="M678" s="55"/>
    </row>
    <row r="679" spans="2:13" x14ac:dyDescent="0.3">
      <c r="B679" s="223">
        <v>44862</v>
      </c>
      <c r="C679" s="224">
        <v>6</v>
      </c>
      <c r="D679" s="225">
        <v>15</v>
      </c>
      <c r="E679" s="226">
        <v>7094</v>
      </c>
      <c r="F679" s="227">
        <v>25795171</v>
      </c>
      <c r="G679" s="1" t="s">
        <v>755</v>
      </c>
      <c r="H679" s="60">
        <v>2739.67</v>
      </c>
      <c r="I679" s="228">
        <v>575.33000000000004</v>
      </c>
      <c r="J679" s="229"/>
      <c r="K679" s="229"/>
      <c r="L679" s="229">
        <f>SUM(ventas_b_mes11[[#This Row],[IMPORTE NETO]:[EXENTO]])</f>
        <v>3315</v>
      </c>
      <c r="M679" s="55"/>
    </row>
    <row r="680" spans="2:13" x14ac:dyDescent="0.3">
      <c r="B680" s="223">
        <v>44862</v>
      </c>
      <c r="C680" s="224">
        <v>6</v>
      </c>
      <c r="D680" s="225">
        <v>15</v>
      </c>
      <c r="E680" s="226">
        <v>7095</v>
      </c>
      <c r="F680" s="227">
        <v>41737843</v>
      </c>
      <c r="G680" s="1" t="s">
        <v>1064</v>
      </c>
      <c r="H680" s="60">
        <v>3407.02</v>
      </c>
      <c r="I680" s="228">
        <v>715.48</v>
      </c>
      <c r="J680" s="229"/>
      <c r="K680" s="229"/>
      <c r="L680" s="229">
        <f>SUM(ventas_b_mes11[[#This Row],[IMPORTE NETO]:[EXENTO]])</f>
        <v>4122.5</v>
      </c>
      <c r="M680" s="55"/>
    </row>
    <row r="681" spans="2:13" x14ac:dyDescent="0.3">
      <c r="B681" s="223">
        <v>44862</v>
      </c>
      <c r="C681" s="224">
        <v>6</v>
      </c>
      <c r="D681" s="225">
        <v>15</v>
      </c>
      <c r="E681" s="226">
        <v>7096</v>
      </c>
      <c r="F681" s="227">
        <v>37682395</v>
      </c>
      <c r="G681" s="1" t="s">
        <v>1077</v>
      </c>
      <c r="H681" s="60">
        <v>6146.69</v>
      </c>
      <c r="I681" s="228">
        <v>1290.81</v>
      </c>
      <c r="J681" s="229"/>
      <c r="K681" s="229"/>
      <c r="L681" s="229">
        <f>SUM(ventas_b_mes11[[#This Row],[IMPORTE NETO]:[EXENTO]])</f>
        <v>7437.5</v>
      </c>
      <c r="M681" s="55"/>
    </row>
    <row r="682" spans="2:13" x14ac:dyDescent="0.3">
      <c r="B682" s="223">
        <v>44862</v>
      </c>
      <c r="C682" s="224">
        <v>6</v>
      </c>
      <c r="D682" s="225">
        <v>15</v>
      </c>
      <c r="E682" s="226">
        <v>7097</v>
      </c>
      <c r="F682" s="227">
        <v>12760724</v>
      </c>
      <c r="G682" s="1" t="s">
        <v>896</v>
      </c>
      <c r="H682" s="60">
        <v>4088.43</v>
      </c>
      <c r="I682" s="228">
        <v>858.57</v>
      </c>
      <c r="J682" s="229"/>
      <c r="K682" s="229"/>
      <c r="L682" s="229">
        <f>SUM(ventas_b_mes11[[#This Row],[IMPORTE NETO]:[EXENTO]])</f>
        <v>4947</v>
      </c>
      <c r="M682" s="55"/>
    </row>
    <row r="683" spans="2:13" x14ac:dyDescent="0.3">
      <c r="B683" s="223">
        <v>44863</v>
      </c>
      <c r="C683" s="224">
        <v>6</v>
      </c>
      <c r="D683" s="225">
        <v>15</v>
      </c>
      <c r="E683" s="226">
        <v>7098</v>
      </c>
      <c r="F683" s="227">
        <v>26843489</v>
      </c>
      <c r="G683" s="1" t="s">
        <v>366</v>
      </c>
      <c r="H683" s="60">
        <v>1004.13</v>
      </c>
      <c r="I683" s="228">
        <v>210.87</v>
      </c>
      <c r="J683" s="229"/>
      <c r="K683" s="229"/>
      <c r="L683" s="229">
        <f>SUM(ventas_b_mes11[[#This Row],[IMPORTE NETO]:[EXENTO]])</f>
        <v>1215</v>
      </c>
      <c r="M683" s="55"/>
    </row>
    <row r="684" spans="2:13" x14ac:dyDescent="0.3">
      <c r="B684" s="223">
        <v>44863</v>
      </c>
      <c r="C684" s="224">
        <v>6</v>
      </c>
      <c r="D684" s="225">
        <v>15</v>
      </c>
      <c r="E684" s="226">
        <v>7099</v>
      </c>
      <c r="F684" s="227">
        <v>22479614</v>
      </c>
      <c r="G684" s="1" t="s">
        <v>918</v>
      </c>
      <c r="H684" s="60">
        <v>3666.94</v>
      </c>
      <c r="I684" s="228">
        <v>770.06</v>
      </c>
      <c r="J684" s="229"/>
      <c r="K684" s="229"/>
      <c r="L684" s="229">
        <f>SUM(ventas_b_mes11[[#This Row],[IMPORTE NETO]:[EXENTO]])</f>
        <v>4437</v>
      </c>
      <c r="M684" s="55"/>
    </row>
    <row r="685" spans="2:13" x14ac:dyDescent="0.3">
      <c r="B685" s="223">
        <v>44863</v>
      </c>
      <c r="C685" s="224">
        <v>6</v>
      </c>
      <c r="D685" s="225">
        <v>15</v>
      </c>
      <c r="E685" s="226">
        <v>7100</v>
      </c>
      <c r="F685" s="227">
        <v>22479614</v>
      </c>
      <c r="G685" s="1" t="s">
        <v>918</v>
      </c>
      <c r="H685" s="60">
        <v>454.55</v>
      </c>
      <c r="I685" s="228">
        <v>95.45</v>
      </c>
      <c r="J685" s="229"/>
      <c r="K685" s="229"/>
      <c r="L685" s="229">
        <f>SUM(ventas_b_mes11[[#This Row],[IMPORTE NETO]:[EXENTO]])</f>
        <v>550</v>
      </c>
      <c r="M685" s="55"/>
    </row>
    <row r="686" spans="2:13" x14ac:dyDescent="0.3">
      <c r="B686" s="223">
        <v>44863</v>
      </c>
      <c r="C686" s="224">
        <v>6</v>
      </c>
      <c r="D686" s="225">
        <v>15</v>
      </c>
      <c r="E686" s="226">
        <v>7101</v>
      </c>
      <c r="F686" s="227">
        <v>22411043</v>
      </c>
      <c r="G686" s="1" t="s">
        <v>1088</v>
      </c>
      <c r="H686" s="60">
        <v>12237.2</v>
      </c>
      <c r="I686" s="228">
        <v>2569.81</v>
      </c>
      <c r="J686" s="229"/>
      <c r="K686" s="229"/>
      <c r="L686" s="229">
        <f>SUM(ventas_b_mes11[[#This Row],[IMPORTE NETO]:[EXENTO]])</f>
        <v>14807.01</v>
      </c>
      <c r="M686" s="55"/>
    </row>
    <row r="687" spans="2:13" x14ac:dyDescent="0.3">
      <c r="B687" s="223">
        <v>44863</v>
      </c>
      <c r="C687" s="224">
        <v>6</v>
      </c>
      <c r="D687" s="225">
        <v>15</v>
      </c>
      <c r="E687" s="226">
        <v>7102</v>
      </c>
      <c r="F687" s="227">
        <v>20204180</v>
      </c>
      <c r="G687" s="1" t="s">
        <v>876</v>
      </c>
      <c r="H687" s="60">
        <v>6160.74</v>
      </c>
      <c r="I687" s="228">
        <v>1293.76</v>
      </c>
      <c r="J687" s="229"/>
      <c r="K687" s="229"/>
      <c r="L687" s="229">
        <f>SUM(ventas_b_mes11[[#This Row],[IMPORTE NETO]:[EXENTO]])</f>
        <v>7454.5</v>
      </c>
      <c r="M687" s="55"/>
    </row>
    <row r="688" spans="2:13" x14ac:dyDescent="0.3">
      <c r="B688" s="223">
        <v>44863</v>
      </c>
      <c r="C688" s="224">
        <v>6</v>
      </c>
      <c r="D688" s="225">
        <v>15</v>
      </c>
      <c r="E688" s="226">
        <v>7103</v>
      </c>
      <c r="F688" s="227">
        <v>22479614</v>
      </c>
      <c r="G688" s="1" t="s">
        <v>918</v>
      </c>
      <c r="H688" s="60">
        <v>2082.64</v>
      </c>
      <c r="I688" s="228">
        <v>437.36</v>
      </c>
      <c r="J688" s="229"/>
      <c r="K688" s="229"/>
      <c r="L688" s="229">
        <f>SUM(ventas_b_mes11[[#This Row],[IMPORTE NETO]:[EXENTO]])</f>
        <v>2520</v>
      </c>
      <c r="M688" s="55"/>
    </row>
    <row r="689" spans="2:13" x14ac:dyDescent="0.3">
      <c r="B689" s="223">
        <v>44863</v>
      </c>
      <c r="C689" s="224">
        <v>6</v>
      </c>
      <c r="D689" s="225">
        <v>15</v>
      </c>
      <c r="E689" s="226">
        <v>7104</v>
      </c>
      <c r="F689" s="227">
        <v>30719239</v>
      </c>
      <c r="G689" s="1" t="s">
        <v>1098</v>
      </c>
      <c r="H689" s="60">
        <v>8823.14</v>
      </c>
      <c r="I689" s="228">
        <v>1852.86</v>
      </c>
      <c r="J689" s="229"/>
      <c r="K689" s="229"/>
      <c r="L689" s="229">
        <f>SUM(ventas_b_mes11[[#This Row],[IMPORTE NETO]:[EXENTO]])</f>
        <v>10676</v>
      </c>
      <c r="M689" s="55"/>
    </row>
    <row r="690" spans="2:13" x14ac:dyDescent="0.3">
      <c r="B690" s="223">
        <v>44863</v>
      </c>
      <c r="C690" s="224">
        <v>6</v>
      </c>
      <c r="D690" s="225">
        <v>15</v>
      </c>
      <c r="E690" s="226">
        <v>7105</v>
      </c>
      <c r="F690" s="227">
        <v>12737020</v>
      </c>
      <c r="G690" s="1" t="s">
        <v>1095</v>
      </c>
      <c r="H690" s="60">
        <v>4678.51</v>
      </c>
      <c r="I690" s="228">
        <v>982.49</v>
      </c>
      <c r="J690" s="229"/>
      <c r="K690" s="229"/>
      <c r="L690" s="229">
        <f>SUM(ventas_b_mes11[[#This Row],[IMPORTE NETO]:[EXENTO]])</f>
        <v>5661</v>
      </c>
      <c r="M690" s="55"/>
    </row>
    <row r="691" spans="2:13" x14ac:dyDescent="0.3">
      <c r="B691" s="223">
        <v>44863</v>
      </c>
      <c r="C691" s="224">
        <v>6</v>
      </c>
      <c r="D691" s="225">
        <v>15</v>
      </c>
      <c r="E691" s="226">
        <v>7106</v>
      </c>
      <c r="F691" s="227">
        <v>16273293</v>
      </c>
      <c r="G691" s="1" t="s">
        <v>660</v>
      </c>
      <c r="H691" s="60">
        <v>1227.28</v>
      </c>
      <c r="I691" s="228">
        <v>257.73</v>
      </c>
      <c r="J691" s="229"/>
      <c r="K691" s="229"/>
      <c r="L691" s="229">
        <f>SUM(ventas_b_mes11[[#This Row],[IMPORTE NETO]:[EXENTO]])</f>
        <v>1485.01</v>
      </c>
      <c r="M691" s="55"/>
    </row>
    <row r="692" spans="2:13" x14ac:dyDescent="0.3">
      <c r="B692" s="223">
        <v>44863</v>
      </c>
      <c r="C692" s="224">
        <v>6</v>
      </c>
      <c r="D692" s="225">
        <v>15</v>
      </c>
      <c r="E692" s="226">
        <v>7107</v>
      </c>
      <c r="F692" s="227">
        <v>12760724</v>
      </c>
      <c r="G692" s="1" t="s">
        <v>896</v>
      </c>
      <c r="H692" s="60">
        <v>3863.64</v>
      </c>
      <c r="I692" s="228">
        <v>811.36</v>
      </c>
      <c r="J692" s="229"/>
      <c r="K692" s="229"/>
      <c r="L692" s="229">
        <f>SUM(ventas_b_mes11[[#This Row],[IMPORTE NETO]:[EXENTO]])</f>
        <v>4675</v>
      </c>
      <c r="M692" s="55"/>
    </row>
    <row r="693" spans="2:13" x14ac:dyDescent="0.3">
      <c r="B693" s="223">
        <v>44865</v>
      </c>
      <c r="C693" s="224">
        <v>6</v>
      </c>
      <c r="D693" s="225">
        <v>15</v>
      </c>
      <c r="E693" s="226">
        <v>7108</v>
      </c>
      <c r="F693" s="227">
        <v>18603248</v>
      </c>
      <c r="G693" s="1" t="s">
        <v>1105</v>
      </c>
      <c r="H693" s="60">
        <v>1229.3399999999999</v>
      </c>
      <c r="I693" s="228">
        <v>258.16000000000003</v>
      </c>
      <c r="J693" s="229"/>
      <c r="K693" s="229"/>
      <c r="L693" s="229">
        <f>SUM(ventas_b_mes11[[#This Row],[IMPORTE NETO]:[EXENTO]])</f>
        <v>1487.5</v>
      </c>
      <c r="M693" s="55"/>
    </row>
    <row r="694" spans="2:13" x14ac:dyDescent="0.3">
      <c r="B694" s="223">
        <v>44865</v>
      </c>
      <c r="C694" s="224">
        <v>6</v>
      </c>
      <c r="D694" s="225">
        <v>15</v>
      </c>
      <c r="E694" s="226">
        <v>7109</v>
      </c>
      <c r="F694" s="227">
        <v>18603248</v>
      </c>
      <c r="G694" s="1" t="s">
        <v>1105</v>
      </c>
      <c r="H694" s="60">
        <v>1475.21</v>
      </c>
      <c r="I694" s="228">
        <v>309.79000000000002</v>
      </c>
      <c r="J694" s="229"/>
      <c r="K694" s="229"/>
      <c r="L694" s="229">
        <f>SUM(ventas_b_mes11[[#This Row],[IMPORTE NETO]:[EXENTO]])</f>
        <v>1785</v>
      </c>
      <c r="M694" s="55"/>
    </row>
    <row r="695" spans="2:13" x14ac:dyDescent="0.3">
      <c r="B695" s="223">
        <v>44865</v>
      </c>
      <c r="C695" s="224">
        <v>6</v>
      </c>
      <c r="D695" s="225">
        <v>15</v>
      </c>
      <c r="E695" s="226">
        <v>7110</v>
      </c>
      <c r="F695" s="227">
        <v>42942625</v>
      </c>
      <c r="G695" s="1" t="s">
        <v>548</v>
      </c>
      <c r="H695" s="60">
        <v>322.31</v>
      </c>
      <c r="I695" s="228">
        <v>67.69</v>
      </c>
      <c r="J695" s="229"/>
      <c r="K695" s="229"/>
      <c r="L695" s="229">
        <f>SUM(ventas_b_mes11[[#This Row],[IMPORTE NETO]:[EXENTO]])</f>
        <v>390</v>
      </c>
      <c r="M695" s="55"/>
    </row>
    <row r="696" spans="2:13" x14ac:dyDescent="0.3">
      <c r="B696" s="223">
        <v>44865</v>
      </c>
      <c r="C696" s="224">
        <v>6</v>
      </c>
      <c r="D696" s="225">
        <v>15</v>
      </c>
      <c r="E696" s="226">
        <v>7111</v>
      </c>
      <c r="F696" s="227">
        <v>40141565</v>
      </c>
      <c r="G696" s="1" t="s">
        <v>1116</v>
      </c>
      <c r="H696" s="60">
        <v>4615.29</v>
      </c>
      <c r="I696" s="228">
        <v>969.21</v>
      </c>
      <c r="J696" s="229"/>
      <c r="K696" s="229"/>
      <c r="L696" s="229">
        <f>SUM(ventas_b_mes11[[#This Row],[IMPORTE NETO]:[EXENTO]])</f>
        <v>5584.5</v>
      </c>
      <c r="M696" s="55"/>
    </row>
    <row r="697" spans="2:13" x14ac:dyDescent="0.3">
      <c r="B697" s="223">
        <v>44865</v>
      </c>
      <c r="C697" s="224">
        <v>6</v>
      </c>
      <c r="D697" s="225">
        <v>15</v>
      </c>
      <c r="E697" s="226">
        <v>7112</v>
      </c>
      <c r="F697" s="227">
        <v>23980170</v>
      </c>
      <c r="G697" s="1" t="s">
        <v>1109</v>
      </c>
      <c r="H697" s="60">
        <v>8921.49</v>
      </c>
      <c r="I697" s="228">
        <v>1873.51</v>
      </c>
      <c r="J697" s="229"/>
      <c r="K697" s="229"/>
      <c r="L697" s="229">
        <f>SUM(ventas_b_mes11[[#This Row],[IMPORTE NETO]:[EXENTO]])</f>
        <v>10795</v>
      </c>
      <c r="M697" s="55"/>
    </row>
    <row r="698" spans="2:13" x14ac:dyDescent="0.3">
      <c r="B698" s="223">
        <v>44865</v>
      </c>
      <c r="C698" s="224">
        <v>6</v>
      </c>
      <c r="D698" s="225">
        <v>15</v>
      </c>
      <c r="E698" s="226">
        <v>7113</v>
      </c>
      <c r="F698" s="227">
        <v>14898630</v>
      </c>
      <c r="G698" s="1" t="s">
        <v>1110</v>
      </c>
      <c r="H698" s="60">
        <v>6182.64</v>
      </c>
      <c r="I698" s="228">
        <v>1298.3599999999999</v>
      </c>
      <c r="J698" s="229"/>
      <c r="K698" s="229"/>
      <c r="L698" s="229">
        <f>SUM(ventas_b_mes11[[#This Row],[IMPORTE NETO]:[EXENTO]])</f>
        <v>7481</v>
      </c>
      <c r="M698" s="55"/>
    </row>
    <row r="699" spans="2:13" x14ac:dyDescent="0.3">
      <c r="B699" s="223">
        <v>44865</v>
      </c>
      <c r="C699" s="224">
        <v>6</v>
      </c>
      <c r="D699" s="225">
        <v>15</v>
      </c>
      <c r="E699" s="226">
        <v>7114</v>
      </c>
      <c r="F699" s="227">
        <v>28434680</v>
      </c>
      <c r="G699" s="1" t="s">
        <v>818</v>
      </c>
      <c r="H699" s="60">
        <v>6685.54</v>
      </c>
      <c r="I699" s="228">
        <v>1403.96</v>
      </c>
      <c r="J699" s="229"/>
      <c r="K699" s="229"/>
      <c r="L699" s="229">
        <f>SUM(ventas_b_mes11[[#This Row],[IMPORTE NETO]:[EXENTO]])</f>
        <v>8089.5</v>
      </c>
      <c r="M699" s="55"/>
    </row>
    <row r="700" spans="2:13" x14ac:dyDescent="0.3">
      <c r="B700" s="223">
        <v>44865</v>
      </c>
      <c r="C700" s="224">
        <v>6</v>
      </c>
      <c r="D700" s="225">
        <v>15</v>
      </c>
      <c r="E700" s="226">
        <v>7115</v>
      </c>
      <c r="F700" s="227">
        <v>28573689</v>
      </c>
      <c r="G700" s="1" t="s">
        <v>1108</v>
      </c>
      <c r="H700" s="60">
        <v>3669.42</v>
      </c>
      <c r="I700" s="228">
        <v>770.58</v>
      </c>
      <c r="J700" s="229"/>
      <c r="K700" s="229"/>
      <c r="L700" s="229">
        <f>SUM(ventas_b_mes11[[#This Row],[IMPORTE NETO]:[EXENTO]])</f>
        <v>4440</v>
      </c>
      <c r="M700" s="55"/>
    </row>
    <row r="701" spans="2:13" x14ac:dyDescent="0.3">
      <c r="B701" s="223">
        <v>44865</v>
      </c>
      <c r="C701" s="224">
        <v>6</v>
      </c>
      <c r="D701" s="225">
        <v>15</v>
      </c>
      <c r="E701" s="226">
        <v>7116</v>
      </c>
      <c r="F701" s="227">
        <v>18603248</v>
      </c>
      <c r="G701" s="1" t="s">
        <v>1105</v>
      </c>
      <c r="H701" s="60">
        <v>2950.41</v>
      </c>
      <c r="I701" s="228">
        <v>619.59</v>
      </c>
      <c r="J701" s="229"/>
      <c r="K701" s="229"/>
      <c r="L701" s="229">
        <f>SUM(ventas_b_mes11[[#This Row],[IMPORTE NETO]:[EXENTO]])</f>
        <v>3570</v>
      </c>
      <c r="M701" s="55"/>
    </row>
    <row r="702" spans="2:13" x14ac:dyDescent="0.3">
      <c r="B702" s="223">
        <v>44865</v>
      </c>
      <c r="C702" s="224">
        <v>6</v>
      </c>
      <c r="D702" s="225">
        <v>15</v>
      </c>
      <c r="E702" s="226">
        <v>7117</v>
      </c>
      <c r="F702" s="227">
        <v>28778142</v>
      </c>
      <c r="G702" s="1" t="s">
        <v>181</v>
      </c>
      <c r="H702" s="60">
        <v>11801.65</v>
      </c>
      <c r="I702" s="228">
        <v>2478.35</v>
      </c>
      <c r="J702" s="229"/>
      <c r="K702" s="229"/>
      <c r="L702" s="229">
        <f>SUM(ventas_b_mes11[[#This Row],[IMPORTE NETO]:[EXENTO]])</f>
        <v>14280</v>
      </c>
      <c r="M702" s="55"/>
    </row>
    <row r="703" spans="2:13" x14ac:dyDescent="0.3">
      <c r="B703" s="223">
        <v>44865</v>
      </c>
      <c r="C703" s="224">
        <v>6</v>
      </c>
      <c r="D703" s="225">
        <v>15</v>
      </c>
      <c r="E703" s="226">
        <v>7118</v>
      </c>
      <c r="F703" s="227">
        <v>10514389</v>
      </c>
      <c r="G703" s="1" t="s">
        <v>802</v>
      </c>
      <c r="H703" s="60">
        <v>4798.3500000000004</v>
      </c>
      <c r="I703" s="228">
        <v>1007.65</v>
      </c>
      <c r="J703" s="229"/>
      <c r="K703" s="229"/>
      <c r="L703" s="229">
        <f>SUM(ventas_b_mes11[[#This Row],[IMPORTE NETO]:[EXENTO]])</f>
        <v>5806</v>
      </c>
      <c r="M703" s="55"/>
    </row>
    <row r="704" spans="2:13" x14ac:dyDescent="0.3">
      <c r="B704" s="223">
        <v>44865</v>
      </c>
      <c r="C704" s="224">
        <v>6</v>
      </c>
      <c r="D704" s="225">
        <v>15</v>
      </c>
      <c r="E704" s="226">
        <v>7119</v>
      </c>
      <c r="F704" s="227">
        <v>26843489</v>
      </c>
      <c r="G704" s="1" t="s">
        <v>366</v>
      </c>
      <c r="H704" s="60">
        <v>2995.04</v>
      </c>
      <c r="I704" s="228">
        <v>628.96</v>
      </c>
      <c r="J704" s="229"/>
      <c r="K704" s="229"/>
      <c r="L704" s="229">
        <f>SUM(ventas_b_mes11[[#This Row],[IMPORTE NETO]:[EXENTO]])</f>
        <v>3624</v>
      </c>
      <c r="M704" s="55"/>
    </row>
    <row r="705" spans="2:13" x14ac:dyDescent="0.3">
      <c r="B705" s="223">
        <v>44865</v>
      </c>
      <c r="C705" s="224">
        <v>6</v>
      </c>
      <c r="D705" s="225">
        <v>15</v>
      </c>
      <c r="E705" s="226">
        <v>7120</v>
      </c>
      <c r="F705" s="227">
        <v>34651132</v>
      </c>
      <c r="G705" s="1" t="s">
        <v>358</v>
      </c>
      <c r="H705" s="60">
        <v>5723.14</v>
      </c>
      <c r="I705" s="228">
        <v>1201.8599999999999</v>
      </c>
      <c r="J705" s="229"/>
      <c r="K705" s="229"/>
      <c r="L705" s="229">
        <f>SUM(ventas_b_mes11[[#This Row],[IMPORTE NETO]:[EXENTO]])</f>
        <v>6925</v>
      </c>
      <c r="M705" s="55"/>
    </row>
    <row r="706" spans="2:13" x14ac:dyDescent="0.3">
      <c r="B706" s="223">
        <v>44865</v>
      </c>
      <c r="C706" s="224">
        <v>6</v>
      </c>
      <c r="D706" s="225">
        <v>15</v>
      </c>
      <c r="E706" s="226">
        <v>7121</v>
      </c>
      <c r="F706" s="227">
        <v>18603248</v>
      </c>
      <c r="G706" s="1" t="s">
        <v>1105</v>
      </c>
      <c r="H706" s="60">
        <v>1553.72</v>
      </c>
      <c r="I706" s="228">
        <v>326.27999999999997</v>
      </c>
      <c r="J706" s="229"/>
      <c r="K706" s="229"/>
      <c r="L706" s="229">
        <f>SUM(ventas_b_mes11[[#This Row],[IMPORTE NETO]:[EXENTO]])</f>
        <v>1880</v>
      </c>
      <c r="M706" s="55"/>
    </row>
    <row r="707" spans="2:13" x14ac:dyDescent="0.3">
      <c r="B707" s="223">
        <v>44865</v>
      </c>
      <c r="C707" s="224">
        <v>6</v>
      </c>
      <c r="D707" s="225">
        <v>15</v>
      </c>
      <c r="E707" s="226">
        <v>7122</v>
      </c>
      <c r="F707" s="227">
        <v>44512404</v>
      </c>
      <c r="G707" s="1" t="s">
        <v>155</v>
      </c>
      <c r="H707" s="60">
        <v>2677.69</v>
      </c>
      <c r="I707" s="228">
        <v>562.30999999999995</v>
      </c>
      <c r="J707" s="229"/>
      <c r="K707" s="229"/>
      <c r="L707" s="229">
        <f>SUM(ventas_b_mes11[[#This Row],[IMPORTE NETO]:[EXENTO]])</f>
        <v>3240</v>
      </c>
      <c r="M707" s="55"/>
    </row>
    <row r="708" spans="2:13" x14ac:dyDescent="0.3">
      <c r="B708" s="223">
        <v>44865</v>
      </c>
      <c r="C708" s="224">
        <v>6</v>
      </c>
      <c r="D708" s="225">
        <v>15</v>
      </c>
      <c r="E708" s="226">
        <v>7123</v>
      </c>
      <c r="F708" s="227">
        <v>37018499</v>
      </c>
      <c r="G708" s="1" t="s">
        <v>338</v>
      </c>
      <c r="H708" s="60">
        <v>3603.31</v>
      </c>
      <c r="I708" s="228">
        <v>756.69</v>
      </c>
      <c r="J708" s="229"/>
      <c r="K708" s="229"/>
      <c r="L708" s="229">
        <f>SUM(ventas_b_mes11[[#This Row],[IMPORTE NETO]:[EXENTO]])</f>
        <v>4360</v>
      </c>
      <c r="M708" s="55"/>
    </row>
    <row r="709" spans="2:13" x14ac:dyDescent="0.3">
      <c r="B709" s="223">
        <v>44835</v>
      </c>
      <c r="C709" s="248">
        <v>6</v>
      </c>
      <c r="D709" s="225">
        <v>12</v>
      </c>
      <c r="E709" s="226">
        <v>21942</v>
      </c>
      <c r="F709" s="227">
        <v>20375243</v>
      </c>
      <c r="G709" s="1" t="s">
        <v>141</v>
      </c>
      <c r="H709" s="60">
        <v>5553.71</v>
      </c>
      <c r="I709" s="228">
        <v>1166.28</v>
      </c>
      <c r="J709" s="229"/>
      <c r="K709" s="229"/>
      <c r="L709" s="229">
        <f>SUM(ventas_b_mes11[[#This Row],[IMPORTE NETO]:[EXENTO]])</f>
        <v>6719.99</v>
      </c>
      <c r="M709" s="55"/>
    </row>
    <row r="710" spans="2:13" x14ac:dyDescent="0.3">
      <c r="B710" s="223">
        <v>44835</v>
      </c>
      <c r="C710" s="248">
        <v>6</v>
      </c>
      <c r="D710" s="225">
        <v>12</v>
      </c>
      <c r="E710" s="226">
        <v>21943</v>
      </c>
      <c r="F710" s="227">
        <v>20375243</v>
      </c>
      <c r="G710" s="1" t="s">
        <v>141</v>
      </c>
      <c r="H710" s="60">
        <v>991.74</v>
      </c>
      <c r="I710" s="228">
        <v>208.26</v>
      </c>
      <c r="J710" s="229"/>
      <c r="K710" s="229"/>
      <c r="L710" s="229">
        <f>SUM(ventas_b_mes11[[#This Row],[IMPORTE NETO]:[EXENTO]])</f>
        <v>1200</v>
      </c>
      <c r="M710" s="55"/>
    </row>
    <row r="711" spans="2:13" x14ac:dyDescent="0.3">
      <c r="B711" s="223">
        <v>44835</v>
      </c>
      <c r="C711" s="248">
        <v>6</v>
      </c>
      <c r="D711" s="225">
        <v>12</v>
      </c>
      <c r="E711" s="226">
        <v>21944</v>
      </c>
      <c r="F711" s="227">
        <v>12758459</v>
      </c>
      <c r="G711" s="1" t="s">
        <v>135</v>
      </c>
      <c r="H711" s="60">
        <v>15669.44</v>
      </c>
      <c r="I711" s="228">
        <v>3290.58</v>
      </c>
      <c r="J711" s="229"/>
      <c r="K711" s="229"/>
      <c r="L711" s="229">
        <f>SUM(ventas_b_mes11[[#This Row],[IMPORTE NETO]:[EXENTO]])</f>
        <v>18960.02</v>
      </c>
      <c r="M711" s="55"/>
    </row>
    <row r="712" spans="2:13" x14ac:dyDescent="0.3">
      <c r="B712" s="223">
        <v>44835</v>
      </c>
      <c r="C712" s="248">
        <v>6</v>
      </c>
      <c r="D712" s="225">
        <v>12</v>
      </c>
      <c r="E712" s="226">
        <v>21945</v>
      </c>
      <c r="F712" s="227" t="s">
        <v>124</v>
      </c>
      <c r="G712" s="1" t="s">
        <v>131</v>
      </c>
      <c r="H712" s="60">
        <v>6347.11</v>
      </c>
      <c r="I712" s="228">
        <v>1332.89</v>
      </c>
      <c r="J712" s="229"/>
      <c r="K712" s="229"/>
      <c r="L712" s="229">
        <f>SUM(ventas_b_mes11[[#This Row],[IMPORTE NETO]:[EXENTO]])</f>
        <v>7680</v>
      </c>
      <c r="M712" s="55"/>
    </row>
    <row r="713" spans="2:13" x14ac:dyDescent="0.3">
      <c r="B713" s="223">
        <v>44835</v>
      </c>
      <c r="C713" s="248">
        <v>6</v>
      </c>
      <c r="D713" s="225">
        <v>12</v>
      </c>
      <c r="E713" s="226">
        <v>21946</v>
      </c>
      <c r="F713" s="227">
        <v>17438782</v>
      </c>
      <c r="G713" s="1" t="s">
        <v>147</v>
      </c>
      <c r="H713" s="60">
        <v>7444.71</v>
      </c>
      <c r="I713" s="228">
        <v>1563.39</v>
      </c>
      <c r="J713" s="229"/>
      <c r="K713" s="229"/>
      <c r="L713" s="229">
        <f>SUM(ventas_b_mes11[[#This Row],[IMPORTE NETO]:[EXENTO]])</f>
        <v>9008.1</v>
      </c>
      <c r="M713" s="55"/>
    </row>
    <row r="714" spans="2:13" x14ac:dyDescent="0.3">
      <c r="B714" s="223">
        <v>44835</v>
      </c>
      <c r="C714" s="248">
        <v>6</v>
      </c>
      <c r="D714" s="225">
        <v>12</v>
      </c>
      <c r="E714" s="226">
        <v>21947</v>
      </c>
      <c r="F714" s="227">
        <v>32949125</v>
      </c>
      <c r="G714" s="1" t="s">
        <v>140</v>
      </c>
      <c r="H714" s="60">
        <v>3958.68</v>
      </c>
      <c r="I714" s="228">
        <v>831.32</v>
      </c>
      <c r="J714" s="229"/>
      <c r="K714" s="229"/>
      <c r="L714" s="229">
        <f>SUM(ventas_b_mes11[[#This Row],[IMPORTE NETO]:[EXENTO]])</f>
        <v>4790</v>
      </c>
      <c r="M714" s="55"/>
    </row>
    <row r="715" spans="2:13" x14ac:dyDescent="0.3">
      <c r="B715" s="223">
        <v>44835</v>
      </c>
      <c r="C715" s="248">
        <v>6</v>
      </c>
      <c r="D715" s="225">
        <v>12</v>
      </c>
      <c r="E715" s="226">
        <v>21948</v>
      </c>
      <c r="F715" s="227">
        <v>16019062</v>
      </c>
      <c r="G715" s="1" t="s">
        <v>146</v>
      </c>
      <c r="H715" s="60">
        <v>4429.75</v>
      </c>
      <c r="I715" s="228">
        <v>930.25</v>
      </c>
      <c r="J715" s="229"/>
      <c r="K715" s="229"/>
      <c r="L715" s="229">
        <f>SUM(ventas_b_mes11[[#This Row],[IMPORTE NETO]:[EXENTO]])</f>
        <v>5360</v>
      </c>
      <c r="M715" s="55"/>
    </row>
    <row r="716" spans="2:13" x14ac:dyDescent="0.3">
      <c r="B716" s="223">
        <v>44835</v>
      </c>
      <c r="C716" s="248">
        <v>6</v>
      </c>
      <c r="D716" s="225">
        <v>12</v>
      </c>
      <c r="E716" s="226">
        <v>21949</v>
      </c>
      <c r="F716" s="227">
        <v>16019062</v>
      </c>
      <c r="G716" s="1" t="s">
        <v>146</v>
      </c>
      <c r="H716" s="60">
        <v>272.73</v>
      </c>
      <c r="I716" s="228">
        <v>57.27</v>
      </c>
      <c r="J716" s="229"/>
      <c r="K716" s="229"/>
      <c r="L716" s="229">
        <f>SUM(ventas_b_mes11[[#This Row],[IMPORTE NETO]:[EXENTO]])</f>
        <v>330</v>
      </c>
      <c r="M716" s="55"/>
    </row>
    <row r="717" spans="2:13" x14ac:dyDescent="0.3">
      <c r="B717" s="223">
        <v>44835</v>
      </c>
      <c r="C717" s="248">
        <v>6</v>
      </c>
      <c r="D717" s="225">
        <v>12</v>
      </c>
      <c r="E717" s="226">
        <v>21950</v>
      </c>
      <c r="F717" s="227" t="s">
        <v>123</v>
      </c>
      <c r="G717" s="1" t="s">
        <v>130</v>
      </c>
      <c r="H717" s="60">
        <v>691.74</v>
      </c>
      <c r="I717" s="228">
        <v>145.26</v>
      </c>
      <c r="J717" s="229"/>
      <c r="K717" s="229"/>
      <c r="L717" s="229">
        <f>SUM(ventas_b_mes11[[#This Row],[IMPORTE NETO]:[EXENTO]])</f>
        <v>837</v>
      </c>
      <c r="M717" s="55"/>
    </row>
    <row r="718" spans="2:13" x14ac:dyDescent="0.3">
      <c r="B718" s="223">
        <v>44837</v>
      </c>
      <c r="C718" s="224">
        <v>6</v>
      </c>
      <c r="D718" s="225">
        <v>12</v>
      </c>
      <c r="E718" s="226">
        <v>21951</v>
      </c>
      <c r="F718" s="227">
        <v>21837932</v>
      </c>
      <c r="G718" s="1" t="s">
        <v>158</v>
      </c>
      <c r="H718" s="60">
        <v>1049.5899999999999</v>
      </c>
      <c r="I718" s="228">
        <v>220.41</v>
      </c>
      <c r="J718" s="229"/>
      <c r="K718" s="229"/>
      <c r="L718" s="229">
        <f>SUM(ventas_b_mes11[[#This Row],[IMPORTE NETO]:[EXENTO]])</f>
        <v>1270</v>
      </c>
      <c r="M718" s="55"/>
    </row>
    <row r="719" spans="2:13" x14ac:dyDescent="0.3">
      <c r="B719" s="223">
        <v>44837</v>
      </c>
      <c r="C719" s="224">
        <v>6</v>
      </c>
      <c r="D719" s="225">
        <v>12</v>
      </c>
      <c r="E719" s="226">
        <v>21952</v>
      </c>
      <c r="F719" s="227">
        <v>21837932</v>
      </c>
      <c r="G719" s="1" t="s">
        <v>158</v>
      </c>
      <c r="H719" s="60">
        <v>3404.97</v>
      </c>
      <c r="I719" s="228">
        <v>715.04</v>
      </c>
      <c r="J719" s="229"/>
      <c r="K719" s="229"/>
      <c r="L719" s="229">
        <f>SUM(ventas_b_mes11[[#This Row],[IMPORTE NETO]:[EXENTO]])</f>
        <v>4120.01</v>
      </c>
      <c r="M719" s="55"/>
    </row>
    <row r="720" spans="2:13" x14ac:dyDescent="0.3">
      <c r="B720" s="223">
        <v>44837</v>
      </c>
      <c r="C720" s="224">
        <v>6</v>
      </c>
      <c r="D720" s="225">
        <v>12</v>
      </c>
      <c r="E720" s="226">
        <v>21953</v>
      </c>
      <c r="F720" s="227">
        <v>25426233</v>
      </c>
      <c r="G720" s="1" t="s">
        <v>180</v>
      </c>
      <c r="H720" s="60">
        <v>5884.3</v>
      </c>
      <c r="I720" s="228">
        <v>1235.7</v>
      </c>
      <c r="J720" s="229"/>
      <c r="K720" s="229"/>
      <c r="L720" s="229">
        <f>SUM(ventas_b_mes11[[#This Row],[IMPORTE NETO]:[EXENTO]])</f>
        <v>7120</v>
      </c>
      <c r="M720" s="55"/>
    </row>
    <row r="721" spans="2:13" x14ac:dyDescent="0.3">
      <c r="B721" s="223">
        <v>44837</v>
      </c>
      <c r="C721" s="224">
        <v>6</v>
      </c>
      <c r="D721" s="225">
        <v>12</v>
      </c>
      <c r="E721" s="226">
        <v>21954</v>
      </c>
      <c r="F721" s="227">
        <v>23192649</v>
      </c>
      <c r="G721" s="1" t="s">
        <v>174</v>
      </c>
      <c r="H721" s="60">
        <v>4297.5200000000004</v>
      </c>
      <c r="I721" s="228">
        <v>902.48</v>
      </c>
      <c r="J721" s="229"/>
      <c r="K721" s="229"/>
      <c r="L721" s="229">
        <f>SUM(ventas_b_mes11[[#This Row],[IMPORTE NETO]:[EXENTO]])</f>
        <v>5200</v>
      </c>
      <c r="M721" s="55"/>
    </row>
    <row r="722" spans="2:13" x14ac:dyDescent="0.3">
      <c r="B722" s="223">
        <v>44837</v>
      </c>
      <c r="C722" s="224">
        <v>6</v>
      </c>
      <c r="D722" s="225">
        <v>12</v>
      </c>
      <c r="E722" s="226">
        <v>21955</v>
      </c>
      <c r="F722" s="227">
        <v>36987452</v>
      </c>
      <c r="G722" s="1" t="s">
        <v>163</v>
      </c>
      <c r="H722" s="60">
        <v>6033.06</v>
      </c>
      <c r="I722" s="228">
        <v>1266.94</v>
      </c>
      <c r="J722" s="229"/>
      <c r="K722" s="229"/>
      <c r="L722" s="229">
        <f>SUM(ventas_b_mes11[[#This Row],[IMPORTE NETO]:[EXENTO]])</f>
        <v>7300</v>
      </c>
      <c r="M722" s="55"/>
    </row>
    <row r="723" spans="2:13" x14ac:dyDescent="0.3">
      <c r="B723" s="223">
        <v>44837</v>
      </c>
      <c r="C723" s="224">
        <v>6</v>
      </c>
      <c r="D723" s="225">
        <v>12</v>
      </c>
      <c r="E723" s="226">
        <v>21956</v>
      </c>
      <c r="F723" s="227">
        <v>26194587</v>
      </c>
      <c r="G723" s="1" t="s">
        <v>164</v>
      </c>
      <c r="H723" s="60">
        <v>10181.82</v>
      </c>
      <c r="I723" s="228">
        <v>2138.1799999999998</v>
      </c>
      <c r="J723" s="229"/>
      <c r="K723" s="229"/>
      <c r="L723" s="229">
        <f>SUM(ventas_b_mes11[[#This Row],[IMPORTE NETO]:[EXENTO]])</f>
        <v>12320</v>
      </c>
      <c r="M723" s="55"/>
    </row>
    <row r="724" spans="2:13" x14ac:dyDescent="0.3">
      <c r="B724" s="223">
        <v>44837</v>
      </c>
      <c r="C724" s="224">
        <v>6</v>
      </c>
      <c r="D724" s="225">
        <v>12</v>
      </c>
      <c r="E724" s="226">
        <v>21957</v>
      </c>
      <c r="F724" s="227">
        <v>27293886267</v>
      </c>
      <c r="G724" s="1" t="s">
        <v>160</v>
      </c>
      <c r="H724" s="60">
        <v>7396.69</v>
      </c>
      <c r="I724" s="228">
        <v>1553.31</v>
      </c>
      <c r="J724" s="229"/>
      <c r="K724" s="229"/>
      <c r="L724" s="229">
        <f>SUM(ventas_b_mes11[[#This Row],[IMPORTE NETO]:[EXENTO]])</f>
        <v>8950</v>
      </c>
      <c r="M724" s="55"/>
    </row>
    <row r="725" spans="2:13" x14ac:dyDescent="0.3">
      <c r="B725" s="223">
        <v>44837</v>
      </c>
      <c r="C725" s="224">
        <v>6</v>
      </c>
      <c r="D725" s="225">
        <v>12</v>
      </c>
      <c r="E725" s="226">
        <v>21958</v>
      </c>
      <c r="F725" s="227">
        <v>95530278</v>
      </c>
      <c r="G725" s="1" t="s">
        <v>178</v>
      </c>
      <c r="H725" s="60">
        <v>2710.74</v>
      </c>
      <c r="I725" s="228">
        <v>569.26</v>
      </c>
      <c r="J725" s="229"/>
      <c r="K725" s="229"/>
      <c r="L725" s="229">
        <f>SUM(ventas_b_mes11[[#This Row],[IMPORTE NETO]:[EXENTO]])</f>
        <v>3280</v>
      </c>
      <c r="M725" s="55"/>
    </row>
    <row r="726" spans="2:13" x14ac:dyDescent="0.3">
      <c r="B726" s="223">
        <v>44837</v>
      </c>
      <c r="C726" s="224">
        <v>6</v>
      </c>
      <c r="D726" s="225">
        <v>12</v>
      </c>
      <c r="E726" s="226">
        <v>21959</v>
      </c>
      <c r="F726" s="227">
        <v>94643934</v>
      </c>
      <c r="G726" s="1" t="s">
        <v>182</v>
      </c>
      <c r="H726" s="60">
        <v>859.5</v>
      </c>
      <c r="I726" s="228">
        <v>180.5</v>
      </c>
      <c r="J726" s="229"/>
      <c r="K726" s="229"/>
      <c r="L726" s="229">
        <f>SUM(ventas_b_mes11[[#This Row],[IMPORTE NETO]:[EXENTO]])</f>
        <v>1040</v>
      </c>
      <c r="M726" s="55"/>
    </row>
    <row r="727" spans="2:13" x14ac:dyDescent="0.3">
      <c r="B727" s="223">
        <v>44837</v>
      </c>
      <c r="C727" s="224">
        <v>6</v>
      </c>
      <c r="D727" s="225">
        <v>12</v>
      </c>
      <c r="E727" s="226">
        <v>21960</v>
      </c>
      <c r="F727" s="227">
        <v>6271982</v>
      </c>
      <c r="G727" s="1"/>
      <c r="H727" s="60">
        <v>4495.87</v>
      </c>
      <c r="I727" s="228">
        <v>944.13</v>
      </c>
      <c r="J727" s="229"/>
      <c r="K727" s="229"/>
      <c r="L727" s="229">
        <f>SUM(ventas_b_mes11[[#This Row],[IMPORTE NETO]:[EXENTO]])</f>
        <v>5440</v>
      </c>
      <c r="M727" s="55"/>
    </row>
    <row r="728" spans="2:13" x14ac:dyDescent="0.3">
      <c r="B728" s="223">
        <v>44837</v>
      </c>
      <c r="C728" s="224">
        <v>6</v>
      </c>
      <c r="D728" s="225">
        <v>12</v>
      </c>
      <c r="E728" s="226">
        <v>21961</v>
      </c>
      <c r="F728" s="227">
        <v>12546893</v>
      </c>
      <c r="G728" s="1"/>
      <c r="H728" s="60">
        <v>1652.9</v>
      </c>
      <c r="I728" s="228">
        <v>347.11</v>
      </c>
      <c r="J728" s="229"/>
      <c r="K728" s="229"/>
      <c r="L728" s="229">
        <f>SUM(ventas_b_mes11[[#This Row],[IMPORTE NETO]:[EXENTO]])</f>
        <v>2000.0100000000002</v>
      </c>
      <c r="M728" s="55"/>
    </row>
    <row r="729" spans="2:13" x14ac:dyDescent="0.3">
      <c r="B729" s="223">
        <v>44837</v>
      </c>
      <c r="C729" s="224">
        <v>6</v>
      </c>
      <c r="D729" s="225">
        <v>12</v>
      </c>
      <c r="E729" s="226">
        <v>21962</v>
      </c>
      <c r="F729" s="227">
        <v>12546893</v>
      </c>
      <c r="G729" s="1"/>
      <c r="H729" s="60">
        <v>3669.42</v>
      </c>
      <c r="I729" s="228">
        <v>770.58</v>
      </c>
      <c r="J729" s="229"/>
      <c r="K729" s="229"/>
      <c r="L729" s="229">
        <f>SUM(ventas_b_mes11[[#This Row],[IMPORTE NETO]:[EXENTO]])</f>
        <v>4440</v>
      </c>
      <c r="M729" s="55"/>
    </row>
    <row r="730" spans="2:13" x14ac:dyDescent="0.3">
      <c r="B730" s="223">
        <v>44837</v>
      </c>
      <c r="C730" s="224">
        <v>6</v>
      </c>
      <c r="D730" s="225">
        <v>12</v>
      </c>
      <c r="E730" s="226">
        <v>21963</v>
      </c>
      <c r="F730" s="227">
        <v>43573487</v>
      </c>
      <c r="G730" s="1" t="s">
        <v>195</v>
      </c>
      <c r="H730" s="60">
        <v>2879.34</v>
      </c>
      <c r="I730" s="228">
        <v>604.66</v>
      </c>
      <c r="J730" s="229"/>
      <c r="K730" s="229"/>
      <c r="L730" s="229">
        <f>SUM(ventas_b_mes11[[#This Row],[IMPORTE NETO]:[EXENTO]])</f>
        <v>3484</v>
      </c>
      <c r="M730" s="55"/>
    </row>
    <row r="731" spans="2:13" x14ac:dyDescent="0.3">
      <c r="B731" s="223">
        <v>44837</v>
      </c>
      <c r="C731" s="224">
        <v>6</v>
      </c>
      <c r="D731" s="225">
        <v>12</v>
      </c>
      <c r="E731" s="226">
        <v>21964</v>
      </c>
      <c r="F731" s="227">
        <v>94606717</v>
      </c>
      <c r="G731" s="1" t="s">
        <v>188</v>
      </c>
      <c r="H731" s="60">
        <v>4066.12</v>
      </c>
      <c r="I731" s="228">
        <v>853.88</v>
      </c>
      <c r="J731" s="229"/>
      <c r="K731" s="229"/>
      <c r="L731" s="229">
        <f>SUM(ventas_b_mes11[[#This Row],[IMPORTE NETO]:[EXENTO]])</f>
        <v>4920</v>
      </c>
      <c r="M731" s="55"/>
    </row>
    <row r="732" spans="2:13" x14ac:dyDescent="0.3">
      <c r="B732" s="223">
        <v>44837</v>
      </c>
      <c r="C732" s="224">
        <v>6</v>
      </c>
      <c r="D732" s="225">
        <v>12</v>
      </c>
      <c r="E732" s="226">
        <v>21965</v>
      </c>
      <c r="F732" s="227">
        <v>94643934</v>
      </c>
      <c r="G732" s="1" t="s">
        <v>182</v>
      </c>
      <c r="H732" s="60">
        <v>966.94</v>
      </c>
      <c r="I732" s="228">
        <v>203.06</v>
      </c>
      <c r="J732" s="229"/>
      <c r="K732" s="229"/>
      <c r="L732" s="229">
        <f>SUM(ventas_b_mes11[[#This Row],[IMPORTE NETO]:[EXENTO]])</f>
        <v>1170</v>
      </c>
      <c r="M732" s="55"/>
    </row>
    <row r="733" spans="2:13" x14ac:dyDescent="0.3">
      <c r="B733" s="223">
        <v>44837</v>
      </c>
      <c r="C733" s="224">
        <v>6</v>
      </c>
      <c r="D733" s="225">
        <v>12</v>
      </c>
      <c r="E733" s="226">
        <v>21966</v>
      </c>
      <c r="F733" s="227">
        <v>94643934</v>
      </c>
      <c r="G733" s="1" t="s">
        <v>182</v>
      </c>
      <c r="H733" s="60">
        <v>2413.2199999999998</v>
      </c>
      <c r="I733" s="228">
        <v>506.78</v>
      </c>
      <c r="J733" s="229"/>
      <c r="K733" s="229"/>
      <c r="L733" s="229">
        <f>SUM(ventas_b_mes11[[#This Row],[IMPORTE NETO]:[EXENTO]])</f>
        <v>2920</v>
      </c>
      <c r="M733" s="55"/>
    </row>
    <row r="734" spans="2:13" x14ac:dyDescent="0.3">
      <c r="B734" s="223">
        <v>44837</v>
      </c>
      <c r="C734" s="224">
        <v>6</v>
      </c>
      <c r="D734" s="225">
        <v>12</v>
      </c>
      <c r="E734" s="226">
        <v>21967</v>
      </c>
      <c r="F734" s="227">
        <v>94643934</v>
      </c>
      <c r="G734" s="1" t="s">
        <v>182</v>
      </c>
      <c r="H734" s="60">
        <v>2710.74</v>
      </c>
      <c r="I734" s="228">
        <v>569.26</v>
      </c>
      <c r="J734" s="229"/>
      <c r="K734" s="229"/>
      <c r="L734" s="229">
        <f>SUM(ventas_b_mes11[[#This Row],[IMPORTE NETO]:[EXENTO]])</f>
        <v>3280</v>
      </c>
      <c r="M734" s="55"/>
    </row>
    <row r="735" spans="2:13" x14ac:dyDescent="0.3">
      <c r="B735" s="223">
        <v>44837</v>
      </c>
      <c r="C735" s="224">
        <v>6</v>
      </c>
      <c r="D735" s="225">
        <v>12</v>
      </c>
      <c r="E735" s="226">
        <v>21968</v>
      </c>
      <c r="F735" s="227">
        <v>21837932</v>
      </c>
      <c r="G735" s="1" t="s">
        <v>158</v>
      </c>
      <c r="H735" s="60">
        <v>7107.44</v>
      </c>
      <c r="I735" s="228">
        <v>1492.56</v>
      </c>
      <c r="J735" s="229"/>
      <c r="K735" s="229"/>
      <c r="L735" s="229">
        <f>SUM(ventas_b_mes11[[#This Row],[IMPORTE NETO]:[EXENTO]])</f>
        <v>8600</v>
      </c>
      <c r="M735" s="55"/>
    </row>
    <row r="736" spans="2:13" x14ac:dyDescent="0.3">
      <c r="B736" s="223">
        <v>44837</v>
      </c>
      <c r="C736" s="224">
        <v>6</v>
      </c>
      <c r="D736" s="225">
        <v>12</v>
      </c>
      <c r="E736" s="226">
        <v>21969</v>
      </c>
      <c r="F736" s="227">
        <v>24231911</v>
      </c>
      <c r="G736" s="1" t="s">
        <v>189</v>
      </c>
      <c r="H736" s="60">
        <v>11983.5</v>
      </c>
      <c r="I736" s="228">
        <v>2516.54</v>
      </c>
      <c r="J736" s="229"/>
      <c r="K736" s="229"/>
      <c r="L736" s="229">
        <f>SUM(ventas_b_mes11[[#This Row],[IMPORTE NETO]:[EXENTO]])</f>
        <v>14500.04</v>
      </c>
      <c r="M736" s="55"/>
    </row>
    <row r="737" spans="2:13" x14ac:dyDescent="0.3">
      <c r="B737" s="223">
        <v>44837</v>
      </c>
      <c r="C737" s="224">
        <v>6</v>
      </c>
      <c r="D737" s="225">
        <v>12</v>
      </c>
      <c r="E737" s="226">
        <v>21970</v>
      </c>
      <c r="F737" s="227">
        <v>31280893</v>
      </c>
      <c r="G737" s="1" t="s">
        <v>196</v>
      </c>
      <c r="H737" s="60">
        <v>2479.34</v>
      </c>
      <c r="I737" s="228">
        <v>520.66</v>
      </c>
      <c r="J737" s="229"/>
      <c r="K737" s="229"/>
      <c r="L737" s="229">
        <f>SUM(ventas_b_mes11[[#This Row],[IMPORTE NETO]:[EXENTO]])</f>
        <v>3000</v>
      </c>
      <c r="M737" s="55"/>
    </row>
    <row r="738" spans="2:13" x14ac:dyDescent="0.3">
      <c r="B738" s="223">
        <v>44837</v>
      </c>
      <c r="C738" s="224">
        <v>6</v>
      </c>
      <c r="D738" s="225">
        <v>12</v>
      </c>
      <c r="E738" s="226">
        <v>21971</v>
      </c>
      <c r="F738" s="227">
        <v>24231911</v>
      </c>
      <c r="G738" s="1" t="s">
        <v>189</v>
      </c>
      <c r="H738" s="60">
        <v>8140.5</v>
      </c>
      <c r="I738" s="228">
        <v>1709.5</v>
      </c>
      <c r="J738" s="229"/>
      <c r="K738" s="229"/>
      <c r="L738" s="229">
        <f>SUM(ventas_b_mes11[[#This Row],[IMPORTE NETO]:[EXENTO]])</f>
        <v>9850</v>
      </c>
      <c r="M738" s="55"/>
    </row>
    <row r="739" spans="2:13" x14ac:dyDescent="0.3">
      <c r="B739" s="223">
        <v>44837</v>
      </c>
      <c r="C739" s="224">
        <v>6</v>
      </c>
      <c r="D739" s="225">
        <v>12</v>
      </c>
      <c r="E739" s="226">
        <v>21972</v>
      </c>
      <c r="F739" s="227">
        <v>28696273</v>
      </c>
      <c r="G739" s="1" t="s">
        <v>176</v>
      </c>
      <c r="H739" s="60">
        <v>16371.92</v>
      </c>
      <c r="I739" s="228">
        <v>3438.1</v>
      </c>
      <c r="J739" s="229"/>
      <c r="K739" s="229"/>
      <c r="L739" s="229">
        <f>SUM(ventas_b_mes11[[#This Row],[IMPORTE NETO]:[EXENTO]])</f>
        <v>19810.02</v>
      </c>
      <c r="M739" s="55"/>
    </row>
    <row r="740" spans="2:13" x14ac:dyDescent="0.3">
      <c r="B740" s="223">
        <v>44837</v>
      </c>
      <c r="C740" s="224">
        <v>6</v>
      </c>
      <c r="D740" s="225">
        <v>12</v>
      </c>
      <c r="E740" s="226">
        <v>21973</v>
      </c>
      <c r="F740" s="227">
        <v>36941728</v>
      </c>
      <c r="G740" s="1" t="s">
        <v>167</v>
      </c>
      <c r="H740" s="60">
        <v>16446.27</v>
      </c>
      <c r="I740" s="228">
        <v>3453.72</v>
      </c>
      <c r="J740" s="229"/>
      <c r="K740" s="229"/>
      <c r="L740" s="229">
        <f>SUM(ventas_b_mes11[[#This Row],[IMPORTE NETO]:[EXENTO]])</f>
        <v>19899.990000000002</v>
      </c>
      <c r="M740" s="55"/>
    </row>
    <row r="741" spans="2:13" x14ac:dyDescent="0.3">
      <c r="B741" s="223">
        <v>44837</v>
      </c>
      <c r="C741" s="224">
        <v>6</v>
      </c>
      <c r="D741" s="225">
        <v>12</v>
      </c>
      <c r="E741" s="226">
        <v>21974</v>
      </c>
      <c r="F741" s="227">
        <v>26535597</v>
      </c>
      <c r="G741" s="1" t="s">
        <v>156</v>
      </c>
      <c r="H741" s="60">
        <v>4454.55</v>
      </c>
      <c r="I741" s="228">
        <v>935.45</v>
      </c>
      <c r="J741" s="229"/>
      <c r="K741" s="229"/>
      <c r="L741" s="229">
        <f>SUM(ventas_b_mes11[[#This Row],[IMPORTE NETO]:[EXENTO]])</f>
        <v>5390</v>
      </c>
      <c r="M741" s="55"/>
    </row>
    <row r="742" spans="2:13" x14ac:dyDescent="0.3">
      <c r="B742" s="223">
        <v>44837</v>
      </c>
      <c r="C742" s="224">
        <v>6</v>
      </c>
      <c r="D742" s="225">
        <v>12</v>
      </c>
      <c r="E742" s="226">
        <v>21975</v>
      </c>
      <c r="F742" s="227">
        <v>26535597</v>
      </c>
      <c r="G742" s="1" t="s">
        <v>156</v>
      </c>
      <c r="H742" s="60">
        <v>1177.69</v>
      </c>
      <c r="I742" s="228">
        <v>247.31</v>
      </c>
      <c r="J742" s="229"/>
      <c r="K742" s="229"/>
      <c r="L742" s="229">
        <f>SUM(ventas_b_mes11[[#This Row],[IMPORTE NETO]:[EXENTO]])</f>
        <v>1425</v>
      </c>
      <c r="M742" s="55"/>
    </row>
    <row r="743" spans="2:13" x14ac:dyDescent="0.3">
      <c r="B743" s="223">
        <v>44837</v>
      </c>
      <c r="C743" s="224">
        <v>6</v>
      </c>
      <c r="D743" s="225">
        <v>12</v>
      </c>
      <c r="E743" s="226">
        <v>21976</v>
      </c>
      <c r="F743" s="227">
        <v>36941728</v>
      </c>
      <c r="G743" s="1" t="s">
        <v>167</v>
      </c>
      <c r="H743" s="60">
        <v>6033.06</v>
      </c>
      <c r="I743" s="228">
        <v>1266.94</v>
      </c>
      <c r="J743" s="229"/>
      <c r="K743" s="229"/>
      <c r="L743" s="229">
        <f>SUM(ventas_b_mes11[[#This Row],[IMPORTE NETO]:[EXENTO]])</f>
        <v>7300</v>
      </c>
      <c r="M743" s="55"/>
    </row>
    <row r="744" spans="2:13" x14ac:dyDescent="0.3">
      <c r="B744" s="223">
        <v>44837</v>
      </c>
      <c r="C744" s="224">
        <v>6</v>
      </c>
      <c r="D744" s="225">
        <v>12</v>
      </c>
      <c r="E744" s="226">
        <v>21977</v>
      </c>
      <c r="F744" s="227">
        <v>27181257</v>
      </c>
      <c r="G744" s="1" t="s">
        <v>183</v>
      </c>
      <c r="H744" s="60">
        <v>5090.91</v>
      </c>
      <c r="I744" s="228">
        <v>1069.0899999999999</v>
      </c>
      <c r="J744" s="229"/>
      <c r="K744" s="229"/>
      <c r="L744" s="229">
        <f>SUM(ventas_b_mes11[[#This Row],[IMPORTE NETO]:[EXENTO]])</f>
        <v>6160</v>
      </c>
      <c r="M744" s="55"/>
    </row>
    <row r="745" spans="2:13" x14ac:dyDescent="0.3">
      <c r="B745" s="223">
        <v>44837</v>
      </c>
      <c r="C745" s="224">
        <v>6</v>
      </c>
      <c r="D745" s="225">
        <v>12</v>
      </c>
      <c r="E745" s="226">
        <v>21978</v>
      </c>
      <c r="F745" s="227">
        <v>16018690</v>
      </c>
      <c r="G745" s="1" t="s">
        <v>177</v>
      </c>
      <c r="H745" s="60">
        <v>2099.17</v>
      </c>
      <c r="I745" s="228">
        <v>440.83</v>
      </c>
      <c r="J745" s="229"/>
      <c r="K745" s="229"/>
      <c r="L745" s="229">
        <f>SUM(ventas_b_mes11[[#This Row],[IMPORTE NETO]:[EXENTO]])</f>
        <v>2540</v>
      </c>
      <c r="M745" s="55"/>
    </row>
    <row r="746" spans="2:13" x14ac:dyDescent="0.3">
      <c r="B746" s="223">
        <v>44837</v>
      </c>
      <c r="C746" s="224">
        <v>6</v>
      </c>
      <c r="D746" s="225">
        <v>12</v>
      </c>
      <c r="E746" s="226">
        <v>21979</v>
      </c>
      <c r="F746" s="227">
        <v>24102431</v>
      </c>
      <c r="G746" s="1" t="s">
        <v>159</v>
      </c>
      <c r="H746" s="60">
        <v>2644.63</v>
      </c>
      <c r="I746" s="228">
        <v>555.37</v>
      </c>
      <c r="J746" s="229"/>
      <c r="K746" s="229"/>
      <c r="L746" s="229">
        <f>SUM(ventas_b_mes11[[#This Row],[IMPORTE NETO]:[EXENTO]])</f>
        <v>3200</v>
      </c>
      <c r="M746" s="55"/>
    </row>
    <row r="747" spans="2:13" x14ac:dyDescent="0.3">
      <c r="B747" s="223">
        <v>44837</v>
      </c>
      <c r="C747" s="224">
        <v>6</v>
      </c>
      <c r="D747" s="225">
        <v>12</v>
      </c>
      <c r="E747" s="226">
        <v>21980</v>
      </c>
      <c r="F747" s="227">
        <v>24102431</v>
      </c>
      <c r="G747" s="1" t="s">
        <v>159</v>
      </c>
      <c r="H747" s="60">
        <v>9672.74</v>
      </c>
      <c r="I747" s="228">
        <v>2031.28</v>
      </c>
      <c r="J747" s="229"/>
      <c r="K747" s="229"/>
      <c r="L747" s="229">
        <f>SUM(ventas_b_mes11[[#This Row],[IMPORTE NETO]:[EXENTO]])</f>
        <v>11704.02</v>
      </c>
      <c r="M747" s="55"/>
    </row>
    <row r="748" spans="2:13" x14ac:dyDescent="0.3">
      <c r="B748" s="223">
        <v>44838</v>
      </c>
      <c r="C748" s="224">
        <v>6</v>
      </c>
      <c r="D748" s="225">
        <v>12</v>
      </c>
      <c r="E748" s="226">
        <v>21981</v>
      </c>
      <c r="F748" s="227">
        <v>33936455</v>
      </c>
      <c r="G748" s="1" t="s">
        <v>257</v>
      </c>
      <c r="H748" s="60">
        <v>4958.68</v>
      </c>
      <c r="I748" s="228">
        <v>1041.32</v>
      </c>
      <c r="J748" s="229"/>
      <c r="K748" s="229"/>
      <c r="L748" s="229">
        <f>SUM(ventas_b_mes11[[#This Row],[IMPORTE NETO]:[EXENTO]])</f>
        <v>6000</v>
      </c>
      <c r="M748" s="55"/>
    </row>
    <row r="749" spans="2:13" x14ac:dyDescent="0.3">
      <c r="B749" s="223">
        <v>44838</v>
      </c>
      <c r="C749" s="224">
        <v>6</v>
      </c>
      <c r="D749" s="225">
        <v>12</v>
      </c>
      <c r="E749" s="226">
        <v>21982</v>
      </c>
      <c r="F749" s="227">
        <v>94101837</v>
      </c>
      <c r="G749" s="1" t="s">
        <v>264</v>
      </c>
      <c r="H749" s="60">
        <v>4013.22</v>
      </c>
      <c r="I749" s="228">
        <v>842.78</v>
      </c>
      <c r="J749" s="229"/>
      <c r="K749" s="229"/>
      <c r="L749" s="229">
        <f>SUM(ventas_b_mes11[[#This Row],[IMPORTE NETO]:[EXENTO]])</f>
        <v>4856</v>
      </c>
      <c r="M749" s="55"/>
    </row>
    <row r="750" spans="2:13" x14ac:dyDescent="0.3">
      <c r="B750" s="223">
        <v>44838</v>
      </c>
      <c r="C750" s="224">
        <v>6</v>
      </c>
      <c r="D750" s="225">
        <v>12</v>
      </c>
      <c r="E750" s="226">
        <v>21983</v>
      </c>
      <c r="F750" s="227">
        <v>16304920</v>
      </c>
      <c r="G750" s="1" t="s">
        <v>208</v>
      </c>
      <c r="H750" s="60">
        <v>2175.21</v>
      </c>
      <c r="I750" s="228">
        <v>456.79</v>
      </c>
      <c r="J750" s="229"/>
      <c r="K750" s="229"/>
      <c r="L750" s="229">
        <f>SUM(ventas_b_mes11[[#This Row],[IMPORTE NETO]:[EXENTO]])</f>
        <v>2632</v>
      </c>
      <c r="M750" s="55"/>
    </row>
    <row r="751" spans="2:13" x14ac:dyDescent="0.3">
      <c r="B751" s="223">
        <v>44838</v>
      </c>
      <c r="C751" s="224">
        <v>6</v>
      </c>
      <c r="D751" s="225">
        <v>12</v>
      </c>
      <c r="E751" s="226">
        <v>21984</v>
      </c>
      <c r="F751" s="227">
        <v>16304920</v>
      </c>
      <c r="G751" s="1" t="s">
        <v>208</v>
      </c>
      <c r="H751" s="60">
        <v>1619.83</v>
      </c>
      <c r="I751" s="228">
        <v>340.17</v>
      </c>
      <c r="J751" s="229"/>
      <c r="K751" s="229"/>
      <c r="L751" s="229">
        <f>SUM(ventas_b_mes11[[#This Row],[IMPORTE NETO]:[EXENTO]])</f>
        <v>1960</v>
      </c>
      <c r="M751" s="55"/>
    </row>
    <row r="752" spans="2:13" x14ac:dyDescent="0.3">
      <c r="B752" s="223">
        <v>44838</v>
      </c>
      <c r="C752" s="224">
        <v>6</v>
      </c>
      <c r="D752" s="225">
        <v>12</v>
      </c>
      <c r="E752" s="226">
        <v>21985</v>
      </c>
      <c r="F752" s="227">
        <v>14009486</v>
      </c>
      <c r="G752" s="1" t="s">
        <v>238</v>
      </c>
      <c r="H752" s="60">
        <v>2809.92</v>
      </c>
      <c r="I752" s="228">
        <v>590.08000000000004</v>
      </c>
      <c r="J752" s="229"/>
      <c r="K752" s="229"/>
      <c r="L752" s="229">
        <f>SUM(ventas_b_mes11[[#This Row],[IMPORTE NETO]:[EXENTO]])</f>
        <v>3400</v>
      </c>
      <c r="M752" s="55"/>
    </row>
    <row r="753" spans="2:13" x14ac:dyDescent="0.3">
      <c r="B753" s="223">
        <v>44838</v>
      </c>
      <c r="C753" s="224">
        <v>6</v>
      </c>
      <c r="D753" s="225">
        <v>12</v>
      </c>
      <c r="E753" s="226">
        <v>21986</v>
      </c>
      <c r="F753" s="227">
        <v>21853095</v>
      </c>
      <c r="G753" s="1" t="s">
        <v>229</v>
      </c>
      <c r="H753" s="60">
        <v>6247.93</v>
      </c>
      <c r="I753" s="228">
        <v>1312.07</v>
      </c>
      <c r="J753" s="229"/>
      <c r="K753" s="229"/>
      <c r="L753" s="229">
        <f>SUM(ventas_b_mes11[[#This Row],[IMPORTE NETO]:[EXENTO]])</f>
        <v>7560</v>
      </c>
      <c r="M753" s="55"/>
    </row>
    <row r="754" spans="2:13" x14ac:dyDescent="0.3">
      <c r="B754" s="223">
        <v>44838</v>
      </c>
      <c r="C754" s="224">
        <v>6</v>
      </c>
      <c r="D754" s="225">
        <v>12</v>
      </c>
      <c r="E754" s="226">
        <v>21987</v>
      </c>
      <c r="F754" s="227">
        <v>21710551</v>
      </c>
      <c r="G754" s="1" t="s">
        <v>225</v>
      </c>
      <c r="H754" s="60">
        <v>5743.8</v>
      </c>
      <c r="I754" s="228">
        <v>1206.2</v>
      </c>
      <c r="J754" s="229"/>
      <c r="K754" s="229"/>
      <c r="L754" s="229">
        <f>SUM(ventas_b_mes11[[#This Row],[IMPORTE NETO]:[EXENTO]])</f>
        <v>6950</v>
      </c>
      <c r="M754" s="55"/>
    </row>
    <row r="755" spans="2:13" x14ac:dyDescent="0.3">
      <c r="B755" s="223">
        <v>44838</v>
      </c>
      <c r="C755" s="224">
        <v>6</v>
      </c>
      <c r="D755" s="225">
        <v>12</v>
      </c>
      <c r="E755" s="226">
        <v>21988</v>
      </c>
      <c r="F755" s="227">
        <v>21710551</v>
      </c>
      <c r="G755" s="1" t="s">
        <v>225</v>
      </c>
      <c r="H755" s="60">
        <v>929.75</v>
      </c>
      <c r="I755" s="228">
        <v>195.25</v>
      </c>
      <c r="J755" s="229"/>
      <c r="K755" s="229"/>
      <c r="L755" s="229">
        <f>SUM(ventas_b_mes11[[#This Row],[IMPORTE NETO]:[EXENTO]])</f>
        <v>1125</v>
      </c>
      <c r="M755" s="55"/>
    </row>
    <row r="756" spans="2:13" x14ac:dyDescent="0.3">
      <c r="B756" s="223">
        <v>44838</v>
      </c>
      <c r="C756" s="224">
        <v>6</v>
      </c>
      <c r="D756" s="225">
        <v>12</v>
      </c>
      <c r="E756" s="226">
        <v>21989</v>
      </c>
      <c r="F756" s="227">
        <v>21710551</v>
      </c>
      <c r="G756" s="1" t="s">
        <v>225</v>
      </c>
      <c r="H756" s="60">
        <v>4545.45</v>
      </c>
      <c r="I756" s="228">
        <v>954.55</v>
      </c>
      <c r="J756" s="229"/>
      <c r="K756" s="229"/>
      <c r="L756" s="229">
        <f>SUM(ventas_b_mes11[[#This Row],[IMPORTE NETO]:[EXENTO]])</f>
        <v>5500</v>
      </c>
      <c r="M756" s="55"/>
    </row>
    <row r="757" spans="2:13" x14ac:dyDescent="0.3">
      <c r="B757" s="223">
        <v>44838</v>
      </c>
      <c r="C757" s="224">
        <v>6</v>
      </c>
      <c r="D757" s="225">
        <v>12</v>
      </c>
      <c r="E757" s="226">
        <v>21990</v>
      </c>
      <c r="F757" s="227">
        <v>21710551</v>
      </c>
      <c r="G757" s="1" t="s">
        <v>225</v>
      </c>
      <c r="H757" s="60">
        <v>4958.68</v>
      </c>
      <c r="I757" s="228">
        <v>1041.32</v>
      </c>
      <c r="J757" s="229"/>
      <c r="K757" s="229"/>
      <c r="L757" s="229">
        <f>SUM(ventas_b_mes11[[#This Row],[IMPORTE NETO]:[EXENTO]])</f>
        <v>6000</v>
      </c>
      <c r="M757" s="55"/>
    </row>
    <row r="758" spans="2:13" x14ac:dyDescent="0.3">
      <c r="B758" s="223">
        <v>44838</v>
      </c>
      <c r="C758" s="224">
        <v>6</v>
      </c>
      <c r="D758" s="225">
        <v>12</v>
      </c>
      <c r="E758" s="226">
        <v>21991</v>
      </c>
      <c r="F758" s="227">
        <v>22975577</v>
      </c>
      <c r="G758" s="1" t="s">
        <v>261</v>
      </c>
      <c r="H758" s="60">
        <v>2066.12</v>
      </c>
      <c r="I758" s="228">
        <v>433.88</v>
      </c>
      <c r="J758" s="229"/>
      <c r="K758" s="229"/>
      <c r="L758" s="229">
        <f>SUM(ventas_b_mes11[[#This Row],[IMPORTE NETO]:[EXENTO]])</f>
        <v>2500</v>
      </c>
      <c r="M758" s="55"/>
    </row>
    <row r="759" spans="2:13" x14ac:dyDescent="0.3">
      <c r="B759" s="223">
        <v>44838</v>
      </c>
      <c r="C759" s="224">
        <v>6</v>
      </c>
      <c r="D759" s="225">
        <v>12</v>
      </c>
      <c r="E759" s="226">
        <v>21992</v>
      </c>
      <c r="F759" s="227">
        <v>22524572</v>
      </c>
      <c r="G759" s="1" t="s">
        <v>205</v>
      </c>
      <c r="H759" s="60">
        <v>4245.87</v>
      </c>
      <c r="I759" s="228">
        <v>891.63</v>
      </c>
      <c r="J759" s="229"/>
      <c r="K759" s="229"/>
      <c r="L759" s="229">
        <f>SUM(ventas_b_mes11[[#This Row],[IMPORTE NETO]:[EXENTO]])</f>
        <v>5137.5</v>
      </c>
      <c r="M759" s="55"/>
    </row>
    <row r="760" spans="2:13" x14ac:dyDescent="0.3">
      <c r="B760" s="223">
        <v>44838</v>
      </c>
      <c r="C760" s="224">
        <v>6</v>
      </c>
      <c r="D760" s="225">
        <v>12</v>
      </c>
      <c r="E760" s="226">
        <v>21993</v>
      </c>
      <c r="F760" s="227">
        <v>37766898</v>
      </c>
      <c r="G760" s="1" t="s">
        <v>246</v>
      </c>
      <c r="H760" s="60">
        <v>3570.25</v>
      </c>
      <c r="I760" s="228">
        <v>749.75</v>
      </c>
      <c r="J760" s="229"/>
      <c r="K760" s="229"/>
      <c r="L760" s="229">
        <f>SUM(ventas_b_mes11[[#This Row],[IMPORTE NETO]:[EXENTO]])</f>
        <v>4320</v>
      </c>
      <c r="M760" s="55"/>
    </row>
    <row r="761" spans="2:13" x14ac:dyDescent="0.3">
      <c r="B761" s="223">
        <v>44838</v>
      </c>
      <c r="C761" s="224">
        <v>6</v>
      </c>
      <c r="D761" s="225">
        <v>12</v>
      </c>
      <c r="E761" s="226">
        <v>21994</v>
      </c>
      <c r="F761" s="227">
        <v>20213391</v>
      </c>
      <c r="G761" s="1" t="s">
        <v>256</v>
      </c>
      <c r="H761" s="60">
        <v>2789.26</v>
      </c>
      <c r="I761" s="228">
        <v>585.74</v>
      </c>
      <c r="J761" s="229"/>
      <c r="K761" s="229"/>
      <c r="L761" s="229">
        <f>SUM(ventas_b_mes11[[#This Row],[IMPORTE NETO]:[EXENTO]])</f>
        <v>3375</v>
      </c>
      <c r="M761" s="55"/>
    </row>
    <row r="762" spans="2:13" x14ac:dyDescent="0.3">
      <c r="B762" s="223">
        <v>44838</v>
      </c>
      <c r="C762" s="224">
        <v>6</v>
      </c>
      <c r="D762" s="225">
        <v>12</v>
      </c>
      <c r="E762" s="226">
        <v>21995</v>
      </c>
      <c r="F762" s="227">
        <v>20627511</v>
      </c>
      <c r="G762" s="1" t="s">
        <v>258</v>
      </c>
      <c r="H762" s="60">
        <v>2115.6999999999998</v>
      </c>
      <c r="I762" s="228">
        <v>444.3</v>
      </c>
      <c r="J762" s="229"/>
      <c r="K762" s="229"/>
      <c r="L762" s="229">
        <f>SUM(ventas_b_mes11[[#This Row],[IMPORTE NETO]:[EXENTO]])</f>
        <v>2560</v>
      </c>
      <c r="M762" s="55"/>
    </row>
    <row r="763" spans="2:13" x14ac:dyDescent="0.3">
      <c r="B763" s="223">
        <v>44838</v>
      </c>
      <c r="C763" s="224">
        <v>6</v>
      </c>
      <c r="D763" s="225">
        <v>12</v>
      </c>
      <c r="E763" s="226">
        <v>21996</v>
      </c>
      <c r="F763" s="227">
        <v>20627511</v>
      </c>
      <c r="G763" s="1" t="s">
        <v>258</v>
      </c>
      <c r="H763" s="60">
        <v>4752.07</v>
      </c>
      <c r="I763" s="228">
        <v>997.93</v>
      </c>
      <c r="J763" s="229"/>
      <c r="K763" s="229"/>
      <c r="L763" s="229">
        <f>SUM(ventas_b_mes11[[#This Row],[IMPORTE NETO]:[EXENTO]])</f>
        <v>5750</v>
      </c>
      <c r="M763" s="55"/>
    </row>
    <row r="764" spans="2:13" x14ac:dyDescent="0.3">
      <c r="B764" s="223">
        <v>44838</v>
      </c>
      <c r="C764" s="224">
        <v>6</v>
      </c>
      <c r="D764" s="225">
        <v>12</v>
      </c>
      <c r="E764" s="226">
        <v>21997</v>
      </c>
      <c r="F764" s="227">
        <v>18409926</v>
      </c>
      <c r="G764" s="1" t="s">
        <v>209</v>
      </c>
      <c r="H764" s="60">
        <v>2024.79</v>
      </c>
      <c r="I764" s="228">
        <v>425.21</v>
      </c>
      <c r="J764" s="229"/>
      <c r="K764" s="229"/>
      <c r="L764" s="229">
        <f>SUM(ventas_b_mes11[[#This Row],[IMPORTE NETO]:[EXENTO]])</f>
        <v>2450</v>
      </c>
      <c r="M764" s="55"/>
    </row>
    <row r="765" spans="2:13" x14ac:dyDescent="0.3">
      <c r="B765" s="223">
        <v>44838</v>
      </c>
      <c r="C765" s="224">
        <v>6</v>
      </c>
      <c r="D765" s="225">
        <v>12</v>
      </c>
      <c r="E765" s="226">
        <v>21998</v>
      </c>
      <c r="F765" s="227">
        <v>37753284</v>
      </c>
      <c r="G765" s="1" t="s">
        <v>237</v>
      </c>
      <c r="H765" s="60">
        <v>9185.9599999999991</v>
      </c>
      <c r="I765" s="228">
        <v>1929.05</v>
      </c>
      <c r="J765" s="229"/>
      <c r="K765" s="229"/>
      <c r="L765" s="229">
        <f>SUM(ventas_b_mes11[[#This Row],[IMPORTE NETO]:[EXENTO]])</f>
        <v>11115.009999999998</v>
      </c>
      <c r="M765" s="55"/>
    </row>
    <row r="766" spans="2:13" x14ac:dyDescent="0.3">
      <c r="B766" s="223">
        <v>44838</v>
      </c>
      <c r="C766" s="224">
        <v>6</v>
      </c>
      <c r="D766" s="225">
        <v>12</v>
      </c>
      <c r="E766" s="226">
        <v>21999</v>
      </c>
      <c r="F766" s="227">
        <v>94904752</v>
      </c>
      <c r="G766" s="1" t="s">
        <v>240</v>
      </c>
      <c r="H766" s="60">
        <v>4545.45</v>
      </c>
      <c r="I766" s="228">
        <v>954.55</v>
      </c>
      <c r="J766" s="229"/>
      <c r="K766" s="229"/>
      <c r="L766" s="229">
        <f>SUM(ventas_b_mes11[[#This Row],[IMPORTE NETO]:[EXENTO]])</f>
        <v>5500</v>
      </c>
      <c r="M766" s="55"/>
    </row>
    <row r="767" spans="2:13" x14ac:dyDescent="0.3">
      <c r="B767" s="223">
        <v>44838</v>
      </c>
      <c r="C767" s="224">
        <v>6</v>
      </c>
      <c r="D767" s="225">
        <v>12</v>
      </c>
      <c r="E767" s="226">
        <v>22000</v>
      </c>
      <c r="F767" s="227">
        <v>27930845</v>
      </c>
      <c r="G767" s="1" t="s">
        <v>231</v>
      </c>
      <c r="H767" s="60">
        <v>11516.12</v>
      </c>
      <c r="I767" s="228">
        <v>2418.38</v>
      </c>
      <c r="J767" s="229"/>
      <c r="K767" s="229"/>
      <c r="L767" s="229">
        <f>SUM(ventas_b_mes11[[#This Row],[IMPORTE NETO]:[EXENTO]])</f>
        <v>13934.5</v>
      </c>
      <c r="M767" s="55"/>
    </row>
    <row r="768" spans="2:13" x14ac:dyDescent="0.3">
      <c r="B768" s="223">
        <v>44838</v>
      </c>
      <c r="C768" s="224">
        <v>6</v>
      </c>
      <c r="D768" s="225">
        <v>12</v>
      </c>
      <c r="E768" s="226">
        <v>22001</v>
      </c>
      <c r="F768" s="227">
        <v>26311883</v>
      </c>
      <c r="G768" s="1" t="s">
        <v>214</v>
      </c>
      <c r="H768" s="60">
        <v>4545.45</v>
      </c>
      <c r="I768" s="228">
        <v>954.55</v>
      </c>
      <c r="J768" s="229"/>
      <c r="K768" s="229"/>
      <c r="L768" s="229">
        <f>SUM(ventas_b_mes11[[#This Row],[IMPORTE NETO]:[EXENTO]])</f>
        <v>5500</v>
      </c>
      <c r="M768" s="55"/>
    </row>
    <row r="769" spans="2:13" x14ac:dyDescent="0.3">
      <c r="B769" s="223">
        <v>44838</v>
      </c>
      <c r="C769" s="224">
        <v>6</v>
      </c>
      <c r="D769" s="225">
        <v>12</v>
      </c>
      <c r="E769" s="226">
        <v>22002</v>
      </c>
      <c r="F769" s="227">
        <v>18409926</v>
      </c>
      <c r="G769" s="1" t="s">
        <v>209</v>
      </c>
      <c r="H769" s="60">
        <v>8165.29</v>
      </c>
      <c r="I769" s="228">
        <v>1714.71</v>
      </c>
      <c r="J769" s="229"/>
      <c r="K769" s="229"/>
      <c r="L769" s="229">
        <f>SUM(ventas_b_mes11[[#This Row],[IMPORTE NETO]:[EXENTO]])</f>
        <v>9880</v>
      </c>
      <c r="M769" s="55"/>
    </row>
    <row r="770" spans="2:13" x14ac:dyDescent="0.3">
      <c r="B770" s="223">
        <v>44838</v>
      </c>
      <c r="C770" s="224">
        <v>6</v>
      </c>
      <c r="D770" s="225">
        <v>12</v>
      </c>
      <c r="E770" s="226">
        <v>22003</v>
      </c>
      <c r="F770" s="227">
        <v>18409926</v>
      </c>
      <c r="G770" s="1" t="s">
        <v>209</v>
      </c>
      <c r="H770" s="60">
        <v>2652.89</v>
      </c>
      <c r="I770" s="228">
        <v>557.11</v>
      </c>
      <c r="J770" s="229"/>
      <c r="K770" s="229"/>
      <c r="L770" s="229">
        <f>SUM(ventas_b_mes11[[#This Row],[IMPORTE NETO]:[EXENTO]])</f>
        <v>3210</v>
      </c>
      <c r="M770" s="55"/>
    </row>
    <row r="771" spans="2:13" x14ac:dyDescent="0.3">
      <c r="B771" s="223">
        <v>44838</v>
      </c>
      <c r="C771" s="224">
        <v>6</v>
      </c>
      <c r="D771" s="225">
        <v>12</v>
      </c>
      <c r="E771" s="226">
        <v>22004</v>
      </c>
      <c r="F771" s="227">
        <v>26311883</v>
      </c>
      <c r="G771" s="1" t="s">
        <v>214</v>
      </c>
      <c r="H771" s="60">
        <v>8965.2800000000007</v>
      </c>
      <c r="I771" s="228">
        <v>1882.71</v>
      </c>
      <c r="J771" s="229"/>
      <c r="K771" s="229"/>
      <c r="L771" s="229">
        <f>SUM(ventas_b_mes11[[#This Row],[IMPORTE NETO]:[EXENTO]])</f>
        <v>10847.990000000002</v>
      </c>
      <c r="M771" s="55"/>
    </row>
    <row r="772" spans="2:13" x14ac:dyDescent="0.3">
      <c r="B772" s="223">
        <v>44839</v>
      </c>
      <c r="C772" s="224">
        <v>6</v>
      </c>
      <c r="D772" s="225">
        <v>12</v>
      </c>
      <c r="E772" s="226">
        <v>22005</v>
      </c>
      <c r="F772" s="227">
        <v>44610864</v>
      </c>
      <c r="G772" s="1" t="s">
        <v>298</v>
      </c>
      <c r="H772" s="60">
        <v>4958.68</v>
      </c>
      <c r="I772" s="228">
        <v>1041.32</v>
      </c>
      <c r="J772" s="229"/>
      <c r="K772" s="229"/>
      <c r="L772" s="229">
        <f>SUM(ventas_b_mes11[[#This Row],[IMPORTE NETO]:[EXENTO]])</f>
        <v>6000</v>
      </c>
      <c r="M772" s="55"/>
    </row>
    <row r="773" spans="2:13" x14ac:dyDescent="0.3">
      <c r="B773" s="223">
        <v>44839</v>
      </c>
      <c r="C773" s="224">
        <v>6</v>
      </c>
      <c r="D773" s="225">
        <v>12</v>
      </c>
      <c r="E773" s="226">
        <v>22006</v>
      </c>
      <c r="F773" s="227">
        <v>13782543</v>
      </c>
      <c r="G773" s="1" t="s">
        <v>284</v>
      </c>
      <c r="H773" s="60">
        <v>5446.28</v>
      </c>
      <c r="I773" s="228">
        <v>1143.72</v>
      </c>
      <c r="J773" s="229"/>
      <c r="K773" s="229"/>
      <c r="L773" s="229">
        <f>SUM(ventas_b_mes11[[#This Row],[IMPORTE NETO]:[EXENTO]])</f>
        <v>6590</v>
      </c>
      <c r="M773" s="55"/>
    </row>
    <row r="774" spans="2:13" x14ac:dyDescent="0.3">
      <c r="B774" s="223">
        <v>44839</v>
      </c>
      <c r="C774" s="224">
        <v>6</v>
      </c>
      <c r="D774" s="225">
        <v>12</v>
      </c>
      <c r="E774" s="226">
        <v>22007</v>
      </c>
      <c r="F774" s="227">
        <v>38827873</v>
      </c>
      <c r="G774" s="1" t="s">
        <v>282</v>
      </c>
      <c r="H774" s="60">
        <v>1537.19</v>
      </c>
      <c r="I774" s="228">
        <v>322.81</v>
      </c>
      <c r="J774" s="229"/>
      <c r="K774" s="229"/>
      <c r="L774" s="229">
        <f>SUM(ventas_b_mes11[[#This Row],[IMPORTE NETO]:[EXENTO]])</f>
        <v>1860</v>
      </c>
      <c r="M774" s="55"/>
    </row>
    <row r="775" spans="2:13" x14ac:dyDescent="0.3">
      <c r="B775" s="223">
        <v>44839</v>
      </c>
      <c r="C775" s="224">
        <v>6</v>
      </c>
      <c r="D775" s="225">
        <v>12</v>
      </c>
      <c r="E775" s="226">
        <v>22008</v>
      </c>
      <c r="F775" s="227">
        <v>27940533924</v>
      </c>
      <c r="G775" s="1" t="s">
        <v>281</v>
      </c>
      <c r="H775" s="60">
        <v>14838.85</v>
      </c>
      <c r="I775" s="228">
        <v>3116.16</v>
      </c>
      <c r="J775" s="229"/>
      <c r="K775" s="229"/>
      <c r="L775" s="229">
        <f>SUM(ventas_b_mes11[[#This Row],[IMPORTE NETO]:[EXENTO]])</f>
        <v>17955.010000000002</v>
      </c>
      <c r="M775" s="55"/>
    </row>
    <row r="776" spans="2:13" x14ac:dyDescent="0.3">
      <c r="B776" s="223">
        <v>44839</v>
      </c>
      <c r="C776" s="224">
        <v>6</v>
      </c>
      <c r="D776" s="225">
        <v>12</v>
      </c>
      <c r="E776" s="226">
        <v>22009</v>
      </c>
      <c r="F776" s="227">
        <v>27940533924</v>
      </c>
      <c r="G776" s="1" t="s">
        <v>281</v>
      </c>
      <c r="H776" s="60">
        <v>4338.84</v>
      </c>
      <c r="I776" s="228">
        <v>911.16</v>
      </c>
      <c r="J776" s="229"/>
      <c r="K776" s="229"/>
      <c r="L776" s="229">
        <f>SUM(ventas_b_mes11[[#This Row],[IMPORTE NETO]:[EXENTO]])</f>
        <v>5250</v>
      </c>
      <c r="M776" s="55"/>
    </row>
    <row r="777" spans="2:13" x14ac:dyDescent="0.3">
      <c r="B777" s="223">
        <v>44839</v>
      </c>
      <c r="C777" s="224">
        <v>6</v>
      </c>
      <c r="D777" s="225">
        <v>12</v>
      </c>
      <c r="E777" s="226">
        <v>22010</v>
      </c>
      <c r="F777" s="227">
        <v>25817118</v>
      </c>
      <c r="G777" s="1" t="s">
        <v>313</v>
      </c>
      <c r="H777" s="60">
        <v>23371.9</v>
      </c>
      <c r="I777" s="228">
        <v>4908.1000000000004</v>
      </c>
      <c r="J777" s="229"/>
      <c r="K777" s="229"/>
      <c r="L777" s="229">
        <f>SUM(ventas_b_mes11[[#This Row],[IMPORTE NETO]:[EXENTO]])</f>
        <v>28280</v>
      </c>
      <c r="M777" s="55"/>
    </row>
    <row r="778" spans="2:13" x14ac:dyDescent="0.3">
      <c r="B778" s="223">
        <v>44839</v>
      </c>
      <c r="C778" s="224">
        <v>6</v>
      </c>
      <c r="D778" s="225">
        <v>12</v>
      </c>
      <c r="E778" s="226">
        <v>22011</v>
      </c>
      <c r="F778" s="227">
        <v>41690008</v>
      </c>
      <c r="G778" s="1" t="s">
        <v>283</v>
      </c>
      <c r="H778" s="60">
        <v>4958.68</v>
      </c>
      <c r="I778" s="228">
        <v>1041.32</v>
      </c>
      <c r="J778" s="229"/>
      <c r="K778" s="229"/>
      <c r="L778" s="229">
        <f>SUM(ventas_b_mes11[[#This Row],[IMPORTE NETO]:[EXENTO]])</f>
        <v>6000</v>
      </c>
      <c r="M778" s="55"/>
    </row>
    <row r="779" spans="2:13" x14ac:dyDescent="0.3">
      <c r="B779" s="223">
        <v>44839</v>
      </c>
      <c r="C779" s="224">
        <v>6</v>
      </c>
      <c r="D779" s="225">
        <v>12</v>
      </c>
      <c r="E779" s="226">
        <v>22012</v>
      </c>
      <c r="F779" s="227">
        <v>12846021</v>
      </c>
      <c r="G779" s="1"/>
      <c r="H779" s="60">
        <v>4016.54</v>
      </c>
      <c r="I779" s="228">
        <v>843.47</v>
      </c>
      <c r="J779" s="229"/>
      <c r="K779" s="229"/>
      <c r="L779" s="229">
        <f>SUM(ventas_b_mes11[[#This Row],[IMPORTE NETO]:[EXENTO]])</f>
        <v>4860.01</v>
      </c>
      <c r="M779" s="55"/>
    </row>
    <row r="780" spans="2:13" x14ac:dyDescent="0.3">
      <c r="B780" s="223">
        <v>44839</v>
      </c>
      <c r="C780" s="224">
        <v>6</v>
      </c>
      <c r="D780" s="225">
        <v>12</v>
      </c>
      <c r="E780" s="226">
        <v>22013</v>
      </c>
      <c r="F780" s="227">
        <v>33718803</v>
      </c>
      <c r="G780" s="1" t="s">
        <v>280</v>
      </c>
      <c r="H780" s="60">
        <v>8476.0300000000007</v>
      </c>
      <c r="I780" s="228">
        <v>1779.97</v>
      </c>
      <c r="J780" s="229"/>
      <c r="K780" s="229"/>
      <c r="L780" s="229">
        <f>SUM(ventas_b_mes11[[#This Row],[IMPORTE NETO]:[EXENTO]])</f>
        <v>10256</v>
      </c>
      <c r="M780" s="55"/>
    </row>
    <row r="781" spans="2:13" x14ac:dyDescent="0.3">
      <c r="B781" s="223">
        <v>44839</v>
      </c>
      <c r="C781" s="224">
        <v>6</v>
      </c>
      <c r="D781" s="225">
        <v>12</v>
      </c>
      <c r="E781" s="226">
        <v>22014</v>
      </c>
      <c r="F781" s="227">
        <v>95913205</v>
      </c>
      <c r="G781" s="1" t="s">
        <v>271</v>
      </c>
      <c r="H781" s="60">
        <v>4958.68</v>
      </c>
      <c r="I781" s="228">
        <v>1041.32</v>
      </c>
      <c r="J781" s="229"/>
      <c r="K781" s="229"/>
      <c r="L781" s="229">
        <f>SUM(ventas_b_mes11[[#This Row],[IMPORTE NETO]:[EXENTO]])</f>
        <v>6000</v>
      </c>
      <c r="M781" s="55"/>
    </row>
    <row r="782" spans="2:13" x14ac:dyDescent="0.3">
      <c r="B782" s="223">
        <v>44839</v>
      </c>
      <c r="C782" s="224">
        <v>6</v>
      </c>
      <c r="D782" s="225">
        <v>12</v>
      </c>
      <c r="E782" s="226">
        <v>22015</v>
      </c>
      <c r="F782" s="227">
        <v>27031560</v>
      </c>
      <c r="G782" s="1" t="s">
        <v>290</v>
      </c>
      <c r="H782" s="60">
        <v>4545.45</v>
      </c>
      <c r="I782" s="228">
        <v>954.55</v>
      </c>
      <c r="J782" s="229"/>
      <c r="K782" s="229"/>
      <c r="L782" s="229">
        <f>SUM(ventas_b_mes11[[#This Row],[IMPORTE NETO]:[EXENTO]])</f>
        <v>5500</v>
      </c>
      <c r="M782" s="55"/>
    </row>
    <row r="783" spans="2:13" x14ac:dyDescent="0.3">
      <c r="B783" s="223">
        <v>44840</v>
      </c>
      <c r="C783" s="224">
        <v>6</v>
      </c>
      <c r="D783" s="225">
        <v>12</v>
      </c>
      <c r="E783" s="226">
        <v>22016</v>
      </c>
      <c r="F783" s="227">
        <v>18191523</v>
      </c>
      <c r="G783" s="1" t="s">
        <v>324</v>
      </c>
      <c r="H783" s="60">
        <v>3008.26</v>
      </c>
      <c r="I783" s="228">
        <v>631.74</v>
      </c>
      <c r="J783" s="229"/>
      <c r="K783" s="229"/>
      <c r="L783" s="229">
        <f>SUM(ventas_b_mes11[[#This Row],[IMPORTE NETO]:[EXENTO]])</f>
        <v>3640</v>
      </c>
      <c r="M783" s="55"/>
    </row>
    <row r="784" spans="2:13" x14ac:dyDescent="0.3">
      <c r="B784" s="223">
        <v>44840</v>
      </c>
      <c r="C784" s="224">
        <v>6</v>
      </c>
      <c r="D784" s="225">
        <v>12</v>
      </c>
      <c r="E784" s="226">
        <v>22017</v>
      </c>
      <c r="F784" s="227">
        <v>18191523</v>
      </c>
      <c r="G784" s="1" t="s">
        <v>324</v>
      </c>
      <c r="H784" s="60">
        <v>3719.01</v>
      </c>
      <c r="I784" s="228">
        <v>780.99</v>
      </c>
      <c r="J784" s="229"/>
      <c r="K784" s="229"/>
      <c r="L784" s="229">
        <f>SUM(ventas_b_mes11[[#This Row],[IMPORTE NETO]:[EXENTO]])</f>
        <v>4500</v>
      </c>
      <c r="M784" s="55"/>
    </row>
    <row r="785" spans="2:13" x14ac:dyDescent="0.3">
      <c r="B785" s="223">
        <v>44840</v>
      </c>
      <c r="C785" s="224">
        <v>6</v>
      </c>
      <c r="D785" s="225">
        <v>12</v>
      </c>
      <c r="E785" s="226">
        <v>22018</v>
      </c>
      <c r="F785" s="227">
        <v>0</v>
      </c>
      <c r="G785" s="1"/>
      <c r="H785" s="60">
        <v>297.52</v>
      </c>
      <c r="I785" s="228">
        <v>62.48</v>
      </c>
      <c r="J785" s="229"/>
      <c r="K785" s="229"/>
      <c r="L785" s="229">
        <f>SUM(ventas_b_mes11[[#This Row],[IMPORTE NETO]:[EXENTO]])</f>
        <v>360</v>
      </c>
      <c r="M785" s="55"/>
    </row>
    <row r="786" spans="2:13" x14ac:dyDescent="0.3">
      <c r="B786" s="223">
        <v>44840</v>
      </c>
      <c r="C786" s="224">
        <v>6</v>
      </c>
      <c r="D786" s="225">
        <v>12</v>
      </c>
      <c r="E786" s="226">
        <v>22019</v>
      </c>
      <c r="F786" s="227">
        <v>27031560</v>
      </c>
      <c r="G786" s="1" t="s">
        <v>290</v>
      </c>
      <c r="H786" s="60">
        <v>3057.85</v>
      </c>
      <c r="I786" s="228">
        <v>642.15</v>
      </c>
      <c r="J786" s="229"/>
      <c r="K786" s="229"/>
      <c r="L786" s="229">
        <f>SUM(ventas_b_mes11[[#This Row],[IMPORTE NETO]:[EXENTO]])</f>
        <v>3700</v>
      </c>
      <c r="M786" s="55"/>
    </row>
    <row r="787" spans="2:13" x14ac:dyDescent="0.3">
      <c r="B787" s="223">
        <v>44840</v>
      </c>
      <c r="C787" s="224">
        <v>6</v>
      </c>
      <c r="D787" s="225">
        <v>12</v>
      </c>
      <c r="E787" s="226">
        <v>22020</v>
      </c>
      <c r="F787" s="227">
        <v>27031560</v>
      </c>
      <c r="G787" s="1" t="s">
        <v>290</v>
      </c>
      <c r="H787" s="60">
        <v>595.04</v>
      </c>
      <c r="I787" s="228">
        <v>124.96</v>
      </c>
      <c r="J787" s="229"/>
      <c r="K787" s="229"/>
      <c r="L787" s="229">
        <f>SUM(ventas_b_mes11[[#This Row],[IMPORTE NETO]:[EXENTO]])</f>
        <v>720</v>
      </c>
      <c r="M787" s="55"/>
    </row>
    <row r="788" spans="2:13" x14ac:dyDescent="0.3">
      <c r="B788" s="223" t="s">
        <v>108</v>
      </c>
      <c r="C788" s="224">
        <v>6</v>
      </c>
      <c r="D788" s="225">
        <v>12</v>
      </c>
      <c r="E788" s="226">
        <v>22021</v>
      </c>
      <c r="F788" s="227">
        <v>14897192</v>
      </c>
      <c r="G788" s="1" t="s">
        <v>353</v>
      </c>
      <c r="H788" s="60">
        <v>1404.96</v>
      </c>
      <c r="I788" s="228">
        <v>295.04000000000002</v>
      </c>
      <c r="J788" s="229"/>
      <c r="K788" s="229"/>
      <c r="L788" s="229">
        <f>SUM(ventas_b_mes11[[#This Row],[IMPORTE NETO]:[EXENTO]])</f>
        <v>1700</v>
      </c>
      <c r="M788" s="55"/>
    </row>
    <row r="789" spans="2:13" x14ac:dyDescent="0.3">
      <c r="B789" s="223">
        <v>44840</v>
      </c>
      <c r="C789" s="224">
        <v>6</v>
      </c>
      <c r="D789" s="225">
        <v>12</v>
      </c>
      <c r="E789" s="226">
        <v>22022</v>
      </c>
      <c r="F789" s="227">
        <v>12758459</v>
      </c>
      <c r="G789" s="1" t="s">
        <v>135</v>
      </c>
      <c r="H789" s="60">
        <v>1033.06</v>
      </c>
      <c r="I789" s="228">
        <v>216.94</v>
      </c>
      <c r="J789" s="229"/>
      <c r="K789" s="229"/>
      <c r="L789" s="229">
        <f>SUM(ventas_b_mes11[[#This Row],[IMPORTE NETO]:[EXENTO]])</f>
        <v>1250</v>
      </c>
      <c r="M789" s="55"/>
    </row>
    <row r="790" spans="2:13" x14ac:dyDescent="0.3">
      <c r="B790" s="223">
        <v>44840</v>
      </c>
      <c r="C790" s="224">
        <v>6</v>
      </c>
      <c r="D790" s="225">
        <v>12</v>
      </c>
      <c r="E790" s="226">
        <v>22023</v>
      </c>
      <c r="F790" s="227">
        <v>31572550</v>
      </c>
      <c r="G790" s="1" t="s">
        <v>325</v>
      </c>
      <c r="H790" s="60">
        <v>8801.65</v>
      </c>
      <c r="I790" s="228">
        <v>1848.35</v>
      </c>
      <c r="J790" s="229"/>
      <c r="K790" s="229"/>
      <c r="L790" s="229">
        <f>SUM(ventas_b_mes11[[#This Row],[IMPORTE NETO]:[EXENTO]])</f>
        <v>10650</v>
      </c>
      <c r="M790" s="55"/>
    </row>
    <row r="791" spans="2:13" x14ac:dyDescent="0.3">
      <c r="B791" s="223">
        <v>44840</v>
      </c>
      <c r="C791" s="224">
        <v>6</v>
      </c>
      <c r="D791" s="225">
        <v>12</v>
      </c>
      <c r="E791" s="226">
        <v>22024</v>
      </c>
      <c r="F791" s="227">
        <v>27285928</v>
      </c>
      <c r="G791" s="1" t="s">
        <v>322</v>
      </c>
      <c r="H791" s="60">
        <v>12243.79</v>
      </c>
      <c r="I791" s="228">
        <v>2571.1999999999998</v>
      </c>
      <c r="J791" s="229"/>
      <c r="K791" s="229"/>
      <c r="L791" s="229">
        <f>SUM(ventas_b_mes11[[#This Row],[IMPORTE NETO]:[EXENTO]])</f>
        <v>14814.990000000002</v>
      </c>
      <c r="M791" s="55"/>
    </row>
    <row r="792" spans="2:13" x14ac:dyDescent="0.3">
      <c r="B792" s="223">
        <v>44840</v>
      </c>
      <c r="C792" s="224">
        <v>6</v>
      </c>
      <c r="D792" s="225">
        <v>12</v>
      </c>
      <c r="E792" s="226">
        <v>22025</v>
      </c>
      <c r="F792" s="227">
        <v>22144362</v>
      </c>
      <c r="G792" s="1" t="s">
        <v>351</v>
      </c>
      <c r="H792" s="60">
        <v>3595.05</v>
      </c>
      <c r="I792" s="228">
        <v>754.96</v>
      </c>
      <c r="J792" s="229"/>
      <c r="K792" s="229"/>
      <c r="L792" s="229">
        <f>SUM(ventas_b_mes11[[#This Row],[IMPORTE NETO]:[EXENTO]])</f>
        <v>4350.01</v>
      </c>
      <c r="M792" s="55"/>
    </row>
    <row r="793" spans="2:13" x14ac:dyDescent="0.3">
      <c r="B793" s="223">
        <v>44840</v>
      </c>
      <c r="C793" s="224">
        <v>6</v>
      </c>
      <c r="D793" s="225">
        <v>12</v>
      </c>
      <c r="E793" s="226">
        <v>22026</v>
      </c>
      <c r="F793" s="227">
        <v>38845096</v>
      </c>
      <c r="G793" s="1" t="s">
        <v>342</v>
      </c>
      <c r="H793" s="60">
        <v>4958.68</v>
      </c>
      <c r="I793" s="228">
        <v>1041.32</v>
      </c>
      <c r="J793" s="229"/>
      <c r="K793" s="229"/>
      <c r="L793" s="229">
        <f>SUM(ventas_b_mes11[[#This Row],[IMPORTE NETO]:[EXENTO]])</f>
        <v>6000</v>
      </c>
      <c r="M793" s="55"/>
    </row>
    <row r="794" spans="2:13" x14ac:dyDescent="0.3">
      <c r="B794" s="223">
        <v>44840</v>
      </c>
      <c r="C794" s="224">
        <v>6</v>
      </c>
      <c r="D794" s="225">
        <v>12</v>
      </c>
      <c r="E794" s="226">
        <v>22027</v>
      </c>
      <c r="F794" s="227">
        <v>25094683</v>
      </c>
      <c r="G794" s="1" t="s">
        <v>327</v>
      </c>
      <c r="H794" s="60">
        <v>991.74</v>
      </c>
      <c r="I794" s="228">
        <v>208.26</v>
      </c>
      <c r="J794" s="229"/>
      <c r="K794" s="229"/>
      <c r="L794" s="229">
        <f>SUM(ventas_b_mes11[[#This Row],[IMPORTE NETO]:[EXENTO]])</f>
        <v>1200</v>
      </c>
      <c r="M794" s="55"/>
    </row>
    <row r="795" spans="2:13" x14ac:dyDescent="0.3">
      <c r="B795" s="223">
        <v>44840</v>
      </c>
      <c r="C795" s="224">
        <v>6</v>
      </c>
      <c r="D795" s="225">
        <v>12</v>
      </c>
      <c r="E795" s="226">
        <v>22028</v>
      </c>
      <c r="F795" s="227">
        <v>45581416</v>
      </c>
      <c r="G795" s="1" t="s">
        <v>345</v>
      </c>
      <c r="H795" s="60">
        <v>1752.07</v>
      </c>
      <c r="I795" s="228">
        <v>367.94</v>
      </c>
      <c r="J795" s="229"/>
      <c r="K795" s="229"/>
      <c r="L795" s="229">
        <f>SUM(ventas_b_mes11[[#This Row],[IMPORTE NETO]:[EXENTO]])</f>
        <v>2120.0099999999998</v>
      </c>
      <c r="M795" s="55"/>
    </row>
    <row r="796" spans="2:13" x14ac:dyDescent="0.3">
      <c r="B796" s="223">
        <v>44840</v>
      </c>
      <c r="C796" s="224">
        <v>6</v>
      </c>
      <c r="D796" s="225">
        <v>12</v>
      </c>
      <c r="E796" s="226">
        <v>22029</v>
      </c>
      <c r="F796" s="227">
        <v>94028703</v>
      </c>
      <c r="G796" s="1" t="s">
        <v>349</v>
      </c>
      <c r="H796" s="60">
        <v>8553.7199999999993</v>
      </c>
      <c r="I796" s="228">
        <v>1796.28</v>
      </c>
      <c r="J796" s="229"/>
      <c r="K796" s="229"/>
      <c r="L796" s="229">
        <f>SUM(ventas_b_mes11[[#This Row],[IMPORTE NETO]:[EXENTO]])</f>
        <v>10350</v>
      </c>
      <c r="M796" s="55"/>
    </row>
    <row r="797" spans="2:13" x14ac:dyDescent="0.3">
      <c r="B797" s="223">
        <v>44840</v>
      </c>
      <c r="C797" s="224">
        <v>6</v>
      </c>
      <c r="D797" s="225">
        <v>12</v>
      </c>
      <c r="E797" s="226">
        <v>22030</v>
      </c>
      <c r="F797" s="227">
        <v>11543320</v>
      </c>
      <c r="G797" s="1" t="s">
        <v>360</v>
      </c>
      <c r="H797" s="60">
        <v>2743.8</v>
      </c>
      <c r="I797" s="228">
        <v>576.20000000000005</v>
      </c>
      <c r="J797" s="229"/>
      <c r="K797" s="229"/>
      <c r="L797" s="229">
        <f>SUM(ventas_b_mes11[[#This Row],[IMPORTE NETO]:[EXENTO]])</f>
        <v>3320</v>
      </c>
      <c r="M797" s="55"/>
    </row>
    <row r="798" spans="2:13" x14ac:dyDescent="0.3">
      <c r="B798" s="223">
        <v>44840</v>
      </c>
      <c r="C798" s="224">
        <v>6</v>
      </c>
      <c r="D798" s="225">
        <v>12</v>
      </c>
      <c r="E798" s="226">
        <v>22031</v>
      </c>
      <c r="F798" s="227">
        <v>11543320</v>
      </c>
      <c r="G798" s="1" t="s">
        <v>360</v>
      </c>
      <c r="H798" s="60">
        <v>2115.6999999999998</v>
      </c>
      <c r="I798" s="228">
        <v>444.3</v>
      </c>
      <c r="J798" s="229"/>
      <c r="K798" s="229"/>
      <c r="L798" s="229">
        <f>SUM(ventas_b_mes11[[#This Row],[IMPORTE NETO]:[EXENTO]])</f>
        <v>2560</v>
      </c>
      <c r="M798" s="55"/>
    </row>
    <row r="799" spans="2:13" x14ac:dyDescent="0.3">
      <c r="B799" s="223">
        <v>44840</v>
      </c>
      <c r="C799" s="224">
        <v>6</v>
      </c>
      <c r="D799" s="225">
        <v>12</v>
      </c>
      <c r="E799" s="226">
        <v>22032</v>
      </c>
      <c r="F799" s="227">
        <v>0</v>
      </c>
      <c r="G799" s="1"/>
      <c r="H799" s="60">
        <v>3404.97</v>
      </c>
      <c r="I799" s="228">
        <v>715.04</v>
      </c>
      <c r="J799" s="229"/>
      <c r="K799" s="229"/>
      <c r="L799" s="229">
        <f>SUM(ventas_b_mes11[[#This Row],[IMPORTE NETO]:[EXENTO]])</f>
        <v>4120.01</v>
      </c>
      <c r="M799" s="55"/>
    </row>
    <row r="800" spans="2:13" x14ac:dyDescent="0.3">
      <c r="B800" s="223">
        <v>44840</v>
      </c>
      <c r="C800" s="224">
        <v>6</v>
      </c>
      <c r="D800" s="225">
        <v>12</v>
      </c>
      <c r="E800" s="226">
        <v>22033</v>
      </c>
      <c r="F800" s="227">
        <v>26168032</v>
      </c>
      <c r="G800" s="1" t="s">
        <v>339</v>
      </c>
      <c r="H800" s="60">
        <v>1652.89</v>
      </c>
      <c r="I800" s="228">
        <v>347.11</v>
      </c>
      <c r="J800" s="229"/>
      <c r="K800" s="229"/>
      <c r="L800" s="229">
        <f>SUM(ventas_b_mes11[[#This Row],[IMPORTE NETO]:[EXENTO]])</f>
        <v>2000</v>
      </c>
      <c r="M800" s="55"/>
    </row>
    <row r="801" spans="2:13" x14ac:dyDescent="0.3">
      <c r="B801" s="223">
        <v>44840</v>
      </c>
      <c r="C801" s="224">
        <v>6</v>
      </c>
      <c r="D801" s="225">
        <v>12</v>
      </c>
      <c r="E801" s="226">
        <v>22034</v>
      </c>
      <c r="F801" s="227">
        <v>33116945</v>
      </c>
      <c r="G801" s="1" t="s">
        <v>361</v>
      </c>
      <c r="H801" s="60">
        <v>4925.62</v>
      </c>
      <c r="I801" s="228">
        <v>1034.3800000000001</v>
      </c>
      <c r="J801" s="229"/>
      <c r="K801" s="229"/>
      <c r="L801" s="229">
        <f>SUM(ventas_b_mes11[[#This Row],[IMPORTE NETO]:[EXENTO]])</f>
        <v>5960</v>
      </c>
      <c r="M801" s="55"/>
    </row>
    <row r="802" spans="2:13" x14ac:dyDescent="0.3">
      <c r="B802" s="223">
        <v>44840</v>
      </c>
      <c r="C802" s="224">
        <v>6</v>
      </c>
      <c r="D802" s="225">
        <v>12</v>
      </c>
      <c r="E802" s="226">
        <v>22035</v>
      </c>
      <c r="F802" s="227">
        <v>17865836</v>
      </c>
      <c r="G802" s="1" t="s">
        <v>362</v>
      </c>
      <c r="H802" s="60">
        <v>4157.03</v>
      </c>
      <c r="I802" s="228">
        <v>872.98</v>
      </c>
      <c r="J802" s="229"/>
      <c r="K802" s="229"/>
      <c r="L802" s="229">
        <f>SUM(ventas_b_mes11[[#This Row],[IMPORTE NETO]:[EXENTO]])</f>
        <v>5030.01</v>
      </c>
      <c r="M802" s="55"/>
    </row>
    <row r="803" spans="2:13" x14ac:dyDescent="0.3">
      <c r="B803" s="223">
        <v>44840</v>
      </c>
      <c r="C803" s="224">
        <v>6</v>
      </c>
      <c r="D803" s="225">
        <v>12</v>
      </c>
      <c r="E803" s="226">
        <v>22036</v>
      </c>
      <c r="F803" s="227">
        <v>36521789</v>
      </c>
      <c r="G803" s="1" t="s">
        <v>365</v>
      </c>
      <c r="H803" s="60">
        <v>9008.26</v>
      </c>
      <c r="I803" s="228">
        <v>1891.74</v>
      </c>
      <c r="J803" s="229"/>
      <c r="K803" s="229"/>
      <c r="L803" s="229">
        <f>SUM(ventas_b_mes11[[#This Row],[IMPORTE NETO]:[EXENTO]])</f>
        <v>10900</v>
      </c>
      <c r="M803" s="55"/>
    </row>
    <row r="804" spans="2:13" x14ac:dyDescent="0.3">
      <c r="B804" s="223">
        <v>44840</v>
      </c>
      <c r="C804" s="224">
        <v>6</v>
      </c>
      <c r="D804" s="225">
        <v>12</v>
      </c>
      <c r="E804" s="226">
        <v>22037</v>
      </c>
      <c r="F804" s="227">
        <v>36854984</v>
      </c>
      <c r="G804" s="1" t="s">
        <v>326</v>
      </c>
      <c r="H804" s="60">
        <v>17702.48</v>
      </c>
      <c r="I804" s="228">
        <v>3717.52</v>
      </c>
      <c r="J804" s="229"/>
      <c r="K804" s="229"/>
      <c r="L804" s="229">
        <f>SUM(ventas_b_mes11[[#This Row],[IMPORTE NETO]:[EXENTO]])</f>
        <v>21420</v>
      </c>
      <c r="M804" s="55"/>
    </row>
    <row r="805" spans="2:13" x14ac:dyDescent="0.3">
      <c r="B805" s="223">
        <v>44840</v>
      </c>
      <c r="C805" s="224">
        <v>6</v>
      </c>
      <c r="D805" s="225">
        <v>12</v>
      </c>
      <c r="E805" s="226">
        <v>22038</v>
      </c>
      <c r="F805" s="227">
        <v>36854984</v>
      </c>
      <c r="G805" s="1" t="s">
        <v>326</v>
      </c>
      <c r="H805" s="60">
        <v>3471.07</v>
      </c>
      <c r="I805" s="228">
        <v>728.93</v>
      </c>
      <c r="J805" s="229"/>
      <c r="K805" s="229"/>
      <c r="L805" s="229">
        <f>SUM(ventas_b_mes11[[#This Row],[IMPORTE NETO]:[EXENTO]])</f>
        <v>4200</v>
      </c>
      <c r="M805" s="55"/>
    </row>
    <row r="806" spans="2:13" x14ac:dyDescent="0.3">
      <c r="B806" s="223">
        <v>44840</v>
      </c>
      <c r="C806" s="224">
        <v>6</v>
      </c>
      <c r="D806" s="225">
        <v>12</v>
      </c>
      <c r="E806" s="226">
        <v>22039</v>
      </c>
      <c r="F806" s="227">
        <v>21606235</v>
      </c>
      <c r="G806" s="1" t="s">
        <v>333</v>
      </c>
      <c r="H806" s="60">
        <v>3702.48</v>
      </c>
      <c r="I806" s="228">
        <v>777.52</v>
      </c>
      <c r="J806" s="229"/>
      <c r="K806" s="229"/>
      <c r="L806" s="229">
        <f>SUM(ventas_b_mes11[[#This Row],[IMPORTE NETO]:[EXENTO]])</f>
        <v>4480</v>
      </c>
      <c r="M806" s="55"/>
    </row>
    <row r="807" spans="2:13" x14ac:dyDescent="0.3">
      <c r="B807" s="223">
        <v>44842</v>
      </c>
      <c r="C807" s="224">
        <v>6</v>
      </c>
      <c r="D807" s="225">
        <v>12</v>
      </c>
      <c r="E807" s="226">
        <v>22040</v>
      </c>
      <c r="F807" s="227">
        <v>34343939</v>
      </c>
      <c r="G807" s="1" t="s">
        <v>386</v>
      </c>
      <c r="H807" s="60">
        <v>4958.68</v>
      </c>
      <c r="I807" s="228">
        <v>1041.32</v>
      </c>
      <c r="J807" s="229"/>
      <c r="K807" s="229"/>
      <c r="L807" s="229">
        <f>SUM(ventas_b_mes11[[#This Row],[IMPORTE NETO]:[EXENTO]])</f>
        <v>6000</v>
      </c>
      <c r="M807" s="55"/>
    </row>
    <row r="808" spans="2:13" x14ac:dyDescent="0.3">
      <c r="B808" s="223">
        <v>44842</v>
      </c>
      <c r="C808" s="224">
        <v>6</v>
      </c>
      <c r="D808" s="225">
        <v>12</v>
      </c>
      <c r="E808" s="226">
        <v>22041</v>
      </c>
      <c r="F808" s="227">
        <v>34043974</v>
      </c>
      <c r="G808" s="1" t="s">
        <v>367</v>
      </c>
      <c r="H808" s="60">
        <v>4545.45</v>
      </c>
      <c r="I808" s="228">
        <v>954.55</v>
      </c>
      <c r="J808" s="229"/>
      <c r="K808" s="229"/>
      <c r="L808" s="229">
        <f>SUM(ventas_b_mes11[[#This Row],[IMPORTE NETO]:[EXENTO]])</f>
        <v>5500</v>
      </c>
      <c r="M808" s="55"/>
    </row>
    <row r="809" spans="2:13" x14ac:dyDescent="0.3">
      <c r="B809" s="223">
        <v>44842</v>
      </c>
      <c r="C809" s="224">
        <v>6</v>
      </c>
      <c r="D809" s="225">
        <v>12</v>
      </c>
      <c r="E809" s="226">
        <v>22042</v>
      </c>
      <c r="F809" s="227">
        <v>38029687</v>
      </c>
      <c r="G809" s="1" t="s">
        <v>368</v>
      </c>
      <c r="H809" s="60">
        <v>16851.240000000002</v>
      </c>
      <c r="I809" s="228">
        <v>3538.76</v>
      </c>
      <c r="J809" s="229"/>
      <c r="K809" s="229"/>
      <c r="L809" s="229">
        <f>SUM(ventas_b_mes11[[#This Row],[IMPORTE NETO]:[EXENTO]])</f>
        <v>20390</v>
      </c>
      <c r="M809" s="55"/>
    </row>
    <row r="810" spans="2:13" x14ac:dyDescent="0.3">
      <c r="B810" s="223">
        <v>44842</v>
      </c>
      <c r="C810" s="224">
        <v>6</v>
      </c>
      <c r="D810" s="225">
        <v>12</v>
      </c>
      <c r="E810" s="226">
        <v>22043</v>
      </c>
      <c r="F810" s="227">
        <v>25123856</v>
      </c>
      <c r="G810" s="1" t="s">
        <v>370</v>
      </c>
      <c r="H810" s="60">
        <v>6859.5</v>
      </c>
      <c r="I810" s="228">
        <v>1440.5</v>
      </c>
      <c r="J810" s="229"/>
      <c r="K810" s="229"/>
      <c r="L810" s="229">
        <f>SUM(ventas_b_mes11[[#This Row],[IMPORTE NETO]:[EXENTO]])</f>
        <v>8300</v>
      </c>
      <c r="M810" s="55"/>
    </row>
    <row r="811" spans="2:13" x14ac:dyDescent="0.3">
      <c r="B811" s="223">
        <v>44842</v>
      </c>
      <c r="C811" s="224">
        <v>6</v>
      </c>
      <c r="D811" s="225">
        <v>12</v>
      </c>
      <c r="E811" s="226">
        <v>22044</v>
      </c>
      <c r="F811" s="227">
        <v>35029591</v>
      </c>
      <c r="G811" s="1" t="s">
        <v>377</v>
      </c>
      <c r="H811" s="60">
        <v>4958.68</v>
      </c>
      <c r="I811" s="228">
        <v>1041.32</v>
      </c>
      <c r="J811" s="229"/>
      <c r="K811" s="229"/>
      <c r="L811" s="229">
        <f>SUM(ventas_b_mes11[[#This Row],[IMPORTE NETO]:[EXENTO]])</f>
        <v>6000</v>
      </c>
      <c r="M811" s="55"/>
    </row>
    <row r="812" spans="2:13" x14ac:dyDescent="0.3">
      <c r="B812" s="223">
        <v>44842</v>
      </c>
      <c r="C812" s="224">
        <v>6</v>
      </c>
      <c r="D812" s="225">
        <v>12</v>
      </c>
      <c r="E812" s="226">
        <v>22045</v>
      </c>
      <c r="F812" s="227">
        <v>23810320</v>
      </c>
      <c r="G812" s="1"/>
      <c r="H812" s="60">
        <v>5743.8</v>
      </c>
      <c r="I812" s="228">
        <v>1206.2</v>
      </c>
      <c r="J812" s="229"/>
      <c r="K812" s="229"/>
      <c r="L812" s="229">
        <f>SUM(ventas_b_mes11[[#This Row],[IMPORTE NETO]:[EXENTO]])</f>
        <v>6950</v>
      </c>
      <c r="M812" s="55"/>
    </row>
    <row r="813" spans="2:13" x14ac:dyDescent="0.3">
      <c r="B813" s="223">
        <v>44842</v>
      </c>
      <c r="C813" s="224">
        <v>6</v>
      </c>
      <c r="D813" s="225">
        <v>12</v>
      </c>
      <c r="E813" s="226">
        <v>22046</v>
      </c>
      <c r="F813" s="227">
        <v>34060650</v>
      </c>
      <c r="G813" s="1" t="s">
        <v>384</v>
      </c>
      <c r="H813" s="60">
        <v>2776.86</v>
      </c>
      <c r="I813" s="228">
        <v>583.14</v>
      </c>
      <c r="J813" s="229"/>
      <c r="K813" s="229"/>
      <c r="L813" s="229">
        <f>SUM(ventas_b_mes11[[#This Row],[IMPORTE NETO]:[EXENTO]])</f>
        <v>3360</v>
      </c>
      <c r="M813" s="55"/>
    </row>
    <row r="814" spans="2:13" x14ac:dyDescent="0.3">
      <c r="B814" s="223">
        <v>44842</v>
      </c>
      <c r="C814" s="224">
        <v>6</v>
      </c>
      <c r="D814" s="225">
        <v>12</v>
      </c>
      <c r="E814" s="226">
        <v>22047</v>
      </c>
      <c r="F814" s="227">
        <v>3256987</v>
      </c>
      <c r="G814" s="1"/>
      <c r="H814" s="60">
        <v>4214.88</v>
      </c>
      <c r="I814" s="228">
        <v>885.12</v>
      </c>
      <c r="J814" s="229"/>
      <c r="K814" s="229"/>
      <c r="L814" s="229">
        <f>SUM(ventas_b_mes11[[#This Row],[IMPORTE NETO]:[EXENTO]])</f>
        <v>5100</v>
      </c>
      <c r="M814" s="55"/>
    </row>
    <row r="815" spans="2:13" x14ac:dyDescent="0.3">
      <c r="B815" s="223">
        <v>44842</v>
      </c>
      <c r="C815" s="224">
        <v>6</v>
      </c>
      <c r="D815" s="225">
        <v>12</v>
      </c>
      <c r="E815" s="226">
        <v>22048</v>
      </c>
      <c r="F815" s="227">
        <v>12479252</v>
      </c>
      <c r="G815" s="1" t="s">
        <v>130</v>
      </c>
      <c r="H815" s="60">
        <v>4545.45</v>
      </c>
      <c r="I815" s="228">
        <v>954.55</v>
      </c>
      <c r="J815" s="229"/>
      <c r="K815" s="229"/>
      <c r="L815" s="229">
        <f>SUM(ventas_b_mes11[[#This Row],[IMPORTE NETO]:[EXENTO]])</f>
        <v>5500</v>
      </c>
      <c r="M815" s="55"/>
    </row>
    <row r="816" spans="2:13" x14ac:dyDescent="0.3">
      <c r="B816" s="223">
        <v>44842</v>
      </c>
      <c r="C816" s="224">
        <v>6</v>
      </c>
      <c r="D816" s="225">
        <v>12</v>
      </c>
      <c r="E816" s="226">
        <v>22049</v>
      </c>
      <c r="F816" s="227">
        <v>34851071</v>
      </c>
      <c r="G816" s="1" t="s">
        <v>388</v>
      </c>
      <c r="H816" s="60">
        <v>4545.45</v>
      </c>
      <c r="I816" s="228">
        <v>954.55</v>
      </c>
      <c r="J816" s="229"/>
      <c r="K816" s="229"/>
      <c r="L816" s="229">
        <f>SUM(ventas_b_mes11[[#This Row],[IMPORTE NETO]:[EXENTO]])</f>
        <v>5500</v>
      </c>
      <c r="M816" s="55"/>
    </row>
    <row r="817" spans="2:13" x14ac:dyDescent="0.3">
      <c r="B817" s="223">
        <v>44842</v>
      </c>
      <c r="C817" s="224">
        <v>6</v>
      </c>
      <c r="D817" s="225">
        <v>12</v>
      </c>
      <c r="E817" s="226">
        <v>22050</v>
      </c>
      <c r="F817" s="227">
        <v>27659460</v>
      </c>
      <c r="G817" s="1" t="s">
        <v>380</v>
      </c>
      <c r="H817" s="60">
        <v>2173.5500000000002</v>
      </c>
      <c r="I817" s="228">
        <v>456.45</v>
      </c>
      <c r="J817" s="229"/>
      <c r="K817" s="229"/>
      <c r="L817" s="229">
        <f>SUM(ventas_b_mes11[[#This Row],[IMPORTE NETO]:[EXENTO]])</f>
        <v>2630</v>
      </c>
      <c r="M817" s="55"/>
    </row>
    <row r="818" spans="2:13" x14ac:dyDescent="0.3">
      <c r="B818" s="223" t="s">
        <v>109</v>
      </c>
      <c r="C818" s="224">
        <v>6</v>
      </c>
      <c r="D818" s="225">
        <v>12</v>
      </c>
      <c r="E818" s="226">
        <v>22051</v>
      </c>
      <c r="F818" s="227">
        <v>0</v>
      </c>
      <c r="G818" s="1"/>
      <c r="H818" s="60">
        <v>3834.71</v>
      </c>
      <c r="I818" s="228">
        <v>805.29</v>
      </c>
      <c r="J818" s="229"/>
      <c r="K818" s="229"/>
      <c r="L818" s="229">
        <f>SUM(ventas_b_mes11[[#This Row],[IMPORTE NETO]:[EXENTO]])</f>
        <v>4640</v>
      </c>
      <c r="M818" s="55"/>
    </row>
    <row r="819" spans="2:13" x14ac:dyDescent="0.3">
      <c r="B819" s="223">
        <v>44845</v>
      </c>
      <c r="C819" s="224">
        <v>6</v>
      </c>
      <c r="D819" s="225">
        <v>12</v>
      </c>
      <c r="E819" s="226">
        <v>22052</v>
      </c>
      <c r="F819" s="227">
        <v>18201847</v>
      </c>
      <c r="G819" s="1" t="s">
        <v>465</v>
      </c>
      <c r="H819" s="60">
        <v>9123.9599999999991</v>
      </c>
      <c r="I819" s="228">
        <v>1916.03</v>
      </c>
      <c r="J819" s="229"/>
      <c r="K819" s="229"/>
      <c r="L819" s="229">
        <f>SUM(ventas_b_mes11[[#This Row],[IMPORTE NETO]:[EXENTO]])</f>
        <v>11039.99</v>
      </c>
      <c r="M819" s="55"/>
    </row>
    <row r="820" spans="2:13" x14ac:dyDescent="0.3">
      <c r="B820" s="223" t="s">
        <v>109</v>
      </c>
      <c r="C820" s="224">
        <v>6</v>
      </c>
      <c r="D820" s="225">
        <v>12</v>
      </c>
      <c r="E820" s="226">
        <v>22053</v>
      </c>
      <c r="F820" s="227">
        <v>18201847</v>
      </c>
      <c r="G820" s="1" t="s">
        <v>465</v>
      </c>
      <c r="H820" s="60">
        <v>702.48</v>
      </c>
      <c r="I820" s="228">
        <v>147.52000000000001</v>
      </c>
      <c r="J820" s="229"/>
      <c r="K820" s="229"/>
      <c r="L820" s="229">
        <f>SUM(ventas_b_mes11[[#This Row],[IMPORTE NETO]:[EXENTO]])</f>
        <v>850</v>
      </c>
      <c r="M820" s="55"/>
    </row>
    <row r="821" spans="2:13" x14ac:dyDescent="0.3">
      <c r="B821" s="223" t="s">
        <v>109</v>
      </c>
      <c r="C821" s="224">
        <v>6</v>
      </c>
      <c r="D821" s="225">
        <v>12</v>
      </c>
      <c r="E821" s="226">
        <v>22054</v>
      </c>
      <c r="F821" s="227">
        <v>27333109</v>
      </c>
      <c r="G821" s="1" t="s">
        <v>467</v>
      </c>
      <c r="H821" s="60">
        <v>6895.87</v>
      </c>
      <c r="I821" s="228">
        <v>1448.13</v>
      </c>
      <c r="J821" s="229"/>
      <c r="K821" s="229"/>
      <c r="L821" s="229">
        <f>SUM(ventas_b_mes11[[#This Row],[IMPORTE NETO]:[EXENTO]])</f>
        <v>8344</v>
      </c>
      <c r="M821" s="55"/>
    </row>
    <row r="822" spans="2:13" x14ac:dyDescent="0.3">
      <c r="B822" s="223">
        <v>44845</v>
      </c>
      <c r="C822" s="224">
        <v>6</v>
      </c>
      <c r="D822" s="225">
        <v>12</v>
      </c>
      <c r="E822" s="226">
        <v>22055</v>
      </c>
      <c r="F822" s="227">
        <v>41782389</v>
      </c>
      <c r="G822" s="1" t="s">
        <v>504</v>
      </c>
      <c r="H822" s="60">
        <v>4545.45</v>
      </c>
      <c r="I822" s="228">
        <v>954.55</v>
      </c>
      <c r="J822" s="229"/>
      <c r="K822" s="229"/>
      <c r="L822" s="229">
        <f>SUM(ventas_b_mes11[[#This Row],[IMPORTE NETO]:[EXENTO]])</f>
        <v>5500</v>
      </c>
      <c r="M822" s="55"/>
    </row>
    <row r="823" spans="2:13" x14ac:dyDescent="0.3">
      <c r="B823" s="223">
        <v>44845</v>
      </c>
      <c r="C823" s="224">
        <v>6</v>
      </c>
      <c r="D823" s="225">
        <v>12</v>
      </c>
      <c r="E823" s="226">
        <v>22056</v>
      </c>
      <c r="F823" s="227">
        <v>27256583157</v>
      </c>
      <c r="G823" s="1" t="s">
        <v>503</v>
      </c>
      <c r="H823" s="60">
        <v>25190.080000000002</v>
      </c>
      <c r="I823" s="228">
        <v>5289.92</v>
      </c>
      <c r="J823" s="229"/>
      <c r="K823" s="229"/>
      <c r="L823" s="229">
        <f>SUM(ventas_b_mes11[[#This Row],[IMPORTE NETO]:[EXENTO]])</f>
        <v>30480</v>
      </c>
      <c r="M823" s="55"/>
    </row>
    <row r="824" spans="2:13" x14ac:dyDescent="0.3">
      <c r="B824" s="223">
        <v>44845</v>
      </c>
      <c r="C824" s="224">
        <v>6</v>
      </c>
      <c r="D824" s="225">
        <v>12</v>
      </c>
      <c r="E824" s="226">
        <v>22057</v>
      </c>
      <c r="F824" s="227">
        <v>18552671</v>
      </c>
      <c r="G824" s="1" t="s">
        <v>520</v>
      </c>
      <c r="H824" s="60">
        <v>2280.9899999999998</v>
      </c>
      <c r="I824" s="228">
        <v>479.01</v>
      </c>
      <c r="J824" s="229"/>
      <c r="K824" s="229"/>
      <c r="L824" s="229">
        <f>SUM(ventas_b_mes11[[#This Row],[IMPORTE NETO]:[EXENTO]])</f>
        <v>2760</v>
      </c>
      <c r="M824" s="55"/>
    </row>
    <row r="825" spans="2:13" x14ac:dyDescent="0.3">
      <c r="B825" s="223">
        <v>44845</v>
      </c>
      <c r="C825" s="224">
        <v>6</v>
      </c>
      <c r="D825" s="225">
        <v>12</v>
      </c>
      <c r="E825" s="226">
        <v>22058</v>
      </c>
      <c r="F825" s="227">
        <v>16019062</v>
      </c>
      <c r="G825" s="1" t="s">
        <v>146</v>
      </c>
      <c r="H825" s="60">
        <v>4545.45</v>
      </c>
      <c r="I825" s="228">
        <v>954.55</v>
      </c>
      <c r="J825" s="229"/>
      <c r="K825" s="229"/>
      <c r="L825" s="229">
        <f>SUM(ventas_b_mes11[[#This Row],[IMPORTE NETO]:[EXENTO]])</f>
        <v>5500</v>
      </c>
      <c r="M825" s="55"/>
    </row>
    <row r="826" spans="2:13" x14ac:dyDescent="0.3">
      <c r="B826" s="223">
        <v>44845</v>
      </c>
      <c r="C826" s="224">
        <v>6</v>
      </c>
      <c r="D826" s="225">
        <v>12</v>
      </c>
      <c r="E826" s="226">
        <v>22059</v>
      </c>
      <c r="F826" s="227">
        <v>20534859</v>
      </c>
      <c r="G826" s="1" t="s">
        <v>500</v>
      </c>
      <c r="H826" s="60">
        <v>2066.12</v>
      </c>
      <c r="I826" s="228">
        <v>433.88</v>
      </c>
      <c r="J826" s="229"/>
      <c r="K826" s="229"/>
      <c r="L826" s="229">
        <f>SUM(ventas_b_mes11[[#This Row],[IMPORTE NETO]:[EXENTO]])</f>
        <v>2500</v>
      </c>
      <c r="M826" s="55"/>
    </row>
    <row r="827" spans="2:13" x14ac:dyDescent="0.3">
      <c r="B827" s="223">
        <v>44845</v>
      </c>
      <c r="C827" s="224">
        <v>6</v>
      </c>
      <c r="D827" s="225">
        <v>12</v>
      </c>
      <c r="E827" s="226">
        <v>22060</v>
      </c>
      <c r="F827" s="227">
        <v>37259484</v>
      </c>
      <c r="G827" s="1" t="s">
        <v>405</v>
      </c>
      <c r="H827" s="60">
        <v>1090.9100000000001</v>
      </c>
      <c r="I827" s="228">
        <v>229.09</v>
      </c>
      <c r="J827" s="229"/>
      <c r="K827" s="229"/>
      <c r="L827" s="229">
        <f>SUM(ventas_b_mes11[[#This Row],[IMPORTE NETO]:[EXENTO]])</f>
        <v>1320</v>
      </c>
      <c r="M827" s="55"/>
    </row>
    <row r="828" spans="2:13" x14ac:dyDescent="0.3">
      <c r="B828" s="223" t="s">
        <v>109</v>
      </c>
      <c r="C828" s="224">
        <v>6</v>
      </c>
      <c r="D828" s="225">
        <v>12</v>
      </c>
      <c r="E828" s="226">
        <v>22061</v>
      </c>
      <c r="F828" s="227">
        <v>36081330</v>
      </c>
      <c r="G828" s="1" t="s">
        <v>437</v>
      </c>
      <c r="H828" s="60">
        <v>6523.14</v>
      </c>
      <c r="I828" s="228">
        <v>1369.86</v>
      </c>
      <c r="J828" s="229"/>
      <c r="K828" s="229"/>
      <c r="L828" s="229">
        <f>SUM(ventas_b_mes11[[#This Row],[IMPORTE NETO]:[EXENTO]])</f>
        <v>7893</v>
      </c>
      <c r="M828" s="55"/>
    </row>
    <row r="829" spans="2:13" x14ac:dyDescent="0.3">
      <c r="B829" s="223" t="s">
        <v>109</v>
      </c>
      <c r="C829" s="224">
        <v>6</v>
      </c>
      <c r="D829" s="225">
        <v>12</v>
      </c>
      <c r="E829" s="226">
        <v>22062</v>
      </c>
      <c r="F829" s="227">
        <v>27243794</v>
      </c>
      <c r="G829" s="1" t="s">
        <v>581</v>
      </c>
      <c r="H829" s="60">
        <v>4834.71</v>
      </c>
      <c r="I829" s="228">
        <v>1015.29</v>
      </c>
      <c r="J829" s="229"/>
      <c r="K829" s="229"/>
      <c r="L829" s="229">
        <f>SUM(ventas_b_mes11[[#This Row],[IMPORTE NETO]:[EXENTO]])</f>
        <v>5850</v>
      </c>
      <c r="M829" s="55"/>
    </row>
    <row r="830" spans="2:13" x14ac:dyDescent="0.3">
      <c r="B830" s="223">
        <v>44845</v>
      </c>
      <c r="C830" s="224">
        <v>6</v>
      </c>
      <c r="D830" s="225">
        <v>12</v>
      </c>
      <c r="E830" s="226">
        <v>22063</v>
      </c>
      <c r="F830" s="227">
        <v>23005325</v>
      </c>
      <c r="G830" s="1" t="s">
        <v>409</v>
      </c>
      <c r="H830" s="60">
        <v>561.98</v>
      </c>
      <c r="I830" s="228">
        <v>118.02</v>
      </c>
      <c r="J830" s="229"/>
      <c r="K830" s="229"/>
      <c r="L830" s="229">
        <f>SUM(ventas_b_mes11[[#This Row],[IMPORTE NETO]:[EXENTO]])</f>
        <v>680</v>
      </c>
      <c r="M830" s="55"/>
    </row>
    <row r="831" spans="2:13" x14ac:dyDescent="0.3">
      <c r="B831" s="223">
        <v>44845</v>
      </c>
      <c r="C831" s="224">
        <v>6</v>
      </c>
      <c r="D831" s="225">
        <v>12</v>
      </c>
      <c r="E831" s="226">
        <v>22064</v>
      </c>
      <c r="F831" s="227">
        <v>17806608</v>
      </c>
      <c r="G831" s="1" t="s">
        <v>431</v>
      </c>
      <c r="H831" s="60">
        <v>1223.1500000000001</v>
      </c>
      <c r="I831" s="228">
        <v>256.86</v>
      </c>
      <c r="J831" s="229"/>
      <c r="K831" s="229"/>
      <c r="L831" s="229">
        <f>SUM(ventas_b_mes11[[#This Row],[IMPORTE NETO]:[EXENTO]])</f>
        <v>1480.0100000000002</v>
      </c>
      <c r="M831" s="55"/>
    </row>
    <row r="832" spans="2:13" x14ac:dyDescent="0.3">
      <c r="B832" s="223" t="s">
        <v>109</v>
      </c>
      <c r="C832" s="224">
        <v>6</v>
      </c>
      <c r="D832" s="225">
        <v>12</v>
      </c>
      <c r="E832" s="226">
        <v>22065</v>
      </c>
      <c r="F832" s="227">
        <v>27930845</v>
      </c>
      <c r="G832" s="1" t="s">
        <v>231</v>
      </c>
      <c r="H832" s="60">
        <v>5090.91</v>
      </c>
      <c r="I832" s="228">
        <v>1069.0899999999999</v>
      </c>
      <c r="J832" s="229"/>
      <c r="K832" s="229"/>
      <c r="L832" s="229">
        <f>SUM(ventas_b_mes11[[#This Row],[IMPORTE NETO]:[EXENTO]])</f>
        <v>6160</v>
      </c>
      <c r="M832" s="55"/>
    </row>
    <row r="833" spans="2:13" x14ac:dyDescent="0.3">
      <c r="B833" s="223" t="s">
        <v>109</v>
      </c>
      <c r="C833" s="224">
        <v>6</v>
      </c>
      <c r="D833" s="225">
        <v>12</v>
      </c>
      <c r="E833" s="226">
        <v>22066</v>
      </c>
      <c r="F833" s="227">
        <v>25315053</v>
      </c>
      <c r="G833" s="1" t="s">
        <v>567</v>
      </c>
      <c r="H833" s="60">
        <v>2863.64</v>
      </c>
      <c r="I833" s="228">
        <v>601.36</v>
      </c>
      <c r="J833" s="229"/>
      <c r="K833" s="229"/>
      <c r="L833" s="229">
        <f>SUM(ventas_b_mes11[[#This Row],[IMPORTE NETO]:[EXENTO]])</f>
        <v>3465</v>
      </c>
      <c r="M833" s="55"/>
    </row>
    <row r="834" spans="2:13" x14ac:dyDescent="0.3">
      <c r="B834" s="223">
        <v>44845</v>
      </c>
      <c r="C834" s="224">
        <v>6</v>
      </c>
      <c r="D834" s="225">
        <v>12</v>
      </c>
      <c r="E834" s="226">
        <v>22067</v>
      </c>
      <c r="F834" s="227">
        <v>41782389</v>
      </c>
      <c r="G834" s="1" t="s">
        <v>504</v>
      </c>
      <c r="H834" s="60">
        <v>2528.9299999999998</v>
      </c>
      <c r="I834" s="228">
        <v>531.08000000000004</v>
      </c>
      <c r="J834" s="229"/>
      <c r="K834" s="229"/>
      <c r="L834" s="229">
        <f>SUM(ventas_b_mes11[[#This Row],[IMPORTE NETO]:[EXENTO]])</f>
        <v>3060.0099999999998</v>
      </c>
      <c r="M834" s="55"/>
    </row>
    <row r="835" spans="2:13" x14ac:dyDescent="0.3">
      <c r="B835" s="223">
        <v>44845</v>
      </c>
      <c r="C835" s="224">
        <v>6</v>
      </c>
      <c r="D835" s="225">
        <v>12</v>
      </c>
      <c r="E835" s="226">
        <v>22068</v>
      </c>
      <c r="F835" s="227">
        <v>23005325</v>
      </c>
      <c r="G835" s="1" t="s">
        <v>409</v>
      </c>
      <c r="H835" s="60">
        <v>966.94</v>
      </c>
      <c r="I835" s="228">
        <v>203.06</v>
      </c>
      <c r="J835" s="229"/>
      <c r="K835" s="229"/>
      <c r="L835" s="229">
        <f>SUM(ventas_b_mes11[[#This Row],[IMPORTE NETO]:[EXENTO]])</f>
        <v>1170</v>
      </c>
      <c r="M835" s="55"/>
    </row>
    <row r="836" spans="2:13" x14ac:dyDescent="0.3">
      <c r="B836" s="223">
        <v>44846</v>
      </c>
      <c r="C836" s="224">
        <v>6</v>
      </c>
      <c r="D836" s="225">
        <v>12</v>
      </c>
      <c r="E836" s="226">
        <v>22069</v>
      </c>
      <c r="F836" s="227">
        <v>37766898</v>
      </c>
      <c r="G836" s="1" t="s">
        <v>246</v>
      </c>
      <c r="H836" s="60">
        <v>4545.45</v>
      </c>
      <c r="I836" s="228">
        <v>954.55</v>
      </c>
      <c r="J836" s="229"/>
      <c r="K836" s="229"/>
      <c r="L836" s="229">
        <f>SUM(ventas_b_mes11[[#This Row],[IMPORTE NETO]:[EXENTO]])</f>
        <v>5500</v>
      </c>
      <c r="M836" s="55"/>
    </row>
    <row r="837" spans="2:13" x14ac:dyDescent="0.3">
      <c r="B837" s="223">
        <v>44846</v>
      </c>
      <c r="C837" s="224">
        <v>6</v>
      </c>
      <c r="D837" s="225">
        <v>12</v>
      </c>
      <c r="E837" s="226">
        <v>22070</v>
      </c>
      <c r="F837" s="227">
        <v>28010582</v>
      </c>
      <c r="G837" s="1" t="s">
        <v>603</v>
      </c>
      <c r="H837" s="60">
        <v>5146.28</v>
      </c>
      <c r="I837" s="228">
        <v>1080.72</v>
      </c>
      <c r="J837" s="229"/>
      <c r="K837" s="229"/>
      <c r="L837" s="229">
        <f>SUM(ventas_b_mes11[[#This Row],[IMPORTE NETO]:[EXENTO]])</f>
        <v>6227</v>
      </c>
      <c r="M837" s="55"/>
    </row>
    <row r="838" spans="2:13" x14ac:dyDescent="0.3">
      <c r="B838" s="223">
        <v>44846</v>
      </c>
      <c r="C838" s="224">
        <v>6</v>
      </c>
      <c r="D838" s="225">
        <v>12</v>
      </c>
      <c r="E838" s="226">
        <v>22071</v>
      </c>
      <c r="F838" s="227">
        <v>30406035</v>
      </c>
      <c r="G838" s="1" t="s">
        <v>609</v>
      </c>
      <c r="H838" s="60">
        <v>5206.6099999999997</v>
      </c>
      <c r="I838" s="228">
        <v>1093.3900000000001</v>
      </c>
      <c r="J838" s="229"/>
      <c r="K838" s="229"/>
      <c r="L838" s="229">
        <f>SUM(ventas_b_mes11[[#This Row],[IMPORTE NETO]:[EXENTO]])</f>
        <v>6300</v>
      </c>
      <c r="M838" s="55"/>
    </row>
    <row r="839" spans="2:13" x14ac:dyDescent="0.3">
      <c r="B839" s="223">
        <v>44846</v>
      </c>
      <c r="C839" s="224">
        <v>6</v>
      </c>
      <c r="D839" s="225">
        <v>12</v>
      </c>
      <c r="E839" s="226">
        <v>22072</v>
      </c>
      <c r="F839" s="227">
        <v>31490496</v>
      </c>
      <c r="G839" s="1" t="s">
        <v>610</v>
      </c>
      <c r="H839" s="60">
        <v>4834.71</v>
      </c>
      <c r="I839" s="228">
        <v>1015.29</v>
      </c>
      <c r="J839" s="229"/>
      <c r="K839" s="229"/>
      <c r="L839" s="229">
        <f>SUM(ventas_b_mes11[[#This Row],[IMPORTE NETO]:[EXENTO]])</f>
        <v>5850</v>
      </c>
      <c r="M839" s="55"/>
    </row>
    <row r="840" spans="2:13" x14ac:dyDescent="0.3">
      <c r="B840" s="223">
        <v>44846</v>
      </c>
      <c r="C840" s="224">
        <v>6</v>
      </c>
      <c r="D840" s="225">
        <v>12</v>
      </c>
      <c r="E840" s="226">
        <v>22073</v>
      </c>
      <c r="F840" s="227">
        <v>0</v>
      </c>
      <c r="G840" s="1"/>
      <c r="H840" s="60">
        <v>3322.31</v>
      </c>
      <c r="I840" s="228">
        <v>697.69</v>
      </c>
      <c r="J840" s="229"/>
      <c r="K840" s="229"/>
      <c r="L840" s="229">
        <f>SUM(ventas_b_mes11[[#This Row],[IMPORTE NETO]:[EXENTO]])</f>
        <v>4020</v>
      </c>
      <c r="M840" s="55"/>
    </row>
    <row r="841" spans="2:13" x14ac:dyDescent="0.3">
      <c r="B841" s="223">
        <v>44846</v>
      </c>
      <c r="C841" s="224">
        <v>6</v>
      </c>
      <c r="D841" s="225">
        <v>12</v>
      </c>
      <c r="E841" s="226">
        <v>22074</v>
      </c>
      <c r="F841" s="227">
        <v>24102431</v>
      </c>
      <c r="G841" s="1" t="s">
        <v>159</v>
      </c>
      <c r="H841" s="60">
        <v>3057.85</v>
      </c>
      <c r="I841" s="228">
        <v>642.15</v>
      </c>
      <c r="J841" s="229"/>
      <c r="K841" s="229"/>
      <c r="L841" s="229">
        <f>SUM(ventas_b_mes11[[#This Row],[IMPORTE NETO]:[EXENTO]])</f>
        <v>3700</v>
      </c>
      <c r="M841" s="55"/>
    </row>
    <row r="842" spans="2:13" x14ac:dyDescent="0.3">
      <c r="B842" s="223">
        <v>44846</v>
      </c>
      <c r="C842" s="224">
        <v>6</v>
      </c>
      <c r="D842" s="225">
        <v>12</v>
      </c>
      <c r="E842" s="226">
        <v>22075</v>
      </c>
      <c r="F842" s="227">
        <v>24102431</v>
      </c>
      <c r="G842" s="1" t="s">
        <v>159</v>
      </c>
      <c r="H842" s="60">
        <v>702.48</v>
      </c>
      <c r="I842" s="228">
        <v>147.52000000000001</v>
      </c>
      <c r="J842" s="229"/>
      <c r="K842" s="229"/>
      <c r="L842" s="229">
        <f>SUM(ventas_b_mes11[[#This Row],[IMPORTE NETO]:[EXENTO]])</f>
        <v>850</v>
      </c>
      <c r="M842" s="55"/>
    </row>
    <row r="843" spans="2:13" x14ac:dyDescent="0.3">
      <c r="B843" s="223">
        <v>44846</v>
      </c>
      <c r="C843" s="224">
        <v>6</v>
      </c>
      <c r="D843" s="225">
        <v>12</v>
      </c>
      <c r="E843" s="226">
        <v>22076</v>
      </c>
      <c r="F843" s="227">
        <v>23211133</v>
      </c>
      <c r="G843" s="1" t="s">
        <v>605</v>
      </c>
      <c r="H843" s="60">
        <v>4958.68</v>
      </c>
      <c r="I843" s="228">
        <v>1041.32</v>
      </c>
      <c r="J843" s="229"/>
      <c r="K843" s="229"/>
      <c r="L843" s="229">
        <f>SUM(ventas_b_mes11[[#This Row],[IMPORTE NETO]:[EXENTO]])</f>
        <v>6000</v>
      </c>
      <c r="M843" s="55"/>
    </row>
    <row r="844" spans="2:13" x14ac:dyDescent="0.3">
      <c r="B844" s="223">
        <v>44846</v>
      </c>
      <c r="C844" s="224">
        <v>6</v>
      </c>
      <c r="D844" s="225">
        <v>12</v>
      </c>
      <c r="E844" s="226">
        <v>22077</v>
      </c>
      <c r="F844" s="227">
        <v>12758459</v>
      </c>
      <c r="G844" s="1" t="s">
        <v>135</v>
      </c>
      <c r="H844" s="60">
        <v>5247.93</v>
      </c>
      <c r="I844" s="228">
        <v>1102.07</v>
      </c>
      <c r="J844" s="229"/>
      <c r="K844" s="229"/>
      <c r="L844" s="229">
        <f>SUM(ventas_b_mes11[[#This Row],[IMPORTE NETO]:[EXENTO]])</f>
        <v>6350</v>
      </c>
      <c r="M844" s="55"/>
    </row>
    <row r="845" spans="2:13" x14ac:dyDescent="0.3">
      <c r="B845" s="223">
        <v>44846</v>
      </c>
      <c r="C845" s="224">
        <v>6</v>
      </c>
      <c r="D845" s="225">
        <v>12</v>
      </c>
      <c r="E845" s="226">
        <v>22078</v>
      </c>
      <c r="F845" s="227">
        <v>0</v>
      </c>
      <c r="G845" s="1"/>
      <c r="H845" s="60">
        <v>1198.3499999999999</v>
      </c>
      <c r="I845" s="228">
        <v>251.65</v>
      </c>
      <c r="J845" s="229"/>
      <c r="K845" s="229"/>
      <c r="L845" s="229">
        <f>SUM(ventas_b_mes11[[#This Row],[IMPORTE NETO]:[EXENTO]])</f>
        <v>1450</v>
      </c>
      <c r="M845" s="55"/>
    </row>
    <row r="846" spans="2:13" x14ac:dyDescent="0.3">
      <c r="B846" s="223">
        <v>44846</v>
      </c>
      <c r="C846" s="224">
        <v>6</v>
      </c>
      <c r="D846" s="225">
        <v>12</v>
      </c>
      <c r="E846" s="226">
        <v>22079</v>
      </c>
      <c r="F846" s="227">
        <v>94440099</v>
      </c>
      <c r="G846" s="1" t="s">
        <v>607</v>
      </c>
      <c r="H846" s="60">
        <v>4545.45</v>
      </c>
      <c r="I846" s="228">
        <v>954.55</v>
      </c>
      <c r="J846" s="229"/>
      <c r="K846" s="229"/>
      <c r="L846" s="229">
        <f>SUM(ventas_b_mes11[[#This Row],[IMPORTE NETO]:[EXENTO]])</f>
        <v>5500</v>
      </c>
      <c r="M846" s="55"/>
    </row>
    <row r="847" spans="2:13" x14ac:dyDescent="0.3">
      <c r="B847" s="223">
        <v>44846</v>
      </c>
      <c r="C847" s="224">
        <v>6</v>
      </c>
      <c r="D847" s="225">
        <v>12</v>
      </c>
      <c r="E847" s="226">
        <v>22080</v>
      </c>
      <c r="F847" s="227">
        <v>23211133</v>
      </c>
      <c r="G847" s="1" t="s">
        <v>605</v>
      </c>
      <c r="H847" s="60">
        <v>2413.2199999999998</v>
      </c>
      <c r="I847" s="228">
        <v>506.78</v>
      </c>
      <c r="J847" s="229"/>
      <c r="K847" s="229"/>
      <c r="L847" s="229">
        <f>SUM(ventas_b_mes11[[#This Row],[IMPORTE NETO]:[EXENTO]])</f>
        <v>2920</v>
      </c>
      <c r="M847" s="55"/>
    </row>
    <row r="848" spans="2:13" x14ac:dyDescent="0.3">
      <c r="B848" s="223">
        <v>44846</v>
      </c>
      <c r="C848" s="224">
        <v>6</v>
      </c>
      <c r="D848" s="225">
        <v>12</v>
      </c>
      <c r="E848" s="226">
        <v>22081</v>
      </c>
      <c r="F848" s="227">
        <v>23211133</v>
      </c>
      <c r="G848" s="1" t="s">
        <v>605</v>
      </c>
      <c r="H848" s="60">
        <v>3071.9</v>
      </c>
      <c r="I848" s="228">
        <v>645.1</v>
      </c>
      <c r="J848" s="229"/>
      <c r="K848" s="229"/>
      <c r="L848" s="229">
        <f>SUM(ventas_b_mes11[[#This Row],[IMPORTE NETO]:[EXENTO]])</f>
        <v>3717</v>
      </c>
      <c r="M848" s="55"/>
    </row>
    <row r="849" spans="2:13" x14ac:dyDescent="0.3">
      <c r="B849" s="223">
        <v>44847</v>
      </c>
      <c r="C849" s="224">
        <v>6</v>
      </c>
      <c r="D849" s="225">
        <v>12</v>
      </c>
      <c r="E849" s="226">
        <v>22082</v>
      </c>
      <c r="F849" s="227">
        <v>30334456</v>
      </c>
      <c r="G849" s="1" t="s">
        <v>654</v>
      </c>
      <c r="H849" s="60">
        <v>2066.12</v>
      </c>
      <c r="I849" s="228">
        <v>433.88</v>
      </c>
      <c r="J849" s="229"/>
      <c r="K849" s="229"/>
      <c r="L849" s="229">
        <f>SUM(ventas_b_mes11[[#This Row],[IMPORTE NETO]:[EXENTO]])</f>
        <v>2500</v>
      </c>
      <c r="M849" s="55"/>
    </row>
    <row r="850" spans="2:13" x14ac:dyDescent="0.3">
      <c r="B850" s="223">
        <v>44847</v>
      </c>
      <c r="C850" s="224">
        <v>6</v>
      </c>
      <c r="D850" s="225">
        <v>12</v>
      </c>
      <c r="E850" s="226">
        <v>22083</v>
      </c>
      <c r="F850" s="227">
        <v>24915640</v>
      </c>
      <c r="G850" s="1" t="s">
        <v>648</v>
      </c>
      <c r="H850" s="60">
        <v>4958.68</v>
      </c>
      <c r="I850" s="228">
        <v>1041.32</v>
      </c>
      <c r="J850" s="229"/>
      <c r="K850" s="229"/>
      <c r="L850" s="229">
        <f>SUM(ventas_b_mes11[[#This Row],[IMPORTE NETO]:[EXENTO]])</f>
        <v>6000</v>
      </c>
      <c r="M850" s="55"/>
    </row>
    <row r="851" spans="2:13" x14ac:dyDescent="0.3">
      <c r="B851" s="223">
        <v>44847</v>
      </c>
      <c r="C851" s="224">
        <v>6</v>
      </c>
      <c r="D851" s="225">
        <v>12</v>
      </c>
      <c r="E851" s="226">
        <v>22084</v>
      </c>
      <c r="F851" s="227">
        <v>38401899</v>
      </c>
      <c r="G851" s="1" t="s">
        <v>622</v>
      </c>
      <c r="H851" s="60">
        <v>3052.07</v>
      </c>
      <c r="I851" s="228">
        <v>640.92999999999995</v>
      </c>
      <c r="J851" s="229"/>
      <c r="K851" s="229"/>
      <c r="L851" s="229">
        <f>SUM(ventas_b_mes11[[#This Row],[IMPORTE NETO]:[EXENTO]])</f>
        <v>3693</v>
      </c>
      <c r="M851" s="55"/>
    </row>
    <row r="852" spans="2:13" x14ac:dyDescent="0.3">
      <c r="B852" s="223">
        <v>44847</v>
      </c>
      <c r="C852" s="224">
        <v>6</v>
      </c>
      <c r="D852" s="225">
        <v>12</v>
      </c>
      <c r="E852" s="226">
        <v>22085</v>
      </c>
      <c r="F852" s="227">
        <v>18286391</v>
      </c>
      <c r="G852" s="1" t="s">
        <v>627</v>
      </c>
      <c r="H852" s="60">
        <v>4545.45</v>
      </c>
      <c r="I852" s="228">
        <v>954.55</v>
      </c>
      <c r="J852" s="229"/>
      <c r="K852" s="229"/>
      <c r="L852" s="229">
        <f>SUM(ventas_b_mes11[[#This Row],[IMPORTE NETO]:[EXENTO]])</f>
        <v>5500</v>
      </c>
      <c r="M852" s="55"/>
    </row>
    <row r="853" spans="2:13" x14ac:dyDescent="0.3">
      <c r="B853" s="223">
        <v>44847</v>
      </c>
      <c r="C853" s="224">
        <v>6</v>
      </c>
      <c r="D853" s="225">
        <v>12</v>
      </c>
      <c r="E853" s="226">
        <v>22086</v>
      </c>
      <c r="F853" s="227">
        <v>28939090</v>
      </c>
      <c r="G853" s="1" t="s">
        <v>651</v>
      </c>
      <c r="H853" s="60">
        <v>4545.45</v>
      </c>
      <c r="I853" s="228">
        <v>954.55</v>
      </c>
      <c r="J853" s="229"/>
      <c r="K853" s="229"/>
      <c r="L853" s="229">
        <f>SUM(ventas_b_mes11[[#This Row],[IMPORTE NETO]:[EXENTO]])</f>
        <v>5500</v>
      </c>
      <c r="M853" s="55"/>
    </row>
    <row r="854" spans="2:13" x14ac:dyDescent="0.3">
      <c r="B854" s="223">
        <v>44847</v>
      </c>
      <c r="C854" s="224">
        <v>6</v>
      </c>
      <c r="D854" s="225">
        <v>12</v>
      </c>
      <c r="E854" s="226">
        <v>22087</v>
      </c>
      <c r="F854" s="227">
        <v>14897192</v>
      </c>
      <c r="G854" s="1" t="s">
        <v>353</v>
      </c>
      <c r="H854" s="60">
        <v>1933.88</v>
      </c>
      <c r="I854" s="228">
        <v>406.12</v>
      </c>
      <c r="J854" s="229"/>
      <c r="K854" s="229"/>
      <c r="L854" s="229">
        <f>SUM(ventas_b_mes11[[#This Row],[IMPORTE NETO]:[EXENTO]])</f>
        <v>2340</v>
      </c>
      <c r="M854" s="55"/>
    </row>
    <row r="855" spans="2:13" x14ac:dyDescent="0.3">
      <c r="B855" s="223">
        <v>44847</v>
      </c>
      <c r="C855" s="224">
        <v>6</v>
      </c>
      <c r="D855" s="225">
        <v>12</v>
      </c>
      <c r="E855" s="226">
        <v>22088</v>
      </c>
      <c r="F855" s="227">
        <v>36941750</v>
      </c>
      <c r="G855" s="1" t="s">
        <v>634</v>
      </c>
      <c r="H855" s="60">
        <v>2768.6</v>
      </c>
      <c r="I855" s="228">
        <v>581.41</v>
      </c>
      <c r="J855" s="229"/>
      <c r="K855" s="229"/>
      <c r="L855" s="229">
        <f>SUM(ventas_b_mes11[[#This Row],[IMPORTE NETO]:[EXENTO]])</f>
        <v>3350.0099999999998</v>
      </c>
      <c r="M855" s="55"/>
    </row>
    <row r="856" spans="2:13" x14ac:dyDescent="0.3">
      <c r="B856" s="223">
        <v>44847</v>
      </c>
      <c r="C856" s="224">
        <v>6</v>
      </c>
      <c r="D856" s="225">
        <v>12</v>
      </c>
      <c r="E856" s="226">
        <v>22089</v>
      </c>
      <c r="F856" s="227">
        <v>5380228</v>
      </c>
      <c r="G856" s="1"/>
      <c r="H856" s="60">
        <v>2785.12</v>
      </c>
      <c r="I856" s="228">
        <v>584.88</v>
      </c>
      <c r="J856" s="229"/>
      <c r="K856" s="229"/>
      <c r="L856" s="229">
        <f>SUM(ventas_b_mes11[[#This Row],[IMPORTE NETO]:[EXENTO]])</f>
        <v>3370</v>
      </c>
      <c r="M856" s="55"/>
    </row>
    <row r="857" spans="2:13" x14ac:dyDescent="0.3">
      <c r="B857" s="223">
        <v>44847</v>
      </c>
      <c r="C857" s="224">
        <v>6</v>
      </c>
      <c r="D857" s="225">
        <v>12</v>
      </c>
      <c r="E857" s="226">
        <v>22090</v>
      </c>
      <c r="F857" s="227">
        <v>25095598</v>
      </c>
      <c r="G857" s="1" t="s">
        <v>626</v>
      </c>
      <c r="H857" s="60">
        <v>7809.92</v>
      </c>
      <c r="I857" s="228">
        <v>1640.08</v>
      </c>
      <c r="J857" s="229"/>
      <c r="K857" s="229"/>
      <c r="L857" s="229">
        <f>SUM(ventas_b_mes11[[#This Row],[IMPORTE NETO]:[EXENTO]])</f>
        <v>9450</v>
      </c>
      <c r="M857" s="55"/>
    </row>
    <row r="858" spans="2:13" x14ac:dyDescent="0.3">
      <c r="B858" s="223">
        <v>44847</v>
      </c>
      <c r="C858" s="224">
        <v>6</v>
      </c>
      <c r="D858" s="225">
        <v>12</v>
      </c>
      <c r="E858" s="226">
        <v>22091</v>
      </c>
      <c r="F858" s="227">
        <v>32003394</v>
      </c>
      <c r="G858" s="1" t="s">
        <v>652</v>
      </c>
      <c r="H858" s="60">
        <v>2181.8200000000002</v>
      </c>
      <c r="I858" s="228">
        <v>458.18</v>
      </c>
      <c r="J858" s="229"/>
      <c r="K858" s="229"/>
      <c r="L858" s="229">
        <f>SUM(ventas_b_mes11[[#This Row],[IMPORTE NETO]:[EXENTO]])</f>
        <v>2640</v>
      </c>
      <c r="M858" s="55"/>
    </row>
    <row r="859" spans="2:13" x14ac:dyDescent="0.3">
      <c r="B859" s="223">
        <v>44847</v>
      </c>
      <c r="C859" s="224">
        <v>6</v>
      </c>
      <c r="D859" s="225">
        <v>12</v>
      </c>
      <c r="E859" s="226">
        <v>22092</v>
      </c>
      <c r="F859" s="227">
        <v>23991899</v>
      </c>
      <c r="G859" s="1" t="s">
        <v>625</v>
      </c>
      <c r="H859" s="60">
        <v>243.55</v>
      </c>
      <c r="I859" s="228">
        <v>51.15</v>
      </c>
      <c r="J859" s="229"/>
      <c r="K859" s="229"/>
      <c r="L859" s="229">
        <f>SUM(ventas_b_mes11[[#This Row],[IMPORTE NETO]:[EXENTO]])</f>
        <v>294.7</v>
      </c>
      <c r="M859" s="55"/>
    </row>
    <row r="860" spans="2:13" x14ac:dyDescent="0.3">
      <c r="B860" s="223">
        <v>44847</v>
      </c>
      <c r="C860" s="224">
        <v>6</v>
      </c>
      <c r="D860" s="225">
        <v>12</v>
      </c>
      <c r="E860" s="226">
        <v>22093</v>
      </c>
      <c r="F860" s="227">
        <v>23902750</v>
      </c>
      <c r="G860" s="1" t="s">
        <v>639</v>
      </c>
      <c r="H860" s="60">
        <v>9756.2000000000007</v>
      </c>
      <c r="I860" s="228">
        <v>2048.8000000000002</v>
      </c>
      <c r="J860" s="229"/>
      <c r="K860" s="229"/>
      <c r="L860" s="229">
        <f>SUM(ventas_b_mes11[[#This Row],[IMPORTE NETO]:[EXENTO]])</f>
        <v>11805</v>
      </c>
      <c r="M860" s="55"/>
    </row>
    <row r="861" spans="2:13" x14ac:dyDescent="0.3">
      <c r="B861" s="223">
        <v>44847</v>
      </c>
      <c r="C861" s="224">
        <v>6</v>
      </c>
      <c r="D861" s="225">
        <v>12</v>
      </c>
      <c r="E861" s="226">
        <v>22094</v>
      </c>
      <c r="F861" s="227">
        <v>31490496</v>
      </c>
      <c r="G861" s="1" t="s">
        <v>610</v>
      </c>
      <c r="H861" s="60">
        <v>2685.95</v>
      </c>
      <c r="I861" s="228">
        <v>564.04999999999995</v>
      </c>
      <c r="J861" s="229"/>
      <c r="K861" s="229"/>
      <c r="L861" s="229">
        <f>SUM(ventas_b_mes11[[#This Row],[IMPORTE NETO]:[EXENTO]])</f>
        <v>3250</v>
      </c>
      <c r="M861" s="55"/>
    </row>
    <row r="862" spans="2:13" x14ac:dyDescent="0.3">
      <c r="B862" s="223">
        <v>44847</v>
      </c>
      <c r="C862" s="224">
        <v>6</v>
      </c>
      <c r="D862" s="225">
        <v>12</v>
      </c>
      <c r="E862" s="226">
        <v>22095</v>
      </c>
      <c r="F862" s="227">
        <v>32658974</v>
      </c>
      <c r="G862" s="1" t="s">
        <v>640</v>
      </c>
      <c r="H862" s="60">
        <v>5123.9799999999996</v>
      </c>
      <c r="I862" s="228">
        <v>1076.03</v>
      </c>
      <c r="J862" s="229"/>
      <c r="K862" s="229"/>
      <c r="L862" s="229">
        <f>SUM(ventas_b_mes11[[#This Row],[IMPORTE NETO]:[EXENTO]])</f>
        <v>6200.0099999999993</v>
      </c>
      <c r="M862" s="55"/>
    </row>
    <row r="863" spans="2:13" x14ac:dyDescent="0.3">
      <c r="B863" s="223">
        <v>44847</v>
      </c>
      <c r="C863" s="224">
        <v>6</v>
      </c>
      <c r="D863" s="225">
        <v>12</v>
      </c>
      <c r="E863" s="226">
        <v>22096</v>
      </c>
      <c r="F863" s="227">
        <v>32658974</v>
      </c>
      <c r="G863" s="1" t="s">
        <v>640</v>
      </c>
      <c r="H863" s="60">
        <v>4575.21</v>
      </c>
      <c r="I863" s="228">
        <v>960.79</v>
      </c>
      <c r="J863" s="229"/>
      <c r="K863" s="229"/>
      <c r="L863" s="229">
        <f>SUM(ventas_b_mes11[[#This Row],[IMPORTE NETO]:[EXENTO]])</f>
        <v>5536</v>
      </c>
      <c r="M863" s="55"/>
    </row>
    <row r="864" spans="2:13" x14ac:dyDescent="0.3">
      <c r="B864" s="223">
        <v>44847</v>
      </c>
      <c r="C864" s="224">
        <v>6</v>
      </c>
      <c r="D864" s="225">
        <v>12</v>
      </c>
      <c r="E864" s="226">
        <v>22097</v>
      </c>
      <c r="F864" s="227">
        <v>26323376</v>
      </c>
      <c r="G864" s="1" t="s">
        <v>630</v>
      </c>
      <c r="H864" s="60">
        <v>6694.21</v>
      </c>
      <c r="I864" s="228">
        <v>1405.79</v>
      </c>
      <c r="J864" s="229"/>
      <c r="K864" s="229"/>
      <c r="L864" s="229">
        <f>SUM(ventas_b_mes11[[#This Row],[IMPORTE NETO]:[EXENTO]])</f>
        <v>8100</v>
      </c>
      <c r="M864" s="55"/>
    </row>
    <row r="865" spans="2:13" x14ac:dyDescent="0.3">
      <c r="B865" s="223">
        <v>44847</v>
      </c>
      <c r="C865" s="224">
        <v>6</v>
      </c>
      <c r="D865" s="225">
        <v>12</v>
      </c>
      <c r="E865" s="226">
        <v>22098</v>
      </c>
      <c r="F865" s="227">
        <v>16189362</v>
      </c>
      <c r="G865" s="1" t="s">
        <v>628</v>
      </c>
      <c r="H865" s="60">
        <v>2500.33</v>
      </c>
      <c r="I865" s="228">
        <v>525.07000000000005</v>
      </c>
      <c r="J865" s="229"/>
      <c r="K865" s="229"/>
      <c r="L865" s="229">
        <f>SUM(ventas_b_mes11[[#This Row],[IMPORTE NETO]:[EXENTO]])</f>
        <v>3025.4</v>
      </c>
      <c r="M865" s="55"/>
    </row>
    <row r="866" spans="2:13" x14ac:dyDescent="0.3">
      <c r="B866" s="223">
        <v>44847</v>
      </c>
      <c r="C866" s="224">
        <v>6</v>
      </c>
      <c r="D866" s="225">
        <v>12</v>
      </c>
      <c r="E866" s="226">
        <v>22099</v>
      </c>
      <c r="F866" s="227">
        <v>16189362</v>
      </c>
      <c r="G866" s="1" t="s">
        <v>628</v>
      </c>
      <c r="H866" s="60">
        <v>6347.11</v>
      </c>
      <c r="I866" s="228">
        <v>1332.89</v>
      </c>
      <c r="J866" s="229"/>
      <c r="K866" s="229"/>
      <c r="L866" s="229">
        <f>SUM(ventas_b_mes11[[#This Row],[IMPORTE NETO]:[EXENTO]])</f>
        <v>7680</v>
      </c>
      <c r="M866" s="55"/>
    </row>
    <row r="867" spans="2:13" x14ac:dyDescent="0.3">
      <c r="B867" s="223">
        <v>44847</v>
      </c>
      <c r="C867" s="224">
        <v>6</v>
      </c>
      <c r="D867" s="225">
        <v>12</v>
      </c>
      <c r="E867" s="226">
        <v>22100</v>
      </c>
      <c r="F867" s="227">
        <v>16189362</v>
      </c>
      <c r="G867" s="1" t="s">
        <v>628</v>
      </c>
      <c r="H867" s="60">
        <v>26314.05</v>
      </c>
      <c r="I867" s="228">
        <v>5525.95</v>
      </c>
      <c r="J867" s="229"/>
      <c r="K867" s="229"/>
      <c r="L867" s="229">
        <f>SUM(ventas_b_mes11[[#This Row],[IMPORTE NETO]:[EXENTO]])</f>
        <v>31840</v>
      </c>
      <c r="M867" s="55"/>
    </row>
    <row r="868" spans="2:13" x14ac:dyDescent="0.3">
      <c r="B868" s="223">
        <v>44847</v>
      </c>
      <c r="C868" s="224">
        <v>6</v>
      </c>
      <c r="D868" s="225">
        <v>12</v>
      </c>
      <c r="E868" s="226">
        <v>22101</v>
      </c>
      <c r="F868" s="227">
        <v>16189362</v>
      </c>
      <c r="G868" s="1" t="s">
        <v>628</v>
      </c>
      <c r="H868" s="60">
        <v>3057.85</v>
      </c>
      <c r="I868" s="228">
        <v>642.15</v>
      </c>
      <c r="J868" s="229"/>
      <c r="K868" s="229"/>
      <c r="L868" s="229">
        <f>SUM(ventas_b_mes11[[#This Row],[IMPORTE NETO]:[EXENTO]])</f>
        <v>3700</v>
      </c>
      <c r="M868" s="55"/>
    </row>
    <row r="869" spans="2:13" x14ac:dyDescent="0.3">
      <c r="B869" s="223">
        <v>44847</v>
      </c>
      <c r="C869" s="224">
        <v>6</v>
      </c>
      <c r="D869" s="225">
        <v>12</v>
      </c>
      <c r="E869" s="226">
        <v>22102</v>
      </c>
      <c r="F869" s="227">
        <v>0</v>
      </c>
      <c r="G869" s="1"/>
      <c r="H869" s="60">
        <v>3595.04</v>
      </c>
      <c r="I869" s="228">
        <v>754.96</v>
      </c>
      <c r="J869" s="229"/>
      <c r="K869" s="229"/>
      <c r="L869" s="229">
        <f>SUM(ventas_b_mes11[[#This Row],[IMPORTE NETO]:[EXENTO]])</f>
        <v>4350</v>
      </c>
      <c r="M869" s="55"/>
    </row>
    <row r="870" spans="2:13" x14ac:dyDescent="0.3">
      <c r="B870" s="223">
        <v>44847</v>
      </c>
      <c r="C870" s="224">
        <v>6</v>
      </c>
      <c r="D870" s="225">
        <v>12</v>
      </c>
      <c r="E870" s="226">
        <v>22103</v>
      </c>
      <c r="F870" s="227">
        <v>26543813</v>
      </c>
      <c r="G870" s="1" t="s">
        <v>635</v>
      </c>
      <c r="H870" s="60">
        <v>4958.68</v>
      </c>
      <c r="I870" s="228">
        <v>1041.32</v>
      </c>
      <c r="J870" s="229"/>
      <c r="K870" s="229"/>
      <c r="L870" s="229">
        <f>SUM(ventas_b_mes11[[#This Row],[IMPORTE NETO]:[EXENTO]])</f>
        <v>6000</v>
      </c>
      <c r="M870" s="55"/>
    </row>
    <row r="871" spans="2:13" x14ac:dyDescent="0.3">
      <c r="B871" s="223">
        <v>44847</v>
      </c>
      <c r="C871" s="224">
        <v>6</v>
      </c>
      <c r="D871" s="225">
        <v>12</v>
      </c>
      <c r="E871" s="226">
        <v>22104</v>
      </c>
      <c r="F871" s="227">
        <v>14186790</v>
      </c>
      <c r="G871" s="1" t="s">
        <v>649</v>
      </c>
      <c r="H871" s="60">
        <v>7595.05</v>
      </c>
      <c r="I871" s="228">
        <v>1594.96</v>
      </c>
      <c r="J871" s="229"/>
      <c r="K871" s="229"/>
      <c r="L871" s="229">
        <f>SUM(ventas_b_mes11[[#This Row],[IMPORTE NETO]:[EXENTO]])</f>
        <v>9190.01</v>
      </c>
      <c r="M871" s="55"/>
    </row>
    <row r="872" spans="2:13" x14ac:dyDescent="0.3">
      <c r="B872" s="223">
        <v>44847</v>
      </c>
      <c r="C872" s="224">
        <v>6</v>
      </c>
      <c r="D872" s="225">
        <v>12</v>
      </c>
      <c r="E872" s="226">
        <v>22105</v>
      </c>
      <c r="F872" s="227">
        <v>13313201</v>
      </c>
      <c r="G872" s="1" t="s">
        <v>632</v>
      </c>
      <c r="H872" s="60">
        <v>1252.07</v>
      </c>
      <c r="I872" s="228">
        <v>262.93</v>
      </c>
      <c r="J872" s="229"/>
      <c r="K872" s="229"/>
      <c r="L872" s="229">
        <f>SUM(ventas_b_mes11[[#This Row],[IMPORTE NETO]:[EXENTO]])</f>
        <v>1515</v>
      </c>
      <c r="M872" s="55"/>
    </row>
    <row r="873" spans="2:13" x14ac:dyDescent="0.3">
      <c r="B873" s="223">
        <v>44847</v>
      </c>
      <c r="C873" s="224">
        <v>6</v>
      </c>
      <c r="D873" s="225">
        <v>12</v>
      </c>
      <c r="E873" s="226">
        <v>22106</v>
      </c>
      <c r="F873" s="227">
        <v>38401899</v>
      </c>
      <c r="G873" s="1" t="s">
        <v>622</v>
      </c>
      <c r="H873" s="60">
        <v>330.58</v>
      </c>
      <c r="I873" s="228">
        <v>69.42</v>
      </c>
      <c r="J873" s="229"/>
      <c r="K873" s="229"/>
      <c r="L873" s="229">
        <f>SUM(ventas_b_mes11[[#This Row],[IMPORTE NETO]:[EXENTO]])</f>
        <v>400</v>
      </c>
      <c r="M873" s="55"/>
    </row>
    <row r="874" spans="2:13" x14ac:dyDescent="0.3">
      <c r="B874" s="223">
        <v>44847</v>
      </c>
      <c r="C874" s="224">
        <v>6</v>
      </c>
      <c r="D874" s="225">
        <v>12</v>
      </c>
      <c r="E874" s="226">
        <v>22107</v>
      </c>
      <c r="F874" s="227">
        <v>23991899</v>
      </c>
      <c r="G874" s="1" t="s">
        <v>625</v>
      </c>
      <c r="H874" s="60">
        <v>3479.34</v>
      </c>
      <c r="I874" s="228">
        <v>730.66</v>
      </c>
      <c r="J874" s="229"/>
      <c r="K874" s="229"/>
      <c r="L874" s="229">
        <f>SUM(ventas_b_mes11[[#This Row],[IMPORTE NETO]:[EXENTO]])</f>
        <v>4210</v>
      </c>
      <c r="M874" s="55"/>
    </row>
    <row r="875" spans="2:13" x14ac:dyDescent="0.3">
      <c r="B875" s="223">
        <v>44848</v>
      </c>
      <c r="C875" s="224">
        <v>6</v>
      </c>
      <c r="D875" s="225">
        <v>12</v>
      </c>
      <c r="E875" s="226">
        <v>22108</v>
      </c>
      <c r="F875" s="227">
        <v>0</v>
      </c>
      <c r="G875" s="1"/>
      <c r="H875" s="60">
        <v>3223.14</v>
      </c>
      <c r="I875" s="228">
        <v>676.86</v>
      </c>
      <c r="J875" s="229"/>
      <c r="K875" s="229"/>
      <c r="L875" s="229">
        <f>SUM(ventas_b_mes11[[#This Row],[IMPORTE NETO]:[EXENTO]])</f>
        <v>3900</v>
      </c>
      <c r="M875" s="55"/>
    </row>
    <row r="876" spans="2:13" x14ac:dyDescent="0.3">
      <c r="B876" s="223">
        <v>44848</v>
      </c>
      <c r="C876" s="224">
        <v>6</v>
      </c>
      <c r="D876" s="225">
        <v>12</v>
      </c>
      <c r="E876" s="226">
        <v>22109</v>
      </c>
      <c r="F876" s="227">
        <v>19009894</v>
      </c>
      <c r="G876" s="1" t="s">
        <v>673</v>
      </c>
      <c r="H876" s="60">
        <v>9917.39</v>
      </c>
      <c r="I876" s="228">
        <v>2082.65</v>
      </c>
      <c r="J876" s="229"/>
      <c r="K876" s="229"/>
      <c r="L876" s="229">
        <f>SUM(ventas_b_mes11[[#This Row],[IMPORTE NETO]:[EXENTO]])</f>
        <v>12000.039999999999</v>
      </c>
      <c r="M876" s="55"/>
    </row>
    <row r="877" spans="2:13" x14ac:dyDescent="0.3">
      <c r="B877" s="223">
        <v>44848</v>
      </c>
      <c r="C877" s="224">
        <v>6</v>
      </c>
      <c r="D877" s="225">
        <v>12</v>
      </c>
      <c r="E877" s="226">
        <v>22110</v>
      </c>
      <c r="F877" s="227">
        <v>19009894</v>
      </c>
      <c r="G877" s="1" t="s">
        <v>673</v>
      </c>
      <c r="H877" s="60">
        <v>4525.3</v>
      </c>
      <c r="I877" s="228">
        <v>950.31</v>
      </c>
      <c r="J877" s="229"/>
      <c r="K877" s="229"/>
      <c r="L877" s="229">
        <f>SUM(ventas_b_mes11[[#This Row],[IMPORTE NETO]:[EXENTO]])</f>
        <v>5475.6100000000006</v>
      </c>
      <c r="M877" s="55"/>
    </row>
    <row r="878" spans="2:13" x14ac:dyDescent="0.3">
      <c r="B878" s="223">
        <v>44848</v>
      </c>
      <c r="C878" s="224">
        <v>6</v>
      </c>
      <c r="D878" s="225">
        <v>12</v>
      </c>
      <c r="E878" s="226">
        <v>22111</v>
      </c>
      <c r="F878" s="227">
        <v>94643934</v>
      </c>
      <c r="G878" s="1" t="s">
        <v>182</v>
      </c>
      <c r="H878" s="60">
        <v>3086.78</v>
      </c>
      <c r="I878" s="228">
        <v>648.22</v>
      </c>
      <c r="J878" s="229"/>
      <c r="K878" s="229"/>
      <c r="L878" s="229">
        <f>SUM(ventas_b_mes11[[#This Row],[IMPORTE NETO]:[EXENTO]])</f>
        <v>3735</v>
      </c>
      <c r="M878" s="55"/>
    </row>
    <row r="879" spans="2:13" x14ac:dyDescent="0.3">
      <c r="B879" s="223">
        <v>44848</v>
      </c>
      <c r="C879" s="224">
        <v>6</v>
      </c>
      <c r="D879" s="225">
        <v>12</v>
      </c>
      <c r="E879" s="226">
        <v>22112</v>
      </c>
      <c r="F879" s="227">
        <v>0</v>
      </c>
      <c r="G879" s="1"/>
      <c r="H879" s="60">
        <v>2314.0500000000002</v>
      </c>
      <c r="I879" s="228">
        <v>485.95</v>
      </c>
      <c r="J879" s="229"/>
      <c r="K879" s="229"/>
      <c r="L879" s="229">
        <f>SUM(ventas_b_mes11[[#This Row],[IMPORTE NETO]:[EXENTO]])</f>
        <v>2800</v>
      </c>
      <c r="M879" s="55"/>
    </row>
    <row r="880" spans="2:13" x14ac:dyDescent="0.3">
      <c r="B880" s="223">
        <v>44848</v>
      </c>
      <c r="C880" s="224">
        <v>6</v>
      </c>
      <c r="D880" s="225">
        <v>12</v>
      </c>
      <c r="E880" s="226">
        <v>22113</v>
      </c>
      <c r="F880" s="227">
        <v>28029555</v>
      </c>
      <c r="G880" s="1"/>
      <c r="H880" s="60">
        <v>4958.68</v>
      </c>
      <c r="I880" s="228">
        <v>1041.32</v>
      </c>
      <c r="J880" s="229"/>
      <c r="K880" s="229"/>
      <c r="L880" s="229">
        <f>SUM(ventas_b_mes11[[#This Row],[IMPORTE NETO]:[EXENTO]])</f>
        <v>6000</v>
      </c>
      <c r="M880" s="55"/>
    </row>
    <row r="881" spans="2:13" x14ac:dyDescent="0.3">
      <c r="B881" s="223">
        <v>44848</v>
      </c>
      <c r="C881" s="224">
        <v>6</v>
      </c>
      <c r="D881" s="225">
        <v>12</v>
      </c>
      <c r="E881" s="226">
        <v>22114</v>
      </c>
      <c r="F881" s="227">
        <v>23903276</v>
      </c>
      <c r="G881" s="1"/>
      <c r="H881" s="60">
        <v>1446.28</v>
      </c>
      <c r="I881" s="228">
        <v>303.72000000000003</v>
      </c>
      <c r="J881" s="229"/>
      <c r="K881" s="229"/>
      <c r="L881" s="229">
        <f>SUM(ventas_b_mes11[[#This Row],[IMPORTE NETO]:[EXENTO]])</f>
        <v>1750</v>
      </c>
      <c r="M881" s="55"/>
    </row>
    <row r="882" spans="2:13" x14ac:dyDescent="0.3">
      <c r="B882" s="223">
        <v>44848</v>
      </c>
      <c r="C882" s="224">
        <v>6</v>
      </c>
      <c r="D882" s="225">
        <v>12</v>
      </c>
      <c r="E882" s="226">
        <v>22115</v>
      </c>
      <c r="F882" s="227">
        <v>27701428</v>
      </c>
      <c r="G882" s="1" t="s">
        <v>683</v>
      </c>
      <c r="H882" s="60">
        <v>3900.83</v>
      </c>
      <c r="I882" s="228">
        <v>819.17</v>
      </c>
      <c r="J882" s="229"/>
      <c r="K882" s="229"/>
      <c r="L882" s="229">
        <f>SUM(ventas_b_mes11[[#This Row],[IMPORTE NETO]:[EXENTO]])</f>
        <v>4720</v>
      </c>
      <c r="M882" s="55"/>
    </row>
    <row r="883" spans="2:13" x14ac:dyDescent="0.3">
      <c r="B883" s="223">
        <v>44848</v>
      </c>
      <c r="C883" s="224">
        <v>6</v>
      </c>
      <c r="D883" s="225">
        <v>12</v>
      </c>
      <c r="E883" s="226">
        <v>22116</v>
      </c>
      <c r="F883" s="227">
        <v>36875982</v>
      </c>
      <c r="G883" s="1" t="s">
        <v>677</v>
      </c>
      <c r="H883" s="60">
        <v>9123.9699999999993</v>
      </c>
      <c r="I883" s="228">
        <v>1916.03</v>
      </c>
      <c r="J883" s="229"/>
      <c r="K883" s="229"/>
      <c r="L883" s="229">
        <f>SUM(ventas_b_mes11[[#This Row],[IMPORTE NETO]:[EXENTO]])</f>
        <v>11040</v>
      </c>
      <c r="M883" s="55"/>
    </row>
    <row r="884" spans="2:13" x14ac:dyDescent="0.3">
      <c r="B884" s="223">
        <v>44848</v>
      </c>
      <c r="C884" s="224">
        <v>6</v>
      </c>
      <c r="D884" s="225">
        <v>12</v>
      </c>
      <c r="E884" s="226">
        <v>22117</v>
      </c>
      <c r="F884" s="227">
        <v>41987253</v>
      </c>
      <c r="G884" s="1"/>
      <c r="H884" s="60">
        <v>6652.9</v>
      </c>
      <c r="I884" s="228">
        <v>1397.11</v>
      </c>
      <c r="J884" s="229"/>
      <c r="K884" s="229"/>
      <c r="L884" s="229">
        <f>SUM(ventas_b_mes11[[#This Row],[IMPORTE NETO]:[EXENTO]])</f>
        <v>8050.0099999999993</v>
      </c>
      <c r="M884" s="55"/>
    </row>
    <row r="885" spans="2:13" x14ac:dyDescent="0.3">
      <c r="B885" s="223">
        <v>44848</v>
      </c>
      <c r="C885" s="224">
        <v>6</v>
      </c>
      <c r="D885" s="225">
        <v>12</v>
      </c>
      <c r="E885" s="226">
        <v>22118</v>
      </c>
      <c r="F885" s="227">
        <v>0</v>
      </c>
      <c r="G885" s="1"/>
      <c r="H885" s="60">
        <v>1256.2</v>
      </c>
      <c r="I885" s="228">
        <v>263.8</v>
      </c>
      <c r="J885" s="229"/>
      <c r="K885" s="229"/>
      <c r="L885" s="229">
        <f>SUM(ventas_b_mes11[[#This Row],[IMPORTE NETO]:[EXENTO]])</f>
        <v>1520</v>
      </c>
      <c r="M885" s="55"/>
    </row>
    <row r="886" spans="2:13" x14ac:dyDescent="0.3">
      <c r="B886" s="223">
        <v>44848</v>
      </c>
      <c r="C886" s="224">
        <v>6</v>
      </c>
      <c r="D886" s="225">
        <v>12</v>
      </c>
      <c r="E886" s="226">
        <v>22119</v>
      </c>
      <c r="F886" s="227">
        <v>20627511</v>
      </c>
      <c r="G886" s="1" t="s">
        <v>258</v>
      </c>
      <c r="H886" s="60">
        <v>4669.42</v>
      </c>
      <c r="I886" s="228">
        <v>980.58</v>
      </c>
      <c r="J886" s="229"/>
      <c r="K886" s="229"/>
      <c r="L886" s="229">
        <f>SUM(ventas_b_mes11[[#This Row],[IMPORTE NETO]:[EXENTO]])</f>
        <v>5650</v>
      </c>
      <c r="M886" s="55"/>
    </row>
    <row r="887" spans="2:13" x14ac:dyDescent="0.3">
      <c r="B887" s="223">
        <v>44848</v>
      </c>
      <c r="C887" s="224">
        <v>6</v>
      </c>
      <c r="D887" s="225">
        <v>12</v>
      </c>
      <c r="E887" s="226">
        <v>22120</v>
      </c>
      <c r="F887" s="227">
        <v>36646338</v>
      </c>
      <c r="G887" s="1" t="s">
        <v>680</v>
      </c>
      <c r="H887" s="60">
        <v>9355.3799999999992</v>
      </c>
      <c r="I887" s="228">
        <v>1964.63</v>
      </c>
      <c r="J887" s="229"/>
      <c r="K887" s="229"/>
      <c r="L887" s="229">
        <f>SUM(ventas_b_mes11[[#This Row],[IMPORTE NETO]:[EXENTO]])</f>
        <v>11320.009999999998</v>
      </c>
      <c r="M887" s="55"/>
    </row>
    <row r="888" spans="2:13" x14ac:dyDescent="0.3">
      <c r="B888" s="223">
        <v>44848</v>
      </c>
      <c r="C888" s="224">
        <v>6</v>
      </c>
      <c r="D888" s="225">
        <v>12</v>
      </c>
      <c r="E888" s="226">
        <v>22121</v>
      </c>
      <c r="F888" s="227">
        <v>16236899</v>
      </c>
      <c r="G888" s="1" t="s">
        <v>681</v>
      </c>
      <c r="H888" s="60">
        <v>4088.43</v>
      </c>
      <c r="I888" s="228">
        <v>858.57</v>
      </c>
      <c r="J888" s="229"/>
      <c r="K888" s="229"/>
      <c r="L888" s="229">
        <f>SUM(ventas_b_mes11[[#This Row],[IMPORTE NETO]:[EXENTO]])</f>
        <v>4947</v>
      </c>
      <c r="M888" s="55"/>
    </row>
    <row r="889" spans="2:13" x14ac:dyDescent="0.3">
      <c r="B889" s="223">
        <v>44848</v>
      </c>
      <c r="C889" s="224">
        <v>6</v>
      </c>
      <c r="D889" s="225">
        <v>12</v>
      </c>
      <c r="E889" s="226">
        <v>22122</v>
      </c>
      <c r="F889" s="227">
        <v>16236899</v>
      </c>
      <c r="G889" s="1" t="s">
        <v>681</v>
      </c>
      <c r="H889" s="60">
        <v>4958.68</v>
      </c>
      <c r="I889" s="228">
        <v>1041.32</v>
      </c>
      <c r="J889" s="229"/>
      <c r="K889" s="229"/>
      <c r="L889" s="229">
        <f>SUM(ventas_b_mes11[[#This Row],[IMPORTE NETO]:[EXENTO]])</f>
        <v>6000</v>
      </c>
      <c r="M889" s="55"/>
    </row>
    <row r="890" spans="2:13" x14ac:dyDescent="0.3">
      <c r="B890" s="223">
        <v>44848</v>
      </c>
      <c r="C890" s="224">
        <v>6</v>
      </c>
      <c r="D890" s="225">
        <v>12</v>
      </c>
      <c r="E890" s="226">
        <v>22123</v>
      </c>
      <c r="F890" s="227">
        <v>43315016</v>
      </c>
      <c r="G890" s="1" t="s">
        <v>670</v>
      </c>
      <c r="H890" s="60">
        <v>2305.79</v>
      </c>
      <c r="I890" s="228">
        <v>484.22</v>
      </c>
      <c r="J890" s="229"/>
      <c r="K890" s="229"/>
      <c r="L890" s="229">
        <f>SUM(ventas_b_mes11[[#This Row],[IMPORTE NETO]:[EXENTO]])</f>
        <v>2790.01</v>
      </c>
      <c r="M890" s="55"/>
    </row>
    <row r="891" spans="2:13" x14ac:dyDescent="0.3">
      <c r="B891" s="223">
        <v>44848</v>
      </c>
      <c r="C891" s="224">
        <v>6</v>
      </c>
      <c r="D891" s="225">
        <v>12</v>
      </c>
      <c r="E891" s="226">
        <v>22124</v>
      </c>
      <c r="F891" s="227">
        <v>32765020</v>
      </c>
      <c r="G891" s="1" t="s">
        <v>659</v>
      </c>
      <c r="H891" s="60">
        <v>2685.95</v>
      </c>
      <c r="I891" s="228">
        <v>564.04999999999995</v>
      </c>
      <c r="J891" s="229"/>
      <c r="K891" s="229"/>
      <c r="L891" s="229">
        <f>SUM(ventas_b_mes11[[#This Row],[IMPORTE NETO]:[EXENTO]])</f>
        <v>3250</v>
      </c>
      <c r="M891" s="55"/>
    </row>
    <row r="892" spans="2:13" x14ac:dyDescent="0.3">
      <c r="B892" s="223">
        <v>44848</v>
      </c>
      <c r="C892" s="224">
        <v>6</v>
      </c>
      <c r="D892" s="225">
        <v>12</v>
      </c>
      <c r="E892" s="226">
        <v>22125</v>
      </c>
      <c r="F892" s="227">
        <v>32765020</v>
      </c>
      <c r="G892" s="1" t="s">
        <v>659</v>
      </c>
      <c r="H892" s="60">
        <v>3074.38</v>
      </c>
      <c r="I892" s="228">
        <v>645.62</v>
      </c>
      <c r="J892" s="229"/>
      <c r="K892" s="229"/>
      <c r="L892" s="229">
        <f>SUM(ventas_b_mes11[[#This Row],[IMPORTE NETO]:[EXENTO]])</f>
        <v>3720</v>
      </c>
      <c r="M892" s="55"/>
    </row>
    <row r="893" spans="2:13" x14ac:dyDescent="0.3">
      <c r="B893" s="223">
        <v>44848</v>
      </c>
      <c r="C893" s="224">
        <v>6</v>
      </c>
      <c r="D893" s="225">
        <v>12</v>
      </c>
      <c r="E893" s="226">
        <v>22126</v>
      </c>
      <c r="F893" s="227">
        <v>29905894</v>
      </c>
      <c r="G893" s="1" t="s">
        <v>685</v>
      </c>
      <c r="H893" s="60">
        <v>15237.19</v>
      </c>
      <c r="I893" s="228">
        <v>3199.81</v>
      </c>
      <c r="J893" s="229"/>
      <c r="K893" s="229"/>
      <c r="L893" s="229">
        <f>SUM(ventas_b_mes11[[#This Row],[IMPORTE NETO]:[EXENTO]])</f>
        <v>18437</v>
      </c>
      <c r="M893" s="55"/>
    </row>
    <row r="894" spans="2:13" x14ac:dyDescent="0.3">
      <c r="B894" s="223">
        <v>44848</v>
      </c>
      <c r="C894" s="224">
        <v>6</v>
      </c>
      <c r="D894" s="225">
        <v>12</v>
      </c>
      <c r="E894" s="226">
        <v>22127</v>
      </c>
      <c r="F894" s="227">
        <v>33116313</v>
      </c>
      <c r="G894" s="1" t="s">
        <v>661</v>
      </c>
      <c r="H894" s="60">
        <v>4404.96</v>
      </c>
      <c r="I894" s="228">
        <v>925.04</v>
      </c>
      <c r="J894" s="229"/>
      <c r="K894" s="229"/>
      <c r="L894" s="229">
        <f>SUM(ventas_b_mes11[[#This Row],[IMPORTE NETO]:[EXENTO]])</f>
        <v>5330</v>
      </c>
      <c r="M894" s="55"/>
    </row>
    <row r="895" spans="2:13" x14ac:dyDescent="0.3">
      <c r="B895" s="223">
        <v>44848</v>
      </c>
      <c r="C895" s="224">
        <v>6</v>
      </c>
      <c r="D895" s="225">
        <v>12</v>
      </c>
      <c r="E895" s="226">
        <v>22128</v>
      </c>
      <c r="F895" s="227">
        <v>34343939</v>
      </c>
      <c r="G895" s="1" t="s">
        <v>386</v>
      </c>
      <c r="H895" s="60">
        <v>4088.43</v>
      </c>
      <c r="I895" s="228">
        <v>858.57</v>
      </c>
      <c r="J895" s="229"/>
      <c r="K895" s="229"/>
      <c r="L895" s="229">
        <f>SUM(ventas_b_mes11[[#This Row],[IMPORTE NETO]:[EXENTO]])</f>
        <v>4947</v>
      </c>
      <c r="M895" s="55"/>
    </row>
    <row r="896" spans="2:13" x14ac:dyDescent="0.3">
      <c r="B896" s="223">
        <v>44849</v>
      </c>
      <c r="C896" s="224">
        <v>6</v>
      </c>
      <c r="D896" s="225">
        <v>12</v>
      </c>
      <c r="E896" s="226">
        <v>22129</v>
      </c>
      <c r="F896" s="227">
        <v>24445141</v>
      </c>
      <c r="G896" s="1" t="s">
        <v>696</v>
      </c>
      <c r="H896" s="60">
        <v>377.77</v>
      </c>
      <c r="I896" s="228">
        <v>79.33</v>
      </c>
      <c r="J896" s="229"/>
      <c r="K896" s="229"/>
      <c r="L896" s="229">
        <f>SUM(ventas_b_mes11[[#This Row],[IMPORTE NETO]:[EXENTO]])</f>
        <v>457.09999999999997</v>
      </c>
      <c r="M896" s="55"/>
    </row>
    <row r="897" spans="2:13" x14ac:dyDescent="0.3">
      <c r="B897" s="223">
        <v>44849</v>
      </c>
      <c r="C897" s="224">
        <v>6</v>
      </c>
      <c r="D897" s="225">
        <v>12</v>
      </c>
      <c r="E897" s="226">
        <v>22130</v>
      </c>
      <c r="F897" s="227">
        <v>24445141</v>
      </c>
      <c r="G897" s="1" t="s">
        <v>696</v>
      </c>
      <c r="H897" s="60">
        <v>5082.6400000000003</v>
      </c>
      <c r="I897" s="228">
        <v>1067.3599999999999</v>
      </c>
      <c r="J897" s="229"/>
      <c r="K897" s="229"/>
      <c r="L897" s="229">
        <f>SUM(ventas_b_mes11[[#This Row],[IMPORTE NETO]:[EXENTO]])</f>
        <v>6150</v>
      </c>
      <c r="M897" s="55"/>
    </row>
    <row r="898" spans="2:13" x14ac:dyDescent="0.3">
      <c r="B898" s="223">
        <v>44849</v>
      </c>
      <c r="C898" s="224">
        <v>6</v>
      </c>
      <c r="D898" s="225">
        <v>12</v>
      </c>
      <c r="E898" s="226">
        <v>22131</v>
      </c>
      <c r="F898" s="227">
        <v>24445141</v>
      </c>
      <c r="G898" s="1" t="s">
        <v>696</v>
      </c>
      <c r="H898" s="60">
        <v>5396.69</v>
      </c>
      <c r="I898" s="228">
        <v>1133.31</v>
      </c>
      <c r="J898" s="229"/>
      <c r="K898" s="229"/>
      <c r="L898" s="229">
        <f>SUM(ventas_b_mes11[[#This Row],[IMPORTE NETO]:[EXENTO]])</f>
        <v>6530</v>
      </c>
      <c r="M898" s="55"/>
    </row>
    <row r="899" spans="2:13" x14ac:dyDescent="0.3">
      <c r="B899" s="223">
        <v>44849</v>
      </c>
      <c r="C899" s="224">
        <v>6</v>
      </c>
      <c r="D899" s="225">
        <v>12</v>
      </c>
      <c r="E899" s="226">
        <v>22132</v>
      </c>
      <c r="F899" s="227">
        <v>29904528</v>
      </c>
      <c r="G899" s="1" t="s">
        <v>716</v>
      </c>
      <c r="H899" s="60">
        <v>1446.28</v>
      </c>
      <c r="I899" s="228">
        <v>303.72000000000003</v>
      </c>
      <c r="J899" s="229"/>
      <c r="K899" s="229"/>
      <c r="L899" s="229">
        <f>SUM(ventas_b_mes11[[#This Row],[IMPORTE NETO]:[EXENTO]])</f>
        <v>1750</v>
      </c>
      <c r="M899" s="55"/>
    </row>
    <row r="900" spans="2:13" x14ac:dyDescent="0.3">
      <c r="B900" s="223">
        <v>44849</v>
      </c>
      <c r="C900" s="224">
        <v>6</v>
      </c>
      <c r="D900" s="225">
        <v>12</v>
      </c>
      <c r="E900" s="226">
        <v>22133</v>
      </c>
      <c r="F900" s="227">
        <v>30113651</v>
      </c>
      <c r="G900" s="1" t="s">
        <v>714</v>
      </c>
      <c r="H900" s="60">
        <v>12107.45</v>
      </c>
      <c r="I900" s="228">
        <v>2542.56</v>
      </c>
      <c r="J900" s="229"/>
      <c r="K900" s="229"/>
      <c r="L900" s="229">
        <f>SUM(ventas_b_mes11[[#This Row],[IMPORTE NETO]:[EXENTO]])</f>
        <v>14650.01</v>
      </c>
      <c r="M900" s="55"/>
    </row>
    <row r="901" spans="2:13" x14ac:dyDescent="0.3">
      <c r="B901" s="223">
        <v>44849</v>
      </c>
      <c r="C901" s="224">
        <v>6</v>
      </c>
      <c r="D901" s="225">
        <v>12</v>
      </c>
      <c r="E901" s="226">
        <v>22134</v>
      </c>
      <c r="F901" s="227">
        <v>11046463</v>
      </c>
      <c r="G901" s="1" t="s">
        <v>699</v>
      </c>
      <c r="H901" s="60">
        <v>4220.66</v>
      </c>
      <c r="I901" s="228">
        <v>886.34</v>
      </c>
      <c r="J901" s="229"/>
      <c r="K901" s="229"/>
      <c r="L901" s="229">
        <f>SUM(ventas_b_mes11[[#This Row],[IMPORTE NETO]:[EXENTO]])</f>
        <v>5107</v>
      </c>
      <c r="M901" s="55"/>
    </row>
    <row r="902" spans="2:13" x14ac:dyDescent="0.3">
      <c r="B902" s="223">
        <v>44849</v>
      </c>
      <c r="C902" s="224">
        <v>6</v>
      </c>
      <c r="D902" s="225">
        <v>12</v>
      </c>
      <c r="E902" s="226">
        <v>22135</v>
      </c>
      <c r="F902" s="227">
        <v>93085504</v>
      </c>
      <c r="G902" s="1" t="s">
        <v>718</v>
      </c>
      <c r="H902" s="60">
        <v>4958.68</v>
      </c>
      <c r="I902" s="228">
        <v>1041.32</v>
      </c>
      <c r="J902" s="229"/>
      <c r="K902" s="229"/>
      <c r="L902" s="229">
        <f>SUM(ventas_b_mes11[[#This Row],[IMPORTE NETO]:[EXENTO]])</f>
        <v>6000</v>
      </c>
      <c r="M902" s="55"/>
    </row>
    <row r="903" spans="2:13" x14ac:dyDescent="0.3">
      <c r="B903" s="223">
        <v>44849</v>
      </c>
      <c r="C903" s="224">
        <v>6</v>
      </c>
      <c r="D903" s="225">
        <v>12</v>
      </c>
      <c r="E903" s="226">
        <v>22136</v>
      </c>
      <c r="F903" s="227">
        <v>27701428</v>
      </c>
      <c r="G903" s="1" t="s">
        <v>683</v>
      </c>
      <c r="H903" s="60">
        <v>2766.94</v>
      </c>
      <c r="I903" s="228">
        <v>581.05999999999995</v>
      </c>
      <c r="J903" s="229"/>
      <c r="K903" s="229"/>
      <c r="L903" s="229">
        <f>SUM(ventas_b_mes11[[#This Row],[IMPORTE NETO]:[EXENTO]])</f>
        <v>3348</v>
      </c>
      <c r="M903" s="55"/>
    </row>
    <row r="904" spans="2:13" x14ac:dyDescent="0.3">
      <c r="B904" s="223">
        <v>44849</v>
      </c>
      <c r="C904" s="224">
        <v>6</v>
      </c>
      <c r="D904" s="225">
        <v>12</v>
      </c>
      <c r="E904" s="226">
        <v>22137</v>
      </c>
      <c r="F904" s="227">
        <v>94606717</v>
      </c>
      <c r="G904" s="1" t="s">
        <v>188</v>
      </c>
      <c r="H904" s="60">
        <v>4545.45</v>
      </c>
      <c r="I904" s="228">
        <v>954.55</v>
      </c>
      <c r="J904" s="229"/>
      <c r="K904" s="229"/>
      <c r="L904" s="229">
        <f>SUM(ventas_b_mes11[[#This Row],[IMPORTE NETO]:[EXENTO]])</f>
        <v>5500</v>
      </c>
      <c r="M904" s="55"/>
    </row>
    <row r="905" spans="2:13" x14ac:dyDescent="0.3">
      <c r="B905" s="223">
        <v>44849</v>
      </c>
      <c r="C905" s="224">
        <v>6</v>
      </c>
      <c r="D905" s="225">
        <v>12</v>
      </c>
      <c r="E905" s="226">
        <v>22138</v>
      </c>
      <c r="F905" s="227">
        <v>12479252</v>
      </c>
      <c r="G905" s="1" t="s">
        <v>130</v>
      </c>
      <c r="H905" s="60">
        <v>4834.71</v>
      </c>
      <c r="I905" s="228">
        <v>1015.29</v>
      </c>
      <c r="J905" s="229"/>
      <c r="K905" s="229"/>
      <c r="L905" s="229">
        <f>SUM(ventas_b_mes11[[#This Row],[IMPORTE NETO]:[EXENTO]])</f>
        <v>5850</v>
      </c>
      <c r="M905" s="55"/>
    </row>
    <row r="906" spans="2:13" x14ac:dyDescent="0.3">
      <c r="B906" s="223">
        <v>44851</v>
      </c>
      <c r="C906" s="224">
        <v>6</v>
      </c>
      <c r="D906" s="225">
        <v>12</v>
      </c>
      <c r="E906" s="226">
        <v>22139</v>
      </c>
      <c r="F906" s="227">
        <v>33706058</v>
      </c>
      <c r="G906" s="1" t="s">
        <v>728</v>
      </c>
      <c r="H906" s="60">
        <v>1446.28</v>
      </c>
      <c r="I906" s="228">
        <v>303.72000000000003</v>
      </c>
      <c r="J906" s="229"/>
      <c r="K906" s="229"/>
      <c r="L906" s="229">
        <f>SUM(ventas_b_mes11[[#This Row],[IMPORTE NETO]:[EXENTO]])</f>
        <v>1750</v>
      </c>
      <c r="M906" s="55"/>
    </row>
    <row r="907" spans="2:13" x14ac:dyDescent="0.3">
      <c r="B907" s="223">
        <v>44851</v>
      </c>
      <c r="C907" s="224">
        <v>6</v>
      </c>
      <c r="D907" s="225">
        <v>12</v>
      </c>
      <c r="E907" s="226">
        <v>22140</v>
      </c>
      <c r="F907" s="227">
        <v>30334456</v>
      </c>
      <c r="G907" s="1" t="s">
        <v>654</v>
      </c>
      <c r="H907" s="60">
        <v>3723.15</v>
      </c>
      <c r="I907" s="228">
        <v>781.86</v>
      </c>
      <c r="J907" s="229"/>
      <c r="K907" s="229"/>
      <c r="L907" s="229">
        <f>SUM(ventas_b_mes11[[#This Row],[IMPORTE NETO]:[EXENTO]])</f>
        <v>4505.01</v>
      </c>
      <c r="M907" s="55"/>
    </row>
    <row r="908" spans="2:13" x14ac:dyDescent="0.3">
      <c r="B908" s="223">
        <v>44851</v>
      </c>
      <c r="C908" s="224">
        <v>6</v>
      </c>
      <c r="D908" s="225">
        <v>12</v>
      </c>
      <c r="E908" s="226">
        <v>22141</v>
      </c>
      <c r="F908" s="227">
        <v>22862164</v>
      </c>
      <c r="G908" s="1" t="s">
        <v>725</v>
      </c>
      <c r="H908" s="60">
        <v>2181.8200000000002</v>
      </c>
      <c r="I908" s="228">
        <v>458.18</v>
      </c>
      <c r="J908" s="229"/>
      <c r="K908" s="229"/>
      <c r="L908" s="229">
        <f>SUM(ventas_b_mes11[[#This Row],[IMPORTE NETO]:[EXENTO]])</f>
        <v>2640</v>
      </c>
      <c r="M908" s="55"/>
    </row>
    <row r="909" spans="2:13" x14ac:dyDescent="0.3">
      <c r="B909" s="223">
        <v>44851</v>
      </c>
      <c r="C909" s="224">
        <v>6</v>
      </c>
      <c r="D909" s="225">
        <v>12</v>
      </c>
      <c r="E909" s="226">
        <v>22142</v>
      </c>
      <c r="F909" s="227">
        <v>22825602</v>
      </c>
      <c r="G909" s="1" t="s">
        <v>740</v>
      </c>
      <c r="H909" s="60">
        <v>1045.95</v>
      </c>
      <c r="I909" s="228">
        <v>219.65</v>
      </c>
      <c r="J909" s="229"/>
      <c r="K909" s="229"/>
      <c r="L909" s="229">
        <f>SUM(ventas_b_mes11[[#This Row],[IMPORTE NETO]:[EXENTO]])</f>
        <v>1265.6000000000001</v>
      </c>
      <c r="M909" s="55"/>
    </row>
    <row r="910" spans="2:13" x14ac:dyDescent="0.3">
      <c r="B910" s="223">
        <v>44851</v>
      </c>
      <c r="C910" s="224">
        <v>6</v>
      </c>
      <c r="D910" s="225">
        <v>12</v>
      </c>
      <c r="E910" s="226">
        <v>22143</v>
      </c>
      <c r="F910" s="227">
        <v>22825602</v>
      </c>
      <c r="G910" s="1" t="s">
        <v>740</v>
      </c>
      <c r="H910" s="60">
        <v>13628.52</v>
      </c>
      <c r="I910" s="228">
        <v>2861.99</v>
      </c>
      <c r="J910" s="229"/>
      <c r="K910" s="229"/>
      <c r="L910" s="229">
        <f>SUM(ventas_b_mes11[[#This Row],[IMPORTE NETO]:[EXENTO]])</f>
        <v>16490.510000000002</v>
      </c>
      <c r="M910" s="55"/>
    </row>
    <row r="911" spans="2:13" x14ac:dyDescent="0.3">
      <c r="B911" s="223">
        <v>44851</v>
      </c>
      <c r="C911" s="224">
        <v>6</v>
      </c>
      <c r="D911" s="225">
        <v>12</v>
      </c>
      <c r="E911" s="226">
        <v>22144</v>
      </c>
      <c r="F911" s="227">
        <v>22825602</v>
      </c>
      <c r="G911" s="1" t="s">
        <v>740</v>
      </c>
      <c r="H911" s="60">
        <v>2454.54</v>
      </c>
      <c r="I911" s="228">
        <v>515.45000000000005</v>
      </c>
      <c r="J911" s="229"/>
      <c r="K911" s="229"/>
      <c r="L911" s="229">
        <f>SUM(ventas_b_mes11[[#This Row],[IMPORTE NETO]:[EXENTO]])</f>
        <v>2969.99</v>
      </c>
      <c r="M911" s="55"/>
    </row>
    <row r="912" spans="2:13" x14ac:dyDescent="0.3">
      <c r="B912" s="223">
        <v>44851</v>
      </c>
      <c r="C912" s="224">
        <v>6</v>
      </c>
      <c r="D912" s="225">
        <v>12</v>
      </c>
      <c r="E912" s="226">
        <v>22145</v>
      </c>
      <c r="F912" s="227">
        <v>13529092</v>
      </c>
      <c r="G912" s="1" t="s">
        <v>733</v>
      </c>
      <c r="H912" s="60">
        <v>8057.44</v>
      </c>
      <c r="I912" s="228">
        <v>1692.06</v>
      </c>
      <c r="J912" s="229"/>
      <c r="K912" s="229"/>
      <c r="L912" s="229">
        <f>SUM(ventas_b_mes11[[#This Row],[IMPORTE NETO]:[EXENTO]])</f>
        <v>9749.5</v>
      </c>
      <c r="M912" s="55"/>
    </row>
    <row r="913" spans="2:13" x14ac:dyDescent="0.3">
      <c r="B913" s="223">
        <v>44851</v>
      </c>
      <c r="C913" s="224">
        <v>6</v>
      </c>
      <c r="D913" s="225">
        <v>12</v>
      </c>
      <c r="E913" s="226">
        <v>22146</v>
      </c>
      <c r="F913" s="227">
        <v>94643934</v>
      </c>
      <c r="G913" s="1" t="s">
        <v>182</v>
      </c>
      <c r="H913" s="60">
        <v>4144.6400000000003</v>
      </c>
      <c r="I913" s="228">
        <v>870.37</v>
      </c>
      <c r="J913" s="229"/>
      <c r="K913" s="229"/>
      <c r="L913" s="229">
        <f>SUM(ventas_b_mes11[[#This Row],[IMPORTE NETO]:[EXENTO]])</f>
        <v>5015.01</v>
      </c>
      <c r="M913" s="55"/>
    </row>
    <row r="914" spans="2:13" x14ac:dyDescent="0.3">
      <c r="B914" s="223">
        <v>44851</v>
      </c>
      <c r="C914" s="224">
        <v>6</v>
      </c>
      <c r="D914" s="225">
        <v>12</v>
      </c>
      <c r="E914" s="226">
        <v>22147</v>
      </c>
      <c r="F914" s="227">
        <v>0</v>
      </c>
      <c r="G914" s="1"/>
      <c r="H914" s="60">
        <v>743.8</v>
      </c>
      <c r="I914" s="228">
        <v>156.19999999999999</v>
      </c>
      <c r="J914" s="229"/>
      <c r="K914" s="229"/>
      <c r="L914" s="229">
        <f>SUM(ventas_b_mes11[[#This Row],[IMPORTE NETO]:[EXENTO]])</f>
        <v>900</v>
      </c>
      <c r="M914" s="55"/>
    </row>
    <row r="915" spans="2:13" x14ac:dyDescent="0.3">
      <c r="B915" s="223">
        <v>44851</v>
      </c>
      <c r="C915" s="224">
        <v>6</v>
      </c>
      <c r="D915" s="225">
        <v>12</v>
      </c>
      <c r="E915" s="226">
        <v>22148</v>
      </c>
      <c r="F915" s="227">
        <v>30594091</v>
      </c>
      <c r="G915" s="1" t="s">
        <v>131</v>
      </c>
      <c r="H915" s="60">
        <v>4958.68</v>
      </c>
      <c r="I915" s="228">
        <v>1041.32</v>
      </c>
      <c r="J915" s="229"/>
      <c r="K915" s="229"/>
      <c r="L915" s="229">
        <f>SUM(ventas_b_mes11[[#This Row],[IMPORTE NETO]:[EXENTO]])</f>
        <v>6000</v>
      </c>
      <c r="M915" s="55"/>
    </row>
    <row r="916" spans="2:13" x14ac:dyDescent="0.3">
      <c r="B916" s="223">
        <v>44851</v>
      </c>
      <c r="C916" s="224">
        <v>6</v>
      </c>
      <c r="D916" s="225">
        <v>12</v>
      </c>
      <c r="E916" s="226">
        <v>22149</v>
      </c>
      <c r="F916" s="227">
        <v>43315016</v>
      </c>
      <c r="G916" s="1" t="s">
        <v>670</v>
      </c>
      <c r="H916" s="60">
        <v>4958.68</v>
      </c>
      <c r="I916" s="228">
        <v>1041.32</v>
      </c>
      <c r="J916" s="229"/>
      <c r="K916" s="229"/>
      <c r="L916" s="229">
        <f>SUM(ventas_b_mes11[[#This Row],[IMPORTE NETO]:[EXENTO]])</f>
        <v>6000</v>
      </c>
      <c r="M916" s="55"/>
    </row>
    <row r="917" spans="2:13" x14ac:dyDescent="0.3">
      <c r="B917" s="223">
        <v>44851</v>
      </c>
      <c r="C917" s="224">
        <v>6</v>
      </c>
      <c r="D917" s="225">
        <v>12</v>
      </c>
      <c r="E917" s="226">
        <v>22150</v>
      </c>
      <c r="F917" s="227">
        <v>43315016</v>
      </c>
      <c r="G917" s="1" t="s">
        <v>670</v>
      </c>
      <c r="H917" s="60">
        <v>9917.36</v>
      </c>
      <c r="I917" s="228">
        <v>2082.64</v>
      </c>
      <c r="J917" s="229"/>
      <c r="K917" s="229"/>
      <c r="L917" s="229">
        <f>SUM(ventas_b_mes11[[#This Row],[IMPORTE NETO]:[EXENTO]])</f>
        <v>12000</v>
      </c>
      <c r="M917" s="55"/>
    </row>
    <row r="918" spans="2:13" x14ac:dyDescent="0.3">
      <c r="B918" s="223">
        <v>44851</v>
      </c>
      <c r="C918" s="224">
        <v>6</v>
      </c>
      <c r="D918" s="225">
        <v>12</v>
      </c>
      <c r="E918" s="226">
        <v>22151</v>
      </c>
      <c r="F918" s="227">
        <v>10519082</v>
      </c>
      <c r="G918" s="1" t="s">
        <v>721</v>
      </c>
      <c r="H918" s="60">
        <v>7867.78</v>
      </c>
      <c r="I918" s="228">
        <v>1652.23</v>
      </c>
      <c r="J918" s="229"/>
      <c r="K918" s="229"/>
      <c r="L918" s="229">
        <f>SUM(ventas_b_mes11[[#This Row],[IMPORTE NETO]:[EXENTO]])</f>
        <v>9520.01</v>
      </c>
      <c r="M918" s="55"/>
    </row>
    <row r="919" spans="2:13" x14ac:dyDescent="0.3">
      <c r="B919" s="223">
        <v>44851</v>
      </c>
      <c r="C919" s="224">
        <v>6</v>
      </c>
      <c r="D919" s="225">
        <v>12</v>
      </c>
      <c r="E919" s="226">
        <v>22152</v>
      </c>
      <c r="F919" s="227">
        <v>10519082</v>
      </c>
      <c r="G919" s="1" t="s">
        <v>721</v>
      </c>
      <c r="H919" s="60">
        <v>1194.21</v>
      </c>
      <c r="I919" s="228">
        <v>250.79</v>
      </c>
      <c r="J919" s="229"/>
      <c r="K919" s="229"/>
      <c r="L919" s="229">
        <f>SUM(ventas_b_mes11[[#This Row],[IMPORTE NETO]:[EXENTO]])</f>
        <v>1445</v>
      </c>
      <c r="M919" s="55"/>
    </row>
    <row r="920" spans="2:13" x14ac:dyDescent="0.3">
      <c r="B920" s="223">
        <v>44851</v>
      </c>
      <c r="C920" s="224">
        <v>6</v>
      </c>
      <c r="D920" s="225">
        <v>12</v>
      </c>
      <c r="E920" s="226">
        <v>22153</v>
      </c>
      <c r="F920" s="227">
        <v>34060650</v>
      </c>
      <c r="G920" s="1" t="s">
        <v>384</v>
      </c>
      <c r="H920" s="60">
        <v>6528.93</v>
      </c>
      <c r="I920" s="228">
        <v>1371.07</v>
      </c>
      <c r="J920" s="229"/>
      <c r="K920" s="229"/>
      <c r="L920" s="229">
        <f>SUM(ventas_b_mes11[[#This Row],[IMPORTE NETO]:[EXENTO]])</f>
        <v>7900</v>
      </c>
      <c r="M920" s="55"/>
    </row>
    <row r="921" spans="2:13" x14ac:dyDescent="0.3">
      <c r="B921" s="223">
        <v>44851</v>
      </c>
      <c r="C921" s="224">
        <v>6</v>
      </c>
      <c r="D921" s="225">
        <v>12</v>
      </c>
      <c r="E921" s="226">
        <v>22154</v>
      </c>
      <c r="F921" s="227">
        <v>94163043</v>
      </c>
      <c r="G921" s="1" t="s">
        <v>735</v>
      </c>
      <c r="H921" s="60">
        <v>4958.68</v>
      </c>
      <c r="I921" s="228">
        <v>1041.32</v>
      </c>
      <c r="J921" s="229"/>
      <c r="K921" s="229"/>
      <c r="L921" s="229">
        <f>SUM(ventas_b_mes11[[#This Row],[IMPORTE NETO]:[EXENTO]])</f>
        <v>6000</v>
      </c>
      <c r="M921" s="55"/>
    </row>
    <row r="922" spans="2:13" x14ac:dyDescent="0.3">
      <c r="B922" s="223">
        <v>44852</v>
      </c>
      <c r="C922" s="224">
        <v>6</v>
      </c>
      <c r="D922" s="225">
        <v>12</v>
      </c>
      <c r="E922" s="226">
        <v>22155</v>
      </c>
      <c r="F922" s="227">
        <v>27659460</v>
      </c>
      <c r="G922" s="1" t="s">
        <v>380</v>
      </c>
      <c r="H922" s="60">
        <v>2231.4</v>
      </c>
      <c r="I922" s="228">
        <v>468.6</v>
      </c>
      <c r="J922" s="229"/>
      <c r="K922" s="229"/>
      <c r="L922" s="229">
        <f>SUM(ventas_b_mes11[[#This Row],[IMPORTE NETO]:[EXENTO]])</f>
        <v>2700</v>
      </c>
      <c r="M922" s="55"/>
    </row>
    <row r="923" spans="2:13" x14ac:dyDescent="0.3">
      <c r="B923" s="223">
        <v>44852</v>
      </c>
      <c r="C923" s="224">
        <v>6</v>
      </c>
      <c r="D923" s="225">
        <v>12</v>
      </c>
      <c r="E923" s="226">
        <v>22156</v>
      </c>
      <c r="F923" s="227">
        <v>23157627</v>
      </c>
      <c r="G923" s="1" t="s">
        <v>770</v>
      </c>
      <c r="H923" s="60">
        <v>2194.21</v>
      </c>
      <c r="I923" s="228">
        <v>460.79</v>
      </c>
      <c r="J923" s="229"/>
      <c r="K923" s="229"/>
      <c r="L923" s="229">
        <f>SUM(ventas_b_mes11[[#This Row],[IMPORTE NETO]:[EXENTO]])</f>
        <v>2655</v>
      </c>
      <c r="M923" s="55"/>
    </row>
    <row r="924" spans="2:13" x14ac:dyDescent="0.3">
      <c r="B924" s="223">
        <v>44852</v>
      </c>
      <c r="C924" s="224">
        <v>6</v>
      </c>
      <c r="D924" s="225">
        <v>12</v>
      </c>
      <c r="E924" s="226">
        <v>22157</v>
      </c>
      <c r="F924" s="227">
        <v>28010582</v>
      </c>
      <c r="G924" s="1" t="s">
        <v>603</v>
      </c>
      <c r="H924" s="60">
        <v>4088.43</v>
      </c>
      <c r="I924" s="228">
        <v>858.57</v>
      </c>
      <c r="J924" s="229"/>
      <c r="K924" s="229"/>
      <c r="L924" s="229">
        <f>SUM(ventas_b_mes11[[#This Row],[IMPORTE NETO]:[EXENTO]])</f>
        <v>4947</v>
      </c>
      <c r="M924" s="55"/>
    </row>
    <row r="925" spans="2:13" x14ac:dyDescent="0.3">
      <c r="B925" s="223">
        <v>44852</v>
      </c>
      <c r="C925" s="224">
        <v>6</v>
      </c>
      <c r="D925" s="225">
        <v>12</v>
      </c>
      <c r="E925" s="226">
        <v>22158</v>
      </c>
      <c r="F925" s="227">
        <v>22862164</v>
      </c>
      <c r="G925" s="1" t="s">
        <v>725</v>
      </c>
      <c r="H925" s="60">
        <v>3969.01</v>
      </c>
      <c r="I925" s="228">
        <v>833.49</v>
      </c>
      <c r="J925" s="229"/>
      <c r="K925" s="229"/>
      <c r="L925" s="229">
        <f>SUM(ventas_b_mes11[[#This Row],[IMPORTE NETO]:[EXENTO]])</f>
        <v>4802.5</v>
      </c>
      <c r="M925" s="55"/>
    </row>
    <row r="926" spans="2:13" x14ac:dyDescent="0.3">
      <c r="B926" s="223">
        <v>44852</v>
      </c>
      <c r="C926" s="224">
        <v>6</v>
      </c>
      <c r="D926" s="225">
        <v>12</v>
      </c>
      <c r="E926" s="226">
        <v>22159</v>
      </c>
      <c r="F926" s="227">
        <v>18409926</v>
      </c>
      <c r="G926" s="1" t="s">
        <v>209</v>
      </c>
      <c r="H926" s="60">
        <v>11042.98</v>
      </c>
      <c r="I926" s="228">
        <v>2319.02</v>
      </c>
      <c r="J926" s="229"/>
      <c r="K926" s="229"/>
      <c r="L926" s="229">
        <f>SUM(ventas_b_mes11[[#This Row],[IMPORTE NETO]:[EXENTO]])</f>
        <v>13362</v>
      </c>
      <c r="M926" s="55"/>
    </row>
    <row r="927" spans="2:13" x14ac:dyDescent="0.3">
      <c r="B927" s="223">
        <v>44852</v>
      </c>
      <c r="C927" s="224">
        <v>6</v>
      </c>
      <c r="D927" s="225">
        <v>12</v>
      </c>
      <c r="E927" s="226">
        <v>22160</v>
      </c>
      <c r="F927" s="227">
        <v>18409926</v>
      </c>
      <c r="G927" s="1" t="s">
        <v>209</v>
      </c>
      <c r="H927" s="60">
        <v>11042.98</v>
      </c>
      <c r="I927" s="228">
        <v>2319.02</v>
      </c>
      <c r="J927" s="229"/>
      <c r="K927" s="229"/>
      <c r="L927" s="229">
        <f>SUM(ventas_b_mes11[[#This Row],[IMPORTE NETO]:[EXENTO]])</f>
        <v>13362</v>
      </c>
      <c r="M927" s="55"/>
    </row>
    <row r="928" spans="2:13" x14ac:dyDescent="0.3">
      <c r="B928" s="223">
        <v>44852</v>
      </c>
      <c r="C928" s="224">
        <v>6</v>
      </c>
      <c r="D928" s="225">
        <v>12</v>
      </c>
      <c r="E928" s="226">
        <v>22161</v>
      </c>
      <c r="F928" s="227">
        <v>20338106</v>
      </c>
      <c r="G928" s="1" t="s">
        <v>762</v>
      </c>
      <c r="H928" s="60">
        <v>12897.52</v>
      </c>
      <c r="I928" s="228">
        <v>2708.48</v>
      </c>
      <c r="J928" s="229"/>
      <c r="K928" s="229"/>
      <c r="L928" s="229">
        <f>SUM(ventas_b_mes11[[#This Row],[IMPORTE NETO]:[EXENTO]])</f>
        <v>15606</v>
      </c>
      <c r="M928" s="55"/>
    </row>
    <row r="929" spans="2:13" x14ac:dyDescent="0.3">
      <c r="B929" s="223">
        <v>44852</v>
      </c>
      <c r="C929" s="224">
        <v>6</v>
      </c>
      <c r="D929" s="225">
        <v>12</v>
      </c>
      <c r="E929" s="226">
        <v>22162</v>
      </c>
      <c r="F929" s="227">
        <v>94028936</v>
      </c>
      <c r="G929" s="1" t="s">
        <v>775</v>
      </c>
      <c r="H929" s="60">
        <v>2458.6799999999998</v>
      </c>
      <c r="I929" s="228">
        <v>516.32000000000005</v>
      </c>
      <c r="J929" s="229"/>
      <c r="K929" s="229"/>
      <c r="L929" s="229">
        <f>SUM(ventas_b_mes11[[#This Row],[IMPORTE NETO]:[EXENTO]])</f>
        <v>2975</v>
      </c>
      <c r="M929" s="55"/>
    </row>
    <row r="930" spans="2:13" x14ac:dyDescent="0.3">
      <c r="B930" s="223">
        <v>44852</v>
      </c>
      <c r="C930" s="224">
        <v>6</v>
      </c>
      <c r="D930" s="225">
        <v>12</v>
      </c>
      <c r="E930" s="226">
        <v>22163</v>
      </c>
      <c r="F930" s="227">
        <v>13313201</v>
      </c>
      <c r="G930" s="1" t="s">
        <v>632</v>
      </c>
      <c r="H930" s="60">
        <v>3942.15</v>
      </c>
      <c r="I930" s="228">
        <v>827.85</v>
      </c>
      <c r="J930" s="229"/>
      <c r="K930" s="229"/>
      <c r="L930" s="229">
        <f>SUM(ventas_b_mes11[[#This Row],[IMPORTE NETO]:[EXENTO]])</f>
        <v>4770</v>
      </c>
      <c r="M930" s="55"/>
    </row>
    <row r="931" spans="2:13" x14ac:dyDescent="0.3">
      <c r="B931" s="223">
        <v>44852</v>
      </c>
      <c r="C931" s="224">
        <v>6</v>
      </c>
      <c r="D931" s="225">
        <v>12</v>
      </c>
      <c r="E931" s="226">
        <v>22164</v>
      </c>
      <c r="F931" s="227">
        <v>17478194</v>
      </c>
      <c r="G931" s="1" t="s">
        <v>766</v>
      </c>
      <c r="H931" s="60">
        <v>2892.56</v>
      </c>
      <c r="I931" s="228">
        <v>607.44000000000005</v>
      </c>
      <c r="J931" s="229"/>
      <c r="K931" s="229"/>
      <c r="L931" s="229">
        <f>SUM(ventas_b_mes11[[#This Row],[IMPORTE NETO]:[EXENTO]])</f>
        <v>3500</v>
      </c>
      <c r="M931" s="55"/>
    </row>
    <row r="932" spans="2:13" x14ac:dyDescent="0.3">
      <c r="B932" s="223">
        <v>44852</v>
      </c>
      <c r="C932" s="224">
        <v>6</v>
      </c>
      <c r="D932" s="225">
        <v>12</v>
      </c>
      <c r="E932" s="226">
        <v>22165</v>
      </c>
      <c r="F932" s="227">
        <v>44610864</v>
      </c>
      <c r="G932" s="1" t="s">
        <v>298</v>
      </c>
      <c r="H932" s="60">
        <v>7340.9</v>
      </c>
      <c r="I932" s="228">
        <v>1541.59</v>
      </c>
      <c r="J932" s="229"/>
      <c r="K932" s="229"/>
      <c r="L932" s="229">
        <f>SUM(ventas_b_mes11[[#This Row],[IMPORTE NETO]:[EXENTO]])</f>
        <v>8882.49</v>
      </c>
      <c r="M932" s="55"/>
    </row>
    <row r="933" spans="2:13" x14ac:dyDescent="0.3">
      <c r="B933" s="223">
        <v>44852</v>
      </c>
      <c r="C933" s="224">
        <v>6</v>
      </c>
      <c r="D933" s="225">
        <v>12</v>
      </c>
      <c r="E933" s="226">
        <v>22166</v>
      </c>
      <c r="F933" s="227">
        <v>0</v>
      </c>
      <c r="G933" s="1"/>
      <c r="H933" s="60">
        <v>3161.16</v>
      </c>
      <c r="I933" s="228">
        <v>663.84</v>
      </c>
      <c r="J933" s="229"/>
      <c r="K933" s="229"/>
      <c r="L933" s="229">
        <f>SUM(ventas_b_mes11[[#This Row],[IMPORTE NETO]:[EXENTO]])</f>
        <v>3825</v>
      </c>
      <c r="M933" s="55"/>
    </row>
    <row r="934" spans="2:13" x14ac:dyDescent="0.3">
      <c r="B934" s="223">
        <v>44852</v>
      </c>
      <c r="C934" s="224">
        <v>6</v>
      </c>
      <c r="D934" s="225">
        <v>12</v>
      </c>
      <c r="E934" s="226">
        <v>22167</v>
      </c>
      <c r="F934" s="227">
        <v>25315053</v>
      </c>
      <c r="G934" s="1" t="s">
        <v>567</v>
      </c>
      <c r="H934" s="60">
        <v>9307.85</v>
      </c>
      <c r="I934" s="228">
        <v>1954.65</v>
      </c>
      <c r="J934" s="229"/>
      <c r="K934" s="229"/>
      <c r="L934" s="229">
        <f>SUM(ventas_b_mes11[[#This Row],[IMPORTE NETO]:[EXENTO]])</f>
        <v>11262.5</v>
      </c>
      <c r="M934" s="55"/>
    </row>
    <row r="935" spans="2:13" x14ac:dyDescent="0.3">
      <c r="B935" s="223">
        <v>44852</v>
      </c>
      <c r="C935" s="224">
        <v>6</v>
      </c>
      <c r="D935" s="225">
        <v>12</v>
      </c>
      <c r="E935" s="226">
        <v>22168</v>
      </c>
      <c r="F935" s="227">
        <v>26311883</v>
      </c>
      <c r="G935" s="1" t="s">
        <v>214</v>
      </c>
      <c r="H935" s="60">
        <v>1561.98</v>
      </c>
      <c r="I935" s="228">
        <v>328.02</v>
      </c>
      <c r="J935" s="229"/>
      <c r="K935" s="229"/>
      <c r="L935" s="229">
        <f>SUM(ventas_b_mes11[[#This Row],[IMPORTE NETO]:[EXENTO]])</f>
        <v>1890</v>
      </c>
      <c r="M935" s="55"/>
    </row>
    <row r="936" spans="2:13" x14ac:dyDescent="0.3">
      <c r="B936" s="223">
        <v>44852</v>
      </c>
      <c r="C936" s="224">
        <v>6</v>
      </c>
      <c r="D936" s="225">
        <v>12</v>
      </c>
      <c r="E936" s="226">
        <v>22169</v>
      </c>
      <c r="F936" s="227">
        <v>25315053</v>
      </c>
      <c r="G936" s="1" t="s">
        <v>567</v>
      </c>
      <c r="H936" s="60">
        <v>2739.67</v>
      </c>
      <c r="I936" s="228">
        <v>575.33000000000004</v>
      </c>
      <c r="J936" s="229"/>
      <c r="K936" s="229"/>
      <c r="L936" s="229">
        <f>SUM(ventas_b_mes11[[#This Row],[IMPORTE NETO]:[EXENTO]])</f>
        <v>3315</v>
      </c>
      <c r="M936" s="55"/>
    </row>
    <row r="937" spans="2:13" x14ac:dyDescent="0.3">
      <c r="B937" s="223">
        <v>44852</v>
      </c>
      <c r="C937" s="224">
        <v>6</v>
      </c>
      <c r="D937" s="225">
        <v>12</v>
      </c>
      <c r="E937" s="226">
        <v>22170</v>
      </c>
      <c r="F937" s="227">
        <v>20213391</v>
      </c>
      <c r="G937" s="1" t="s">
        <v>256</v>
      </c>
      <c r="H937" s="60">
        <v>4088.43</v>
      </c>
      <c r="I937" s="228">
        <v>858.57</v>
      </c>
      <c r="J937" s="229"/>
      <c r="K937" s="229"/>
      <c r="L937" s="229">
        <f>SUM(ventas_b_mes11[[#This Row],[IMPORTE NETO]:[EXENTO]])</f>
        <v>4947</v>
      </c>
      <c r="M937" s="55"/>
    </row>
    <row r="938" spans="2:13" x14ac:dyDescent="0.3">
      <c r="B938" s="223">
        <v>44852</v>
      </c>
      <c r="C938" s="224">
        <v>6</v>
      </c>
      <c r="D938" s="225">
        <v>12</v>
      </c>
      <c r="E938" s="226">
        <v>22171</v>
      </c>
      <c r="F938" s="227">
        <v>23005325</v>
      </c>
      <c r="G938" s="1" t="s">
        <v>409</v>
      </c>
      <c r="H938" s="60">
        <v>3828.51</v>
      </c>
      <c r="I938" s="228">
        <v>803.99</v>
      </c>
      <c r="J938" s="229"/>
      <c r="K938" s="229"/>
      <c r="L938" s="229">
        <f>SUM(ventas_b_mes11[[#This Row],[IMPORTE NETO]:[EXENTO]])</f>
        <v>4632.5</v>
      </c>
      <c r="M938" s="55"/>
    </row>
    <row r="939" spans="2:13" x14ac:dyDescent="0.3">
      <c r="B939" s="223">
        <v>44852</v>
      </c>
      <c r="C939" s="224">
        <v>6</v>
      </c>
      <c r="D939" s="225">
        <v>12</v>
      </c>
      <c r="E939" s="226">
        <v>22172</v>
      </c>
      <c r="F939" s="227">
        <v>23005325</v>
      </c>
      <c r="G939" s="1" t="s">
        <v>409</v>
      </c>
      <c r="H939" s="60">
        <v>743.8</v>
      </c>
      <c r="I939" s="228">
        <v>156.19999999999999</v>
      </c>
      <c r="J939" s="229"/>
      <c r="K939" s="229"/>
      <c r="L939" s="229">
        <f>SUM(ventas_b_mes11[[#This Row],[IMPORTE NETO]:[EXENTO]])</f>
        <v>900</v>
      </c>
      <c r="M939" s="55"/>
    </row>
    <row r="940" spans="2:13" x14ac:dyDescent="0.3">
      <c r="B940" s="223">
        <v>44852</v>
      </c>
      <c r="C940" s="224">
        <v>6</v>
      </c>
      <c r="D940" s="225">
        <v>12</v>
      </c>
      <c r="E940" s="226">
        <v>22173</v>
      </c>
      <c r="F940" s="227">
        <v>28109132</v>
      </c>
      <c r="G940" s="1" t="s">
        <v>752</v>
      </c>
      <c r="H940" s="60">
        <v>3526.45</v>
      </c>
      <c r="I940" s="228">
        <v>740.55</v>
      </c>
      <c r="J940" s="229"/>
      <c r="K940" s="229"/>
      <c r="L940" s="229">
        <f>SUM(ventas_b_mes11[[#This Row],[IMPORTE NETO]:[EXENTO]])</f>
        <v>4267</v>
      </c>
      <c r="M940" s="55"/>
    </row>
    <row r="941" spans="2:13" x14ac:dyDescent="0.3">
      <c r="B941" s="223">
        <v>44852</v>
      </c>
      <c r="C941" s="224">
        <v>6</v>
      </c>
      <c r="D941" s="225">
        <v>12</v>
      </c>
      <c r="E941" s="226">
        <v>22174</v>
      </c>
      <c r="F941" s="227">
        <v>28109132</v>
      </c>
      <c r="G941" s="1" t="s">
        <v>752</v>
      </c>
      <c r="H941" s="60">
        <v>3305.79</v>
      </c>
      <c r="I941" s="228">
        <v>694.21</v>
      </c>
      <c r="J941" s="229"/>
      <c r="K941" s="229"/>
      <c r="L941" s="229">
        <f>SUM(ventas_b_mes11[[#This Row],[IMPORTE NETO]:[EXENTO]])</f>
        <v>4000</v>
      </c>
      <c r="M941" s="55"/>
    </row>
    <row r="942" spans="2:13" x14ac:dyDescent="0.3">
      <c r="B942" s="223">
        <v>44853</v>
      </c>
      <c r="C942" s="224">
        <v>6</v>
      </c>
      <c r="D942" s="225">
        <v>12</v>
      </c>
      <c r="E942" s="226">
        <v>22175</v>
      </c>
      <c r="F942" s="227">
        <v>22527520</v>
      </c>
      <c r="G942" s="1" t="s">
        <v>794</v>
      </c>
      <c r="H942" s="60">
        <v>9202.48</v>
      </c>
      <c r="I942" s="228">
        <v>1932.52</v>
      </c>
      <c r="J942" s="229"/>
      <c r="K942" s="229"/>
      <c r="L942" s="229">
        <f>SUM(ventas_b_mes11[[#This Row],[IMPORTE NETO]:[EXENTO]])</f>
        <v>11135</v>
      </c>
      <c r="M942" s="55"/>
    </row>
    <row r="943" spans="2:13" x14ac:dyDescent="0.3">
      <c r="B943" s="223">
        <v>44853</v>
      </c>
      <c r="C943" s="224">
        <v>6</v>
      </c>
      <c r="D943" s="225">
        <v>12</v>
      </c>
      <c r="E943" s="226">
        <v>22176</v>
      </c>
      <c r="F943" s="227">
        <v>17278854</v>
      </c>
      <c r="G943" s="1" t="s">
        <v>791</v>
      </c>
      <c r="H943" s="60">
        <v>10263.219999999999</v>
      </c>
      <c r="I943" s="228">
        <v>2155.2800000000002</v>
      </c>
      <c r="J943" s="229"/>
      <c r="K943" s="229"/>
      <c r="L943" s="229">
        <f>SUM(ventas_b_mes11[[#This Row],[IMPORTE NETO]:[EXENTO]])</f>
        <v>12418.5</v>
      </c>
      <c r="M943" s="55"/>
    </row>
    <row r="944" spans="2:13" x14ac:dyDescent="0.3">
      <c r="B944" s="223">
        <v>44853</v>
      </c>
      <c r="C944" s="224">
        <v>6</v>
      </c>
      <c r="D944" s="225">
        <v>12</v>
      </c>
      <c r="E944" s="226">
        <v>22177</v>
      </c>
      <c r="F944" s="227">
        <v>26942467</v>
      </c>
      <c r="G944" s="1" t="s">
        <v>808</v>
      </c>
      <c r="H944" s="60">
        <v>4088.43</v>
      </c>
      <c r="I944" s="228">
        <v>858.57</v>
      </c>
      <c r="J944" s="229"/>
      <c r="K944" s="229"/>
      <c r="L944" s="229">
        <f>SUM(ventas_b_mes11[[#This Row],[IMPORTE NETO]:[EXENTO]])</f>
        <v>4947</v>
      </c>
      <c r="M944" s="55"/>
    </row>
    <row r="945" spans="2:13" x14ac:dyDescent="0.3">
      <c r="B945" s="223">
        <v>44853</v>
      </c>
      <c r="C945" s="224">
        <v>6</v>
      </c>
      <c r="D945" s="225">
        <v>12</v>
      </c>
      <c r="E945" s="226">
        <v>22178</v>
      </c>
      <c r="F945" s="227">
        <v>16850988</v>
      </c>
      <c r="G945" s="1" t="s">
        <v>515</v>
      </c>
      <c r="H945" s="60">
        <v>3026.45</v>
      </c>
      <c r="I945" s="228">
        <v>635.54999999999995</v>
      </c>
      <c r="J945" s="229"/>
      <c r="K945" s="229"/>
      <c r="L945" s="229">
        <f>SUM(ventas_b_mes11[[#This Row],[IMPORTE NETO]:[EXENTO]])</f>
        <v>3662</v>
      </c>
      <c r="M945" s="55"/>
    </row>
    <row r="946" spans="2:13" x14ac:dyDescent="0.3">
      <c r="B946" s="223">
        <v>44853</v>
      </c>
      <c r="C946" s="224">
        <v>6</v>
      </c>
      <c r="D946" s="225">
        <v>12</v>
      </c>
      <c r="E946" s="226">
        <v>22179</v>
      </c>
      <c r="F946" s="227">
        <v>11958172</v>
      </c>
      <c r="G946" s="1" t="s">
        <v>821</v>
      </c>
      <c r="H946" s="60">
        <v>6741.32</v>
      </c>
      <c r="I946" s="228">
        <v>1415.68</v>
      </c>
      <c r="J946" s="229"/>
      <c r="K946" s="229"/>
      <c r="L946" s="229">
        <f>SUM(ventas_b_mes11[[#This Row],[IMPORTE NETO]:[EXENTO]])</f>
        <v>8157</v>
      </c>
      <c r="M946" s="55"/>
    </row>
    <row r="947" spans="2:13" x14ac:dyDescent="0.3">
      <c r="B947" s="223">
        <v>44853</v>
      </c>
      <c r="C947" s="224">
        <v>6</v>
      </c>
      <c r="D947" s="225">
        <v>12</v>
      </c>
      <c r="E947" s="226">
        <v>22180</v>
      </c>
      <c r="F947" s="227">
        <v>36594749</v>
      </c>
      <c r="G947" s="1" t="s">
        <v>806</v>
      </c>
      <c r="H947" s="60">
        <v>3867.77</v>
      </c>
      <c r="I947" s="228">
        <v>812.23</v>
      </c>
      <c r="J947" s="229"/>
      <c r="K947" s="229"/>
      <c r="L947" s="229">
        <f>SUM(ventas_b_mes11[[#This Row],[IMPORTE NETO]:[EXENTO]])</f>
        <v>4680</v>
      </c>
      <c r="M947" s="55"/>
    </row>
    <row r="948" spans="2:13" x14ac:dyDescent="0.3">
      <c r="B948" s="223">
        <v>44853</v>
      </c>
      <c r="C948" s="224">
        <v>6</v>
      </c>
      <c r="D948" s="225">
        <v>12</v>
      </c>
      <c r="E948" s="226">
        <v>22181</v>
      </c>
      <c r="F948" s="227">
        <v>94904752</v>
      </c>
      <c r="G948" s="1" t="s">
        <v>240</v>
      </c>
      <c r="H948" s="60">
        <v>8492.98</v>
      </c>
      <c r="I948" s="228">
        <v>1783.52</v>
      </c>
      <c r="J948" s="229"/>
      <c r="K948" s="229"/>
      <c r="L948" s="229">
        <f>SUM(ventas_b_mes11[[#This Row],[IMPORTE NETO]:[EXENTO]])</f>
        <v>10276.5</v>
      </c>
      <c r="M948" s="55"/>
    </row>
    <row r="949" spans="2:13" x14ac:dyDescent="0.3">
      <c r="B949" s="223">
        <v>44853</v>
      </c>
      <c r="C949" s="224">
        <v>6</v>
      </c>
      <c r="D949" s="225">
        <v>12</v>
      </c>
      <c r="E949" s="226">
        <v>22182</v>
      </c>
      <c r="F949" s="227">
        <v>94606717</v>
      </c>
      <c r="G949" s="1" t="s">
        <v>188</v>
      </c>
      <c r="H949" s="60">
        <v>8176.86</v>
      </c>
      <c r="I949" s="228">
        <v>1717.14</v>
      </c>
      <c r="J949" s="229"/>
      <c r="K949" s="229"/>
      <c r="L949" s="229">
        <f>SUM(ventas_b_mes11[[#This Row],[IMPORTE NETO]:[EXENTO]])</f>
        <v>9894</v>
      </c>
      <c r="M949" s="55"/>
    </row>
    <row r="950" spans="2:13" x14ac:dyDescent="0.3">
      <c r="B950" s="223">
        <v>44853</v>
      </c>
      <c r="C950" s="224">
        <v>6</v>
      </c>
      <c r="D950" s="225">
        <v>12</v>
      </c>
      <c r="E950" s="226">
        <v>22183</v>
      </c>
      <c r="F950" s="227">
        <v>23211133</v>
      </c>
      <c r="G950" s="1" t="s">
        <v>605</v>
      </c>
      <c r="H950" s="60">
        <v>4088.43</v>
      </c>
      <c r="I950" s="228">
        <v>858.57</v>
      </c>
      <c r="J950" s="229"/>
      <c r="K950" s="229"/>
      <c r="L950" s="229">
        <f>SUM(ventas_b_mes11[[#This Row],[IMPORTE NETO]:[EXENTO]])</f>
        <v>4947</v>
      </c>
      <c r="M950" s="55"/>
    </row>
    <row r="951" spans="2:13" x14ac:dyDescent="0.3">
      <c r="B951" s="223">
        <v>44853</v>
      </c>
      <c r="C951" s="224">
        <v>6</v>
      </c>
      <c r="D951" s="225">
        <v>12</v>
      </c>
      <c r="E951" s="226">
        <v>22184</v>
      </c>
      <c r="F951" s="227">
        <v>34343939</v>
      </c>
      <c r="G951" s="1" t="s">
        <v>386</v>
      </c>
      <c r="H951" s="60">
        <v>2950.41</v>
      </c>
      <c r="I951" s="228">
        <v>619.59</v>
      </c>
      <c r="J951" s="229"/>
      <c r="K951" s="229"/>
      <c r="L951" s="229">
        <f>SUM(ventas_b_mes11[[#This Row],[IMPORTE NETO]:[EXENTO]])</f>
        <v>3570</v>
      </c>
      <c r="M951" s="55"/>
    </row>
    <row r="952" spans="2:13" x14ac:dyDescent="0.3">
      <c r="B952" s="223">
        <v>44853</v>
      </c>
      <c r="C952" s="224">
        <v>6</v>
      </c>
      <c r="D952" s="225">
        <v>12</v>
      </c>
      <c r="E952" s="226">
        <v>22185</v>
      </c>
      <c r="F952" s="227">
        <v>31572550</v>
      </c>
      <c r="G952" s="1" t="s">
        <v>325</v>
      </c>
      <c r="H952" s="60">
        <v>6195.87</v>
      </c>
      <c r="I952" s="228">
        <v>1301.1300000000001</v>
      </c>
      <c r="J952" s="229"/>
      <c r="K952" s="229"/>
      <c r="L952" s="229">
        <f>SUM(ventas_b_mes11[[#This Row],[IMPORTE NETO]:[EXENTO]])</f>
        <v>7497</v>
      </c>
      <c r="M952" s="55"/>
    </row>
    <row r="953" spans="2:13" x14ac:dyDescent="0.3">
      <c r="B953" s="223">
        <v>44853</v>
      </c>
      <c r="C953" s="224">
        <v>6</v>
      </c>
      <c r="D953" s="225">
        <v>12</v>
      </c>
      <c r="E953" s="226">
        <v>22186</v>
      </c>
      <c r="F953" s="227">
        <v>14852369</v>
      </c>
      <c r="G953" s="1" t="s">
        <v>803</v>
      </c>
      <c r="H953" s="60">
        <v>1264.46</v>
      </c>
      <c r="I953" s="228">
        <v>265.54000000000002</v>
      </c>
      <c r="J953" s="229"/>
      <c r="K953" s="229"/>
      <c r="L953" s="229">
        <f>SUM(ventas_b_mes11[[#This Row],[IMPORTE NETO]:[EXENTO]])</f>
        <v>1530</v>
      </c>
      <c r="M953" s="55"/>
    </row>
    <row r="954" spans="2:13" x14ac:dyDescent="0.3">
      <c r="B954" s="223">
        <v>44853</v>
      </c>
      <c r="C954" s="224">
        <v>6</v>
      </c>
      <c r="D954" s="225">
        <v>12</v>
      </c>
      <c r="E954" s="226">
        <v>22187</v>
      </c>
      <c r="F954" s="227">
        <v>23211133</v>
      </c>
      <c r="G954" s="1" t="s">
        <v>605</v>
      </c>
      <c r="H954" s="60">
        <v>1791.32</v>
      </c>
      <c r="I954" s="228">
        <v>376.18</v>
      </c>
      <c r="J954" s="229"/>
      <c r="K954" s="229"/>
      <c r="L954" s="229">
        <f>SUM(ventas_b_mes11[[#This Row],[IMPORTE NETO]:[EXENTO]])</f>
        <v>2167.5</v>
      </c>
      <c r="M954" s="55"/>
    </row>
    <row r="955" spans="2:13" x14ac:dyDescent="0.3">
      <c r="B955" s="223">
        <v>44853</v>
      </c>
      <c r="C955" s="224">
        <v>6</v>
      </c>
      <c r="D955" s="225">
        <v>12</v>
      </c>
      <c r="E955" s="226">
        <v>22188</v>
      </c>
      <c r="F955" s="227">
        <v>95795021</v>
      </c>
      <c r="G955" s="1" t="s">
        <v>811</v>
      </c>
      <c r="H955" s="60">
        <v>5080.17</v>
      </c>
      <c r="I955" s="228">
        <v>1066.83</v>
      </c>
      <c r="J955" s="229"/>
      <c r="K955" s="229"/>
      <c r="L955" s="229">
        <f>SUM(ventas_b_mes11[[#This Row],[IMPORTE NETO]:[EXENTO]])</f>
        <v>6147</v>
      </c>
      <c r="M955" s="55"/>
    </row>
    <row r="956" spans="2:13" x14ac:dyDescent="0.3">
      <c r="B956" s="223">
        <v>44853</v>
      </c>
      <c r="C956" s="224">
        <v>6</v>
      </c>
      <c r="D956" s="225">
        <v>12</v>
      </c>
      <c r="E956" s="226">
        <v>22189</v>
      </c>
      <c r="F956" s="227">
        <v>17203777</v>
      </c>
      <c r="G956" s="1" t="s">
        <v>823</v>
      </c>
      <c r="H956" s="60">
        <v>13852.89</v>
      </c>
      <c r="I956" s="228">
        <v>2909.11</v>
      </c>
      <c r="J956" s="229"/>
      <c r="K956" s="229"/>
      <c r="L956" s="229">
        <f>SUM(ventas_b_mes11[[#This Row],[IMPORTE NETO]:[EXENTO]])</f>
        <v>16762</v>
      </c>
      <c r="M956" s="55"/>
    </row>
    <row r="957" spans="2:13" x14ac:dyDescent="0.3">
      <c r="B957" s="223">
        <v>44853</v>
      </c>
      <c r="C957" s="224">
        <v>6</v>
      </c>
      <c r="D957" s="225">
        <v>12</v>
      </c>
      <c r="E957" s="226">
        <v>22190</v>
      </c>
      <c r="F957" s="227">
        <v>33711082</v>
      </c>
      <c r="G957" s="1" t="s">
        <v>805</v>
      </c>
      <c r="H957" s="60">
        <v>1404.96</v>
      </c>
      <c r="I957" s="228">
        <v>295.04000000000002</v>
      </c>
      <c r="J957" s="229"/>
      <c r="K957" s="229"/>
      <c r="L957" s="229">
        <f>SUM(ventas_b_mes11[[#This Row],[IMPORTE NETO]:[EXENTO]])</f>
        <v>1700</v>
      </c>
      <c r="M957" s="55"/>
    </row>
    <row r="958" spans="2:13" x14ac:dyDescent="0.3">
      <c r="B958" s="223">
        <v>44854</v>
      </c>
      <c r="C958" s="224">
        <v>6</v>
      </c>
      <c r="D958" s="225">
        <v>12</v>
      </c>
      <c r="E958" s="226">
        <v>22191</v>
      </c>
      <c r="F958" s="227">
        <v>22975577</v>
      </c>
      <c r="G958" s="1" t="s">
        <v>261</v>
      </c>
      <c r="H958" s="60">
        <v>2669.42</v>
      </c>
      <c r="I958" s="228">
        <v>560.58000000000004</v>
      </c>
      <c r="J958" s="229"/>
      <c r="K958" s="229"/>
      <c r="L958" s="229">
        <f>SUM(ventas_b_mes11[[#This Row],[IMPORTE NETO]:[EXENTO]])</f>
        <v>3230</v>
      </c>
      <c r="M958" s="55"/>
    </row>
    <row r="959" spans="2:13" x14ac:dyDescent="0.3">
      <c r="B959" s="223">
        <v>44854</v>
      </c>
      <c r="C959" s="224">
        <v>6</v>
      </c>
      <c r="D959" s="225">
        <v>12</v>
      </c>
      <c r="E959" s="226">
        <v>22192</v>
      </c>
      <c r="F959" s="227">
        <v>23845672</v>
      </c>
      <c r="G959" s="1"/>
      <c r="H959" s="60">
        <v>6348.63</v>
      </c>
      <c r="I959" s="228">
        <v>1333.21</v>
      </c>
      <c r="J959" s="229"/>
      <c r="K959" s="229"/>
      <c r="L959" s="229">
        <f>SUM(ventas_b_mes11[[#This Row],[IMPORTE NETO]:[EXENTO]])</f>
        <v>7681.84</v>
      </c>
      <c r="M959" s="55"/>
    </row>
    <row r="960" spans="2:13" x14ac:dyDescent="0.3">
      <c r="B960" s="223">
        <v>44854</v>
      </c>
      <c r="C960" s="224">
        <v>6</v>
      </c>
      <c r="D960" s="225">
        <v>12</v>
      </c>
      <c r="E960" s="226">
        <v>22193</v>
      </c>
      <c r="F960" s="227">
        <v>30334456</v>
      </c>
      <c r="G960" s="1" t="s">
        <v>654</v>
      </c>
      <c r="H960" s="60">
        <v>3512.39</v>
      </c>
      <c r="I960" s="228">
        <v>737.6</v>
      </c>
      <c r="J960" s="229"/>
      <c r="K960" s="229"/>
      <c r="L960" s="229">
        <f>SUM(ventas_b_mes11[[#This Row],[IMPORTE NETO]:[EXENTO]])</f>
        <v>4249.99</v>
      </c>
      <c r="M960" s="55"/>
    </row>
    <row r="961" spans="2:13" x14ac:dyDescent="0.3">
      <c r="B961" s="223">
        <v>44854</v>
      </c>
      <c r="C961" s="224">
        <v>6</v>
      </c>
      <c r="D961" s="225">
        <v>12</v>
      </c>
      <c r="E961" s="226">
        <v>22194</v>
      </c>
      <c r="F961" s="227">
        <v>38401899</v>
      </c>
      <c r="G961" s="1" t="s">
        <v>622</v>
      </c>
      <c r="H961" s="60">
        <v>4320.26</v>
      </c>
      <c r="I961" s="228">
        <v>907.25</v>
      </c>
      <c r="J961" s="229"/>
      <c r="K961" s="229"/>
      <c r="L961" s="229">
        <f>SUM(ventas_b_mes11[[#This Row],[IMPORTE NETO]:[EXENTO]])</f>
        <v>5227.51</v>
      </c>
      <c r="M961" s="55"/>
    </row>
    <row r="962" spans="2:13" x14ac:dyDescent="0.3">
      <c r="B962" s="223">
        <v>44854</v>
      </c>
      <c r="C962" s="224">
        <v>6</v>
      </c>
      <c r="D962" s="225">
        <v>12</v>
      </c>
      <c r="E962" s="226">
        <v>22195</v>
      </c>
      <c r="F962" s="227">
        <v>7325976</v>
      </c>
      <c r="G962" s="1"/>
      <c r="H962" s="60">
        <v>1078.51</v>
      </c>
      <c r="I962" s="228">
        <v>226.49</v>
      </c>
      <c r="J962" s="229"/>
      <c r="K962" s="229"/>
      <c r="L962" s="229">
        <f>SUM(ventas_b_mes11[[#This Row],[IMPORTE NETO]:[EXENTO]])</f>
        <v>1305</v>
      </c>
      <c r="M962" s="55"/>
    </row>
    <row r="963" spans="2:13" x14ac:dyDescent="0.3">
      <c r="B963" s="223">
        <v>44854</v>
      </c>
      <c r="C963" s="224">
        <v>6</v>
      </c>
      <c r="D963" s="225">
        <v>12</v>
      </c>
      <c r="E963" s="226">
        <v>22196</v>
      </c>
      <c r="F963" s="227">
        <v>43315016</v>
      </c>
      <c r="G963" s="1" t="s">
        <v>670</v>
      </c>
      <c r="H963" s="60">
        <v>826.45</v>
      </c>
      <c r="I963" s="228">
        <v>173.55</v>
      </c>
      <c r="J963" s="229"/>
      <c r="K963" s="229"/>
      <c r="L963" s="229">
        <f>SUM(ventas_b_mes11[[#This Row],[IMPORTE NETO]:[EXENTO]])</f>
        <v>1000</v>
      </c>
      <c r="M963" s="55"/>
    </row>
    <row r="964" spans="2:13" x14ac:dyDescent="0.3">
      <c r="B964" s="223">
        <v>44854</v>
      </c>
      <c r="C964" s="224">
        <v>6</v>
      </c>
      <c r="D964" s="225">
        <v>12</v>
      </c>
      <c r="E964" s="226">
        <v>22197</v>
      </c>
      <c r="F964" s="227">
        <v>26532643</v>
      </c>
      <c r="G964" s="1" t="s">
        <v>848</v>
      </c>
      <c r="H964" s="60">
        <v>4469.01</v>
      </c>
      <c r="I964" s="228">
        <v>938.49</v>
      </c>
      <c r="J964" s="229"/>
      <c r="K964" s="229"/>
      <c r="L964" s="229">
        <f>SUM(ventas_b_mes11[[#This Row],[IMPORTE NETO]:[EXENTO]])</f>
        <v>5407.5</v>
      </c>
      <c r="M964" s="55"/>
    </row>
    <row r="965" spans="2:13" x14ac:dyDescent="0.3">
      <c r="B965" s="223">
        <v>44854</v>
      </c>
      <c r="C965" s="224">
        <v>6</v>
      </c>
      <c r="D965" s="225">
        <v>12</v>
      </c>
      <c r="E965" s="226">
        <v>22198</v>
      </c>
      <c r="F965" s="227">
        <v>14897192</v>
      </c>
      <c r="G965" s="1" t="s">
        <v>353</v>
      </c>
      <c r="H965" s="60">
        <v>7803.31</v>
      </c>
      <c r="I965" s="228">
        <v>1638.69</v>
      </c>
      <c r="J965" s="229"/>
      <c r="K965" s="229"/>
      <c r="L965" s="229">
        <f>SUM(ventas_b_mes11[[#This Row],[IMPORTE NETO]:[EXENTO]])</f>
        <v>9442</v>
      </c>
      <c r="M965" s="55"/>
    </row>
    <row r="966" spans="2:13" x14ac:dyDescent="0.3">
      <c r="B966" s="223">
        <v>44854</v>
      </c>
      <c r="C966" s="224">
        <v>6</v>
      </c>
      <c r="D966" s="225">
        <v>12</v>
      </c>
      <c r="E966" s="226">
        <v>22199</v>
      </c>
      <c r="F966" s="227">
        <v>14011849</v>
      </c>
      <c r="G966" s="1" t="s">
        <v>849</v>
      </c>
      <c r="H966" s="60">
        <v>6216.94</v>
      </c>
      <c r="I966" s="228">
        <v>1305.56</v>
      </c>
      <c r="J966" s="229"/>
      <c r="K966" s="229"/>
      <c r="L966" s="229">
        <f>SUM(ventas_b_mes11[[#This Row],[IMPORTE NETO]:[EXENTO]])</f>
        <v>7522.5</v>
      </c>
      <c r="M966" s="55"/>
    </row>
    <row r="967" spans="2:13" x14ac:dyDescent="0.3">
      <c r="B967" s="223">
        <v>44854</v>
      </c>
      <c r="C967" s="224">
        <v>6</v>
      </c>
      <c r="D967" s="225">
        <v>12</v>
      </c>
      <c r="E967" s="226">
        <v>22200</v>
      </c>
      <c r="F967" s="227">
        <v>30113651</v>
      </c>
      <c r="G967" s="1" t="s">
        <v>714</v>
      </c>
      <c r="H967" s="60">
        <v>5282.64</v>
      </c>
      <c r="I967" s="228">
        <v>1109.3599999999999</v>
      </c>
      <c r="J967" s="229"/>
      <c r="K967" s="229"/>
      <c r="L967" s="229">
        <f>SUM(ventas_b_mes11[[#This Row],[IMPORTE NETO]:[EXENTO]])</f>
        <v>6392</v>
      </c>
      <c r="M967" s="55"/>
    </row>
    <row r="968" spans="2:13" x14ac:dyDescent="0.3">
      <c r="B968" s="223">
        <v>44854</v>
      </c>
      <c r="C968" s="224">
        <v>6</v>
      </c>
      <c r="D968" s="225">
        <v>12</v>
      </c>
      <c r="E968" s="226">
        <v>22201</v>
      </c>
      <c r="F968" s="227">
        <v>18338429</v>
      </c>
      <c r="G968" s="1" t="s">
        <v>845</v>
      </c>
      <c r="H968" s="60">
        <v>9040.9</v>
      </c>
      <c r="I968" s="228">
        <v>1898.59</v>
      </c>
      <c r="J968" s="229"/>
      <c r="K968" s="229"/>
      <c r="L968" s="229">
        <f>SUM(ventas_b_mes11[[#This Row],[IMPORTE NETO]:[EXENTO]])</f>
        <v>10939.49</v>
      </c>
      <c r="M968" s="55"/>
    </row>
    <row r="969" spans="2:13" x14ac:dyDescent="0.3">
      <c r="B969" s="223">
        <v>44854</v>
      </c>
      <c r="C969" s="224">
        <v>6</v>
      </c>
      <c r="D969" s="225">
        <v>12</v>
      </c>
      <c r="E969" s="226">
        <v>22202</v>
      </c>
      <c r="F969" s="227">
        <v>22847897</v>
      </c>
      <c r="G969" s="1" t="s">
        <v>840</v>
      </c>
      <c r="H969" s="60">
        <v>15314.06</v>
      </c>
      <c r="I969" s="228">
        <v>3215.95</v>
      </c>
      <c r="J969" s="229"/>
      <c r="K969" s="229"/>
      <c r="L969" s="229">
        <f>SUM(ventas_b_mes11[[#This Row],[IMPORTE NETO]:[EXENTO]])</f>
        <v>18530.009999999998</v>
      </c>
      <c r="M969" s="55"/>
    </row>
    <row r="970" spans="2:13" x14ac:dyDescent="0.3">
      <c r="B970" s="223">
        <v>44854</v>
      </c>
      <c r="C970" s="224">
        <v>6</v>
      </c>
      <c r="D970" s="225">
        <v>12</v>
      </c>
      <c r="E970" s="226">
        <v>22203</v>
      </c>
      <c r="F970" s="227">
        <v>31348549</v>
      </c>
      <c r="G970" s="1" t="s">
        <v>827</v>
      </c>
      <c r="H970" s="60">
        <v>4355.37</v>
      </c>
      <c r="I970" s="228">
        <v>914.63</v>
      </c>
      <c r="J970" s="229"/>
      <c r="K970" s="229"/>
      <c r="L970" s="229">
        <f>SUM(ventas_b_mes11[[#This Row],[IMPORTE NETO]:[EXENTO]])</f>
        <v>5270</v>
      </c>
      <c r="M970" s="55"/>
    </row>
    <row r="971" spans="2:13" x14ac:dyDescent="0.3">
      <c r="B971" s="223">
        <v>44854</v>
      </c>
      <c r="C971" s="224">
        <v>6</v>
      </c>
      <c r="D971" s="225">
        <v>12</v>
      </c>
      <c r="E971" s="226">
        <v>22204</v>
      </c>
      <c r="F971" s="227">
        <v>23780399</v>
      </c>
      <c r="G971" s="1" t="s">
        <v>844</v>
      </c>
      <c r="H971" s="60">
        <v>4276.87</v>
      </c>
      <c r="I971" s="228">
        <v>898.14</v>
      </c>
      <c r="J971" s="229"/>
      <c r="K971" s="229"/>
      <c r="L971" s="229">
        <f>SUM(ventas_b_mes11[[#This Row],[IMPORTE NETO]:[EXENTO]])</f>
        <v>5175.01</v>
      </c>
      <c r="M971" s="55"/>
    </row>
    <row r="972" spans="2:13" x14ac:dyDescent="0.3">
      <c r="B972" s="223">
        <v>44854</v>
      </c>
      <c r="C972" s="224">
        <v>6</v>
      </c>
      <c r="D972" s="225">
        <v>12</v>
      </c>
      <c r="E972" s="226">
        <v>22205</v>
      </c>
      <c r="F972" s="227">
        <v>17806608</v>
      </c>
      <c r="G972" s="1" t="s">
        <v>431</v>
      </c>
      <c r="H972" s="60">
        <v>2685.95</v>
      </c>
      <c r="I972" s="228">
        <v>564.04999999999995</v>
      </c>
      <c r="J972" s="229"/>
      <c r="K972" s="229"/>
      <c r="L972" s="229">
        <f>SUM(ventas_b_mes11[[#This Row],[IMPORTE NETO]:[EXENTO]])</f>
        <v>3250</v>
      </c>
      <c r="M972" s="55"/>
    </row>
    <row r="973" spans="2:13" x14ac:dyDescent="0.3">
      <c r="B973" s="223">
        <v>44854</v>
      </c>
      <c r="C973" s="224">
        <v>6</v>
      </c>
      <c r="D973" s="225">
        <v>12</v>
      </c>
      <c r="E973" s="226">
        <v>22206</v>
      </c>
      <c r="F973" s="227">
        <v>36288185</v>
      </c>
      <c r="G973" s="1" t="s">
        <v>833</v>
      </c>
      <c r="H973" s="60">
        <v>4545.45</v>
      </c>
      <c r="I973" s="228">
        <v>954.55</v>
      </c>
      <c r="J973" s="229"/>
      <c r="K973" s="229"/>
      <c r="L973" s="229">
        <f>SUM(ventas_b_mes11[[#This Row],[IMPORTE NETO]:[EXENTO]])</f>
        <v>5500</v>
      </c>
      <c r="M973" s="55"/>
    </row>
    <row r="974" spans="2:13" x14ac:dyDescent="0.3">
      <c r="B974" s="223">
        <v>44854</v>
      </c>
      <c r="C974" s="224">
        <v>6</v>
      </c>
      <c r="D974" s="225">
        <v>12</v>
      </c>
      <c r="E974" s="226">
        <v>22207</v>
      </c>
      <c r="F974" s="227">
        <v>34060650</v>
      </c>
      <c r="G974" s="1" t="s">
        <v>384</v>
      </c>
      <c r="H974" s="60">
        <v>2950.41</v>
      </c>
      <c r="I974" s="228">
        <v>619.59</v>
      </c>
      <c r="J974" s="229"/>
      <c r="K974" s="229"/>
      <c r="L974" s="229">
        <f>SUM(ventas_b_mes11[[#This Row],[IMPORTE NETO]:[EXENTO]])</f>
        <v>3570</v>
      </c>
      <c r="M974" s="55"/>
    </row>
    <row r="975" spans="2:13" x14ac:dyDescent="0.3">
      <c r="B975" s="223">
        <v>44854</v>
      </c>
      <c r="C975" s="224">
        <v>6</v>
      </c>
      <c r="D975" s="225">
        <v>12</v>
      </c>
      <c r="E975" s="226">
        <v>22208</v>
      </c>
      <c r="F975" s="227">
        <v>20767108</v>
      </c>
      <c r="G975" s="1" t="s">
        <v>829</v>
      </c>
      <c r="H975" s="60">
        <v>2181.81</v>
      </c>
      <c r="I975" s="228">
        <v>458.18</v>
      </c>
      <c r="J975" s="229"/>
      <c r="K975" s="229"/>
      <c r="L975" s="229">
        <f>SUM(ventas_b_mes11[[#This Row],[IMPORTE NETO]:[EXENTO]])</f>
        <v>2639.99</v>
      </c>
      <c r="M975" s="55"/>
    </row>
    <row r="976" spans="2:13" x14ac:dyDescent="0.3">
      <c r="B976" s="223">
        <v>44854</v>
      </c>
      <c r="C976" s="224">
        <v>6</v>
      </c>
      <c r="D976" s="225">
        <v>12</v>
      </c>
      <c r="E976" s="226">
        <v>22209</v>
      </c>
      <c r="F976" s="227">
        <v>20767108</v>
      </c>
      <c r="G976" s="1" t="s">
        <v>829</v>
      </c>
      <c r="H976" s="60">
        <v>7762.4</v>
      </c>
      <c r="I976" s="228">
        <v>1630.1</v>
      </c>
      <c r="J976" s="229"/>
      <c r="K976" s="229"/>
      <c r="L976" s="229">
        <f>SUM(ventas_b_mes11[[#This Row],[IMPORTE NETO]:[EXENTO]])</f>
        <v>9392.5</v>
      </c>
      <c r="M976" s="55"/>
    </row>
    <row r="977" spans="2:13" x14ac:dyDescent="0.3">
      <c r="B977" s="223">
        <v>44854</v>
      </c>
      <c r="C977" s="224">
        <v>6</v>
      </c>
      <c r="D977" s="225">
        <v>12</v>
      </c>
      <c r="E977" s="226">
        <v>22210</v>
      </c>
      <c r="F977" s="227">
        <v>368741269</v>
      </c>
      <c r="G977" s="1"/>
      <c r="H977" s="60">
        <v>6115.7</v>
      </c>
      <c r="I977" s="228">
        <v>1284.3</v>
      </c>
      <c r="J977" s="229"/>
      <c r="K977" s="229"/>
      <c r="L977" s="229">
        <f>SUM(ventas_b_mes11[[#This Row],[IMPORTE NETO]:[EXENTO]])</f>
        <v>7400</v>
      </c>
      <c r="M977" s="55"/>
    </row>
    <row r="978" spans="2:13" x14ac:dyDescent="0.3">
      <c r="B978" s="223">
        <v>44854</v>
      </c>
      <c r="C978" s="224">
        <v>6</v>
      </c>
      <c r="D978" s="225">
        <v>12</v>
      </c>
      <c r="E978" s="226">
        <v>22211</v>
      </c>
      <c r="F978" s="227">
        <v>24326071</v>
      </c>
      <c r="G978" s="1" t="s">
        <v>854</v>
      </c>
      <c r="H978" s="60">
        <v>10889.26</v>
      </c>
      <c r="I978" s="228">
        <v>2286.7399999999998</v>
      </c>
      <c r="J978" s="229"/>
      <c r="K978" s="229"/>
      <c r="L978" s="229">
        <f>SUM(ventas_b_mes11[[#This Row],[IMPORTE NETO]:[EXENTO]])</f>
        <v>13176</v>
      </c>
      <c r="M978" s="55"/>
    </row>
    <row r="979" spans="2:13" x14ac:dyDescent="0.3">
      <c r="B979" s="223">
        <v>44854</v>
      </c>
      <c r="C979" s="224">
        <v>6</v>
      </c>
      <c r="D979" s="225">
        <v>12</v>
      </c>
      <c r="E979" s="226">
        <v>22212</v>
      </c>
      <c r="F979" s="227">
        <v>23211133</v>
      </c>
      <c r="G979" s="1" t="s">
        <v>605</v>
      </c>
      <c r="H979" s="60">
        <v>2685.95</v>
      </c>
      <c r="I979" s="228">
        <v>564.04999999999995</v>
      </c>
      <c r="J979" s="229"/>
      <c r="K979" s="229"/>
      <c r="L979" s="229">
        <f>SUM(ventas_b_mes11[[#This Row],[IMPORTE NETO]:[EXENTO]])</f>
        <v>3250</v>
      </c>
      <c r="M979" s="55"/>
    </row>
    <row r="980" spans="2:13" x14ac:dyDescent="0.3">
      <c r="B980" s="223">
        <v>44854</v>
      </c>
      <c r="C980" s="224">
        <v>6</v>
      </c>
      <c r="D980" s="225">
        <v>12</v>
      </c>
      <c r="E980" s="226">
        <v>22213</v>
      </c>
      <c r="F980" s="227">
        <v>0</v>
      </c>
      <c r="G980" s="1"/>
      <c r="H980" s="60">
        <v>3677.69</v>
      </c>
      <c r="I980" s="228">
        <v>772.31</v>
      </c>
      <c r="J980" s="229"/>
      <c r="K980" s="229"/>
      <c r="L980" s="229">
        <f>SUM(ventas_b_mes11[[#This Row],[IMPORTE NETO]:[EXENTO]])</f>
        <v>4450</v>
      </c>
      <c r="M980" s="55"/>
    </row>
    <row r="981" spans="2:13" x14ac:dyDescent="0.3">
      <c r="B981" s="223">
        <v>44854</v>
      </c>
      <c r="C981" s="224">
        <v>6</v>
      </c>
      <c r="D981" s="225">
        <v>12</v>
      </c>
      <c r="E981" s="226">
        <v>22214</v>
      </c>
      <c r="F981" s="227">
        <v>16246431</v>
      </c>
      <c r="G981" s="1" t="s">
        <v>842</v>
      </c>
      <c r="H981" s="60">
        <v>4601.24</v>
      </c>
      <c r="I981" s="228">
        <v>966.26</v>
      </c>
      <c r="J981" s="229"/>
      <c r="K981" s="229"/>
      <c r="L981" s="229">
        <f>SUM(ventas_b_mes11[[#This Row],[IMPORTE NETO]:[EXENTO]])</f>
        <v>5567.5</v>
      </c>
      <c r="M981" s="55"/>
    </row>
    <row r="982" spans="2:13" x14ac:dyDescent="0.3">
      <c r="B982" s="223">
        <v>44854</v>
      </c>
      <c r="C982" s="224">
        <v>6</v>
      </c>
      <c r="D982" s="225">
        <v>12</v>
      </c>
      <c r="E982" s="226">
        <v>22215</v>
      </c>
      <c r="F982" s="227">
        <v>36288185</v>
      </c>
      <c r="G982" s="1" t="s">
        <v>833</v>
      </c>
      <c r="H982" s="60">
        <v>4545.45</v>
      </c>
      <c r="I982" s="228">
        <v>954.55</v>
      </c>
      <c r="J982" s="229"/>
      <c r="K982" s="229"/>
      <c r="L982" s="229">
        <f>SUM(ventas_b_mes11[[#This Row],[IMPORTE NETO]:[EXENTO]])</f>
        <v>5500</v>
      </c>
      <c r="M982" s="55"/>
    </row>
    <row r="983" spans="2:13" x14ac:dyDescent="0.3">
      <c r="B983" s="223">
        <v>44855</v>
      </c>
      <c r="C983" s="224">
        <v>6</v>
      </c>
      <c r="D983" s="225">
        <v>12</v>
      </c>
      <c r="E983" s="226">
        <v>22216</v>
      </c>
      <c r="F983" s="227">
        <v>37029434</v>
      </c>
      <c r="G983" s="1" t="s">
        <v>879</v>
      </c>
      <c r="H983" s="60">
        <v>4545.45</v>
      </c>
      <c r="I983" s="228">
        <v>954.55</v>
      </c>
      <c r="J983" s="229"/>
      <c r="K983" s="229"/>
      <c r="L983" s="229">
        <f>SUM(ventas_b_mes11[[#This Row],[IMPORTE NETO]:[EXENTO]])</f>
        <v>5500</v>
      </c>
      <c r="M983" s="55"/>
    </row>
    <row r="984" spans="2:13" x14ac:dyDescent="0.3">
      <c r="B984" s="223">
        <v>44855</v>
      </c>
      <c r="C984" s="224">
        <v>6</v>
      </c>
      <c r="D984" s="225">
        <v>12</v>
      </c>
      <c r="E984" s="226">
        <v>22217</v>
      </c>
      <c r="F984" s="227">
        <v>24102431</v>
      </c>
      <c r="G984" s="1" t="s">
        <v>159</v>
      </c>
      <c r="H984" s="60">
        <v>5851.65</v>
      </c>
      <c r="I984" s="228">
        <v>1228.8499999999999</v>
      </c>
      <c r="J984" s="229"/>
      <c r="K984" s="229"/>
      <c r="L984" s="229">
        <f>SUM(ventas_b_mes11[[#This Row],[IMPORTE NETO]:[EXENTO]])</f>
        <v>7080.5</v>
      </c>
      <c r="M984" s="55"/>
    </row>
    <row r="985" spans="2:13" x14ac:dyDescent="0.3">
      <c r="B985" s="223">
        <v>44855</v>
      </c>
      <c r="C985" s="224">
        <v>6</v>
      </c>
      <c r="D985" s="225">
        <v>12</v>
      </c>
      <c r="E985" s="226">
        <v>22218</v>
      </c>
      <c r="F985" s="227">
        <v>32658974</v>
      </c>
      <c r="G985" s="1" t="s">
        <v>640</v>
      </c>
      <c r="H985" s="60">
        <v>4987.6000000000004</v>
      </c>
      <c r="I985" s="228">
        <v>1047.4000000000001</v>
      </c>
      <c r="J985" s="229"/>
      <c r="K985" s="229"/>
      <c r="L985" s="229">
        <f>SUM(ventas_b_mes11[[#This Row],[IMPORTE NETO]:[EXENTO]])</f>
        <v>6035</v>
      </c>
      <c r="M985" s="55"/>
    </row>
    <row r="986" spans="2:13" x14ac:dyDescent="0.3">
      <c r="B986" s="223">
        <v>44855</v>
      </c>
      <c r="C986" s="224">
        <v>6</v>
      </c>
      <c r="D986" s="225">
        <v>12</v>
      </c>
      <c r="E986" s="226">
        <v>22219</v>
      </c>
      <c r="F986" s="227">
        <v>11046463</v>
      </c>
      <c r="G986" s="1" t="s">
        <v>699</v>
      </c>
      <c r="H986" s="60">
        <v>5753.72</v>
      </c>
      <c r="I986" s="228">
        <v>1208.28</v>
      </c>
      <c r="J986" s="229"/>
      <c r="K986" s="229"/>
      <c r="L986" s="229">
        <f>SUM(ventas_b_mes11[[#This Row],[IMPORTE NETO]:[EXENTO]])</f>
        <v>6962</v>
      </c>
      <c r="M986" s="55"/>
    </row>
    <row r="987" spans="2:13" x14ac:dyDescent="0.3">
      <c r="B987" s="223">
        <v>44855</v>
      </c>
      <c r="C987" s="224">
        <v>6</v>
      </c>
      <c r="D987" s="225">
        <v>12</v>
      </c>
      <c r="E987" s="226">
        <v>22220</v>
      </c>
      <c r="F987" s="227">
        <v>14852369</v>
      </c>
      <c r="G987" s="1" t="s">
        <v>803</v>
      </c>
      <c r="H987" s="60">
        <v>4861.58</v>
      </c>
      <c r="I987" s="228">
        <v>1020.93</v>
      </c>
      <c r="J987" s="229"/>
      <c r="K987" s="229"/>
      <c r="L987" s="229">
        <f>SUM(ventas_b_mes11[[#This Row],[IMPORTE NETO]:[EXENTO]])</f>
        <v>5882.51</v>
      </c>
      <c r="M987" s="55"/>
    </row>
    <row r="988" spans="2:13" x14ac:dyDescent="0.3">
      <c r="B988" s="223">
        <v>44855</v>
      </c>
      <c r="C988" s="224">
        <v>6</v>
      </c>
      <c r="D988" s="225">
        <v>12</v>
      </c>
      <c r="E988" s="226">
        <v>22221</v>
      </c>
      <c r="F988" s="227">
        <v>14852369</v>
      </c>
      <c r="G988" s="1" t="s">
        <v>803</v>
      </c>
      <c r="H988" s="60">
        <v>2960.63</v>
      </c>
      <c r="I988" s="228">
        <v>621.73</v>
      </c>
      <c r="J988" s="229"/>
      <c r="K988" s="229"/>
      <c r="L988" s="229">
        <f>SUM(ventas_b_mes11[[#This Row],[IMPORTE NETO]:[EXENTO]])</f>
        <v>3582.36</v>
      </c>
      <c r="M988" s="55"/>
    </row>
    <row r="989" spans="2:13" x14ac:dyDescent="0.3">
      <c r="B989" s="223">
        <v>44855</v>
      </c>
      <c r="C989" s="224">
        <v>6</v>
      </c>
      <c r="D989" s="225">
        <v>12</v>
      </c>
      <c r="E989" s="226">
        <v>22222</v>
      </c>
      <c r="F989" s="227">
        <v>29905894</v>
      </c>
      <c r="G989" s="1" t="s">
        <v>685</v>
      </c>
      <c r="H989" s="60">
        <v>4958.68</v>
      </c>
      <c r="I989" s="228">
        <v>1041.32</v>
      </c>
      <c r="J989" s="229"/>
      <c r="K989" s="229"/>
      <c r="L989" s="229">
        <f>SUM(ventas_b_mes11[[#This Row],[IMPORTE NETO]:[EXENTO]])</f>
        <v>6000</v>
      </c>
      <c r="M989" s="55"/>
    </row>
    <row r="990" spans="2:13" x14ac:dyDescent="0.3">
      <c r="B990" s="223">
        <v>44855</v>
      </c>
      <c r="C990" s="224">
        <v>6</v>
      </c>
      <c r="D990" s="225">
        <v>12</v>
      </c>
      <c r="E990" s="226">
        <v>22223</v>
      </c>
      <c r="F990" s="227">
        <v>24922012</v>
      </c>
      <c r="G990" s="1" t="s">
        <v>871</v>
      </c>
      <c r="H990" s="60">
        <v>1204.96</v>
      </c>
      <c r="I990" s="228">
        <v>253.04</v>
      </c>
      <c r="J990" s="229"/>
      <c r="K990" s="229"/>
      <c r="L990" s="229">
        <f>SUM(ventas_b_mes11[[#This Row],[IMPORTE NETO]:[EXENTO]])</f>
        <v>1458</v>
      </c>
      <c r="M990" s="55"/>
    </row>
    <row r="991" spans="2:13" x14ac:dyDescent="0.3">
      <c r="B991" s="223">
        <v>44855</v>
      </c>
      <c r="C991" s="224">
        <v>6</v>
      </c>
      <c r="D991" s="225">
        <v>12</v>
      </c>
      <c r="E991" s="226">
        <v>22224</v>
      </c>
      <c r="F991" s="227">
        <v>24922012</v>
      </c>
      <c r="G991" s="1" t="s">
        <v>871</v>
      </c>
      <c r="H991" s="60">
        <v>4958.68</v>
      </c>
      <c r="I991" s="228">
        <v>1041.32</v>
      </c>
      <c r="J991" s="229"/>
      <c r="K991" s="229"/>
      <c r="L991" s="229">
        <f>SUM(ventas_b_mes11[[#This Row],[IMPORTE NETO]:[EXENTO]])</f>
        <v>6000</v>
      </c>
      <c r="M991" s="55"/>
    </row>
    <row r="992" spans="2:13" x14ac:dyDescent="0.3">
      <c r="B992" s="223">
        <v>44855</v>
      </c>
      <c r="C992" s="224">
        <v>6</v>
      </c>
      <c r="D992" s="225">
        <v>12</v>
      </c>
      <c r="E992" s="226">
        <v>22225</v>
      </c>
      <c r="F992" s="227">
        <v>33116313</v>
      </c>
      <c r="G992" s="1" t="s">
        <v>661</v>
      </c>
      <c r="H992" s="60">
        <v>1078.51</v>
      </c>
      <c r="I992" s="228">
        <v>226.49</v>
      </c>
      <c r="J992" s="229"/>
      <c r="K992" s="229"/>
      <c r="L992" s="229">
        <f>SUM(ventas_b_mes11[[#This Row],[IMPORTE NETO]:[EXENTO]])</f>
        <v>1305</v>
      </c>
      <c r="M992" s="55"/>
    </row>
    <row r="993" spans="2:13" x14ac:dyDescent="0.3">
      <c r="B993" s="223">
        <v>44855</v>
      </c>
      <c r="C993" s="224">
        <v>6</v>
      </c>
      <c r="D993" s="225">
        <v>12</v>
      </c>
      <c r="E993" s="226">
        <v>22226</v>
      </c>
      <c r="F993" s="227">
        <v>32003394</v>
      </c>
      <c r="G993" s="1" t="s">
        <v>652</v>
      </c>
      <c r="H993" s="60">
        <v>4958.68</v>
      </c>
      <c r="I993" s="228">
        <v>1041.32</v>
      </c>
      <c r="J993" s="229"/>
      <c r="K993" s="229"/>
      <c r="L993" s="229">
        <f>SUM(ventas_b_mes11[[#This Row],[IMPORTE NETO]:[EXENTO]])</f>
        <v>6000</v>
      </c>
      <c r="M993" s="55"/>
    </row>
    <row r="994" spans="2:13" x14ac:dyDescent="0.3">
      <c r="B994" s="223">
        <v>44856</v>
      </c>
      <c r="C994" s="224">
        <v>6</v>
      </c>
      <c r="D994" s="225">
        <v>12</v>
      </c>
      <c r="E994" s="226">
        <v>22227</v>
      </c>
      <c r="F994" s="227">
        <v>43088051</v>
      </c>
      <c r="G994" s="1" t="s">
        <v>891</v>
      </c>
      <c r="H994" s="60">
        <v>4545.45</v>
      </c>
      <c r="I994" s="228">
        <v>954.55</v>
      </c>
      <c r="J994" s="229"/>
      <c r="K994" s="229"/>
      <c r="L994" s="229">
        <f>SUM(ventas_b_mes11[[#This Row],[IMPORTE NETO]:[EXENTO]])</f>
        <v>5500</v>
      </c>
      <c r="M994" s="55"/>
    </row>
    <row r="995" spans="2:13" x14ac:dyDescent="0.3">
      <c r="B995" s="223">
        <v>44856</v>
      </c>
      <c r="C995" s="224">
        <v>6</v>
      </c>
      <c r="D995" s="225">
        <v>12</v>
      </c>
      <c r="E995" s="226">
        <v>22228</v>
      </c>
      <c r="F995" s="227">
        <v>94606717</v>
      </c>
      <c r="G995" s="1" t="s">
        <v>188</v>
      </c>
      <c r="H995" s="60">
        <v>5102.4799999999996</v>
      </c>
      <c r="I995" s="228">
        <v>1071.52</v>
      </c>
      <c r="J995" s="229"/>
      <c r="K995" s="229"/>
      <c r="L995" s="229">
        <f>SUM(ventas_b_mes11[[#This Row],[IMPORTE NETO]:[EXENTO]])</f>
        <v>6174</v>
      </c>
      <c r="M995" s="55"/>
    </row>
    <row r="996" spans="2:13" x14ac:dyDescent="0.3">
      <c r="B996" s="223">
        <v>44856</v>
      </c>
      <c r="C996" s="224">
        <v>6</v>
      </c>
      <c r="D996" s="225">
        <v>12</v>
      </c>
      <c r="E996" s="226">
        <v>22229</v>
      </c>
      <c r="F996" s="227">
        <v>20213391</v>
      </c>
      <c r="G996" s="1" t="s">
        <v>256</v>
      </c>
      <c r="H996" s="60">
        <v>35273.43</v>
      </c>
      <c r="I996" s="228">
        <v>7407.42</v>
      </c>
      <c r="J996" s="229"/>
      <c r="K996" s="229"/>
      <c r="L996" s="229">
        <f>SUM(ventas_b_mes11[[#This Row],[IMPORTE NETO]:[EXENTO]])</f>
        <v>42680.85</v>
      </c>
      <c r="M996" s="55"/>
    </row>
    <row r="997" spans="2:13" x14ac:dyDescent="0.3">
      <c r="B997" s="223">
        <v>44858</v>
      </c>
      <c r="C997" s="224">
        <v>6</v>
      </c>
      <c r="D997" s="225">
        <v>12</v>
      </c>
      <c r="E997" s="226">
        <v>22230</v>
      </c>
      <c r="F997" s="227">
        <v>39151792</v>
      </c>
      <c r="G997" s="1" t="s">
        <v>917</v>
      </c>
      <c r="H997" s="60">
        <v>2892.56</v>
      </c>
      <c r="I997" s="228">
        <v>607.44000000000005</v>
      </c>
      <c r="J997" s="229"/>
      <c r="K997" s="229"/>
      <c r="L997" s="229">
        <f>SUM(ventas_b_mes11[[#This Row],[IMPORTE NETO]:[EXENTO]])</f>
        <v>3500</v>
      </c>
      <c r="M997" s="55"/>
    </row>
    <row r="998" spans="2:13" x14ac:dyDescent="0.3">
      <c r="B998" s="223">
        <v>44858</v>
      </c>
      <c r="C998" s="224">
        <v>6</v>
      </c>
      <c r="D998" s="225">
        <v>12</v>
      </c>
      <c r="E998" s="226">
        <v>22231</v>
      </c>
      <c r="F998" s="227">
        <v>28696273</v>
      </c>
      <c r="G998" s="1" t="s">
        <v>176</v>
      </c>
      <c r="H998" s="60">
        <v>8373.98</v>
      </c>
      <c r="I998" s="228">
        <v>1758.53</v>
      </c>
      <c r="J998" s="229"/>
      <c r="K998" s="229"/>
      <c r="L998" s="229">
        <f>SUM(ventas_b_mes11[[#This Row],[IMPORTE NETO]:[EXENTO]])</f>
        <v>10132.51</v>
      </c>
      <c r="M998" s="55"/>
    </row>
    <row r="999" spans="2:13" x14ac:dyDescent="0.3">
      <c r="B999" s="223">
        <v>44858</v>
      </c>
      <c r="C999" s="224">
        <v>6</v>
      </c>
      <c r="D999" s="225">
        <v>12</v>
      </c>
      <c r="E999" s="226">
        <v>22232</v>
      </c>
      <c r="F999" s="227">
        <v>0</v>
      </c>
      <c r="G999" s="1"/>
      <c r="H999" s="60">
        <v>929.75</v>
      </c>
      <c r="I999" s="228">
        <v>195.25</v>
      </c>
      <c r="J999" s="229"/>
      <c r="K999" s="229"/>
      <c r="L999" s="229">
        <f>SUM(ventas_b_mes11[[#This Row],[IMPORTE NETO]:[EXENTO]])</f>
        <v>1125</v>
      </c>
      <c r="M999" s="55"/>
    </row>
    <row r="1000" spans="2:13" x14ac:dyDescent="0.3">
      <c r="B1000" s="223">
        <v>44858</v>
      </c>
      <c r="C1000" s="224">
        <v>6</v>
      </c>
      <c r="D1000" s="225">
        <v>12</v>
      </c>
      <c r="E1000" s="226">
        <v>22233</v>
      </c>
      <c r="F1000" s="227">
        <v>28475632</v>
      </c>
      <c r="G1000" s="1"/>
      <c r="H1000" s="60">
        <v>12750</v>
      </c>
      <c r="I1000" s="228">
        <v>2677.5</v>
      </c>
      <c r="J1000" s="229"/>
      <c r="K1000" s="229"/>
      <c r="L1000" s="229">
        <f>SUM(ventas_b_mes11[[#This Row],[IMPORTE NETO]:[EXENTO]])</f>
        <v>15427.5</v>
      </c>
      <c r="M1000" s="55"/>
    </row>
    <row r="1001" spans="2:13" x14ac:dyDescent="0.3">
      <c r="B1001" s="223">
        <v>44858</v>
      </c>
      <c r="C1001" s="224">
        <v>6</v>
      </c>
      <c r="D1001" s="225">
        <v>12</v>
      </c>
      <c r="E1001" s="226">
        <v>22234</v>
      </c>
      <c r="F1001" s="227">
        <v>27256583157</v>
      </c>
      <c r="G1001" s="1" t="s">
        <v>503</v>
      </c>
      <c r="H1001" s="60">
        <v>25148.75</v>
      </c>
      <c r="I1001" s="228">
        <v>5281.24</v>
      </c>
      <c r="J1001" s="229"/>
      <c r="K1001" s="229"/>
      <c r="L1001" s="229">
        <f>SUM(ventas_b_mes11[[#This Row],[IMPORTE NETO]:[EXENTO]])</f>
        <v>30429.989999999998</v>
      </c>
      <c r="M1001" s="55"/>
    </row>
    <row r="1002" spans="2:13" x14ac:dyDescent="0.3">
      <c r="B1002" s="223">
        <v>44858</v>
      </c>
      <c r="C1002" s="224">
        <v>6</v>
      </c>
      <c r="D1002" s="225">
        <v>12</v>
      </c>
      <c r="E1002" s="226">
        <v>22235</v>
      </c>
      <c r="F1002" s="227">
        <v>38845096</v>
      </c>
      <c r="G1002" s="1" t="s">
        <v>342</v>
      </c>
      <c r="H1002" s="60">
        <v>2181.8200000000002</v>
      </c>
      <c r="I1002" s="228">
        <v>458.18</v>
      </c>
      <c r="J1002" s="229"/>
      <c r="K1002" s="229"/>
      <c r="L1002" s="229">
        <f>SUM(ventas_b_mes11[[#This Row],[IMPORTE NETO]:[EXENTO]])</f>
        <v>2640</v>
      </c>
      <c r="M1002" s="55"/>
    </row>
    <row r="1003" spans="2:13" x14ac:dyDescent="0.3">
      <c r="B1003" s="223">
        <v>44858</v>
      </c>
      <c r="C1003" s="224">
        <v>6</v>
      </c>
      <c r="D1003" s="225">
        <v>12</v>
      </c>
      <c r="E1003" s="226">
        <v>22236</v>
      </c>
      <c r="F1003" s="227">
        <v>25524186</v>
      </c>
      <c r="G1003" s="1" t="s">
        <v>926</v>
      </c>
      <c r="H1003" s="60">
        <v>5851.65</v>
      </c>
      <c r="I1003" s="228">
        <v>1228.8499999999999</v>
      </c>
      <c r="J1003" s="229"/>
      <c r="K1003" s="229"/>
      <c r="L1003" s="229">
        <f>SUM(ventas_b_mes11[[#This Row],[IMPORTE NETO]:[EXENTO]])</f>
        <v>7080.5</v>
      </c>
      <c r="M1003" s="55"/>
    </row>
    <row r="1004" spans="2:13" x14ac:dyDescent="0.3">
      <c r="B1004" s="223">
        <v>44858</v>
      </c>
      <c r="C1004" s="224">
        <v>6</v>
      </c>
      <c r="D1004" s="225">
        <v>12</v>
      </c>
      <c r="E1004" s="226">
        <v>22237</v>
      </c>
      <c r="F1004" s="227">
        <v>24313506</v>
      </c>
      <c r="G1004" s="1" t="s">
        <v>919</v>
      </c>
      <c r="H1004" s="60">
        <v>11450.41</v>
      </c>
      <c r="I1004" s="228">
        <v>2404.59</v>
      </c>
      <c r="J1004" s="229"/>
      <c r="K1004" s="229"/>
      <c r="L1004" s="229">
        <f>SUM(ventas_b_mes11[[#This Row],[IMPORTE NETO]:[EXENTO]])</f>
        <v>13855</v>
      </c>
      <c r="M1004" s="55"/>
    </row>
    <row r="1005" spans="2:13" x14ac:dyDescent="0.3">
      <c r="B1005" s="223">
        <v>44858</v>
      </c>
      <c r="C1005" s="224">
        <v>6</v>
      </c>
      <c r="D1005" s="225">
        <v>12</v>
      </c>
      <c r="E1005" s="226">
        <v>22238</v>
      </c>
      <c r="F1005" s="227">
        <v>23192649</v>
      </c>
      <c r="G1005" s="1" t="s">
        <v>174</v>
      </c>
      <c r="H1005" s="60">
        <v>8830.17</v>
      </c>
      <c r="I1005" s="228">
        <v>1854.33</v>
      </c>
      <c r="J1005" s="229"/>
      <c r="K1005" s="229"/>
      <c r="L1005" s="229">
        <f>SUM(ventas_b_mes11[[#This Row],[IMPORTE NETO]:[EXENTO]])</f>
        <v>10684.5</v>
      </c>
      <c r="M1005" s="55"/>
    </row>
    <row r="1006" spans="2:13" x14ac:dyDescent="0.3">
      <c r="B1006" s="223">
        <v>44858</v>
      </c>
      <c r="C1006" s="224">
        <v>6</v>
      </c>
      <c r="D1006" s="225">
        <v>12</v>
      </c>
      <c r="E1006" s="226">
        <v>22239</v>
      </c>
      <c r="F1006" s="227">
        <v>18475263</v>
      </c>
      <c r="G1006" s="1" t="s">
        <v>920</v>
      </c>
      <c r="H1006" s="60">
        <v>9581.82</v>
      </c>
      <c r="I1006" s="228">
        <v>2012.18</v>
      </c>
      <c r="J1006" s="229"/>
      <c r="K1006" s="229"/>
      <c r="L1006" s="229">
        <f>SUM(ventas_b_mes11[[#This Row],[IMPORTE NETO]:[EXENTO]])</f>
        <v>11594</v>
      </c>
      <c r="M1006" s="55"/>
    </row>
    <row r="1007" spans="2:13" x14ac:dyDescent="0.3">
      <c r="B1007" s="223">
        <v>44858</v>
      </c>
      <c r="C1007" s="224">
        <v>6</v>
      </c>
      <c r="D1007" s="225">
        <v>12</v>
      </c>
      <c r="E1007" s="226">
        <v>22240</v>
      </c>
      <c r="F1007" s="227">
        <v>10365066</v>
      </c>
      <c r="G1007" s="1" t="s">
        <v>942</v>
      </c>
      <c r="H1007" s="60">
        <v>7551.65</v>
      </c>
      <c r="I1007" s="228">
        <v>1585.85</v>
      </c>
      <c r="J1007" s="229"/>
      <c r="K1007" s="229"/>
      <c r="L1007" s="229">
        <f>SUM(ventas_b_mes11[[#This Row],[IMPORTE NETO]:[EXENTO]])</f>
        <v>9137.5</v>
      </c>
      <c r="M1007" s="55"/>
    </row>
    <row r="1008" spans="2:13" x14ac:dyDescent="0.3">
      <c r="B1008" s="223">
        <v>44858</v>
      </c>
      <c r="C1008" s="224">
        <v>6</v>
      </c>
      <c r="D1008" s="225">
        <v>12</v>
      </c>
      <c r="E1008" s="226">
        <v>22241</v>
      </c>
      <c r="F1008" s="227">
        <v>21538268</v>
      </c>
      <c r="G1008" s="1" t="s">
        <v>931</v>
      </c>
      <c r="H1008" s="60">
        <v>6884.31</v>
      </c>
      <c r="I1008" s="228">
        <v>1445.71</v>
      </c>
      <c r="J1008" s="229"/>
      <c r="K1008" s="229"/>
      <c r="L1008" s="229">
        <f>SUM(ventas_b_mes11[[#This Row],[IMPORTE NETO]:[EXENTO]])</f>
        <v>8330.02</v>
      </c>
      <c r="M1008" s="55"/>
    </row>
    <row r="1009" spans="2:13" x14ac:dyDescent="0.3">
      <c r="B1009" s="223">
        <v>44858</v>
      </c>
      <c r="C1009" s="224">
        <v>6</v>
      </c>
      <c r="D1009" s="225">
        <v>12</v>
      </c>
      <c r="E1009" s="226">
        <v>22242</v>
      </c>
      <c r="F1009" s="227">
        <v>27242275158</v>
      </c>
      <c r="G1009" s="1" t="s">
        <v>925</v>
      </c>
      <c r="H1009" s="60">
        <v>9767.98</v>
      </c>
      <c r="I1009" s="228">
        <v>2051.27</v>
      </c>
      <c r="J1009" s="229"/>
      <c r="K1009" s="229"/>
      <c r="L1009" s="229">
        <f>SUM(ventas_b_mes11[[#This Row],[IMPORTE NETO]:[EXENTO]])</f>
        <v>11819.25</v>
      </c>
      <c r="M1009" s="55"/>
    </row>
    <row r="1010" spans="2:13" x14ac:dyDescent="0.3">
      <c r="B1010" s="223">
        <v>44858</v>
      </c>
      <c r="C1010" s="224">
        <v>6</v>
      </c>
      <c r="D1010" s="225">
        <v>12</v>
      </c>
      <c r="E1010" s="226">
        <v>22243</v>
      </c>
      <c r="F1010" s="227">
        <v>17865836</v>
      </c>
      <c r="G1010" s="1" t="s">
        <v>362</v>
      </c>
      <c r="H1010" s="60">
        <v>10169.42</v>
      </c>
      <c r="I1010" s="228">
        <v>2135.58</v>
      </c>
      <c r="J1010" s="229"/>
      <c r="K1010" s="229"/>
      <c r="L1010" s="229">
        <f>SUM(ventas_b_mes11[[#This Row],[IMPORTE NETO]:[EXENTO]])</f>
        <v>12305</v>
      </c>
      <c r="M1010" s="55"/>
    </row>
    <row r="1011" spans="2:13" x14ac:dyDescent="0.3">
      <c r="B1011" s="223">
        <v>44858</v>
      </c>
      <c r="C1011" s="224">
        <v>6</v>
      </c>
      <c r="D1011" s="225">
        <v>12</v>
      </c>
      <c r="E1011" s="226">
        <v>22244</v>
      </c>
      <c r="F1011" s="227">
        <v>14852694</v>
      </c>
      <c r="G1011" s="1" t="s">
        <v>947</v>
      </c>
      <c r="H1011" s="60">
        <v>6919.42</v>
      </c>
      <c r="I1011" s="228">
        <v>1453.08</v>
      </c>
      <c r="J1011" s="229"/>
      <c r="K1011" s="229"/>
      <c r="L1011" s="229">
        <f>SUM(ventas_b_mes11[[#This Row],[IMPORTE NETO]:[EXENTO]])</f>
        <v>8372.5</v>
      </c>
      <c r="M1011" s="55"/>
    </row>
    <row r="1012" spans="2:13" x14ac:dyDescent="0.3">
      <c r="B1012" s="223">
        <v>44858</v>
      </c>
      <c r="C1012" s="224">
        <v>6</v>
      </c>
      <c r="D1012" s="225">
        <v>12</v>
      </c>
      <c r="E1012" s="226">
        <v>22245</v>
      </c>
      <c r="F1012" s="227">
        <v>16895897</v>
      </c>
      <c r="G1012" s="1" t="s">
        <v>935</v>
      </c>
      <c r="H1012" s="60">
        <v>1053.72</v>
      </c>
      <c r="I1012" s="228">
        <v>221.28</v>
      </c>
      <c r="J1012" s="229"/>
      <c r="K1012" s="229"/>
      <c r="L1012" s="229">
        <f>SUM(ventas_b_mes11[[#This Row],[IMPORTE NETO]:[EXENTO]])</f>
        <v>1275</v>
      </c>
      <c r="M1012" s="55"/>
    </row>
    <row r="1013" spans="2:13" x14ac:dyDescent="0.3">
      <c r="B1013" s="223">
        <v>44858</v>
      </c>
      <c r="C1013" s="224">
        <v>6</v>
      </c>
      <c r="D1013" s="225">
        <v>12</v>
      </c>
      <c r="E1013" s="226">
        <v>22246</v>
      </c>
      <c r="F1013" s="227">
        <v>0</v>
      </c>
      <c r="G1013" s="1"/>
      <c r="H1013" s="60">
        <v>3090.91</v>
      </c>
      <c r="I1013" s="228">
        <v>649.09</v>
      </c>
      <c r="J1013" s="229"/>
      <c r="K1013" s="229"/>
      <c r="L1013" s="229">
        <f>SUM(ventas_b_mes11[[#This Row],[IMPORTE NETO]:[EXENTO]])</f>
        <v>3740</v>
      </c>
      <c r="M1013" s="55"/>
    </row>
    <row r="1014" spans="2:13" x14ac:dyDescent="0.3">
      <c r="B1014" s="223">
        <v>44858</v>
      </c>
      <c r="C1014" s="224">
        <v>6</v>
      </c>
      <c r="D1014" s="225">
        <v>12</v>
      </c>
      <c r="E1014" s="226">
        <v>22247</v>
      </c>
      <c r="F1014" s="227">
        <v>0</v>
      </c>
      <c r="G1014" s="1"/>
      <c r="H1014" s="60">
        <v>1383.47</v>
      </c>
      <c r="I1014" s="228">
        <v>290.52999999999997</v>
      </c>
      <c r="J1014" s="229"/>
      <c r="K1014" s="229"/>
      <c r="L1014" s="229">
        <f>SUM(ventas_b_mes11[[#This Row],[IMPORTE NETO]:[EXENTO]])</f>
        <v>1674</v>
      </c>
      <c r="M1014" s="55"/>
    </row>
    <row r="1015" spans="2:13" x14ac:dyDescent="0.3">
      <c r="B1015" s="223">
        <v>44859</v>
      </c>
      <c r="C1015" s="224">
        <v>6</v>
      </c>
      <c r="D1015" s="225">
        <v>12</v>
      </c>
      <c r="E1015" s="226">
        <v>22248</v>
      </c>
      <c r="F1015" s="227">
        <v>29904528</v>
      </c>
      <c r="G1015" s="1" t="s">
        <v>716</v>
      </c>
      <c r="H1015" s="60">
        <v>1446.28</v>
      </c>
      <c r="I1015" s="228">
        <v>303.72000000000003</v>
      </c>
      <c r="J1015" s="229"/>
      <c r="K1015" s="229"/>
      <c r="L1015" s="229">
        <f>SUM(ventas_b_mes11[[#This Row],[IMPORTE NETO]:[EXENTO]])</f>
        <v>1750</v>
      </c>
      <c r="M1015" s="55"/>
    </row>
    <row r="1016" spans="2:13" x14ac:dyDescent="0.3">
      <c r="B1016" s="223">
        <v>44859</v>
      </c>
      <c r="C1016" s="224">
        <v>6</v>
      </c>
      <c r="D1016" s="225">
        <v>12</v>
      </c>
      <c r="E1016" s="226">
        <v>22249</v>
      </c>
      <c r="F1016" s="227">
        <v>0</v>
      </c>
      <c r="G1016" s="1"/>
      <c r="H1016" s="60">
        <v>3566.12</v>
      </c>
      <c r="I1016" s="228">
        <v>748.88</v>
      </c>
      <c r="J1016" s="229"/>
      <c r="K1016" s="229"/>
      <c r="L1016" s="229">
        <f>SUM(ventas_b_mes11[[#This Row],[IMPORTE NETO]:[EXENTO]])</f>
        <v>4315</v>
      </c>
      <c r="M1016" s="55"/>
    </row>
    <row r="1017" spans="2:13" x14ac:dyDescent="0.3">
      <c r="B1017" s="223">
        <v>44859</v>
      </c>
      <c r="C1017" s="224">
        <v>6</v>
      </c>
      <c r="D1017" s="225">
        <v>12</v>
      </c>
      <c r="E1017" s="226">
        <v>22250</v>
      </c>
      <c r="F1017" s="227">
        <v>39210160</v>
      </c>
      <c r="G1017" s="1" t="s">
        <v>960</v>
      </c>
      <c r="H1017" s="60">
        <v>2892.56</v>
      </c>
      <c r="I1017" s="228">
        <v>607.44000000000005</v>
      </c>
      <c r="J1017" s="229"/>
      <c r="K1017" s="229"/>
      <c r="L1017" s="229">
        <f>SUM(ventas_b_mes11[[#This Row],[IMPORTE NETO]:[EXENTO]])</f>
        <v>3500</v>
      </c>
      <c r="M1017" s="55"/>
    </row>
    <row r="1018" spans="2:13" x14ac:dyDescent="0.3">
      <c r="B1018" s="223">
        <v>44859</v>
      </c>
      <c r="C1018" s="224">
        <v>6</v>
      </c>
      <c r="D1018" s="225">
        <v>12</v>
      </c>
      <c r="E1018" s="226">
        <v>22251</v>
      </c>
      <c r="F1018" s="227">
        <v>4671643</v>
      </c>
      <c r="G1018" s="1"/>
      <c r="H1018" s="60">
        <v>5388.02</v>
      </c>
      <c r="I1018" s="228">
        <v>1131.48</v>
      </c>
      <c r="J1018" s="229"/>
      <c r="K1018" s="229"/>
      <c r="L1018" s="229">
        <f>SUM(ventas_b_mes11[[#This Row],[IMPORTE NETO]:[EXENTO]])</f>
        <v>6519.5</v>
      </c>
      <c r="M1018" s="55"/>
    </row>
    <row r="1019" spans="2:13" x14ac:dyDescent="0.3">
      <c r="B1019" s="223">
        <v>44859</v>
      </c>
      <c r="C1019" s="224">
        <v>6</v>
      </c>
      <c r="D1019" s="225">
        <v>12</v>
      </c>
      <c r="E1019" s="226">
        <v>22252</v>
      </c>
      <c r="F1019" s="227">
        <v>22825602</v>
      </c>
      <c r="G1019" s="1" t="s">
        <v>740</v>
      </c>
      <c r="H1019" s="60">
        <v>1707.54</v>
      </c>
      <c r="I1019" s="228">
        <v>358.58</v>
      </c>
      <c r="J1019" s="229"/>
      <c r="K1019" s="229"/>
      <c r="L1019" s="229">
        <f>SUM(ventas_b_mes11[[#This Row],[IMPORTE NETO]:[EXENTO]])</f>
        <v>2066.12</v>
      </c>
      <c r="M1019" s="55"/>
    </row>
    <row r="1020" spans="2:13" x14ac:dyDescent="0.3">
      <c r="B1020" s="223">
        <v>44859</v>
      </c>
      <c r="C1020" s="224">
        <v>6</v>
      </c>
      <c r="D1020" s="225">
        <v>12</v>
      </c>
      <c r="E1020" s="226">
        <v>22253</v>
      </c>
      <c r="F1020" s="227">
        <v>22825602</v>
      </c>
      <c r="G1020" s="1" t="s">
        <v>740</v>
      </c>
      <c r="H1020" s="60">
        <v>28925.599999999999</v>
      </c>
      <c r="I1020" s="228">
        <v>6074.38</v>
      </c>
      <c r="J1020" s="229"/>
      <c r="K1020" s="229"/>
      <c r="L1020" s="229">
        <f>SUM(ventas_b_mes11[[#This Row],[IMPORTE NETO]:[EXENTO]])</f>
        <v>34999.979999999996</v>
      </c>
      <c r="M1020" s="55"/>
    </row>
    <row r="1021" spans="2:13" x14ac:dyDescent="0.3">
      <c r="B1021" s="223">
        <v>44859</v>
      </c>
      <c r="C1021" s="224">
        <v>6</v>
      </c>
      <c r="D1021" s="225">
        <v>12</v>
      </c>
      <c r="E1021" s="226">
        <v>22254</v>
      </c>
      <c r="F1021" s="227">
        <v>32003394</v>
      </c>
      <c r="G1021" s="1" t="s">
        <v>652</v>
      </c>
      <c r="H1021" s="60">
        <v>4987.6000000000004</v>
      </c>
      <c r="I1021" s="228">
        <v>1047.4000000000001</v>
      </c>
      <c r="J1021" s="229"/>
      <c r="K1021" s="229"/>
      <c r="L1021" s="229">
        <f>SUM(ventas_b_mes11[[#This Row],[IMPORTE NETO]:[EXENTO]])</f>
        <v>6035</v>
      </c>
      <c r="M1021" s="55"/>
    </row>
    <row r="1022" spans="2:13" x14ac:dyDescent="0.3">
      <c r="B1022" s="223">
        <v>44859</v>
      </c>
      <c r="C1022" s="224">
        <v>6</v>
      </c>
      <c r="D1022" s="225">
        <v>12</v>
      </c>
      <c r="E1022" s="226">
        <v>22255</v>
      </c>
      <c r="F1022" s="227">
        <v>36594749</v>
      </c>
      <c r="G1022" s="1" t="s">
        <v>806</v>
      </c>
      <c r="H1022" s="60">
        <v>3371.9</v>
      </c>
      <c r="I1022" s="228">
        <v>708.1</v>
      </c>
      <c r="J1022" s="229"/>
      <c r="K1022" s="229"/>
      <c r="L1022" s="229">
        <f>SUM(ventas_b_mes11[[#This Row],[IMPORTE NETO]:[EXENTO]])</f>
        <v>4080</v>
      </c>
      <c r="M1022" s="55"/>
    </row>
    <row r="1023" spans="2:13" x14ac:dyDescent="0.3">
      <c r="B1023" s="223">
        <v>44859</v>
      </c>
      <c r="C1023" s="224">
        <v>6</v>
      </c>
      <c r="D1023" s="225">
        <v>12</v>
      </c>
      <c r="E1023" s="226">
        <v>22256</v>
      </c>
      <c r="F1023" s="227">
        <v>22825602</v>
      </c>
      <c r="G1023" s="1" t="s">
        <v>740</v>
      </c>
      <c r="H1023" s="60">
        <v>1204.96</v>
      </c>
      <c r="I1023" s="228">
        <v>253.04</v>
      </c>
      <c r="J1023" s="229"/>
      <c r="K1023" s="229"/>
      <c r="L1023" s="229">
        <f>SUM(ventas_b_mes11[[#This Row],[IMPORTE NETO]:[EXENTO]])</f>
        <v>1458</v>
      </c>
      <c r="M1023" s="55"/>
    </row>
    <row r="1024" spans="2:13" x14ac:dyDescent="0.3">
      <c r="B1024" s="223" t="s">
        <v>114</v>
      </c>
      <c r="C1024" s="224">
        <v>6</v>
      </c>
      <c r="D1024" s="225">
        <v>12</v>
      </c>
      <c r="E1024" s="226">
        <v>22257</v>
      </c>
      <c r="F1024" s="227">
        <v>27654976</v>
      </c>
      <c r="G1024" s="1" t="s">
        <v>967</v>
      </c>
      <c r="H1024" s="60">
        <v>2528.9299999999998</v>
      </c>
      <c r="I1024" s="228">
        <v>531.07000000000005</v>
      </c>
      <c r="J1024" s="229"/>
      <c r="K1024" s="229"/>
      <c r="L1024" s="229">
        <f>SUM(ventas_b_mes11[[#This Row],[IMPORTE NETO]:[EXENTO]])</f>
        <v>3060</v>
      </c>
      <c r="M1024" s="55"/>
    </row>
    <row r="1025" spans="2:13" x14ac:dyDescent="0.3">
      <c r="B1025" s="223">
        <v>44859</v>
      </c>
      <c r="C1025" s="224">
        <v>6</v>
      </c>
      <c r="D1025" s="225">
        <v>12</v>
      </c>
      <c r="E1025" s="226">
        <v>22258</v>
      </c>
      <c r="F1025" s="227">
        <v>21700063</v>
      </c>
      <c r="G1025" s="1" t="s">
        <v>962</v>
      </c>
      <c r="H1025" s="60">
        <v>915.28</v>
      </c>
      <c r="I1025" s="228">
        <v>192.21</v>
      </c>
      <c r="J1025" s="229"/>
      <c r="K1025" s="229"/>
      <c r="L1025" s="229">
        <f>SUM(ventas_b_mes11[[#This Row],[IMPORTE NETO]:[EXENTO]])</f>
        <v>1107.49</v>
      </c>
      <c r="M1025" s="55"/>
    </row>
    <row r="1026" spans="2:13" x14ac:dyDescent="0.3">
      <c r="B1026" s="223">
        <v>44859</v>
      </c>
      <c r="C1026" s="224">
        <v>6</v>
      </c>
      <c r="D1026" s="225">
        <v>12</v>
      </c>
      <c r="E1026" s="226">
        <v>22259</v>
      </c>
      <c r="F1026" s="227">
        <v>21700063</v>
      </c>
      <c r="G1026" s="1" t="s">
        <v>962</v>
      </c>
      <c r="H1026" s="60">
        <v>8619.42</v>
      </c>
      <c r="I1026" s="228">
        <v>1810.08</v>
      </c>
      <c r="J1026" s="229"/>
      <c r="K1026" s="229"/>
      <c r="L1026" s="229">
        <f>SUM(ventas_b_mes11[[#This Row],[IMPORTE NETO]:[EXENTO]])</f>
        <v>10429.5</v>
      </c>
      <c r="M1026" s="55"/>
    </row>
    <row r="1027" spans="2:13" x14ac:dyDescent="0.3">
      <c r="B1027" s="223">
        <v>44859</v>
      </c>
      <c r="C1027" s="224">
        <v>6</v>
      </c>
      <c r="D1027" s="225">
        <v>12</v>
      </c>
      <c r="E1027" s="226">
        <v>22260</v>
      </c>
      <c r="F1027" s="227">
        <v>20340356</v>
      </c>
      <c r="G1027" s="1" t="s">
        <v>969</v>
      </c>
      <c r="H1027" s="60">
        <v>4439.67</v>
      </c>
      <c r="I1027" s="228">
        <v>932.33</v>
      </c>
      <c r="J1027" s="229"/>
      <c r="K1027" s="229"/>
      <c r="L1027" s="229">
        <f>SUM(ventas_b_mes11[[#This Row],[IMPORTE NETO]:[EXENTO]])</f>
        <v>5372</v>
      </c>
      <c r="M1027" s="55"/>
    </row>
    <row r="1028" spans="2:13" x14ac:dyDescent="0.3">
      <c r="B1028" s="223">
        <v>44859</v>
      </c>
      <c r="C1028" s="224">
        <v>6</v>
      </c>
      <c r="D1028" s="225">
        <v>12</v>
      </c>
      <c r="E1028" s="226">
        <v>22261</v>
      </c>
      <c r="F1028" s="227">
        <v>0</v>
      </c>
      <c r="G1028" s="1"/>
      <c r="H1028" s="60">
        <v>1446.28</v>
      </c>
      <c r="I1028" s="228">
        <v>303.72000000000003</v>
      </c>
      <c r="J1028" s="229"/>
      <c r="K1028" s="229"/>
      <c r="L1028" s="229">
        <f>SUM(ventas_b_mes11[[#This Row],[IMPORTE NETO]:[EXENTO]])</f>
        <v>1750</v>
      </c>
      <c r="M1028" s="55"/>
    </row>
    <row r="1029" spans="2:13" x14ac:dyDescent="0.3">
      <c r="B1029" s="223">
        <v>44859</v>
      </c>
      <c r="C1029" s="224">
        <v>6</v>
      </c>
      <c r="D1029" s="225">
        <v>12</v>
      </c>
      <c r="E1029" s="226">
        <v>22262</v>
      </c>
      <c r="F1029" s="227">
        <v>43260140</v>
      </c>
      <c r="G1029" s="1"/>
      <c r="H1029" s="60">
        <v>4545.45</v>
      </c>
      <c r="I1029" s="228">
        <v>954.55</v>
      </c>
      <c r="J1029" s="229"/>
      <c r="K1029" s="229"/>
      <c r="L1029" s="229">
        <f>SUM(ventas_b_mes11[[#This Row],[IMPORTE NETO]:[EXENTO]])</f>
        <v>5500</v>
      </c>
      <c r="M1029" s="55"/>
    </row>
    <row r="1030" spans="2:13" x14ac:dyDescent="0.3">
      <c r="B1030" s="223">
        <v>44859</v>
      </c>
      <c r="C1030" s="224">
        <v>6</v>
      </c>
      <c r="D1030" s="225">
        <v>12</v>
      </c>
      <c r="E1030" s="226">
        <v>22263</v>
      </c>
      <c r="F1030" s="227">
        <v>26977816</v>
      </c>
      <c r="G1030" s="1" t="s">
        <v>958</v>
      </c>
      <c r="H1030" s="60">
        <v>7270.26</v>
      </c>
      <c r="I1030" s="228">
        <v>1526.75</v>
      </c>
      <c r="J1030" s="229"/>
      <c r="K1030" s="229"/>
      <c r="L1030" s="229">
        <f>SUM(ventas_b_mes11[[#This Row],[IMPORTE NETO]:[EXENTO]])</f>
        <v>8797.01</v>
      </c>
      <c r="M1030" s="55"/>
    </row>
    <row r="1031" spans="2:13" x14ac:dyDescent="0.3">
      <c r="B1031" s="223">
        <v>44859</v>
      </c>
      <c r="C1031" s="224">
        <v>6</v>
      </c>
      <c r="D1031" s="225">
        <v>12</v>
      </c>
      <c r="E1031" s="226">
        <v>22264</v>
      </c>
      <c r="F1031" s="227">
        <v>26323376</v>
      </c>
      <c r="G1031" s="1" t="s">
        <v>630</v>
      </c>
      <c r="H1031" s="60">
        <v>4545.45</v>
      </c>
      <c r="I1031" s="228">
        <v>954.55</v>
      </c>
      <c r="J1031" s="229"/>
      <c r="K1031" s="229"/>
      <c r="L1031" s="229">
        <f>SUM(ventas_b_mes11[[#This Row],[IMPORTE NETO]:[EXENTO]])</f>
        <v>5500</v>
      </c>
      <c r="M1031" s="55"/>
    </row>
    <row r="1032" spans="2:13" x14ac:dyDescent="0.3">
      <c r="B1032" s="223">
        <v>44859</v>
      </c>
      <c r="C1032" s="224">
        <v>6</v>
      </c>
      <c r="D1032" s="225">
        <v>12</v>
      </c>
      <c r="E1032" s="226">
        <v>22265</v>
      </c>
      <c r="F1032" s="227">
        <v>0</v>
      </c>
      <c r="G1032" s="1"/>
      <c r="H1032" s="60">
        <v>1446.28</v>
      </c>
      <c r="I1032" s="228">
        <v>303.72000000000003</v>
      </c>
      <c r="J1032" s="229"/>
      <c r="K1032" s="229"/>
      <c r="L1032" s="229">
        <f>SUM(ventas_b_mes11[[#This Row],[IMPORTE NETO]:[EXENTO]])</f>
        <v>1750</v>
      </c>
      <c r="M1032" s="55"/>
    </row>
    <row r="1033" spans="2:13" x14ac:dyDescent="0.3">
      <c r="B1033" s="223" t="s">
        <v>114</v>
      </c>
      <c r="C1033" s="224">
        <v>6</v>
      </c>
      <c r="D1033" s="225">
        <v>12</v>
      </c>
      <c r="E1033" s="226">
        <v>22266</v>
      </c>
      <c r="F1033" s="227">
        <v>17815696</v>
      </c>
      <c r="G1033" s="1" t="s">
        <v>965</v>
      </c>
      <c r="H1033" s="60">
        <v>5654.96</v>
      </c>
      <c r="I1033" s="228">
        <v>1187.54</v>
      </c>
      <c r="J1033" s="229"/>
      <c r="K1033" s="229"/>
      <c r="L1033" s="229">
        <f>SUM(ventas_b_mes11[[#This Row],[IMPORTE NETO]:[EXENTO]])</f>
        <v>6842.5</v>
      </c>
      <c r="M1033" s="55"/>
    </row>
    <row r="1034" spans="2:13" x14ac:dyDescent="0.3">
      <c r="B1034" s="223">
        <v>44859</v>
      </c>
      <c r="C1034" s="224">
        <v>6</v>
      </c>
      <c r="D1034" s="225">
        <v>12</v>
      </c>
      <c r="E1034" s="226">
        <v>22267</v>
      </c>
      <c r="F1034" s="227">
        <v>27940533924</v>
      </c>
      <c r="G1034" s="1" t="s">
        <v>281</v>
      </c>
      <c r="H1034" s="60">
        <v>23649.56</v>
      </c>
      <c r="I1034" s="228">
        <v>4966.41</v>
      </c>
      <c r="J1034" s="229"/>
      <c r="K1034" s="229"/>
      <c r="L1034" s="229">
        <f>SUM(ventas_b_mes11[[#This Row],[IMPORTE NETO]:[EXENTO]])</f>
        <v>28615.97</v>
      </c>
      <c r="M1034" s="55"/>
    </row>
    <row r="1035" spans="2:13" x14ac:dyDescent="0.3">
      <c r="B1035" s="223">
        <v>44859</v>
      </c>
      <c r="C1035" s="224">
        <v>6</v>
      </c>
      <c r="D1035" s="225">
        <v>12</v>
      </c>
      <c r="E1035" s="226">
        <v>22268</v>
      </c>
      <c r="F1035" s="227">
        <v>14009486</v>
      </c>
      <c r="G1035" s="1" t="s">
        <v>238</v>
      </c>
      <c r="H1035" s="60">
        <v>1561.98</v>
      </c>
      <c r="I1035" s="228">
        <v>328.02</v>
      </c>
      <c r="J1035" s="229"/>
      <c r="K1035" s="229"/>
      <c r="L1035" s="229">
        <f>SUM(ventas_b_mes11[[#This Row],[IMPORTE NETO]:[EXENTO]])</f>
        <v>1890</v>
      </c>
      <c r="M1035" s="55"/>
    </row>
    <row r="1036" spans="2:13" x14ac:dyDescent="0.3">
      <c r="B1036" s="223">
        <v>44859</v>
      </c>
      <c r="C1036" s="224">
        <v>6</v>
      </c>
      <c r="D1036" s="225">
        <v>12</v>
      </c>
      <c r="E1036" s="226">
        <v>22269</v>
      </c>
      <c r="F1036" s="227">
        <v>94028703</v>
      </c>
      <c r="G1036" s="1" t="s">
        <v>349</v>
      </c>
      <c r="H1036" s="60">
        <v>5752.07</v>
      </c>
      <c r="I1036" s="228">
        <v>1207.93</v>
      </c>
      <c r="J1036" s="229"/>
      <c r="K1036" s="229"/>
      <c r="L1036" s="229">
        <f>SUM(ventas_b_mes11[[#This Row],[IMPORTE NETO]:[EXENTO]])</f>
        <v>6960</v>
      </c>
      <c r="M1036" s="55"/>
    </row>
    <row r="1037" spans="2:13" x14ac:dyDescent="0.3">
      <c r="B1037" s="223">
        <v>44859</v>
      </c>
      <c r="C1037" s="224">
        <v>6</v>
      </c>
      <c r="D1037" s="225">
        <v>12</v>
      </c>
      <c r="E1037" s="226">
        <v>22270</v>
      </c>
      <c r="F1037" s="227">
        <v>28109132</v>
      </c>
      <c r="G1037" s="1" t="s">
        <v>752</v>
      </c>
      <c r="H1037" s="60">
        <v>4354.96</v>
      </c>
      <c r="I1037" s="228">
        <v>914.54</v>
      </c>
      <c r="J1037" s="229"/>
      <c r="K1037" s="229"/>
      <c r="L1037" s="229">
        <f>SUM(ventas_b_mes11[[#This Row],[IMPORTE NETO]:[EXENTO]])</f>
        <v>5269.5</v>
      </c>
      <c r="M1037" s="55"/>
    </row>
    <row r="1038" spans="2:13" x14ac:dyDescent="0.3">
      <c r="B1038" s="223">
        <v>44859</v>
      </c>
      <c r="C1038" s="224">
        <v>6</v>
      </c>
      <c r="D1038" s="225">
        <v>12</v>
      </c>
      <c r="E1038" s="226">
        <v>22271</v>
      </c>
      <c r="F1038" s="227">
        <v>44263897</v>
      </c>
      <c r="G1038" s="1" t="s">
        <v>956</v>
      </c>
      <c r="H1038" s="60">
        <v>4958.68</v>
      </c>
      <c r="I1038" s="228">
        <v>1041.32</v>
      </c>
      <c r="J1038" s="229"/>
      <c r="K1038" s="229"/>
      <c r="L1038" s="229">
        <f>SUM(ventas_b_mes11[[#This Row],[IMPORTE NETO]:[EXENTO]])</f>
        <v>6000</v>
      </c>
      <c r="M1038" s="55"/>
    </row>
    <row r="1039" spans="2:13" x14ac:dyDescent="0.3">
      <c r="B1039" s="223">
        <v>44859</v>
      </c>
      <c r="C1039" s="224">
        <v>6</v>
      </c>
      <c r="D1039" s="225">
        <v>12</v>
      </c>
      <c r="E1039" s="226">
        <v>22272</v>
      </c>
      <c r="F1039" s="227">
        <v>23005325</v>
      </c>
      <c r="G1039" s="1" t="s">
        <v>409</v>
      </c>
      <c r="H1039" s="60">
        <v>2795.87</v>
      </c>
      <c r="I1039" s="228">
        <v>587.13</v>
      </c>
      <c r="J1039" s="229"/>
      <c r="K1039" s="229"/>
      <c r="L1039" s="229">
        <f>SUM(ventas_b_mes11[[#This Row],[IMPORTE NETO]:[EXENTO]])</f>
        <v>3383</v>
      </c>
      <c r="M1039" s="55"/>
    </row>
    <row r="1040" spans="2:13" x14ac:dyDescent="0.3">
      <c r="B1040" s="223">
        <v>44859</v>
      </c>
      <c r="C1040" s="224">
        <v>6</v>
      </c>
      <c r="D1040" s="225">
        <v>12</v>
      </c>
      <c r="E1040" s="226">
        <v>22273</v>
      </c>
      <c r="F1040" s="227">
        <v>20213391</v>
      </c>
      <c r="G1040" s="1" t="s">
        <v>256</v>
      </c>
      <c r="H1040" s="60">
        <v>665.29</v>
      </c>
      <c r="I1040" s="228">
        <v>139.71</v>
      </c>
      <c r="J1040" s="229"/>
      <c r="K1040" s="229"/>
      <c r="L1040" s="229">
        <f>SUM(ventas_b_mes11[[#This Row],[IMPORTE NETO]:[EXENTO]])</f>
        <v>805</v>
      </c>
      <c r="M1040" s="55"/>
    </row>
    <row r="1041" spans="2:13" x14ac:dyDescent="0.3">
      <c r="B1041" s="223">
        <v>44859</v>
      </c>
      <c r="C1041" s="224">
        <v>6</v>
      </c>
      <c r="D1041" s="225">
        <v>12</v>
      </c>
      <c r="E1041" s="226">
        <v>22274</v>
      </c>
      <c r="F1041" s="227">
        <v>33718803</v>
      </c>
      <c r="G1041" s="1" t="s">
        <v>280</v>
      </c>
      <c r="H1041" s="60">
        <v>1227.27</v>
      </c>
      <c r="I1041" s="228">
        <v>257.73</v>
      </c>
      <c r="J1041" s="229"/>
      <c r="K1041" s="229"/>
      <c r="L1041" s="229">
        <f>SUM(ventas_b_mes11[[#This Row],[IMPORTE NETO]:[EXENTO]])</f>
        <v>1485</v>
      </c>
      <c r="M1041" s="55"/>
    </row>
    <row r="1042" spans="2:13" x14ac:dyDescent="0.3">
      <c r="B1042" s="223">
        <v>44860</v>
      </c>
      <c r="C1042" s="224">
        <v>6</v>
      </c>
      <c r="D1042" s="225">
        <v>12</v>
      </c>
      <c r="E1042" s="226">
        <v>22275</v>
      </c>
      <c r="F1042" s="227">
        <v>33857266</v>
      </c>
      <c r="G1042" s="1" t="s">
        <v>1008</v>
      </c>
      <c r="H1042" s="60">
        <v>8373.5499999999993</v>
      </c>
      <c r="I1042" s="228">
        <v>1758.45</v>
      </c>
      <c r="J1042" s="229"/>
      <c r="K1042" s="229"/>
      <c r="L1042" s="229">
        <f>SUM(ventas_b_mes11[[#This Row],[IMPORTE NETO]:[EXENTO]])</f>
        <v>10132</v>
      </c>
      <c r="M1042" s="55"/>
    </row>
    <row r="1043" spans="2:13" x14ac:dyDescent="0.3">
      <c r="B1043" s="223">
        <v>44860</v>
      </c>
      <c r="C1043" s="224">
        <v>6</v>
      </c>
      <c r="D1043" s="225">
        <v>12</v>
      </c>
      <c r="E1043" s="226">
        <v>22276</v>
      </c>
      <c r="F1043" s="227">
        <v>36646338</v>
      </c>
      <c r="G1043" s="1" t="s">
        <v>680</v>
      </c>
      <c r="H1043" s="60">
        <v>11218.6</v>
      </c>
      <c r="I1043" s="228">
        <v>2355.91</v>
      </c>
      <c r="J1043" s="229"/>
      <c r="K1043" s="229"/>
      <c r="L1043" s="229">
        <f>SUM(ventas_b_mes11[[#This Row],[IMPORTE NETO]:[EXENTO]])</f>
        <v>13574.51</v>
      </c>
      <c r="M1043" s="55"/>
    </row>
    <row r="1044" spans="2:13" x14ac:dyDescent="0.3">
      <c r="B1044" s="223">
        <v>44860</v>
      </c>
      <c r="C1044" s="224">
        <v>6</v>
      </c>
      <c r="D1044" s="225">
        <v>12</v>
      </c>
      <c r="E1044" s="226">
        <v>22277</v>
      </c>
      <c r="F1044" s="227">
        <v>17438686</v>
      </c>
      <c r="G1044" s="1" t="s">
        <v>977</v>
      </c>
      <c r="H1044" s="60">
        <v>11943.39</v>
      </c>
      <c r="I1044" s="228">
        <v>2508.11</v>
      </c>
      <c r="J1044" s="229"/>
      <c r="K1044" s="229"/>
      <c r="L1044" s="229">
        <f>SUM(ventas_b_mes11[[#This Row],[IMPORTE NETO]:[EXENTO]])</f>
        <v>14451.5</v>
      </c>
      <c r="M1044" s="55"/>
    </row>
    <row r="1045" spans="2:13" x14ac:dyDescent="0.3">
      <c r="B1045" s="223">
        <v>44860</v>
      </c>
      <c r="C1045" s="224">
        <v>6</v>
      </c>
      <c r="D1045" s="225">
        <v>12</v>
      </c>
      <c r="E1045" s="226">
        <v>22278</v>
      </c>
      <c r="F1045" s="227">
        <v>35126897</v>
      </c>
      <c r="G1045" s="1" t="s">
        <v>1000</v>
      </c>
      <c r="H1045" s="60">
        <v>6582.23</v>
      </c>
      <c r="I1045" s="228">
        <v>1382.27</v>
      </c>
      <c r="J1045" s="229"/>
      <c r="K1045" s="229"/>
      <c r="L1045" s="229">
        <f>SUM(ventas_b_mes11[[#This Row],[IMPORTE NETO]:[EXENTO]])</f>
        <v>7964.5</v>
      </c>
      <c r="M1045" s="55"/>
    </row>
    <row r="1046" spans="2:13" x14ac:dyDescent="0.3">
      <c r="B1046" s="223">
        <v>44860</v>
      </c>
      <c r="C1046" s="224">
        <v>6</v>
      </c>
      <c r="D1046" s="225">
        <v>12</v>
      </c>
      <c r="E1046" s="226">
        <v>22279</v>
      </c>
      <c r="F1046" s="227">
        <v>32658974</v>
      </c>
      <c r="G1046" s="1" t="s">
        <v>640</v>
      </c>
      <c r="H1046" s="60">
        <v>8233.06</v>
      </c>
      <c r="I1046" s="228">
        <v>1728.94</v>
      </c>
      <c r="J1046" s="229"/>
      <c r="K1046" s="229"/>
      <c r="L1046" s="229">
        <f>SUM(ventas_b_mes11[[#This Row],[IMPORTE NETO]:[EXENTO]])</f>
        <v>9962</v>
      </c>
      <c r="M1046" s="55"/>
    </row>
    <row r="1047" spans="2:13" x14ac:dyDescent="0.3">
      <c r="B1047" s="223">
        <v>44860</v>
      </c>
      <c r="C1047" s="224">
        <v>6</v>
      </c>
      <c r="D1047" s="225">
        <v>12</v>
      </c>
      <c r="E1047" s="226">
        <v>22280</v>
      </c>
      <c r="F1047" s="227">
        <v>23845672</v>
      </c>
      <c r="G1047" s="1"/>
      <c r="H1047" s="60">
        <v>1041.33</v>
      </c>
      <c r="I1047" s="228">
        <v>218.68</v>
      </c>
      <c r="J1047" s="229"/>
      <c r="K1047" s="229"/>
      <c r="L1047" s="229">
        <f>SUM(ventas_b_mes11[[#This Row],[IMPORTE NETO]:[EXENTO]])</f>
        <v>1260.01</v>
      </c>
      <c r="M1047" s="55"/>
    </row>
    <row r="1048" spans="2:13" x14ac:dyDescent="0.3">
      <c r="B1048" s="223">
        <v>44860</v>
      </c>
      <c r="C1048" s="224">
        <v>6</v>
      </c>
      <c r="D1048" s="225">
        <v>12</v>
      </c>
      <c r="E1048" s="226">
        <v>22281</v>
      </c>
      <c r="F1048" s="227">
        <v>31457895</v>
      </c>
      <c r="G1048" s="1" t="s">
        <v>1018</v>
      </c>
      <c r="H1048" s="60">
        <v>11113.23</v>
      </c>
      <c r="I1048" s="228">
        <v>2333.7800000000002</v>
      </c>
      <c r="J1048" s="229"/>
      <c r="K1048" s="229"/>
      <c r="L1048" s="229">
        <f>SUM(ventas_b_mes11[[#This Row],[IMPORTE NETO]:[EXENTO]])</f>
        <v>13447.01</v>
      </c>
      <c r="M1048" s="55"/>
    </row>
    <row r="1049" spans="2:13" x14ac:dyDescent="0.3">
      <c r="B1049" s="223">
        <v>44860</v>
      </c>
      <c r="C1049" s="224">
        <v>6</v>
      </c>
      <c r="D1049" s="225">
        <v>12</v>
      </c>
      <c r="E1049" s="226">
        <v>22282</v>
      </c>
      <c r="F1049" s="227">
        <v>17203777</v>
      </c>
      <c r="G1049" s="1" t="s">
        <v>823</v>
      </c>
      <c r="H1049" s="60">
        <v>5084.71</v>
      </c>
      <c r="I1049" s="228">
        <v>1067.79</v>
      </c>
      <c r="J1049" s="229"/>
      <c r="K1049" s="229"/>
      <c r="L1049" s="229">
        <f>SUM(ventas_b_mes11[[#This Row],[IMPORTE NETO]:[EXENTO]])</f>
        <v>6152.5</v>
      </c>
      <c r="M1049" s="55"/>
    </row>
    <row r="1050" spans="2:13" x14ac:dyDescent="0.3">
      <c r="B1050" s="223">
        <v>44860</v>
      </c>
      <c r="C1050" s="224">
        <v>6</v>
      </c>
      <c r="D1050" s="225">
        <v>12</v>
      </c>
      <c r="E1050" s="226">
        <v>22283</v>
      </c>
      <c r="F1050" s="227">
        <v>24952693</v>
      </c>
      <c r="G1050" s="1" t="s">
        <v>990</v>
      </c>
      <c r="H1050" s="60">
        <v>5212.3999999999996</v>
      </c>
      <c r="I1050" s="228">
        <v>1094.5999999999999</v>
      </c>
      <c r="J1050" s="229"/>
      <c r="K1050" s="229"/>
      <c r="L1050" s="229">
        <f>SUM(ventas_b_mes11[[#This Row],[IMPORTE NETO]:[EXENTO]])</f>
        <v>6307</v>
      </c>
      <c r="M1050" s="55"/>
    </row>
    <row r="1051" spans="2:13" x14ac:dyDescent="0.3">
      <c r="B1051" s="223">
        <v>44860</v>
      </c>
      <c r="C1051" s="224">
        <v>6</v>
      </c>
      <c r="D1051" s="225">
        <v>12</v>
      </c>
      <c r="E1051" s="226">
        <v>22284</v>
      </c>
      <c r="F1051" s="227">
        <v>21942332</v>
      </c>
      <c r="G1051" s="1" t="s">
        <v>1010</v>
      </c>
      <c r="H1051" s="60">
        <v>18756.23</v>
      </c>
      <c r="I1051" s="228">
        <v>3938.81</v>
      </c>
      <c r="J1051" s="229"/>
      <c r="K1051" s="229"/>
      <c r="L1051" s="229">
        <f>SUM(ventas_b_mes11[[#This Row],[IMPORTE NETO]:[EXENTO]])</f>
        <v>22695.040000000001</v>
      </c>
      <c r="M1051" s="55"/>
    </row>
    <row r="1052" spans="2:13" x14ac:dyDescent="0.3">
      <c r="B1052" s="223">
        <v>44860</v>
      </c>
      <c r="C1052" s="224">
        <v>6</v>
      </c>
      <c r="D1052" s="225">
        <v>12</v>
      </c>
      <c r="E1052" s="226">
        <v>22285</v>
      </c>
      <c r="F1052" s="227">
        <v>6271982</v>
      </c>
      <c r="G1052" s="1"/>
      <c r="H1052" s="60">
        <v>5598.76</v>
      </c>
      <c r="I1052" s="228">
        <v>1175.74</v>
      </c>
      <c r="J1052" s="229"/>
      <c r="K1052" s="229"/>
      <c r="L1052" s="229">
        <f>SUM(ventas_b_mes11[[#This Row],[IMPORTE NETO]:[EXENTO]])</f>
        <v>6774.5</v>
      </c>
      <c r="M1052" s="55"/>
    </row>
    <row r="1053" spans="2:13" x14ac:dyDescent="0.3">
      <c r="B1053" s="223">
        <v>44860</v>
      </c>
      <c r="C1053" s="224">
        <v>6</v>
      </c>
      <c r="D1053" s="225">
        <v>12</v>
      </c>
      <c r="E1053" s="226">
        <v>22286</v>
      </c>
      <c r="F1053" s="227">
        <v>29589071</v>
      </c>
      <c r="G1053" s="1" t="s">
        <v>1001</v>
      </c>
      <c r="H1053" s="60">
        <v>14955.8</v>
      </c>
      <c r="I1053" s="228">
        <v>3140.72</v>
      </c>
      <c r="J1053" s="229"/>
      <c r="K1053" s="229"/>
      <c r="L1053" s="229">
        <f>SUM(ventas_b_mes11[[#This Row],[IMPORTE NETO]:[EXENTO]])</f>
        <v>18096.52</v>
      </c>
      <c r="M1053" s="55"/>
    </row>
    <row r="1054" spans="2:13" x14ac:dyDescent="0.3">
      <c r="B1054" s="223">
        <v>44860</v>
      </c>
      <c r="C1054" s="224">
        <v>6</v>
      </c>
      <c r="D1054" s="225">
        <v>12</v>
      </c>
      <c r="E1054" s="226">
        <v>22287</v>
      </c>
      <c r="F1054" s="227">
        <v>17201380</v>
      </c>
      <c r="G1054" s="1" t="s">
        <v>976</v>
      </c>
      <c r="H1054" s="60">
        <v>4088.43</v>
      </c>
      <c r="I1054" s="228">
        <v>858.57</v>
      </c>
      <c r="J1054" s="229"/>
      <c r="K1054" s="229"/>
      <c r="L1054" s="229">
        <f>SUM(ventas_b_mes11[[#This Row],[IMPORTE NETO]:[EXENTO]])</f>
        <v>4947</v>
      </c>
      <c r="M1054" s="55"/>
    </row>
    <row r="1055" spans="2:13" x14ac:dyDescent="0.3">
      <c r="B1055" s="223">
        <v>44860</v>
      </c>
      <c r="C1055" s="224">
        <v>6</v>
      </c>
      <c r="D1055" s="225">
        <v>12</v>
      </c>
      <c r="E1055" s="226">
        <v>22288</v>
      </c>
      <c r="F1055" s="227">
        <v>17201380</v>
      </c>
      <c r="G1055" s="1" t="s">
        <v>976</v>
      </c>
      <c r="H1055" s="60">
        <v>3688.02</v>
      </c>
      <c r="I1055" s="228">
        <v>774.48</v>
      </c>
      <c r="J1055" s="229"/>
      <c r="K1055" s="229"/>
      <c r="L1055" s="229">
        <f>SUM(ventas_b_mes11[[#This Row],[IMPORTE NETO]:[EXENTO]])</f>
        <v>4462.5</v>
      </c>
      <c r="M1055" s="55"/>
    </row>
    <row r="1056" spans="2:13" x14ac:dyDescent="0.3">
      <c r="B1056" s="223">
        <v>44860</v>
      </c>
      <c r="C1056" s="224">
        <v>6</v>
      </c>
      <c r="D1056" s="225">
        <v>12</v>
      </c>
      <c r="E1056" s="226">
        <v>22289</v>
      </c>
      <c r="F1056" s="227">
        <v>27256583157</v>
      </c>
      <c r="G1056" s="1" t="s">
        <v>503</v>
      </c>
      <c r="H1056" s="60">
        <v>15264.88</v>
      </c>
      <c r="I1056" s="228">
        <v>3205.62</v>
      </c>
      <c r="J1056" s="229"/>
      <c r="K1056" s="229"/>
      <c r="L1056" s="229">
        <f>SUM(ventas_b_mes11[[#This Row],[IMPORTE NETO]:[EXENTO]])</f>
        <v>18470.5</v>
      </c>
      <c r="M1056" s="55"/>
    </row>
    <row r="1057" spans="2:13" x14ac:dyDescent="0.3">
      <c r="B1057" s="223">
        <v>44860</v>
      </c>
      <c r="C1057" s="224">
        <v>6</v>
      </c>
      <c r="D1057" s="225">
        <v>12</v>
      </c>
      <c r="E1057" s="226">
        <v>22290</v>
      </c>
      <c r="F1057" s="227">
        <v>16246431</v>
      </c>
      <c r="G1057" s="1" t="s">
        <v>842</v>
      </c>
      <c r="H1057" s="60">
        <v>5226.45</v>
      </c>
      <c r="I1057" s="228">
        <v>1097.55</v>
      </c>
      <c r="J1057" s="229"/>
      <c r="K1057" s="229"/>
      <c r="L1057" s="229">
        <f>SUM(ventas_b_mes11[[#This Row],[IMPORTE NETO]:[EXENTO]])</f>
        <v>6324</v>
      </c>
      <c r="M1057" s="55"/>
    </row>
    <row r="1058" spans="2:13" x14ac:dyDescent="0.3">
      <c r="B1058" s="223">
        <v>44860</v>
      </c>
      <c r="C1058" s="224">
        <v>6</v>
      </c>
      <c r="D1058" s="225">
        <v>12</v>
      </c>
      <c r="E1058" s="226">
        <v>22291</v>
      </c>
      <c r="F1058" s="227">
        <v>12846021</v>
      </c>
      <c r="G1058" s="1"/>
      <c r="H1058" s="60">
        <v>9241.32</v>
      </c>
      <c r="I1058" s="228">
        <v>1940.68</v>
      </c>
      <c r="J1058" s="229"/>
      <c r="K1058" s="229"/>
      <c r="L1058" s="229">
        <f>SUM(ventas_b_mes11[[#This Row],[IMPORTE NETO]:[EXENTO]])</f>
        <v>11182</v>
      </c>
      <c r="M1058" s="55"/>
    </row>
    <row r="1059" spans="2:13" x14ac:dyDescent="0.3">
      <c r="B1059" s="223">
        <v>44860</v>
      </c>
      <c r="C1059" s="224">
        <v>6</v>
      </c>
      <c r="D1059" s="225">
        <v>12</v>
      </c>
      <c r="E1059" s="226">
        <v>22292</v>
      </c>
      <c r="F1059" s="227">
        <v>17820584</v>
      </c>
      <c r="G1059" s="1" t="s">
        <v>1015</v>
      </c>
      <c r="H1059" s="60">
        <v>5382.24</v>
      </c>
      <c r="I1059" s="228">
        <v>1130.27</v>
      </c>
      <c r="J1059" s="229"/>
      <c r="K1059" s="229"/>
      <c r="L1059" s="229">
        <f>SUM(ventas_b_mes11[[#This Row],[IMPORTE NETO]:[EXENTO]])</f>
        <v>6512.51</v>
      </c>
      <c r="M1059" s="55"/>
    </row>
    <row r="1060" spans="2:13" x14ac:dyDescent="0.3">
      <c r="B1060" s="223">
        <v>44860</v>
      </c>
      <c r="C1060" s="224">
        <v>6</v>
      </c>
      <c r="D1060" s="225">
        <v>12</v>
      </c>
      <c r="E1060" s="226">
        <v>22293</v>
      </c>
      <c r="F1060" s="227">
        <v>18552671</v>
      </c>
      <c r="G1060" s="1" t="s">
        <v>520</v>
      </c>
      <c r="H1060" s="60">
        <v>3969.01</v>
      </c>
      <c r="I1060" s="228">
        <v>833.49</v>
      </c>
      <c r="J1060" s="229"/>
      <c r="K1060" s="229"/>
      <c r="L1060" s="229">
        <f>SUM(ventas_b_mes11[[#This Row],[IMPORTE NETO]:[EXENTO]])</f>
        <v>4802.5</v>
      </c>
      <c r="M1060" s="55"/>
    </row>
    <row r="1061" spans="2:13" x14ac:dyDescent="0.3">
      <c r="B1061" s="223">
        <v>44860</v>
      </c>
      <c r="C1061" s="224">
        <v>6</v>
      </c>
      <c r="D1061" s="225">
        <v>12</v>
      </c>
      <c r="E1061" s="226">
        <v>22294</v>
      </c>
      <c r="F1061" s="227">
        <v>27940533924</v>
      </c>
      <c r="G1061" s="1" t="s">
        <v>281</v>
      </c>
      <c r="H1061" s="60">
        <v>4160.33</v>
      </c>
      <c r="I1061" s="228">
        <v>873.67</v>
      </c>
      <c r="J1061" s="229"/>
      <c r="K1061" s="229"/>
      <c r="L1061" s="229">
        <f>SUM(ventas_b_mes11[[#This Row],[IMPORTE NETO]:[EXENTO]])</f>
        <v>5034</v>
      </c>
      <c r="M1061" s="55"/>
    </row>
    <row r="1062" spans="2:13" x14ac:dyDescent="0.3">
      <c r="B1062" s="223">
        <v>44860</v>
      </c>
      <c r="C1062" s="224">
        <v>6</v>
      </c>
      <c r="D1062" s="225">
        <v>12</v>
      </c>
      <c r="E1062" s="226">
        <v>22295</v>
      </c>
      <c r="F1062" s="227">
        <v>30378069</v>
      </c>
      <c r="G1062" s="1" t="s">
        <v>1013</v>
      </c>
      <c r="H1062" s="60">
        <v>2238.02</v>
      </c>
      <c r="I1062" s="228">
        <v>469.98</v>
      </c>
      <c r="J1062" s="229"/>
      <c r="K1062" s="229"/>
      <c r="L1062" s="229">
        <f>SUM(ventas_b_mes11[[#This Row],[IMPORTE NETO]:[EXENTO]])</f>
        <v>2708</v>
      </c>
      <c r="M1062" s="55"/>
    </row>
    <row r="1063" spans="2:13" x14ac:dyDescent="0.3">
      <c r="B1063" s="223">
        <v>44860</v>
      </c>
      <c r="C1063" s="224">
        <v>6</v>
      </c>
      <c r="D1063" s="225">
        <v>12</v>
      </c>
      <c r="E1063" s="226">
        <v>22296</v>
      </c>
      <c r="F1063" s="227">
        <v>43315016</v>
      </c>
      <c r="G1063" s="1" t="s">
        <v>670</v>
      </c>
      <c r="H1063" s="60">
        <v>2024.79</v>
      </c>
      <c r="I1063" s="228">
        <v>425.21</v>
      </c>
      <c r="J1063" s="229"/>
      <c r="K1063" s="229"/>
      <c r="L1063" s="229">
        <f>SUM(ventas_b_mes11[[#This Row],[IMPORTE NETO]:[EXENTO]])</f>
        <v>2450</v>
      </c>
      <c r="M1063" s="55"/>
    </row>
    <row r="1064" spans="2:13" x14ac:dyDescent="0.3">
      <c r="B1064" s="223">
        <v>44860</v>
      </c>
      <c r="C1064" s="224">
        <v>6</v>
      </c>
      <c r="D1064" s="225">
        <v>12</v>
      </c>
      <c r="E1064" s="226">
        <v>22297</v>
      </c>
      <c r="F1064" s="227">
        <v>37196967</v>
      </c>
      <c r="G1064" s="1" t="s">
        <v>1004</v>
      </c>
      <c r="H1064" s="60">
        <v>10082.66</v>
      </c>
      <c r="I1064" s="228">
        <v>2117.36</v>
      </c>
      <c r="J1064" s="229"/>
      <c r="K1064" s="229"/>
      <c r="L1064" s="229">
        <f>SUM(ventas_b_mes11[[#This Row],[IMPORTE NETO]:[EXENTO]])</f>
        <v>12200.02</v>
      </c>
      <c r="M1064" s="55"/>
    </row>
    <row r="1065" spans="2:13" x14ac:dyDescent="0.3">
      <c r="B1065" s="223">
        <v>44861</v>
      </c>
      <c r="C1065" s="224">
        <v>6</v>
      </c>
      <c r="D1065" s="225">
        <v>12</v>
      </c>
      <c r="E1065" s="226">
        <v>22298</v>
      </c>
      <c r="F1065" s="227">
        <v>13313201</v>
      </c>
      <c r="G1065" s="1" t="s">
        <v>632</v>
      </c>
      <c r="H1065" s="60">
        <v>14355.36</v>
      </c>
      <c r="I1065" s="228">
        <v>3014.63</v>
      </c>
      <c r="J1065" s="229"/>
      <c r="K1065" s="229"/>
      <c r="L1065" s="229">
        <f>SUM(ventas_b_mes11[[#This Row],[IMPORTE NETO]:[EXENTO]])</f>
        <v>17369.990000000002</v>
      </c>
      <c r="M1065" s="55"/>
    </row>
    <row r="1066" spans="2:13" x14ac:dyDescent="0.3">
      <c r="B1066" s="223">
        <v>44861</v>
      </c>
      <c r="C1066" s="224">
        <v>6</v>
      </c>
      <c r="D1066" s="225">
        <v>12</v>
      </c>
      <c r="E1066" s="226">
        <v>22299</v>
      </c>
      <c r="F1066" s="227">
        <v>32875123</v>
      </c>
      <c r="G1066" s="1" t="s">
        <v>1038</v>
      </c>
      <c r="H1066" s="60">
        <v>7741.74</v>
      </c>
      <c r="I1066" s="228">
        <v>1625.76</v>
      </c>
      <c r="J1066" s="229"/>
      <c r="K1066" s="229"/>
      <c r="L1066" s="229">
        <f>SUM(ventas_b_mes11[[#This Row],[IMPORTE NETO]:[EXENTO]])</f>
        <v>9367.5</v>
      </c>
      <c r="M1066" s="55"/>
    </row>
    <row r="1067" spans="2:13" x14ac:dyDescent="0.3">
      <c r="B1067" s="223">
        <v>44861</v>
      </c>
      <c r="C1067" s="224">
        <v>6</v>
      </c>
      <c r="D1067" s="225">
        <v>12</v>
      </c>
      <c r="E1067" s="226">
        <v>22300</v>
      </c>
      <c r="F1067" s="227">
        <v>33711082</v>
      </c>
      <c r="G1067" s="1" t="s">
        <v>805</v>
      </c>
      <c r="H1067" s="60">
        <v>7446.29</v>
      </c>
      <c r="I1067" s="228">
        <v>1563.72</v>
      </c>
      <c r="J1067" s="229"/>
      <c r="K1067" s="229"/>
      <c r="L1067" s="229">
        <f>SUM(ventas_b_mes11[[#This Row],[IMPORTE NETO]:[EXENTO]])</f>
        <v>9010.01</v>
      </c>
      <c r="M1067" s="55"/>
    </row>
    <row r="1068" spans="2:13" x14ac:dyDescent="0.3">
      <c r="B1068" s="223">
        <v>44861</v>
      </c>
      <c r="C1068" s="224">
        <v>6</v>
      </c>
      <c r="D1068" s="225">
        <v>12</v>
      </c>
      <c r="E1068" s="226">
        <v>22301</v>
      </c>
      <c r="F1068" s="227">
        <v>27031560</v>
      </c>
      <c r="G1068" s="1" t="s">
        <v>290</v>
      </c>
      <c r="H1068" s="60">
        <v>5036.78</v>
      </c>
      <c r="I1068" s="228">
        <v>1057.72</v>
      </c>
      <c r="J1068" s="229"/>
      <c r="K1068" s="229"/>
      <c r="L1068" s="229">
        <f>SUM(ventas_b_mes11[[#This Row],[IMPORTE NETO]:[EXENTO]])</f>
        <v>6094.5</v>
      </c>
      <c r="M1068" s="55"/>
    </row>
    <row r="1069" spans="2:13" x14ac:dyDescent="0.3">
      <c r="B1069" s="223">
        <v>44861</v>
      </c>
      <c r="C1069" s="224">
        <v>6</v>
      </c>
      <c r="D1069" s="225">
        <v>12</v>
      </c>
      <c r="E1069" s="226">
        <v>22302</v>
      </c>
      <c r="F1069" s="227">
        <v>14897192</v>
      </c>
      <c r="G1069" s="1" t="s">
        <v>353</v>
      </c>
      <c r="H1069" s="60">
        <v>809.92</v>
      </c>
      <c r="I1069" s="228">
        <v>170.08</v>
      </c>
      <c r="J1069" s="229"/>
      <c r="K1069" s="229"/>
      <c r="L1069" s="229">
        <f>SUM(ventas_b_mes11[[#This Row],[IMPORTE NETO]:[EXENTO]])</f>
        <v>980</v>
      </c>
      <c r="M1069" s="55"/>
    </row>
    <row r="1070" spans="2:13" x14ac:dyDescent="0.3">
      <c r="B1070" s="223">
        <v>44861</v>
      </c>
      <c r="C1070" s="224">
        <v>6</v>
      </c>
      <c r="D1070" s="225">
        <v>12</v>
      </c>
      <c r="E1070" s="226">
        <v>22303</v>
      </c>
      <c r="F1070" s="227">
        <v>0</v>
      </c>
      <c r="G1070" s="1"/>
      <c r="H1070" s="60">
        <v>3603.72</v>
      </c>
      <c r="I1070" s="228">
        <v>756.78</v>
      </c>
      <c r="J1070" s="229"/>
      <c r="K1070" s="229"/>
      <c r="L1070" s="229">
        <f>SUM(ventas_b_mes11[[#This Row],[IMPORTE NETO]:[EXENTO]])</f>
        <v>4360.5</v>
      </c>
      <c r="M1070" s="55"/>
    </row>
    <row r="1071" spans="2:13" x14ac:dyDescent="0.3">
      <c r="B1071" s="223">
        <v>44861</v>
      </c>
      <c r="C1071" s="224">
        <v>6</v>
      </c>
      <c r="D1071" s="225">
        <v>12</v>
      </c>
      <c r="E1071" s="226">
        <v>22304</v>
      </c>
      <c r="F1071" s="227">
        <v>94643934</v>
      </c>
      <c r="G1071" s="1" t="s">
        <v>182</v>
      </c>
      <c r="H1071" s="60">
        <v>11640.08</v>
      </c>
      <c r="I1071" s="228">
        <v>2444.42</v>
      </c>
      <c r="J1071" s="229"/>
      <c r="K1071" s="229"/>
      <c r="L1071" s="229">
        <f>SUM(ventas_b_mes11[[#This Row],[IMPORTE NETO]:[EXENTO]])</f>
        <v>14084.5</v>
      </c>
      <c r="M1071" s="55"/>
    </row>
    <row r="1072" spans="2:13" x14ac:dyDescent="0.3">
      <c r="B1072" s="223">
        <v>44861</v>
      </c>
      <c r="C1072" s="224">
        <v>6</v>
      </c>
      <c r="D1072" s="225">
        <v>12</v>
      </c>
      <c r="E1072" s="226">
        <v>22305</v>
      </c>
      <c r="F1072" s="227">
        <v>95530278</v>
      </c>
      <c r="G1072" s="1" t="s">
        <v>178</v>
      </c>
      <c r="H1072" s="60">
        <v>4958.68</v>
      </c>
      <c r="I1072" s="228">
        <v>1041.32</v>
      </c>
      <c r="J1072" s="229"/>
      <c r="K1072" s="229"/>
      <c r="L1072" s="229">
        <f>SUM(ventas_b_mes11[[#This Row],[IMPORTE NETO]:[EXENTO]])</f>
        <v>6000</v>
      </c>
      <c r="M1072" s="55"/>
    </row>
    <row r="1073" spans="2:13" x14ac:dyDescent="0.3">
      <c r="B1073" s="223">
        <v>44861</v>
      </c>
      <c r="C1073" s="224">
        <v>6</v>
      </c>
      <c r="D1073" s="225">
        <v>12</v>
      </c>
      <c r="E1073" s="226">
        <v>22306</v>
      </c>
      <c r="F1073" s="227">
        <v>25859235</v>
      </c>
      <c r="G1073" s="1" t="s">
        <v>532</v>
      </c>
      <c r="H1073" s="60">
        <v>7917.36</v>
      </c>
      <c r="I1073" s="228">
        <v>1662.64</v>
      </c>
      <c r="J1073" s="229"/>
      <c r="K1073" s="229"/>
      <c r="L1073" s="229">
        <f>SUM(ventas_b_mes11[[#This Row],[IMPORTE NETO]:[EXENTO]])</f>
        <v>9580</v>
      </c>
      <c r="M1073" s="55"/>
    </row>
    <row r="1074" spans="2:13" x14ac:dyDescent="0.3">
      <c r="B1074" s="223">
        <v>44861</v>
      </c>
      <c r="C1074" s="224">
        <v>6</v>
      </c>
      <c r="D1074" s="225">
        <v>12</v>
      </c>
      <c r="E1074" s="226">
        <v>22307</v>
      </c>
      <c r="F1074" s="227">
        <v>13011932</v>
      </c>
      <c r="G1074" s="1" t="s">
        <v>1045</v>
      </c>
      <c r="H1074" s="60">
        <v>3435.12</v>
      </c>
      <c r="I1074" s="228">
        <v>721.38</v>
      </c>
      <c r="J1074" s="229"/>
      <c r="K1074" s="229"/>
      <c r="L1074" s="229">
        <f>SUM(ventas_b_mes11[[#This Row],[IMPORTE NETO]:[EXENTO]])</f>
        <v>4156.5</v>
      </c>
      <c r="M1074" s="55"/>
    </row>
    <row r="1075" spans="2:13" x14ac:dyDescent="0.3">
      <c r="B1075" s="223">
        <v>44861</v>
      </c>
      <c r="C1075" s="224">
        <v>6</v>
      </c>
      <c r="D1075" s="225">
        <v>12</v>
      </c>
      <c r="E1075" s="226">
        <v>22308</v>
      </c>
      <c r="F1075" s="227">
        <v>93939313</v>
      </c>
      <c r="G1075" s="1" t="s">
        <v>1041</v>
      </c>
      <c r="H1075" s="60">
        <v>4088.43</v>
      </c>
      <c r="I1075" s="228">
        <v>858.57</v>
      </c>
      <c r="J1075" s="229"/>
      <c r="K1075" s="229"/>
      <c r="L1075" s="229">
        <f>SUM(ventas_b_mes11[[#This Row],[IMPORTE NETO]:[EXENTO]])</f>
        <v>4947</v>
      </c>
      <c r="M1075" s="55"/>
    </row>
    <row r="1076" spans="2:13" x14ac:dyDescent="0.3">
      <c r="B1076" s="223">
        <v>44861</v>
      </c>
      <c r="C1076" s="224">
        <v>6</v>
      </c>
      <c r="D1076" s="225">
        <v>12</v>
      </c>
      <c r="E1076" s="226">
        <v>22309</v>
      </c>
      <c r="F1076" s="227">
        <v>34381771</v>
      </c>
      <c r="G1076" s="1" t="s">
        <v>1053</v>
      </c>
      <c r="H1076" s="60">
        <v>17140.5</v>
      </c>
      <c r="I1076" s="228">
        <v>3599.51</v>
      </c>
      <c r="J1076" s="229"/>
      <c r="K1076" s="229"/>
      <c r="L1076" s="229">
        <f>SUM(ventas_b_mes11[[#This Row],[IMPORTE NETO]:[EXENTO]])</f>
        <v>20740.010000000002</v>
      </c>
      <c r="M1076" s="55"/>
    </row>
    <row r="1077" spans="2:13" x14ac:dyDescent="0.3">
      <c r="B1077" s="223">
        <v>44861</v>
      </c>
      <c r="C1077" s="224">
        <v>6</v>
      </c>
      <c r="D1077" s="225">
        <v>12</v>
      </c>
      <c r="E1077" s="226">
        <v>22310</v>
      </c>
      <c r="F1077" s="227">
        <v>22661898</v>
      </c>
      <c r="G1077" s="1" t="s">
        <v>1044</v>
      </c>
      <c r="H1077" s="60">
        <v>28925.599999999999</v>
      </c>
      <c r="I1077" s="228">
        <v>6074.38</v>
      </c>
      <c r="J1077" s="229"/>
      <c r="K1077" s="229"/>
      <c r="L1077" s="229">
        <f>SUM(ventas_b_mes11[[#This Row],[IMPORTE NETO]:[EXENTO]])</f>
        <v>34999.979999999996</v>
      </c>
      <c r="M1077" s="55"/>
    </row>
    <row r="1078" spans="2:13" x14ac:dyDescent="0.3">
      <c r="B1078" s="223">
        <v>44861</v>
      </c>
      <c r="C1078" s="224">
        <v>6</v>
      </c>
      <c r="D1078" s="225">
        <v>12</v>
      </c>
      <c r="E1078" s="226">
        <v>22311</v>
      </c>
      <c r="F1078" s="227">
        <v>27704967</v>
      </c>
      <c r="G1078" s="1" t="s">
        <v>1056</v>
      </c>
      <c r="H1078" s="60">
        <v>2804.13</v>
      </c>
      <c r="I1078" s="228">
        <v>588.87</v>
      </c>
      <c r="J1078" s="229"/>
      <c r="K1078" s="229"/>
      <c r="L1078" s="229">
        <f>SUM(ventas_b_mes11[[#This Row],[IMPORTE NETO]:[EXENTO]])</f>
        <v>3393</v>
      </c>
      <c r="M1078" s="55"/>
    </row>
    <row r="1079" spans="2:13" x14ac:dyDescent="0.3">
      <c r="B1079" s="223">
        <v>44861</v>
      </c>
      <c r="C1079" s="224">
        <v>6</v>
      </c>
      <c r="D1079" s="225">
        <v>12</v>
      </c>
      <c r="E1079" s="226">
        <v>22312</v>
      </c>
      <c r="F1079" s="227">
        <v>20396353</v>
      </c>
      <c r="G1079" s="1" t="s">
        <v>1054</v>
      </c>
      <c r="H1079" s="60">
        <v>3147.11</v>
      </c>
      <c r="I1079" s="228">
        <v>660.89</v>
      </c>
      <c r="J1079" s="229"/>
      <c r="K1079" s="229"/>
      <c r="L1079" s="229">
        <f>SUM(ventas_b_mes11[[#This Row],[IMPORTE NETO]:[EXENTO]])</f>
        <v>3808</v>
      </c>
      <c r="M1079" s="55"/>
    </row>
    <row r="1080" spans="2:13" x14ac:dyDescent="0.3">
      <c r="B1080" s="223">
        <v>44861</v>
      </c>
      <c r="C1080" s="224">
        <v>6</v>
      </c>
      <c r="D1080" s="225">
        <v>12</v>
      </c>
      <c r="E1080" s="226">
        <v>22313</v>
      </c>
      <c r="F1080" s="227">
        <v>25326456</v>
      </c>
      <c r="G1080" s="1"/>
      <c r="H1080" s="60">
        <v>6285.12</v>
      </c>
      <c r="I1080" s="228">
        <v>1319.88</v>
      </c>
      <c r="J1080" s="229"/>
      <c r="K1080" s="229"/>
      <c r="L1080" s="229">
        <f>SUM(ventas_b_mes11[[#This Row],[IMPORTE NETO]:[EXENTO]])</f>
        <v>7605</v>
      </c>
      <c r="M1080" s="55"/>
    </row>
    <row r="1081" spans="2:13" x14ac:dyDescent="0.3">
      <c r="B1081" s="223">
        <v>44861</v>
      </c>
      <c r="C1081" s="224">
        <v>6</v>
      </c>
      <c r="D1081" s="225">
        <v>12</v>
      </c>
      <c r="E1081" s="226">
        <v>22314</v>
      </c>
      <c r="F1081" s="227">
        <v>93117926</v>
      </c>
      <c r="G1081" s="1" t="s">
        <v>1036</v>
      </c>
      <c r="H1081" s="60">
        <v>8872.31</v>
      </c>
      <c r="I1081" s="228">
        <v>1863.19</v>
      </c>
      <c r="J1081" s="229"/>
      <c r="K1081" s="229"/>
      <c r="L1081" s="229">
        <f>SUM(ventas_b_mes11[[#This Row],[IMPORTE NETO]:[EXENTO]])</f>
        <v>10735.5</v>
      </c>
      <c r="M1081" s="55"/>
    </row>
    <row r="1082" spans="2:13" x14ac:dyDescent="0.3">
      <c r="B1082" s="223">
        <v>44861</v>
      </c>
      <c r="C1082" s="224">
        <v>6</v>
      </c>
      <c r="D1082" s="225">
        <v>12</v>
      </c>
      <c r="E1082" s="226">
        <v>22315</v>
      </c>
      <c r="F1082" s="227">
        <v>14852694</v>
      </c>
      <c r="G1082" s="1" t="s">
        <v>947</v>
      </c>
      <c r="H1082" s="60">
        <v>4088.43</v>
      </c>
      <c r="I1082" s="228">
        <v>858.57</v>
      </c>
      <c r="J1082" s="229"/>
      <c r="K1082" s="229"/>
      <c r="L1082" s="229">
        <f>SUM(ventas_b_mes11[[#This Row],[IMPORTE NETO]:[EXENTO]])</f>
        <v>4947</v>
      </c>
      <c r="M1082" s="55"/>
    </row>
    <row r="1083" spans="2:13" x14ac:dyDescent="0.3">
      <c r="B1083" s="223">
        <v>44861</v>
      </c>
      <c r="C1083" s="224">
        <v>6</v>
      </c>
      <c r="D1083" s="225">
        <v>12</v>
      </c>
      <c r="E1083" s="226">
        <v>22316</v>
      </c>
      <c r="F1083" s="227">
        <v>20375243</v>
      </c>
      <c r="G1083" s="1" t="s">
        <v>141</v>
      </c>
      <c r="H1083" s="60">
        <v>4889.26</v>
      </c>
      <c r="I1083" s="228">
        <v>1026.74</v>
      </c>
      <c r="J1083" s="229"/>
      <c r="K1083" s="229"/>
      <c r="L1083" s="229">
        <f>SUM(ventas_b_mes11[[#This Row],[IMPORTE NETO]:[EXENTO]])</f>
        <v>5916</v>
      </c>
      <c r="M1083" s="55"/>
    </row>
    <row r="1084" spans="2:13" x14ac:dyDescent="0.3">
      <c r="B1084" s="223">
        <v>44861</v>
      </c>
      <c r="C1084" s="224">
        <v>6</v>
      </c>
      <c r="D1084" s="225">
        <v>12</v>
      </c>
      <c r="E1084" s="226">
        <v>22317</v>
      </c>
      <c r="F1084" s="227">
        <v>28316782</v>
      </c>
      <c r="G1084" s="1" t="s">
        <v>1048</v>
      </c>
      <c r="H1084" s="60">
        <v>6778.93</v>
      </c>
      <c r="I1084" s="228">
        <v>1423.57</v>
      </c>
      <c r="J1084" s="229"/>
      <c r="K1084" s="229"/>
      <c r="L1084" s="229">
        <f>SUM(ventas_b_mes11[[#This Row],[IMPORTE NETO]:[EXENTO]])</f>
        <v>8202.5</v>
      </c>
      <c r="M1084" s="55"/>
    </row>
    <row r="1085" spans="2:13" x14ac:dyDescent="0.3">
      <c r="B1085" s="223">
        <v>44861</v>
      </c>
      <c r="C1085" s="224">
        <v>6</v>
      </c>
      <c r="D1085" s="225">
        <v>12</v>
      </c>
      <c r="E1085" s="226">
        <v>22318</v>
      </c>
      <c r="F1085" s="227">
        <v>287423541</v>
      </c>
      <c r="G1085" s="1"/>
      <c r="H1085" s="60">
        <v>6293.39</v>
      </c>
      <c r="I1085" s="228">
        <v>1321.61</v>
      </c>
      <c r="J1085" s="229"/>
      <c r="K1085" s="229"/>
      <c r="L1085" s="229">
        <f>SUM(ventas_b_mes11[[#This Row],[IMPORTE NETO]:[EXENTO]])</f>
        <v>7615</v>
      </c>
      <c r="M1085" s="55"/>
    </row>
    <row r="1086" spans="2:13" x14ac:dyDescent="0.3">
      <c r="B1086" s="223">
        <v>44861</v>
      </c>
      <c r="C1086" s="224">
        <v>6</v>
      </c>
      <c r="D1086" s="225">
        <v>12</v>
      </c>
      <c r="E1086" s="226">
        <v>22319</v>
      </c>
      <c r="F1086" s="227">
        <v>24753227</v>
      </c>
      <c r="G1086" s="1" t="s">
        <v>1042</v>
      </c>
      <c r="H1086" s="60">
        <v>23181.82</v>
      </c>
      <c r="I1086" s="228">
        <v>4868.18</v>
      </c>
      <c r="J1086" s="229"/>
      <c r="K1086" s="229"/>
      <c r="L1086" s="229">
        <f>SUM(ventas_b_mes11[[#This Row],[IMPORTE NETO]:[EXENTO]])</f>
        <v>28050</v>
      </c>
      <c r="M1086" s="55"/>
    </row>
    <row r="1087" spans="2:13" x14ac:dyDescent="0.3">
      <c r="B1087" s="223">
        <v>44861</v>
      </c>
      <c r="C1087" s="224">
        <v>6</v>
      </c>
      <c r="D1087" s="225">
        <v>12</v>
      </c>
      <c r="E1087" s="226">
        <v>22320</v>
      </c>
      <c r="F1087" s="227">
        <v>21920073</v>
      </c>
      <c r="G1087" s="1" t="s">
        <v>1033</v>
      </c>
      <c r="H1087" s="60">
        <v>3477.27</v>
      </c>
      <c r="I1087" s="228">
        <v>730.23</v>
      </c>
      <c r="J1087" s="229"/>
      <c r="K1087" s="229"/>
      <c r="L1087" s="229">
        <f>SUM(ventas_b_mes11[[#This Row],[IMPORTE NETO]:[EXENTO]])</f>
        <v>4207.5</v>
      </c>
      <c r="M1087" s="55"/>
    </row>
    <row r="1088" spans="2:13" x14ac:dyDescent="0.3">
      <c r="B1088" s="223">
        <v>44861</v>
      </c>
      <c r="C1088" s="224">
        <v>6</v>
      </c>
      <c r="D1088" s="225">
        <v>12</v>
      </c>
      <c r="E1088" s="226">
        <v>22321</v>
      </c>
      <c r="F1088" s="227">
        <v>21920073</v>
      </c>
      <c r="G1088" s="1" t="s">
        <v>1033</v>
      </c>
      <c r="H1088" s="60">
        <v>809.92</v>
      </c>
      <c r="I1088" s="228">
        <v>170.08</v>
      </c>
      <c r="J1088" s="229"/>
      <c r="K1088" s="229"/>
      <c r="L1088" s="229">
        <f>SUM(ventas_b_mes11[[#This Row],[IMPORTE NETO]:[EXENTO]])</f>
        <v>980</v>
      </c>
      <c r="M1088" s="55"/>
    </row>
    <row r="1089" spans="2:13" x14ac:dyDescent="0.3">
      <c r="B1089" s="223">
        <v>44861</v>
      </c>
      <c r="C1089" s="224">
        <v>6</v>
      </c>
      <c r="D1089" s="225">
        <v>12</v>
      </c>
      <c r="E1089" s="226">
        <v>22322</v>
      </c>
      <c r="F1089" s="227">
        <v>29904528</v>
      </c>
      <c r="G1089" s="1" t="s">
        <v>716</v>
      </c>
      <c r="H1089" s="60">
        <v>4495.87</v>
      </c>
      <c r="I1089" s="228">
        <v>944.13</v>
      </c>
      <c r="J1089" s="229"/>
      <c r="K1089" s="229"/>
      <c r="L1089" s="229">
        <f>SUM(ventas_b_mes11[[#This Row],[IMPORTE NETO]:[EXENTO]])</f>
        <v>5440</v>
      </c>
      <c r="M1089" s="55"/>
    </row>
    <row r="1090" spans="2:13" x14ac:dyDescent="0.3">
      <c r="B1090" s="223">
        <v>44861</v>
      </c>
      <c r="C1090" s="224">
        <v>6</v>
      </c>
      <c r="D1090" s="225">
        <v>12</v>
      </c>
      <c r="E1090" s="226">
        <v>22323</v>
      </c>
      <c r="F1090" s="227">
        <v>0</v>
      </c>
      <c r="G1090" s="1"/>
      <c r="H1090" s="60">
        <v>1227.27</v>
      </c>
      <c r="I1090" s="228">
        <v>257.73</v>
      </c>
      <c r="J1090" s="229"/>
      <c r="K1090" s="229"/>
      <c r="L1090" s="229">
        <f>SUM(ventas_b_mes11[[#This Row],[IMPORTE NETO]:[EXENTO]])</f>
        <v>1485</v>
      </c>
      <c r="M1090" s="55"/>
    </row>
    <row r="1091" spans="2:13" x14ac:dyDescent="0.3">
      <c r="B1091" s="223">
        <v>44861</v>
      </c>
      <c r="C1091" s="224">
        <v>6</v>
      </c>
      <c r="D1091" s="225">
        <v>12</v>
      </c>
      <c r="E1091" s="226">
        <v>22324</v>
      </c>
      <c r="F1091" s="227">
        <v>45581416</v>
      </c>
      <c r="G1091" s="1" t="s">
        <v>345</v>
      </c>
      <c r="H1091" s="60">
        <v>4545.45</v>
      </c>
      <c r="I1091" s="228">
        <v>954.55</v>
      </c>
      <c r="J1091" s="229"/>
      <c r="K1091" s="229"/>
      <c r="L1091" s="229">
        <f>SUM(ventas_b_mes11[[#This Row],[IMPORTE NETO]:[EXENTO]])</f>
        <v>5500</v>
      </c>
      <c r="M1091" s="55"/>
    </row>
    <row r="1092" spans="2:13" x14ac:dyDescent="0.3">
      <c r="B1092" s="223">
        <v>44861</v>
      </c>
      <c r="C1092" s="224">
        <v>6</v>
      </c>
      <c r="D1092" s="225">
        <v>12</v>
      </c>
      <c r="E1092" s="226">
        <v>22325</v>
      </c>
      <c r="F1092" s="227">
        <v>44056161</v>
      </c>
      <c r="G1092" s="1" t="s">
        <v>1050</v>
      </c>
      <c r="H1092" s="60">
        <v>4958.68</v>
      </c>
      <c r="I1092" s="228">
        <v>1041.32</v>
      </c>
      <c r="J1092" s="229"/>
      <c r="K1092" s="229"/>
      <c r="L1092" s="229">
        <f>SUM(ventas_b_mes11[[#This Row],[IMPORTE NETO]:[EXENTO]])</f>
        <v>6000</v>
      </c>
      <c r="M1092" s="55"/>
    </row>
    <row r="1093" spans="2:13" x14ac:dyDescent="0.3">
      <c r="B1093" s="223">
        <v>44861</v>
      </c>
      <c r="C1093" s="224">
        <v>6</v>
      </c>
      <c r="D1093" s="225">
        <v>12</v>
      </c>
      <c r="E1093" s="226">
        <v>22326</v>
      </c>
      <c r="F1093" s="227">
        <v>36618744</v>
      </c>
      <c r="G1093" s="1"/>
      <c r="H1093" s="60">
        <v>4958.68</v>
      </c>
      <c r="I1093" s="228">
        <v>1041.32</v>
      </c>
      <c r="J1093" s="229"/>
      <c r="K1093" s="229"/>
      <c r="L1093" s="229">
        <f>SUM(ventas_b_mes11[[#This Row],[IMPORTE NETO]:[EXENTO]])</f>
        <v>6000</v>
      </c>
      <c r="M1093" s="55"/>
    </row>
    <row r="1094" spans="2:13" x14ac:dyDescent="0.3">
      <c r="B1094" s="223">
        <v>44861</v>
      </c>
      <c r="C1094" s="224">
        <v>6</v>
      </c>
      <c r="D1094" s="225">
        <v>12</v>
      </c>
      <c r="E1094" s="226">
        <v>22327</v>
      </c>
      <c r="F1094" s="227">
        <v>20213391</v>
      </c>
      <c r="G1094" s="1" t="s">
        <v>256</v>
      </c>
      <c r="H1094" s="60">
        <v>4545.45</v>
      </c>
      <c r="I1094" s="228">
        <v>954.55</v>
      </c>
      <c r="J1094" s="229"/>
      <c r="K1094" s="229"/>
      <c r="L1094" s="229">
        <f>SUM(ventas_b_mes11[[#This Row],[IMPORTE NETO]:[EXENTO]])</f>
        <v>5500</v>
      </c>
      <c r="M1094" s="55"/>
    </row>
    <row r="1095" spans="2:13" x14ac:dyDescent="0.3">
      <c r="B1095" s="223">
        <v>44862</v>
      </c>
      <c r="C1095" s="224">
        <v>6</v>
      </c>
      <c r="D1095" s="225">
        <v>12</v>
      </c>
      <c r="E1095" s="226">
        <v>22328</v>
      </c>
      <c r="F1095" s="227">
        <v>13063602</v>
      </c>
      <c r="G1095" s="1" t="s">
        <v>1080</v>
      </c>
      <c r="H1095" s="60">
        <v>5553.77</v>
      </c>
      <c r="I1095" s="228">
        <v>1166.29</v>
      </c>
      <c r="J1095" s="229"/>
      <c r="K1095" s="229"/>
      <c r="L1095" s="229">
        <f>SUM(ventas_b_mes11[[#This Row],[IMPORTE NETO]:[EXENTO]])</f>
        <v>6720.06</v>
      </c>
      <c r="M1095" s="55"/>
    </row>
    <row r="1096" spans="2:13" x14ac:dyDescent="0.3">
      <c r="B1096" s="223">
        <v>44862</v>
      </c>
      <c r="C1096" s="224">
        <v>6</v>
      </c>
      <c r="D1096" s="225">
        <v>12</v>
      </c>
      <c r="E1096" s="226">
        <v>22329</v>
      </c>
      <c r="F1096" s="227">
        <v>39151792</v>
      </c>
      <c r="G1096" s="1" t="s">
        <v>917</v>
      </c>
      <c r="H1096" s="60">
        <v>4545.45</v>
      </c>
      <c r="I1096" s="228">
        <v>954.55</v>
      </c>
      <c r="J1096" s="229"/>
      <c r="K1096" s="229"/>
      <c r="L1096" s="229">
        <f>SUM(ventas_b_mes11[[#This Row],[IMPORTE NETO]:[EXENTO]])</f>
        <v>5500</v>
      </c>
      <c r="M1096" s="55"/>
    </row>
    <row r="1097" spans="2:13" x14ac:dyDescent="0.3">
      <c r="B1097" s="223">
        <v>44862</v>
      </c>
      <c r="C1097" s="224">
        <v>6</v>
      </c>
      <c r="D1097" s="225">
        <v>12</v>
      </c>
      <c r="E1097" s="226">
        <v>22330</v>
      </c>
      <c r="F1097" s="227">
        <v>28846544</v>
      </c>
      <c r="G1097" s="1" t="s">
        <v>1078</v>
      </c>
      <c r="H1097" s="60">
        <v>9008.26</v>
      </c>
      <c r="I1097" s="228">
        <v>1891.73</v>
      </c>
      <c r="J1097" s="229"/>
      <c r="K1097" s="229"/>
      <c r="L1097" s="229">
        <f>SUM(ventas_b_mes11[[#This Row],[IMPORTE NETO]:[EXENTO]])</f>
        <v>10899.99</v>
      </c>
      <c r="M1097" s="55"/>
    </row>
    <row r="1098" spans="2:13" x14ac:dyDescent="0.3">
      <c r="B1098" s="223">
        <v>44862</v>
      </c>
      <c r="C1098" s="224">
        <v>6</v>
      </c>
      <c r="D1098" s="225">
        <v>12</v>
      </c>
      <c r="E1098" s="226">
        <v>22331</v>
      </c>
      <c r="F1098" s="227">
        <v>16889800</v>
      </c>
      <c r="G1098" s="1" t="s">
        <v>1075</v>
      </c>
      <c r="H1098" s="60">
        <v>3877.69</v>
      </c>
      <c r="I1098" s="228">
        <v>814.31</v>
      </c>
      <c r="J1098" s="229"/>
      <c r="K1098" s="229"/>
      <c r="L1098" s="229">
        <f>SUM(ventas_b_mes11[[#This Row],[IMPORTE NETO]:[EXENTO]])</f>
        <v>4692</v>
      </c>
      <c r="M1098" s="55"/>
    </row>
    <row r="1099" spans="2:13" x14ac:dyDescent="0.3">
      <c r="B1099" s="223">
        <v>44862</v>
      </c>
      <c r="C1099" s="224">
        <v>6</v>
      </c>
      <c r="D1099" s="225">
        <v>12</v>
      </c>
      <c r="E1099" s="226">
        <v>22332</v>
      </c>
      <c r="F1099" s="227">
        <v>34321510</v>
      </c>
      <c r="G1099" s="1" t="s">
        <v>413</v>
      </c>
      <c r="H1099" s="60">
        <v>4958.68</v>
      </c>
      <c r="I1099" s="228">
        <v>1041.32</v>
      </c>
      <c r="J1099" s="229"/>
      <c r="K1099" s="229"/>
      <c r="L1099" s="229">
        <f>SUM(ventas_b_mes11[[#This Row],[IMPORTE NETO]:[EXENTO]])</f>
        <v>6000</v>
      </c>
      <c r="M1099" s="55"/>
    </row>
    <row r="1100" spans="2:13" x14ac:dyDescent="0.3">
      <c r="B1100" s="223">
        <v>44862</v>
      </c>
      <c r="C1100" s="224">
        <v>6</v>
      </c>
      <c r="D1100" s="225">
        <v>12</v>
      </c>
      <c r="E1100" s="226">
        <v>22333</v>
      </c>
      <c r="F1100" s="227">
        <v>42841016</v>
      </c>
      <c r="G1100" s="1" t="s">
        <v>1062</v>
      </c>
      <c r="H1100" s="60">
        <v>4958.68</v>
      </c>
      <c r="I1100" s="228">
        <v>1041.32</v>
      </c>
      <c r="J1100" s="229"/>
      <c r="K1100" s="229"/>
      <c r="L1100" s="229">
        <f>SUM(ventas_b_mes11[[#This Row],[IMPORTE NETO]:[EXENTO]])</f>
        <v>6000</v>
      </c>
      <c r="M1100" s="55"/>
    </row>
    <row r="1101" spans="2:13" x14ac:dyDescent="0.3">
      <c r="B1101" s="223">
        <v>44862</v>
      </c>
      <c r="C1101" s="224">
        <v>6</v>
      </c>
      <c r="D1101" s="225">
        <v>12</v>
      </c>
      <c r="E1101" s="226">
        <v>22334</v>
      </c>
      <c r="F1101" s="227">
        <v>24445141</v>
      </c>
      <c r="G1101" s="1" t="s">
        <v>696</v>
      </c>
      <c r="H1101" s="60">
        <v>1446.28</v>
      </c>
      <c r="I1101" s="228">
        <v>303.72000000000003</v>
      </c>
      <c r="J1101" s="229"/>
      <c r="K1101" s="229"/>
      <c r="L1101" s="229">
        <f>SUM(ventas_b_mes11[[#This Row],[IMPORTE NETO]:[EXENTO]])</f>
        <v>1750</v>
      </c>
      <c r="M1101" s="55"/>
    </row>
    <row r="1102" spans="2:13" x14ac:dyDescent="0.3">
      <c r="B1102" s="223">
        <v>44862</v>
      </c>
      <c r="C1102" s="224">
        <v>6</v>
      </c>
      <c r="D1102" s="225">
        <v>12</v>
      </c>
      <c r="E1102" s="226">
        <v>22335</v>
      </c>
      <c r="F1102" s="227">
        <v>94643934</v>
      </c>
      <c r="G1102" s="1" t="s">
        <v>182</v>
      </c>
      <c r="H1102" s="60">
        <v>16374.79</v>
      </c>
      <c r="I1102" s="228">
        <v>3438.71</v>
      </c>
      <c r="J1102" s="229"/>
      <c r="K1102" s="229"/>
      <c r="L1102" s="229">
        <f>SUM(ventas_b_mes11[[#This Row],[IMPORTE NETO]:[EXENTO]])</f>
        <v>19813.5</v>
      </c>
      <c r="M1102" s="55"/>
    </row>
    <row r="1103" spans="2:13" x14ac:dyDescent="0.3">
      <c r="B1103" s="223">
        <v>44862</v>
      </c>
      <c r="C1103" s="224">
        <v>6</v>
      </c>
      <c r="D1103" s="225">
        <v>12</v>
      </c>
      <c r="E1103" s="226">
        <v>22336</v>
      </c>
      <c r="F1103" s="227">
        <v>34073380</v>
      </c>
      <c r="G1103" s="1" t="s">
        <v>1076</v>
      </c>
      <c r="H1103" s="60">
        <v>1446.28</v>
      </c>
      <c r="I1103" s="228">
        <v>303.72000000000003</v>
      </c>
      <c r="J1103" s="229"/>
      <c r="K1103" s="229"/>
      <c r="L1103" s="229">
        <f>SUM(ventas_b_mes11[[#This Row],[IMPORTE NETO]:[EXENTO]])</f>
        <v>1750</v>
      </c>
      <c r="M1103" s="55"/>
    </row>
    <row r="1104" spans="2:13" x14ac:dyDescent="0.3">
      <c r="B1104" s="223">
        <v>44862</v>
      </c>
      <c r="C1104" s="224">
        <v>6</v>
      </c>
      <c r="D1104" s="225">
        <v>12</v>
      </c>
      <c r="E1104" s="226">
        <v>22337</v>
      </c>
      <c r="F1104" s="227">
        <v>30838735</v>
      </c>
      <c r="G1104" s="1" t="s">
        <v>1071</v>
      </c>
      <c r="H1104" s="60">
        <v>6266.12</v>
      </c>
      <c r="I1104" s="228">
        <v>1315.89</v>
      </c>
      <c r="J1104" s="229"/>
      <c r="K1104" s="229"/>
      <c r="L1104" s="229">
        <f>SUM(ventas_b_mes11[[#This Row],[IMPORTE NETO]:[EXENTO]])</f>
        <v>7582.01</v>
      </c>
      <c r="M1104" s="55"/>
    </row>
    <row r="1105" spans="2:13" x14ac:dyDescent="0.3">
      <c r="B1105" s="223">
        <v>44862</v>
      </c>
      <c r="C1105" s="224">
        <v>6</v>
      </c>
      <c r="D1105" s="225">
        <v>12</v>
      </c>
      <c r="E1105" s="226">
        <v>22338</v>
      </c>
      <c r="F1105" s="227">
        <v>21710551</v>
      </c>
      <c r="G1105" s="1" t="s">
        <v>225</v>
      </c>
      <c r="H1105" s="60">
        <v>15034.71</v>
      </c>
      <c r="I1105" s="228">
        <v>3157.29</v>
      </c>
      <c r="J1105" s="229"/>
      <c r="K1105" s="229"/>
      <c r="L1105" s="229">
        <f>SUM(ventas_b_mes11[[#This Row],[IMPORTE NETO]:[EXENTO]])</f>
        <v>18192</v>
      </c>
      <c r="M1105" s="55"/>
    </row>
    <row r="1106" spans="2:13" x14ac:dyDescent="0.3">
      <c r="B1106" s="223">
        <v>44862</v>
      </c>
      <c r="C1106" s="224">
        <v>6</v>
      </c>
      <c r="D1106" s="225">
        <v>12</v>
      </c>
      <c r="E1106" s="226">
        <v>22339</v>
      </c>
      <c r="F1106" s="227">
        <v>34343939</v>
      </c>
      <c r="G1106" s="1" t="s">
        <v>386</v>
      </c>
      <c r="H1106" s="60">
        <v>9917.36</v>
      </c>
      <c r="I1106" s="228">
        <v>2082.64</v>
      </c>
      <c r="J1106" s="229"/>
      <c r="K1106" s="229"/>
      <c r="L1106" s="229">
        <f>SUM(ventas_b_mes11[[#This Row],[IMPORTE NETO]:[EXENTO]])</f>
        <v>12000</v>
      </c>
      <c r="M1106" s="55"/>
    </row>
    <row r="1107" spans="2:13" x14ac:dyDescent="0.3">
      <c r="B1107" s="223">
        <v>44862</v>
      </c>
      <c r="C1107" s="224">
        <v>6</v>
      </c>
      <c r="D1107" s="225">
        <v>12</v>
      </c>
      <c r="E1107" s="226">
        <v>22340</v>
      </c>
      <c r="F1107" s="227">
        <v>0</v>
      </c>
      <c r="G1107" s="1"/>
      <c r="H1107" s="60">
        <v>3186</v>
      </c>
      <c r="I1107" s="228">
        <v>669.06</v>
      </c>
      <c r="J1107" s="229"/>
      <c r="K1107" s="229"/>
      <c r="L1107" s="229">
        <f>SUM(ventas_b_mes11[[#This Row],[IMPORTE NETO]:[EXENTO]])</f>
        <v>3855.06</v>
      </c>
      <c r="M1107" s="55"/>
    </row>
    <row r="1108" spans="2:13" x14ac:dyDescent="0.3">
      <c r="B1108" s="223">
        <v>44862</v>
      </c>
      <c r="C1108" s="224">
        <v>6</v>
      </c>
      <c r="D1108" s="225">
        <v>12</v>
      </c>
      <c r="E1108" s="226">
        <v>22341</v>
      </c>
      <c r="F1108" s="227">
        <v>34343939</v>
      </c>
      <c r="G1108" s="1" t="s">
        <v>386</v>
      </c>
      <c r="H1108" s="60">
        <v>1028.93</v>
      </c>
      <c r="I1108" s="228">
        <v>216.07</v>
      </c>
      <c r="J1108" s="229"/>
      <c r="K1108" s="229"/>
      <c r="L1108" s="229">
        <f>SUM(ventas_b_mes11[[#This Row],[IMPORTE NETO]:[EXENTO]])</f>
        <v>1245</v>
      </c>
      <c r="M1108" s="55"/>
    </row>
    <row r="1109" spans="2:13" x14ac:dyDescent="0.3">
      <c r="B1109" s="223">
        <v>44862</v>
      </c>
      <c r="C1109" s="224">
        <v>6</v>
      </c>
      <c r="D1109" s="225">
        <v>12</v>
      </c>
      <c r="E1109" s="226">
        <v>22342</v>
      </c>
      <c r="F1109" s="227">
        <v>0</v>
      </c>
      <c r="G1109" s="1"/>
      <c r="H1109" s="60">
        <v>1369.83</v>
      </c>
      <c r="I1109" s="228">
        <v>287.67</v>
      </c>
      <c r="J1109" s="229"/>
      <c r="K1109" s="229"/>
      <c r="L1109" s="229">
        <f>SUM(ventas_b_mes11[[#This Row],[IMPORTE NETO]:[EXENTO]])</f>
        <v>1657.5</v>
      </c>
      <c r="M1109" s="55"/>
    </row>
    <row r="1110" spans="2:13" x14ac:dyDescent="0.3">
      <c r="B1110" s="223" t="s">
        <v>115</v>
      </c>
      <c r="C1110" s="224">
        <v>6</v>
      </c>
      <c r="D1110" s="225">
        <v>12</v>
      </c>
      <c r="E1110" s="226">
        <v>22343</v>
      </c>
      <c r="F1110" s="227">
        <v>22545752</v>
      </c>
      <c r="G1110" s="1" t="s">
        <v>1065</v>
      </c>
      <c r="H1110" s="60">
        <v>17833.82</v>
      </c>
      <c r="I1110" s="228">
        <v>3745.1</v>
      </c>
      <c r="J1110" s="229"/>
      <c r="K1110" s="229"/>
      <c r="L1110" s="229">
        <f>SUM(ventas_b_mes11[[#This Row],[IMPORTE NETO]:[EXENTO]])</f>
        <v>21578.92</v>
      </c>
      <c r="M1110" s="55"/>
    </row>
    <row r="1111" spans="2:13" x14ac:dyDescent="0.3">
      <c r="B1111" s="223">
        <v>44862</v>
      </c>
      <c r="C1111" s="224">
        <v>6</v>
      </c>
      <c r="D1111" s="225">
        <v>12</v>
      </c>
      <c r="E1111" s="226">
        <v>22344</v>
      </c>
      <c r="F1111" s="227">
        <v>23005325</v>
      </c>
      <c r="G1111" s="1" t="s">
        <v>409</v>
      </c>
      <c r="H1111" s="60">
        <v>4545.45</v>
      </c>
      <c r="I1111" s="228">
        <v>954.55</v>
      </c>
      <c r="J1111" s="229"/>
      <c r="K1111" s="229"/>
      <c r="L1111" s="229">
        <f>SUM(ventas_b_mes11[[#This Row],[IMPORTE NETO]:[EXENTO]])</f>
        <v>5500</v>
      </c>
      <c r="M1111" s="55"/>
    </row>
    <row r="1112" spans="2:13" x14ac:dyDescent="0.3">
      <c r="B1112" s="223">
        <v>44862</v>
      </c>
      <c r="C1112" s="224">
        <v>6</v>
      </c>
      <c r="D1112" s="225">
        <v>12</v>
      </c>
      <c r="E1112" s="226">
        <v>22345</v>
      </c>
      <c r="F1112" s="227">
        <v>43314322</v>
      </c>
      <c r="G1112" s="1" t="s">
        <v>1074</v>
      </c>
      <c r="H1112" s="60">
        <v>4958.68</v>
      </c>
      <c r="I1112" s="228">
        <v>1041.32</v>
      </c>
      <c r="J1112" s="229"/>
      <c r="K1112" s="229"/>
      <c r="L1112" s="229">
        <f>SUM(ventas_b_mes11[[#This Row],[IMPORTE NETO]:[EXENTO]])</f>
        <v>6000</v>
      </c>
      <c r="M1112" s="55"/>
    </row>
    <row r="1113" spans="2:13" x14ac:dyDescent="0.3">
      <c r="B1113" s="223">
        <v>44862</v>
      </c>
      <c r="C1113" s="224">
        <v>6</v>
      </c>
      <c r="D1113" s="225">
        <v>12</v>
      </c>
      <c r="E1113" s="226">
        <v>22346</v>
      </c>
      <c r="F1113" s="227">
        <v>95517180</v>
      </c>
      <c r="G1113" s="1" t="s">
        <v>1073</v>
      </c>
      <c r="H1113" s="60">
        <v>4958.68</v>
      </c>
      <c r="I1113" s="228">
        <v>1041.32</v>
      </c>
      <c r="J1113" s="229"/>
      <c r="K1113" s="229"/>
      <c r="L1113" s="229">
        <f>SUM(ventas_b_mes11[[#This Row],[IMPORTE NETO]:[EXENTO]])</f>
        <v>6000</v>
      </c>
      <c r="M1113" s="55"/>
    </row>
    <row r="1114" spans="2:13" x14ac:dyDescent="0.3">
      <c r="B1114" s="223">
        <v>44862</v>
      </c>
      <c r="C1114" s="224">
        <v>6</v>
      </c>
      <c r="D1114" s="225">
        <v>12</v>
      </c>
      <c r="E1114" s="226">
        <v>22347</v>
      </c>
      <c r="F1114" s="227">
        <v>22975577</v>
      </c>
      <c r="G1114" s="1" t="s">
        <v>261</v>
      </c>
      <c r="H1114" s="60">
        <v>8640.5</v>
      </c>
      <c r="I1114" s="228">
        <v>1814.5</v>
      </c>
      <c r="J1114" s="229"/>
      <c r="K1114" s="229"/>
      <c r="L1114" s="229">
        <f>SUM(ventas_b_mes11[[#This Row],[IMPORTE NETO]:[EXENTO]])</f>
        <v>10455</v>
      </c>
      <c r="M1114" s="55"/>
    </row>
    <row r="1115" spans="2:13" x14ac:dyDescent="0.3">
      <c r="B1115" s="223">
        <v>44862</v>
      </c>
      <c r="C1115" s="224">
        <v>6</v>
      </c>
      <c r="D1115" s="225">
        <v>12</v>
      </c>
      <c r="E1115" s="226">
        <v>22348</v>
      </c>
      <c r="F1115" s="227">
        <v>34321510</v>
      </c>
      <c r="G1115" s="1" t="s">
        <v>413</v>
      </c>
      <c r="H1115" s="60">
        <v>4952.4799999999996</v>
      </c>
      <c r="I1115" s="228">
        <v>1040.02</v>
      </c>
      <c r="J1115" s="229"/>
      <c r="K1115" s="229"/>
      <c r="L1115" s="229">
        <f>SUM(ventas_b_mes11[[#This Row],[IMPORTE NETO]:[EXENTO]])</f>
        <v>5992.5</v>
      </c>
      <c r="M1115" s="55"/>
    </row>
    <row r="1116" spans="2:13" x14ac:dyDescent="0.3">
      <c r="B1116" s="223">
        <v>44863</v>
      </c>
      <c r="C1116" s="224">
        <v>6</v>
      </c>
      <c r="D1116" s="225">
        <v>12</v>
      </c>
      <c r="E1116" s="226">
        <v>22349</v>
      </c>
      <c r="F1116" s="227">
        <v>17999490</v>
      </c>
      <c r="G1116" s="1" t="s">
        <v>1087</v>
      </c>
      <c r="H1116" s="60">
        <v>5107.0200000000004</v>
      </c>
      <c r="I1116" s="228">
        <v>1072.48</v>
      </c>
      <c r="J1116" s="229"/>
      <c r="K1116" s="229"/>
      <c r="L1116" s="229">
        <f>SUM(ventas_b_mes11[[#This Row],[IMPORTE NETO]:[EXENTO]])</f>
        <v>6179.5</v>
      </c>
      <c r="M1116" s="55"/>
    </row>
    <row r="1117" spans="2:13" x14ac:dyDescent="0.3">
      <c r="B1117" s="223">
        <v>44863</v>
      </c>
      <c r="C1117" s="224">
        <v>6</v>
      </c>
      <c r="D1117" s="225">
        <v>12</v>
      </c>
      <c r="E1117" s="226">
        <v>22350</v>
      </c>
      <c r="F1117" s="227">
        <v>17999490</v>
      </c>
      <c r="G1117" s="1" t="s">
        <v>1087</v>
      </c>
      <c r="H1117" s="60">
        <v>5107.0200000000004</v>
      </c>
      <c r="I1117" s="228">
        <v>1072.48</v>
      </c>
      <c r="J1117" s="229"/>
      <c r="K1117" s="229"/>
      <c r="L1117" s="229">
        <f>SUM(ventas_b_mes11[[#This Row],[IMPORTE NETO]:[EXENTO]])</f>
        <v>6179.5</v>
      </c>
      <c r="M1117" s="55"/>
    </row>
    <row r="1118" spans="2:13" x14ac:dyDescent="0.3">
      <c r="B1118" s="223">
        <v>44863</v>
      </c>
      <c r="C1118" s="224">
        <v>6</v>
      </c>
      <c r="D1118" s="225">
        <v>12</v>
      </c>
      <c r="E1118" s="226">
        <v>22351</v>
      </c>
      <c r="F1118" s="227">
        <v>14009486</v>
      </c>
      <c r="G1118" s="1" t="s">
        <v>238</v>
      </c>
      <c r="H1118" s="60">
        <v>1264.46</v>
      </c>
      <c r="I1118" s="228">
        <v>265.54000000000002</v>
      </c>
      <c r="J1118" s="229"/>
      <c r="K1118" s="229"/>
      <c r="L1118" s="229">
        <f>SUM(ventas_b_mes11[[#This Row],[IMPORTE NETO]:[EXENTO]])</f>
        <v>1530</v>
      </c>
      <c r="M1118" s="55"/>
    </row>
    <row r="1119" spans="2:13" x14ac:dyDescent="0.3">
      <c r="B1119" s="223">
        <v>44863</v>
      </c>
      <c r="C1119" s="224">
        <v>6</v>
      </c>
      <c r="D1119" s="225">
        <v>12</v>
      </c>
      <c r="E1119" s="226">
        <v>22352</v>
      </c>
      <c r="F1119" s="227">
        <v>23881762</v>
      </c>
      <c r="G1119" s="1" t="s">
        <v>1090</v>
      </c>
      <c r="H1119" s="60">
        <v>5435.96</v>
      </c>
      <c r="I1119" s="228">
        <v>1141.55</v>
      </c>
      <c r="J1119" s="229"/>
      <c r="K1119" s="229"/>
      <c r="L1119" s="229">
        <f>SUM(ventas_b_mes11[[#This Row],[IMPORTE NETO]:[EXENTO]])</f>
        <v>6577.51</v>
      </c>
      <c r="M1119" s="55"/>
    </row>
    <row r="1120" spans="2:13" x14ac:dyDescent="0.3">
      <c r="B1120" s="223">
        <v>44863</v>
      </c>
      <c r="C1120" s="224">
        <v>6</v>
      </c>
      <c r="D1120" s="225">
        <v>12</v>
      </c>
      <c r="E1120" s="226">
        <v>22353</v>
      </c>
      <c r="F1120" s="227">
        <v>16018690</v>
      </c>
      <c r="G1120" s="1" t="s">
        <v>177</v>
      </c>
      <c r="H1120" s="60">
        <v>1785.12</v>
      </c>
      <c r="I1120" s="228">
        <v>374.88</v>
      </c>
      <c r="J1120" s="229"/>
      <c r="K1120" s="229"/>
      <c r="L1120" s="229">
        <f>SUM(ventas_b_mes11[[#This Row],[IMPORTE NETO]:[EXENTO]])</f>
        <v>2160</v>
      </c>
      <c r="M1120" s="55"/>
    </row>
    <row r="1121" spans="2:13" x14ac:dyDescent="0.3">
      <c r="B1121" s="223">
        <v>44863</v>
      </c>
      <c r="C1121" s="224">
        <v>6</v>
      </c>
      <c r="D1121" s="225">
        <v>12</v>
      </c>
      <c r="E1121" s="226">
        <v>22354</v>
      </c>
      <c r="F1121" s="227">
        <v>28995931</v>
      </c>
      <c r="G1121" s="1" t="s">
        <v>1096</v>
      </c>
      <c r="H1121" s="60">
        <v>8816.1200000000008</v>
      </c>
      <c r="I1121" s="228">
        <v>1851.39</v>
      </c>
      <c r="J1121" s="229"/>
      <c r="K1121" s="229"/>
      <c r="L1121" s="229">
        <f>SUM(ventas_b_mes11[[#This Row],[IMPORTE NETO]:[EXENTO]])</f>
        <v>10667.51</v>
      </c>
      <c r="M1121" s="55"/>
    </row>
    <row r="1122" spans="2:13" x14ac:dyDescent="0.3">
      <c r="B1122" s="223">
        <v>44863</v>
      </c>
      <c r="C1122" s="224">
        <v>6</v>
      </c>
      <c r="D1122" s="225">
        <v>12</v>
      </c>
      <c r="E1122" s="226">
        <v>22355</v>
      </c>
      <c r="F1122" s="227">
        <v>26442941</v>
      </c>
      <c r="G1122" s="1" t="s">
        <v>1092</v>
      </c>
      <c r="H1122" s="60">
        <v>3983.47</v>
      </c>
      <c r="I1122" s="228">
        <v>836.53</v>
      </c>
      <c r="J1122" s="229"/>
      <c r="K1122" s="229"/>
      <c r="L1122" s="229">
        <f>SUM(ventas_b_mes11[[#This Row],[IMPORTE NETO]:[EXENTO]])</f>
        <v>4820</v>
      </c>
      <c r="M1122" s="55"/>
    </row>
    <row r="1123" spans="2:13" x14ac:dyDescent="0.3">
      <c r="B1123" s="223">
        <v>44863</v>
      </c>
      <c r="C1123" s="224">
        <v>6</v>
      </c>
      <c r="D1123" s="225">
        <v>12</v>
      </c>
      <c r="E1123" s="226">
        <v>22356</v>
      </c>
      <c r="F1123" s="227">
        <v>22862164</v>
      </c>
      <c r="G1123" s="1" t="s">
        <v>725</v>
      </c>
      <c r="H1123" s="60">
        <v>2892.56</v>
      </c>
      <c r="I1123" s="228">
        <v>607.44000000000005</v>
      </c>
      <c r="J1123" s="229"/>
      <c r="K1123" s="229"/>
      <c r="L1123" s="229">
        <f>SUM(ventas_b_mes11[[#This Row],[IMPORTE NETO]:[EXENTO]])</f>
        <v>3500</v>
      </c>
      <c r="M1123" s="55"/>
    </row>
    <row r="1124" spans="2:13" x14ac:dyDescent="0.3">
      <c r="B1124" s="223">
        <v>44863</v>
      </c>
      <c r="C1124" s="224">
        <v>6</v>
      </c>
      <c r="D1124" s="225">
        <v>12</v>
      </c>
      <c r="E1124" s="226">
        <v>22357</v>
      </c>
      <c r="F1124" s="227">
        <v>94741515</v>
      </c>
      <c r="G1124" s="1" t="s">
        <v>1091</v>
      </c>
      <c r="H1124" s="60">
        <v>3758.26</v>
      </c>
      <c r="I1124" s="228">
        <v>789.24</v>
      </c>
      <c r="J1124" s="229"/>
      <c r="K1124" s="229"/>
      <c r="L1124" s="229">
        <f>SUM(ventas_b_mes11[[#This Row],[IMPORTE NETO]:[EXENTO]])</f>
        <v>4547.5</v>
      </c>
      <c r="M1124" s="55"/>
    </row>
    <row r="1125" spans="2:13" x14ac:dyDescent="0.3">
      <c r="B1125" s="223">
        <v>44863</v>
      </c>
      <c r="C1125" s="224">
        <v>6</v>
      </c>
      <c r="D1125" s="225">
        <v>12</v>
      </c>
      <c r="E1125" s="226">
        <v>22358</v>
      </c>
      <c r="F1125" s="227">
        <v>26442941</v>
      </c>
      <c r="G1125" s="1" t="s">
        <v>1092</v>
      </c>
      <c r="H1125" s="60">
        <v>3983.47</v>
      </c>
      <c r="I1125" s="228">
        <v>836.53</v>
      </c>
      <c r="J1125" s="229"/>
      <c r="K1125" s="229"/>
      <c r="L1125" s="229">
        <f>SUM(ventas_b_mes11[[#This Row],[IMPORTE NETO]:[EXENTO]])</f>
        <v>4820</v>
      </c>
      <c r="M1125" s="55"/>
    </row>
    <row r="1126" spans="2:13" x14ac:dyDescent="0.3">
      <c r="B1126" s="223">
        <v>44865</v>
      </c>
      <c r="C1126" s="224">
        <v>6</v>
      </c>
      <c r="D1126" s="225">
        <v>12</v>
      </c>
      <c r="E1126" s="226">
        <v>22359</v>
      </c>
      <c r="F1126" s="227">
        <v>0</v>
      </c>
      <c r="G1126" s="1"/>
      <c r="H1126" s="60">
        <v>1694.21</v>
      </c>
      <c r="I1126" s="228">
        <v>355.78</v>
      </c>
      <c r="J1126" s="229"/>
      <c r="K1126" s="229"/>
      <c r="L1126" s="229">
        <f>SUM(ventas_b_mes11[[#This Row],[IMPORTE NETO]:[EXENTO]])</f>
        <v>2049.9899999999998</v>
      </c>
      <c r="M1126" s="55"/>
    </row>
    <row r="1127" spans="2:13" x14ac:dyDescent="0.3">
      <c r="B1127" s="223">
        <v>44865</v>
      </c>
      <c r="C1127" s="224">
        <v>6</v>
      </c>
      <c r="D1127" s="225">
        <v>12</v>
      </c>
      <c r="E1127" s="226">
        <v>22360</v>
      </c>
      <c r="F1127" s="227">
        <v>7325976</v>
      </c>
      <c r="G1127" s="1"/>
      <c r="H1127" s="60">
        <v>2739.67</v>
      </c>
      <c r="I1127" s="228">
        <v>575.33000000000004</v>
      </c>
      <c r="J1127" s="229"/>
      <c r="K1127" s="229"/>
      <c r="L1127" s="229">
        <f>SUM(ventas_b_mes11[[#This Row],[IMPORTE NETO]:[EXENTO]])</f>
        <v>3315</v>
      </c>
      <c r="M1127" s="55"/>
    </row>
    <row r="1128" spans="2:13" x14ac:dyDescent="0.3">
      <c r="B1128" s="223">
        <v>44865</v>
      </c>
      <c r="C1128" s="224">
        <v>6</v>
      </c>
      <c r="D1128" s="225">
        <v>12</v>
      </c>
      <c r="E1128" s="226">
        <v>22361</v>
      </c>
      <c r="F1128" s="227">
        <v>26532643</v>
      </c>
      <c r="G1128" s="1" t="s">
        <v>848</v>
      </c>
      <c r="H1128" s="60">
        <v>5522.73</v>
      </c>
      <c r="I1128" s="228">
        <v>1159.77</v>
      </c>
      <c r="J1128" s="229"/>
      <c r="K1128" s="229"/>
      <c r="L1128" s="229">
        <f>SUM(ventas_b_mes11[[#This Row],[IMPORTE NETO]:[EXENTO]])</f>
        <v>6682.5</v>
      </c>
      <c r="M1128" s="55"/>
    </row>
    <row r="1129" spans="2:13" x14ac:dyDescent="0.3">
      <c r="B1129" s="223">
        <v>44865</v>
      </c>
      <c r="C1129" s="224">
        <v>6</v>
      </c>
      <c r="D1129" s="225">
        <v>12</v>
      </c>
      <c r="E1129" s="226">
        <v>22362</v>
      </c>
      <c r="F1129" s="227">
        <v>35205743</v>
      </c>
      <c r="G1129" s="1" t="s">
        <v>1120</v>
      </c>
      <c r="H1129" s="60">
        <v>3652.89</v>
      </c>
      <c r="I1129" s="228">
        <v>767.11</v>
      </c>
      <c r="J1129" s="229"/>
      <c r="K1129" s="229"/>
      <c r="L1129" s="229">
        <f>SUM(ventas_b_mes11[[#This Row],[IMPORTE NETO]:[EXENTO]])</f>
        <v>4420</v>
      </c>
      <c r="M1129" s="55"/>
    </row>
    <row r="1130" spans="2:13" x14ac:dyDescent="0.3">
      <c r="B1130" s="223">
        <v>44865</v>
      </c>
      <c r="C1130" s="224">
        <v>6</v>
      </c>
      <c r="D1130" s="225">
        <v>12</v>
      </c>
      <c r="E1130" s="226">
        <v>22363</v>
      </c>
      <c r="F1130" s="227">
        <v>22661898</v>
      </c>
      <c r="G1130" s="1" t="s">
        <v>1044</v>
      </c>
      <c r="H1130" s="60">
        <v>28925.62</v>
      </c>
      <c r="I1130" s="228">
        <v>6074.38</v>
      </c>
      <c r="J1130" s="229"/>
      <c r="K1130" s="229"/>
      <c r="L1130" s="229">
        <f>SUM(ventas_b_mes11[[#This Row],[IMPORTE NETO]:[EXENTO]])</f>
        <v>35000</v>
      </c>
      <c r="M1130" s="55"/>
    </row>
    <row r="1131" spans="2:13" x14ac:dyDescent="0.3">
      <c r="B1131" s="223">
        <v>44865</v>
      </c>
      <c r="C1131" s="224">
        <v>6</v>
      </c>
      <c r="D1131" s="225">
        <v>12</v>
      </c>
      <c r="E1131" s="226">
        <v>22364</v>
      </c>
      <c r="F1131" s="227">
        <v>14678334</v>
      </c>
      <c r="G1131" s="1" t="s">
        <v>1118</v>
      </c>
      <c r="H1131" s="60">
        <v>4614.88</v>
      </c>
      <c r="I1131" s="228">
        <v>969.13</v>
      </c>
      <c r="J1131" s="229"/>
      <c r="K1131" s="229"/>
      <c r="L1131" s="229">
        <f>SUM(ventas_b_mes11[[#This Row],[IMPORTE NETO]:[EXENTO]])</f>
        <v>5584.01</v>
      </c>
      <c r="M1131" s="55"/>
    </row>
    <row r="1132" spans="2:13" x14ac:dyDescent="0.3">
      <c r="B1132" s="223">
        <v>44865</v>
      </c>
      <c r="C1132" s="224">
        <v>6</v>
      </c>
      <c r="D1132" s="225">
        <v>12</v>
      </c>
      <c r="E1132" s="226">
        <v>22365</v>
      </c>
      <c r="F1132" s="227">
        <v>27168442802</v>
      </c>
      <c r="G1132" s="1" t="s">
        <v>1114</v>
      </c>
      <c r="H1132" s="60">
        <v>3679.34</v>
      </c>
      <c r="I1132" s="228">
        <v>772.66</v>
      </c>
      <c r="J1132" s="229"/>
      <c r="K1132" s="229"/>
      <c r="L1132" s="229">
        <f>SUM(ventas_b_mes11[[#This Row],[IMPORTE NETO]:[EXENTO]])</f>
        <v>4452</v>
      </c>
      <c r="M1132" s="55"/>
    </row>
    <row r="1133" spans="2:13" x14ac:dyDescent="0.3">
      <c r="B1133" s="223">
        <v>44865</v>
      </c>
      <c r="C1133" s="224">
        <v>6</v>
      </c>
      <c r="D1133" s="225">
        <v>12</v>
      </c>
      <c r="E1133" s="226">
        <v>22366</v>
      </c>
      <c r="F1133" s="227">
        <v>21558976</v>
      </c>
      <c r="G1133" s="1" t="s">
        <v>1122</v>
      </c>
      <c r="H1133" s="60">
        <v>4795.45</v>
      </c>
      <c r="I1133" s="228">
        <v>1007.05</v>
      </c>
      <c r="J1133" s="229"/>
      <c r="K1133" s="229"/>
      <c r="L1133" s="229">
        <f>SUM(ventas_b_mes11[[#This Row],[IMPORTE NETO]:[EXENTO]])</f>
        <v>5802.5</v>
      </c>
      <c r="M1133" s="55"/>
    </row>
    <row r="1134" spans="2:13" x14ac:dyDescent="0.3">
      <c r="B1134" s="223">
        <v>44865</v>
      </c>
      <c r="C1134" s="224">
        <v>6</v>
      </c>
      <c r="D1134" s="225">
        <v>12</v>
      </c>
      <c r="E1134" s="226">
        <v>22367</v>
      </c>
      <c r="F1134" s="227">
        <v>28995931</v>
      </c>
      <c r="G1134" s="1" t="s">
        <v>1096</v>
      </c>
      <c r="H1134" s="60">
        <v>8816.1200000000008</v>
      </c>
      <c r="I1134" s="228">
        <v>1851.39</v>
      </c>
      <c r="J1134" s="229"/>
      <c r="K1134" s="229"/>
      <c r="L1134" s="229">
        <f>SUM(ventas_b_mes11[[#This Row],[IMPORTE NETO]:[EXENTO]])</f>
        <v>10667.51</v>
      </c>
      <c r="M1134" s="55"/>
    </row>
    <row r="1135" spans="2:13" x14ac:dyDescent="0.3">
      <c r="B1135" s="223">
        <v>44865</v>
      </c>
      <c r="C1135" s="224">
        <v>6</v>
      </c>
      <c r="D1135" s="225">
        <v>12</v>
      </c>
      <c r="E1135" s="226">
        <v>22368</v>
      </c>
      <c r="F1135" s="227">
        <v>29805074</v>
      </c>
      <c r="G1135" s="1" t="s">
        <v>1115</v>
      </c>
      <c r="H1135" s="60">
        <v>4545.45</v>
      </c>
      <c r="I1135" s="228">
        <v>954.55</v>
      </c>
      <c r="J1135" s="229"/>
      <c r="K1135" s="229"/>
      <c r="L1135" s="229">
        <f>SUM(ventas_b_mes11[[#This Row],[IMPORTE NETO]:[EXENTO]])</f>
        <v>5500</v>
      </c>
      <c r="M1135" s="55"/>
    </row>
    <row r="1136" spans="2:13" x14ac:dyDescent="0.3">
      <c r="B1136" s="223">
        <v>44865</v>
      </c>
      <c r="C1136" s="224">
        <v>6</v>
      </c>
      <c r="D1136" s="225">
        <v>12</v>
      </c>
      <c r="E1136" s="226">
        <v>22369</v>
      </c>
      <c r="F1136" s="227">
        <v>22661898</v>
      </c>
      <c r="G1136" s="1" t="s">
        <v>1044</v>
      </c>
      <c r="H1136" s="60">
        <v>5765.29</v>
      </c>
      <c r="I1136" s="228">
        <v>1210.71</v>
      </c>
      <c r="J1136" s="229"/>
      <c r="K1136" s="229"/>
      <c r="L1136" s="229">
        <f>SUM(ventas_b_mes11[[#This Row],[IMPORTE NETO]:[EXENTO]])</f>
        <v>6976</v>
      </c>
      <c r="M1136" s="55"/>
    </row>
    <row r="1137" spans="2:13" x14ac:dyDescent="0.3">
      <c r="B1137" s="223">
        <v>44865</v>
      </c>
      <c r="C1137" s="224">
        <v>6</v>
      </c>
      <c r="D1137" s="225">
        <v>12</v>
      </c>
      <c r="E1137" s="226">
        <v>22370</v>
      </c>
      <c r="F1137" s="227">
        <v>28537620</v>
      </c>
      <c r="G1137" s="1" t="s">
        <v>1112</v>
      </c>
      <c r="H1137" s="60">
        <v>6195.87</v>
      </c>
      <c r="I1137" s="228">
        <v>1301.1300000000001</v>
      </c>
      <c r="J1137" s="229"/>
      <c r="K1137" s="229"/>
      <c r="L1137" s="229">
        <f>SUM(ventas_b_mes11[[#This Row],[IMPORTE NETO]:[EXENTO]])</f>
        <v>7497</v>
      </c>
      <c r="M1137" s="55"/>
    </row>
    <row r="1138" spans="2:13" x14ac:dyDescent="0.3">
      <c r="B1138" s="223">
        <v>44865</v>
      </c>
      <c r="C1138" s="224">
        <v>6</v>
      </c>
      <c r="D1138" s="225">
        <v>12</v>
      </c>
      <c r="E1138" s="226">
        <v>22371</v>
      </c>
      <c r="F1138" s="227">
        <v>6551034</v>
      </c>
      <c r="G1138" s="1" t="s">
        <v>1102</v>
      </c>
      <c r="H1138" s="60">
        <v>17589.88</v>
      </c>
      <c r="I1138" s="228">
        <v>3693.87</v>
      </c>
      <c r="J1138" s="229"/>
      <c r="K1138" s="229"/>
      <c r="L1138" s="229">
        <f>SUM(ventas_b_mes11[[#This Row],[IMPORTE NETO]:[EXENTO]])</f>
        <v>21283.75</v>
      </c>
      <c r="M1138" s="55"/>
    </row>
    <row r="1139" spans="2:13" x14ac:dyDescent="0.3">
      <c r="B1139" s="223">
        <v>44865</v>
      </c>
      <c r="C1139" s="224">
        <v>6</v>
      </c>
      <c r="D1139" s="225">
        <v>12</v>
      </c>
      <c r="E1139" s="226">
        <v>22372</v>
      </c>
      <c r="F1139" s="227">
        <v>0</v>
      </c>
      <c r="G1139" s="1"/>
      <c r="H1139" s="60">
        <v>2743.8</v>
      </c>
      <c r="I1139" s="228">
        <v>576.20000000000005</v>
      </c>
      <c r="J1139" s="229"/>
      <c r="K1139" s="229"/>
      <c r="L1139" s="229">
        <f>SUM(ventas_b_mes11[[#This Row],[IMPORTE NETO]:[EXENTO]])</f>
        <v>3320</v>
      </c>
      <c r="M1139" s="55"/>
    </row>
    <row r="1140" spans="2:13" x14ac:dyDescent="0.3">
      <c r="B1140" s="223">
        <v>44865</v>
      </c>
      <c r="C1140" s="224">
        <v>6</v>
      </c>
      <c r="D1140" s="225">
        <v>12</v>
      </c>
      <c r="E1140" s="226">
        <v>22373</v>
      </c>
      <c r="F1140" s="227">
        <v>37196967</v>
      </c>
      <c r="G1140" s="1" t="s">
        <v>1004</v>
      </c>
      <c r="H1140" s="60">
        <v>4839.67</v>
      </c>
      <c r="I1140" s="228">
        <v>1016.33</v>
      </c>
      <c r="J1140" s="229"/>
      <c r="K1140" s="229"/>
      <c r="L1140" s="229">
        <f>SUM(ventas_b_mes11[[#This Row],[IMPORTE NETO]:[EXENTO]])</f>
        <v>5856</v>
      </c>
      <c r="M1140" s="55"/>
    </row>
    <row r="1141" spans="2:13" x14ac:dyDescent="0.3">
      <c r="B1141" s="223">
        <v>44865</v>
      </c>
      <c r="C1141" s="224">
        <v>6</v>
      </c>
      <c r="D1141" s="225">
        <v>12</v>
      </c>
      <c r="E1141" s="226">
        <v>22374</v>
      </c>
      <c r="F1141" s="227">
        <v>37196967</v>
      </c>
      <c r="G1141" s="1" t="s">
        <v>1004</v>
      </c>
      <c r="H1141" s="60">
        <v>4958.68</v>
      </c>
      <c r="I1141" s="228">
        <v>1041.32</v>
      </c>
      <c r="J1141" s="229"/>
      <c r="K1141" s="229"/>
      <c r="L1141" s="229">
        <f>SUM(ventas_b_mes11[[#This Row],[IMPORTE NETO]:[EXENTO]])</f>
        <v>6000</v>
      </c>
      <c r="M1141" s="55"/>
    </row>
    <row r="1142" spans="2:13" x14ac:dyDescent="0.3">
      <c r="B1142" s="223">
        <v>44835</v>
      </c>
      <c r="C1142" s="248">
        <v>6</v>
      </c>
      <c r="D1142" s="225">
        <v>13</v>
      </c>
      <c r="E1142" s="226">
        <v>26320</v>
      </c>
      <c r="F1142" s="227"/>
      <c r="G1142" s="1"/>
      <c r="H1142" s="60">
        <v>1727.27</v>
      </c>
      <c r="I1142" s="228">
        <v>362.73</v>
      </c>
      <c r="J1142" s="229"/>
      <c r="K1142" s="229"/>
      <c r="L1142" s="229">
        <f>SUM(ventas_b_mes11[[#This Row],[IMPORTE NETO]:[EXENTO]])</f>
        <v>2090</v>
      </c>
      <c r="M1142" s="55"/>
    </row>
    <row r="1143" spans="2:13" x14ac:dyDescent="0.3">
      <c r="B1143" s="223">
        <v>44835</v>
      </c>
      <c r="C1143" s="248">
        <v>6</v>
      </c>
      <c r="D1143" s="225">
        <v>13</v>
      </c>
      <c r="E1143" s="226">
        <v>26321</v>
      </c>
      <c r="F1143" s="227">
        <v>18235829</v>
      </c>
      <c r="G1143" s="1" t="s">
        <v>139</v>
      </c>
      <c r="H1143" s="60">
        <v>826.45</v>
      </c>
      <c r="I1143" s="228">
        <v>173.55</v>
      </c>
      <c r="J1143" s="229"/>
      <c r="K1143" s="229"/>
      <c r="L1143" s="229">
        <f>SUM(ventas_b_mes11[[#This Row],[IMPORTE NETO]:[EXENTO]])</f>
        <v>1000</v>
      </c>
      <c r="M1143" s="55"/>
    </row>
    <row r="1144" spans="2:13" x14ac:dyDescent="0.3">
      <c r="B1144" s="223">
        <v>44835</v>
      </c>
      <c r="C1144" s="248">
        <v>6</v>
      </c>
      <c r="D1144" s="225">
        <v>13</v>
      </c>
      <c r="E1144" s="226">
        <v>26322</v>
      </c>
      <c r="F1144" s="227">
        <v>111</v>
      </c>
      <c r="G1144" s="1"/>
      <c r="H1144" s="60">
        <v>4363.6400000000003</v>
      </c>
      <c r="I1144" s="228">
        <v>916.36</v>
      </c>
      <c r="J1144" s="229"/>
      <c r="K1144" s="229"/>
      <c r="L1144" s="229">
        <f>SUM(ventas_b_mes11[[#This Row],[IMPORTE NETO]:[EXENTO]])</f>
        <v>5280</v>
      </c>
      <c r="M1144" s="55"/>
    </row>
    <row r="1145" spans="2:13" x14ac:dyDescent="0.3">
      <c r="B1145" s="301">
        <v>44835</v>
      </c>
      <c r="C1145" s="248">
        <v>6</v>
      </c>
      <c r="D1145" s="304">
        <v>13</v>
      </c>
      <c r="E1145" s="249">
        <v>26323</v>
      </c>
      <c r="F1145" s="227" t="s">
        <v>116</v>
      </c>
      <c r="G1145" s="1" t="s">
        <v>125</v>
      </c>
      <c r="H1145" s="60">
        <v>2280.9899999999998</v>
      </c>
      <c r="I1145" s="60">
        <v>479.01</v>
      </c>
      <c r="J1145" s="60"/>
      <c r="K1145" s="60"/>
      <c r="L1145" s="60">
        <f>SUM(ventas_b_mes11[[#This Row],[IMPORTE NETO]:[EXENTO]])</f>
        <v>2760</v>
      </c>
      <c r="M1145" s="55"/>
    </row>
    <row r="1146" spans="2:13" x14ac:dyDescent="0.3">
      <c r="B1146" s="301">
        <v>44835</v>
      </c>
      <c r="C1146" s="248">
        <v>6</v>
      </c>
      <c r="D1146" s="304">
        <v>13</v>
      </c>
      <c r="E1146" s="249">
        <v>26324</v>
      </c>
      <c r="F1146" s="227" t="s">
        <v>118</v>
      </c>
      <c r="G1146" s="1" t="s">
        <v>127</v>
      </c>
      <c r="H1146" s="60">
        <v>1917.36</v>
      </c>
      <c r="I1146" s="60">
        <v>402.64</v>
      </c>
      <c r="J1146" s="60"/>
      <c r="K1146" s="60"/>
      <c r="L1146" s="60">
        <f>SUM(ventas_b_mes11[[#This Row],[IMPORTE NETO]:[EXENTO]])</f>
        <v>2320</v>
      </c>
      <c r="M1146" s="55"/>
    </row>
    <row r="1147" spans="2:13" x14ac:dyDescent="0.3">
      <c r="B1147" s="223">
        <v>44835</v>
      </c>
      <c r="C1147" s="248">
        <v>6</v>
      </c>
      <c r="D1147" s="225">
        <v>13</v>
      </c>
      <c r="E1147" s="226">
        <v>26325</v>
      </c>
      <c r="F1147" s="227">
        <v>20569293</v>
      </c>
      <c r="G1147" s="1" t="s">
        <v>142</v>
      </c>
      <c r="H1147" s="60">
        <v>13045.17</v>
      </c>
      <c r="I1147" s="228">
        <v>2739.49</v>
      </c>
      <c r="J1147" s="229"/>
      <c r="K1147" s="229"/>
      <c r="L1147" s="229">
        <f>SUM(ventas_b_mes11[[#This Row],[IMPORTE NETO]:[EXENTO]])</f>
        <v>15784.66</v>
      </c>
      <c r="M1147" s="55"/>
    </row>
    <row r="1148" spans="2:13" x14ac:dyDescent="0.3">
      <c r="B1148" s="223">
        <v>44835</v>
      </c>
      <c r="C1148" s="248">
        <v>6</v>
      </c>
      <c r="D1148" s="225">
        <v>13</v>
      </c>
      <c r="E1148" s="226">
        <v>26326</v>
      </c>
      <c r="F1148" s="227">
        <v>22004308</v>
      </c>
      <c r="G1148" s="1" t="s">
        <v>134</v>
      </c>
      <c r="H1148" s="60">
        <v>9190.09</v>
      </c>
      <c r="I1148" s="228">
        <v>1929.92</v>
      </c>
      <c r="J1148" s="229"/>
      <c r="K1148" s="229"/>
      <c r="L1148" s="229">
        <f>SUM(ventas_b_mes11[[#This Row],[IMPORTE NETO]:[EXENTO]])</f>
        <v>11120.01</v>
      </c>
      <c r="M1148" s="55"/>
    </row>
    <row r="1149" spans="2:13" x14ac:dyDescent="0.3">
      <c r="B1149" s="223">
        <v>44835</v>
      </c>
      <c r="C1149" s="248">
        <v>6</v>
      </c>
      <c r="D1149" s="225">
        <v>13</v>
      </c>
      <c r="E1149" s="226">
        <v>26327</v>
      </c>
      <c r="F1149" s="227">
        <v>92811677</v>
      </c>
      <c r="G1149" s="1" t="s">
        <v>149</v>
      </c>
      <c r="H1149" s="60">
        <v>5851.24</v>
      </c>
      <c r="I1149" s="228">
        <v>1228.76</v>
      </c>
      <c r="J1149" s="229"/>
      <c r="K1149" s="229"/>
      <c r="L1149" s="229">
        <f>SUM(ventas_b_mes11[[#This Row],[IMPORTE NETO]:[EXENTO]])</f>
        <v>7080</v>
      </c>
      <c r="M1149" s="55"/>
    </row>
    <row r="1150" spans="2:13" x14ac:dyDescent="0.3">
      <c r="B1150" s="223">
        <v>44837</v>
      </c>
      <c r="C1150" s="224">
        <v>6</v>
      </c>
      <c r="D1150" s="225">
        <v>13</v>
      </c>
      <c r="E1150" s="226">
        <v>26328</v>
      </c>
      <c r="F1150" s="227">
        <v>111</v>
      </c>
      <c r="G1150" s="1"/>
      <c r="H1150" s="60">
        <v>14157.02</v>
      </c>
      <c r="I1150" s="228">
        <v>2972.98</v>
      </c>
      <c r="J1150" s="229"/>
      <c r="K1150" s="229"/>
      <c r="L1150" s="229">
        <f>SUM(ventas_b_mes11[[#This Row],[IMPORTE NETO]:[EXENTO]])</f>
        <v>17130</v>
      </c>
      <c r="M1150" s="55"/>
    </row>
    <row r="1151" spans="2:13" x14ac:dyDescent="0.3">
      <c r="B1151" s="223">
        <v>44837</v>
      </c>
      <c r="C1151" s="224">
        <v>6</v>
      </c>
      <c r="D1151" s="225">
        <v>13</v>
      </c>
      <c r="E1151" s="226">
        <v>26329</v>
      </c>
      <c r="F1151" s="227">
        <v>11111111</v>
      </c>
      <c r="G1151" s="1"/>
      <c r="H1151" s="60">
        <v>12863.63</v>
      </c>
      <c r="I1151" s="228">
        <v>2701.36</v>
      </c>
      <c r="J1151" s="229"/>
      <c r="K1151" s="229"/>
      <c r="L1151" s="229">
        <f>SUM(ventas_b_mes11[[#This Row],[IMPORTE NETO]:[EXENTO]])</f>
        <v>15564.99</v>
      </c>
      <c r="M1151" s="55"/>
    </row>
    <row r="1152" spans="2:13" x14ac:dyDescent="0.3">
      <c r="B1152" s="223">
        <v>44837</v>
      </c>
      <c r="C1152" s="224">
        <v>6</v>
      </c>
      <c r="D1152" s="225">
        <v>13</v>
      </c>
      <c r="E1152" s="226">
        <v>26330</v>
      </c>
      <c r="F1152" s="227">
        <v>111</v>
      </c>
      <c r="G1152" s="1"/>
      <c r="H1152" s="60">
        <v>7947.11</v>
      </c>
      <c r="I1152" s="228">
        <v>1668.89</v>
      </c>
      <c r="J1152" s="229"/>
      <c r="K1152" s="229"/>
      <c r="L1152" s="229">
        <f>SUM(ventas_b_mes11[[#This Row],[IMPORTE NETO]:[EXENTO]])</f>
        <v>9616</v>
      </c>
      <c r="M1152" s="55"/>
    </row>
    <row r="1153" spans="2:13" x14ac:dyDescent="0.3">
      <c r="B1153" s="223">
        <v>44837</v>
      </c>
      <c r="C1153" s="224">
        <v>6</v>
      </c>
      <c r="D1153" s="225">
        <v>13</v>
      </c>
      <c r="E1153" s="226">
        <v>26331</v>
      </c>
      <c r="F1153" s="227">
        <v>111</v>
      </c>
      <c r="G1153" s="1"/>
      <c r="H1153" s="60">
        <v>14487.6</v>
      </c>
      <c r="I1153" s="228">
        <v>3042.4</v>
      </c>
      <c r="J1153" s="229"/>
      <c r="K1153" s="229"/>
      <c r="L1153" s="229">
        <f>SUM(ventas_b_mes11[[#This Row],[IMPORTE NETO]:[EXENTO]])</f>
        <v>17530</v>
      </c>
      <c r="M1153" s="55"/>
    </row>
    <row r="1154" spans="2:13" x14ac:dyDescent="0.3">
      <c r="B1154" s="223">
        <v>44837</v>
      </c>
      <c r="C1154" s="248">
        <v>6</v>
      </c>
      <c r="D1154" s="225">
        <v>13</v>
      </c>
      <c r="E1154" s="226">
        <v>26332</v>
      </c>
      <c r="F1154" s="227">
        <v>19027503</v>
      </c>
      <c r="G1154" s="1" t="s">
        <v>154</v>
      </c>
      <c r="H1154" s="60">
        <v>2685.95</v>
      </c>
      <c r="I1154" s="228">
        <v>564.04999999999995</v>
      </c>
      <c r="J1154" s="229"/>
      <c r="K1154" s="229"/>
      <c r="L1154" s="229">
        <f>SUM(ventas_b_mes11[[#This Row],[IMPORTE NETO]:[EXENTO]])</f>
        <v>3250</v>
      </c>
      <c r="M1154" s="55"/>
    </row>
    <row r="1155" spans="2:13" x14ac:dyDescent="0.3">
      <c r="B1155" s="223">
        <v>44837</v>
      </c>
      <c r="C1155" s="224">
        <v>6</v>
      </c>
      <c r="D1155" s="225">
        <v>13</v>
      </c>
      <c r="E1155" s="226">
        <v>26333</v>
      </c>
      <c r="F1155" s="227">
        <v>0</v>
      </c>
      <c r="G1155" s="1"/>
      <c r="H1155" s="60">
        <v>995.87</v>
      </c>
      <c r="I1155" s="228">
        <v>209.13</v>
      </c>
      <c r="J1155" s="229"/>
      <c r="K1155" s="229"/>
      <c r="L1155" s="229">
        <f>SUM(ventas_b_mes11[[#This Row],[IMPORTE NETO]:[EXENTO]])</f>
        <v>1205</v>
      </c>
      <c r="M1155" s="55"/>
    </row>
    <row r="1156" spans="2:13" x14ac:dyDescent="0.3">
      <c r="B1156" s="223">
        <v>44837</v>
      </c>
      <c r="C1156" s="224">
        <v>6</v>
      </c>
      <c r="D1156" s="225">
        <v>13</v>
      </c>
      <c r="E1156" s="226">
        <v>26334</v>
      </c>
      <c r="F1156" s="227">
        <v>29671194</v>
      </c>
      <c r="G1156" s="1" t="s">
        <v>185</v>
      </c>
      <c r="H1156" s="60">
        <v>3239.67</v>
      </c>
      <c r="I1156" s="228">
        <v>680.33</v>
      </c>
      <c r="J1156" s="229"/>
      <c r="K1156" s="229"/>
      <c r="L1156" s="229">
        <f>SUM(ventas_b_mes11[[#This Row],[IMPORTE NETO]:[EXENTO]])</f>
        <v>3920</v>
      </c>
      <c r="M1156" s="55"/>
    </row>
    <row r="1157" spans="2:13" x14ac:dyDescent="0.3">
      <c r="B1157" s="223">
        <v>44837</v>
      </c>
      <c r="C1157" s="248">
        <v>6</v>
      </c>
      <c r="D1157" s="225">
        <v>13</v>
      </c>
      <c r="E1157" s="226">
        <v>26335</v>
      </c>
      <c r="F1157" s="227"/>
      <c r="G1157" s="1" t="str">
        <f>IFERROR(IF(ventas_b_mes11[[#This Row],[CUIT]]="","-",VLOOKUP(ventas_b_mes11[[#This Row],[CUIT]],Lista_CUIT[#All],2,0)),"CUIT NO CARGADO")</f>
        <v>-</v>
      </c>
      <c r="H1157" s="60">
        <v>6338.84</v>
      </c>
      <c r="I1157" s="228">
        <v>1331.16</v>
      </c>
      <c r="J1157" s="229"/>
      <c r="K1157" s="229"/>
      <c r="L1157" s="229">
        <f>SUM(ventas_b_mes11[[#This Row],[IMPORTE NETO]:[EXENTO]])</f>
        <v>7670</v>
      </c>
      <c r="M1157" s="55"/>
    </row>
    <row r="1158" spans="2:13" x14ac:dyDescent="0.3">
      <c r="B1158" s="223">
        <v>44837</v>
      </c>
      <c r="C1158" s="224">
        <v>6</v>
      </c>
      <c r="D1158" s="225">
        <v>13</v>
      </c>
      <c r="E1158" s="226">
        <v>26336</v>
      </c>
      <c r="F1158" s="227">
        <v>0</v>
      </c>
      <c r="G1158" s="1"/>
      <c r="H1158" s="60">
        <v>268.60000000000002</v>
      </c>
      <c r="I1158" s="228">
        <v>56.4</v>
      </c>
      <c r="J1158" s="229"/>
      <c r="K1158" s="229"/>
      <c r="L1158" s="229">
        <f>SUM(ventas_b_mes11[[#This Row],[IMPORTE NETO]:[EXENTO]])</f>
        <v>325</v>
      </c>
      <c r="M1158" s="55"/>
    </row>
    <row r="1159" spans="2:13" x14ac:dyDescent="0.3">
      <c r="B1159" s="223">
        <v>44838</v>
      </c>
      <c r="C1159" s="224">
        <v>6</v>
      </c>
      <c r="D1159" s="225">
        <v>13</v>
      </c>
      <c r="E1159" s="226">
        <v>26337</v>
      </c>
      <c r="F1159" s="227">
        <v>0</v>
      </c>
      <c r="G1159" s="1"/>
      <c r="H1159" s="60">
        <v>826.45</v>
      </c>
      <c r="I1159" s="228">
        <v>173.55</v>
      </c>
      <c r="J1159" s="229"/>
      <c r="K1159" s="229"/>
      <c r="L1159" s="229">
        <f>SUM(ventas_b_mes11[[#This Row],[IMPORTE NETO]:[EXENTO]])</f>
        <v>1000</v>
      </c>
      <c r="M1159" s="55"/>
    </row>
    <row r="1160" spans="2:13" x14ac:dyDescent="0.3">
      <c r="B1160" s="223">
        <v>44838</v>
      </c>
      <c r="C1160" s="224">
        <v>6</v>
      </c>
      <c r="D1160" s="225">
        <v>13</v>
      </c>
      <c r="E1160" s="226">
        <v>26338</v>
      </c>
      <c r="F1160" s="227">
        <v>29147355</v>
      </c>
      <c r="G1160" s="1" t="s">
        <v>216</v>
      </c>
      <c r="H1160" s="60">
        <v>4628.1000000000004</v>
      </c>
      <c r="I1160" s="228">
        <v>971.9</v>
      </c>
      <c r="J1160" s="229"/>
      <c r="K1160" s="229"/>
      <c r="L1160" s="229">
        <f>SUM(ventas_b_mes11[[#This Row],[IMPORTE NETO]:[EXENTO]])</f>
        <v>5600</v>
      </c>
      <c r="M1160" s="55"/>
    </row>
    <row r="1161" spans="2:13" x14ac:dyDescent="0.3">
      <c r="B1161" s="223">
        <v>44838</v>
      </c>
      <c r="C1161" s="224">
        <v>6</v>
      </c>
      <c r="D1161" s="225">
        <v>13</v>
      </c>
      <c r="E1161" s="226">
        <v>26339</v>
      </c>
      <c r="F1161" s="227">
        <v>29147355</v>
      </c>
      <c r="G1161" s="1" t="s">
        <v>216</v>
      </c>
      <c r="H1161" s="60">
        <v>334.71</v>
      </c>
      <c r="I1161" s="228">
        <v>70.290000000000006</v>
      </c>
      <c r="J1161" s="229"/>
      <c r="K1161" s="229"/>
      <c r="L1161" s="229">
        <f>SUM(ventas_b_mes11[[#This Row],[IMPORTE NETO]:[EXENTO]])</f>
        <v>405</v>
      </c>
      <c r="M1161" s="55"/>
    </row>
    <row r="1162" spans="2:13" x14ac:dyDescent="0.3">
      <c r="B1162" s="223">
        <v>44838</v>
      </c>
      <c r="C1162" s="224">
        <v>6</v>
      </c>
      <c r="D1162" s="225">
        <v>13</v>
      </c>
      <c r="E1162" s="226">
        <v>26340</v>
      </c>
      <c r="F1162" s="227">
        <v>15788270</v>
      </c>
      <c r="G1162" s="1"/>
      <c r="H1162" s="60">
        <v>4264.46</v>
      </c>
      <c r="I1162" s="228">
        <v>895.54</v>
      </c>
      <c r="J1162" s="229"/>
      <c r="K1162" s="229"/>
      <c r="L1162" s="229">
        <f>SUM(ventas_b_mes11[[#This Row],[IMPORTE NETO]:[EXENTO]])</f>
        <v>5160</v>
      </c>
      <c r="M1162" s="55"/>
    </row>
    <row r="1163" spans="2:13" x14ac:dyDescent="0.3">
      <c r="B1163" s="223">
        <v>44838</v>
      </c>
      <c r="C1163" s="224">
        <v>6</v>
      </c>
      <c r="D1163" s="225">
        <v>13</v>
      </c>
      <c r="E1163" s="226">
        <v>26341</v>
      </c>
      <c r="F1163" s="227">
        <v>22420206</v>
      </c>
      <c r="G1163" s="1" t="s">
        <v>245</v>
      </c>
      <c r="H1163" s="60">
        <v>16384.310000000001</v>
      </c>
      <c r="I1163" s="228">
        <v>3440.71</v>
      </c>
      <c r="J1163" s="229"/>
      <c r="K1163" s="229"/>
      <c r="L1163" s="229">
        <f>SUM(ventas_b_mes11[[#This Row],[IMPORTE NETO]:[EXENTO]])</f>
        <v>19825.02</v>
      </c>
      <c r="M1163" s="55"/>
    </row>
    <row r="1164" spans="2:13" x14ac:dyDescent="0.3">
      <c r="B1164" s="223">
        <v>44838</v>
      </c>
      <c r="C1164" s="224">
        <v>6</v>
      </c>
      <c r="D1164" s="225">
        <v>13</v>
      </c>
      <c r="E1164" s="226">
        <v>26342</v>
      </c>
      <c r="F1164" s="227">
        <v>111</v>
      </c>
      <c r="G1164" s="1"/>
      <c r="H1164" s="60">
        <v>1363.64</v>
      </c>
      <c r="I1164" s="228">
        <v>286.36</v>
      </c>
      <c r="J1164" s="229"/>
      <c r="K1164" s="229"/>
      <c r="L1164" s="229">
        <f>SUM(ventas_b_mes11[[#This Row],[IMPORTE NETO]:[EXENTO]])</f>
        <v>1650</v>
      </c>
      <c r="M1164" s="55"/>
    </row>
    <row r="1165" spans="2:13" x14ac:dyDescent="0.3">
      <c r="B1165" s="223">
        <v>44838</v>
      </c>
      <c r="C1165" s="224">
        <v>6</v>
      </c>
      <c r="D1165" s="225">
        <v>13</v>
      </c>
      <c r="E1165" s="226">
        <v>26343</v>
      </c>
      <c r="F1165" s="227">
        <v>95160579</v>
      </c>
      <c r="G1165" s="1" t="s">
        <v>125</v>
      </c>
      <c r="H1165" s="60">
        <v>25867.75</v>
      </c>
      <c r="I1165" s="228">
        <v>5432.23</v>
      </c>
      <c r="J1165" s="229"/>
      <c r="K1165" s="229"/>
      <c r="L1165" s="229">
        <f>SUM(ventas_b_mes11[[#This Row],[IMPORTE NETO]:[EXENTO]])</f>
        <v>31299.98</v>
      </c>
      <c r="M1165" s="55"/>
    </row>
    <row r="1166" spans="2:13" x14ac:dyDescent="0.3">
      <c r="B1166" s="223">
        <v>44838</v>
      </c>
      <c r="C1166" s="224">
        <v>6</v>
      </c>
      <c r="D1166" s="225">
        <v>13</v>
      </c>
      <c r="E1166" s="226">
        <v>26344</v>
      </c>
      <c r="F1166" s="227">
        <v>30528610</v>
      </c>
      <c r="G1166" s="1" t="s">
        <v>239</v>
      </c>
      <c r="H1166" s="60">
        <v>3140.5</v>
      </c>
      <c r="I1166" s="228">
        <v>659.51</v>
      </c>
      <c r="J1166" s="229"/>
      <c r="K1166" s="229"/>
      <c r="L1166" s="229">
        <f>SUM(ventas_b_mes11[[#This Row],[IMPORTE NETO]:[EXENTO]])</f>
        <v>3800.01</v>
      </c>
      <c r="M1166" s="55"/>
    </row>
    <row r="1167" spans="2:13" x14ac:dyDescent="0.3">
      <c r="B1167" s="223">
        <v>44838</v>
      </c>
      <c r="C1167" s="224">
        <v>6</v>
      </c>
      <c r="D1167" s="225">
        <v>13</v>
      </c>
      <c r="E1167" s="226">
        <v>26345</v>
      </c>
      <c r="F1167" s="227">
        <v>16390316</v>
      </c>
      <c r="G1167" s="1" t="s">
        <v>236</v>
      </c>
      <c r="H1167" s="60">
        <v>7727.27</v>
      </c>
      <c r="I1167" s="228">
        <v>1622.73</v>
      </c>
      <c r="J1167" s="229"/>
      <c r="K1167" s="229"/>
      <c r="L1167" s="229">
        <f>SUM(ventas_b_mes11[[#This Row],[IMPORTE NETO]:[EXENTO]])</f>
        <v>9350</v>
      </c>
      <c r="M1167" s="55"/>
    </row>
    <row r="1168" spans="2:13" x14ac:dyDescent="0.3">
      <c r="B1168" s="223">
        <v>44838</v>
      </c>
      <c r="C1168" s="224">
        <v>6</v>
      </c>
      <c r="D1168" s="225">
        <v>13</v>
      </c>
      <c r="E1168" s="226">
        <v>26346</v>
      </c>
      <c r="F1168" s="227">
        <v>11111111</v>
      </c>
      <c r="G1168" s="1"/>
      <c r="H1168" s="60">
        <v>9090.9</v>
      </c>
      <c r="I1168" s="228">
        <v>1909.09</v>
      </c>
      <c r="J1168" s="229"/>
      <c r="K1168" s="229"/>
      <c r="L1168" s="229">
        <f>SUM(ventas_b_mes11[[#This Row],[IMPORTE NETO]:[EXENTO]])</f>
        <v>10999.99</v>
      </c>
      <c r="M1168" s="55"/>
    </row>
    <row r="1169" spans="2:13" x14ac:dyDescent="0.3">
      <c r="B1169" s="223">
        <v>44838</v>
      </c>
      <c r="C1169" s="224">
        <v>6</v>
      </c>
      <c r="D1169" s="225">
        <v>13</v>
      </c>
      <c r="E1169" s="226">
        <v>26347</v>
      </c>
      <c r="F1169" s="227">
        <v>29147355</v>
      </c>
      <c r="G1169" s="1" t="s">
        <v>216</v>
      </c>
      <c r="H1169" s="60">
        <v>1363.64</v>
      </c>
      <c r="I1169" s="228">
        <v>286.36</v>
      </c>
      <c r="J1169" s="229"/>
      <c r="K1169" s="229"/>
      <c r="L1169" s="229">
        <f>SUM(ventas_b_mes11[[#This Row],[IMPORTE NETO]:[EXENTO]])</f>
        <v>1650</v>
      </c>
      <c r="M1169" s="55"/>
    </row>
    <row r="1170" spans="2:13" x14ac:dyDescent="0.3">
      <c r="B1170" s="223">
        <v>44838</v>
      </c>
      <c r="C1170" s="224">
        <v>6</v>
      </c>
      <c r="D1170" s="225">
        <v>13</v>
      </c>
      <c r="E1170" s="226">
        <v>26348</v>
      </c>
      <c r="F1170" s="227">
        <v>16390316</v>
      </c>
      <c r="G1170" s="1" t="s">
        <v>236</v>
      </c>
      <c r="H1170" s="60">
        <v>7727.27</v>
      </c>
      <c r="I1170" s="228">
        <v>1622.73</v>
      </c>
      <c r="J1170" s="229"/>
      <c r="K1170" s="229"/>
      <c r="L1170" s="229">
        <f>SUM(ventas_b_mes11[[#This Row],[IMPORTE NETO]:[EXENTO]])</f>
        <v>9350</v>
      </c>
      <c r="M1170" s="55"/>
    </row>
    <row r="1171" spans="2:13" x14ac:dyDescent="0.3">
      <c r="B1171" s="223">
        <v>44838</v>
      </c>
      <c r="C1171" s="224">
        <v>6</v>
      </c>
      <c r="D1171" s="225">
        <v>13</v>
      </c>
      <c r="E1171" s="226">
        <v>26349</v>
      </c>
      <c r="F1171" s="227">
        <v>20569293</v>
      </c>
      <c r="G1171" s="1" t="s">
        <v>142</v>
      </c>
      <c r="H1171" s="60">
        <v>5719.01</v>
      </c>
      <c r="I1171" s="228">
        <v>1200.99</v>
      </c>
      <c r="J1171" s="229"/>
      <c r="K1171" s="229"/>
      <c r="L1171" s="229">
        <f>SUM(ventas_b_mes11[[#This Row],[IMPORTE NETO]:[EXENTO]])</f>
        <v>6920</v>
      </c>
      <c r="M1171" s="55"/>
    </row>
    <row r="1172" spans="2:13" x14ac:dyDescent="0.3">
      <c r="B1172" s="223">
        <v>44838</v>
      </c>
      <c r="C1172" s="224">
        <v>6</v>
      </c>
      <c r="D1172" s="225">
        <v>13</v>
      </c>
      <c r="E1172" s="226">
        <v>26350</v>
      </c>
      <c r="F1172" s="227">
        <v>20569293</v>
      </c>
      <c r="G1172" s="1" t="s">
        <v>142</v>
      </c>
      <c r="H1172" s="60">
        <v>12191.75</v>
      </c>
      <c r="I1172" s="228">
        <v>2560.27</v>
      </c>
      <c r="J1172" s="229"/>
      <c r="K1172" s="229"/>
      <c r="L1172" s="229">
        <f>SUM(ventas_b_mes11[[#This Row],[IMPORTE NETO]:[EXENTO]])</f>
        <v>14752.02</v>
      </c>
      <c r="M1172" s="55"/>
    </row>
    <row r="1173" spans="2:13" x14ac:dyDescent="0.3">
      <c r="B1173" s="223">
        <v>44838</v>
      </c>
      <c r="C1173" s="224">
        <v>6</v>
      </c>
      <c r="D1173" s="225">
        <v>13</v>
      </c>
      <c r="E1173" s="226">
        <v>26351</v>
      </c>
      <c r="F1173" s="227">
        <v>11111111</v>
      </c>
      <c r="G1173" s="1"/>
      <c r="H1173" s="60">
        <v>1772.73</v>
      </c>
      <c r="I1173" s="228">
        <v>372.27</v>
      </c>
      <c r="J1173" s="229"/>
      <c r="K1173" s="229"/>
      <c r="L1173" s="229">
        <f>SUM(ventas_b_mes11[[#This Row],[IMPORTE NETO]:[EXENTO]])</f>
        <v>2145</v>
      </c>
      <c r="M1173" s="55"/>
    </row>
    <row r="1174" spans="2:13" x14ac:dyDescent="0.3">
      <c r="B1174" s="223">
        <v>44839</v>
      </c>
      <c r="C1174" s="224">
        <v>6</v>
      </c>
      <c r="D1174" s="225">
        <v>13</v>
      </c>
      <c r="E1174" s="226">
        <v>26352</v>
      </c>
      <c r="F1174" s="227">
        <v>17331658</v>
      </c>
      <c r="G1174" s="1" t="s">
        <v>311</v>
      </c>
      <c r="H1174" s="60">
        <v>12809.92</v>
      </c>
      <c r="I1174" s="228">
        <v>2690.08</v>
      </c>
      <c r="J1174" s="229"/>
      <c r="K1174" s="229"/>
      <c r="L1174" s="229">
        <f>SUM(ventas_b_mes11[[#This Row],[IMPORTE NETO]:[EXENTO]])</f>
        <v>15500</v>
      </c>
      <c r="M1174" s="55"/>
    </row>
    <row r="1175" spans="2:13" x14ac:dyDescent="0.3">
      <c r="B1175" s="223">
        <v>44839</v>
      </c>
      <c r="C1175" s="224">
        <v>6</v>
      </c>
      <c r="D1175" s="225">
        <v>13</v>
      </c>
      <c r="E1175" s="226">
        <v>26353</v>
      </c>
      <c r="F1175" s="227">
        <v>35666222</v>
      </c>
      <c r="G1175" s="1"/>
      <c r="H1175" s="60">
        <v>2479.34</v>
      </c>
      <c r="I1175" s="228">
        <v>520.66</v>
      </c>
      <c r="J1175" s="229"/>
      <c r="K1175" s="229"/>
      <c r="L1175" s="229">
        <f>SUM(ventas_b_mes11[[#This Row],[IMPORTE NETO]:[EXENTO]])</f>
        <v>3000</v>
      </c>
      <c r="M1175" s="55"/>
    </row>
    <row r="1176" spans="2:13" x14ac:dyDescent="0.3">
      <c r="B1176" s="223">
        <v>44839</v>
      </c>
      <c r="C1176" s="224">
        <v>6</v>
      </c>
      <c r="D1176" s="225">
        <v>13</v>
      </c>
      <c r="E1176" s="226">
        <v>26354</v>
      </c>
      <c r="F1176" s="227">
        <v>0</v>
      </c>
      <c r="G1176" s="1"/>
      <c r="H1176" s="60">
        <v>2231.4</v>
      </c>
      <c r="I1176" s="228">
        <v>468.6</v>
      </c>
      <c r="J1176" s="229"/>
      <c r="K1176" s="229"/>
      <c r="L1176" s="229">
        <f>SUM(ventas_b_mes11[[#This Row],[IMPORTE NETO]:[EXENTO]])</f>
        <v>2700</v>
      </c>
      <c r="M1176" s="55"/>
    </row>
    <row r="1177" spans="2:13" x14ac:dyDescent="0.3">
      <c r="B1177" s="223">
        <v>44839</v>
      </c>
      <c r="C1177" s="224">
        <v>6</v>
      </c>
      <c r="D1177" s="225">
        <v>13</v>
      </c>
      <c r="E1177" s="226">
        <v>26355</v>
      </c>
      <c r="F1177" s="227">
        <v>11111111</v>
      </c>
      <c r="G1177" s="1"/>
      <c r="H1177" s="60">
        <v>4380.17</v>
      </c>
      <c r="I1177" s="228">
        <v>919.84</v>
      </c>
      <c r="J1177" s="229"/>
      <c r="K1177" s="229"/>
      <c r="L1177" s="229">
        <f>SUM(ventas_b_mes11[[#This Row],[IMPORTE NETO]:[EXENTO]])</f>
        <v>5300.01</v>
      </c>
      <c r="M1177" s="55"/>
    </row>
    <row r="1178" spans="2:13" x14ac:dyDescent="0.3">
      <c r="B1178" s="223">
        <v>44839</v>
      </c>
      <c r="C1178" s="224">
        <v>6</v>
      </c>
      <c r="D1178" s="225">
        <v>13</v>
      </c>
      <c r="E1178" s="226">
        <v>26356</v>
      </c>
      <c r="F1178" s="227">
        <v>17503067</v>
      </c>
      <c r="G1178" s="1" t="s">
        <v>275</v>
      </c>
      <c r="H1178" s="60">
        <v>7834.71</v>
      </c>
      <c r="I1178" s="228">
        <v>1645.29</v>
      </c>
      <c r="J1178" s="229"/>
      <c r="K1178" s="229"/>
      <c r="L1178" s="229">
        <f>SUM(ventas_b_mes11[[#This Row],[IMPORTE NETO]:[EXENTO]])</f>
        <v>9480</v>
      </c>
      <c r="M1178" s="55"/>
    </row>
    <row r="1179" spans="2:13" x14ac:dyDescent="0.3">
      <c r="B1179" s="223">
        <v>44839</v>
      </c>
      <c r="C1179" s="224">
        <v>6</v>
      </c>
      <c r="D1179" s="225">
        <v>13</v>
      </c>
      <c r="E1179" s="226">
        <v>26357</v>
      </c>
      <c r="F1179" s="227">
        <v>38268389</v>
      </c>
      <c r="G1179" s="1" t="s">
        <v>273</v>
      </c>
      <c r="H1179" s="60">
        <v>3057.85</v>
      </c>
      <c r="I1179" s="228">
        <v>642.15</v>
      </c>
      <c r="J1179" s="229"/>
      <c r="K1179" s="229"/>
      <c r="L1179" s="229">
        <f>SUM(ventas_b_mes11[[#This Row],[IMPORTE NETO]:[EXENTO]])</f>
        <v>3700</v>
      </c>
      <c r="M1179" s="55"/>
    </row>
    <row r="1180" spans="2:13" x14ac:dyDescent="0.3">
      <c r="B1180" s="223">
        <v>44839</v>
      </c>
      <c r="C1180" s="224">
        <v>6</v>
      </c>
      <c r="D1180" s="225">
        <v>13</v>
      </c>
      <c r="E1180" s="226">
        <v>26358</v>
      </c>
      <c r="F1180" s="227">
        <v>27153757</v>
      </c>
      <c r="G1180" s="1" t="s">
        <v>272</v>
      </c>
      <c r="H1180" s="60">
        <v>7867.77</v>
      </c>
      <c r="I1180" s="228">
        <v>1652.23</v>
      </c>
      <c r="J1180" s="229"/>
      <c r="K1180" s="229"/>
      <c r="L1180" s="229">
        <f>SUM(ventas_b_mes11[[#This Row],[IMPORTE NETO]:[EXENTO]])</f>
        <v>9520</v>
      </c>
      <c r="M1180" s="55"/>
    </row>
    <row r="1181" spans="2:13" x14ac:dyDescent="0.3">
      <c r="B1181" s="223">
        <v>44839</v>
      </c>
      <c r="C1181" s="224">
        <v>6</v>
      </c>
      <c r="D1181" s="225">
        <v>13</v>
      </c>
      <c r="E1181" s="226">
        <v>26359</v>
      </c>
      <c r="F1181" s="227">
        <v>0</v>
      </c>
      <c r="G1181" s="1"/>
      <c r="H1181" s="60">
        <v>2768.6</v>
      </c>
      <c r="I1181" s="228">
        <v>581.4</v>
      </c>
      <c r="J1181" s="229"/>
      <c r="K1181" s="229"/>
      <c r="L1181" s="229">
        <f>SUM(ventas_b_mes11[[#This Row],[IMPORTE NETO]:[EXENTO]])</f>
        <v>3350</v>
      </c>
      <c r="M1181" s="55"/>
    </row>
    <row r="1182" spans="2:13" x14ac:dyDescent="0.3">
      <c r="B1182" s="223">
        <v>44839</v>
      </c>
      <c r="C1182" s="224">
        <v>6</v>
      </c>
      <c r="D1182" s="225">
        <v>13</v>
      </c>
      <c r="E1182" s="226">
        <v>26360</v>
      </c>
      <c r="F1182" s="227">
        <v>11111111</v>
      </c>
      <c r="G1182" s="1"/>
      <c r="H1182" s="60">
        <v>1537.2</v>
      </c>
      <c r="I1182" s="228">
        <v>322.81</v>
      </c>
      <c r="J1182" s="229"/>
      <c r="K1182" s="229"/>
      <c r="L1182" s="229">
        <f>SUM(ventas_b_mes11[[#This Row],[IMPORTE NETO]:[EXENTO]])</f>
        <v>1860.01</v>
      </c>
      <c r="M1182" s="55"/>
    </row>
    <row r="1183" spans="2:13" x14ac:dyDescent="0.3">
      <c r="B1183" s="223">
        <v>44839</v>
      </c>
      <c r="C1183" s="224">
        <v>6</v>
      </c>
      <c r="D1183" s="225">
        <v>13</v>
      </c>
      <c r="E1183" s="226">
        <v>26361</v>
      </c>
      <c r="F1183" s="227">
        <v>96002716</v>
      </c>
      <c r="G1183" s="1" t="s">
        <v>296</v>
      </c>
      <c r="H1183" s="60">
        <v>6785.13</v>
      </c>
      <c r="I1183" s="228">
        <v>1424.88</v>
      </c>
      <c r="J1183" s="229"/>
      <c r="K1183" s="229"/>
      <c r="L1183" s="229">
        <f>SUM(ventas_b_mes11[[#This Row],[IMPORTE NETO]:[EXENTO]])</f>
        <v>8210.01</v>
      </c>
      <c r="M1183" s="55"/>
    </row>
    <row r="1184" spans="2:13" x14ac:dyDescent="0.3">
      <c r="B1184" s="223">
        <v>44840</v>
      </c>
      <c r="C1184" s="224">
        <v>6</v>
      </c>
      <c r="D1184" s="225">
        <v>13</v>
      </c>
      <c r="E1184" s="226">
        <v>26362</v>
      </c>
      <c r="F1184" s="227">
        <v>11111111</v>
      </c>
      <c r="G1184" s="1"/>
      <c r="H1184" s="60">
        <v>1033.06</v>
      </c>
      <c r="I1184" s="228">
        <v>216.94</v>
      </c>
      <c r="J1184" s="229"/>
      <c r="K1184" s="229"/>
      <c r="L1184" s="229">
        <f>SUM(ventas_b_mes11[[#This Row],[IMPORTE NETO]:[EXENTO]])</f>
        <v>1250</v>
      </c>
      <c r="M1184" s="55"/>
    </row>
    <row r="1185" spans="2:13" x14ac:dyDescent="0.3">
      <c r="B1185" s="223">
        <v>44840</v>
      </c>
      <c r="C1185" s="224">
        <v>6</v>
      </c>
      <c r="D1185" s="225">
        <v>13</v>
      </c>
      <c r="E1185" s="226">
        <v>26363</v>
      </c>
      <c r="F1185" s="227">
        <v>0</v>
      </c>
      <c r="G1185" s="1"/>
      <c r="H1185" s="60">
        <v>2561.98</v>
      </c>
      <c r="I1185" s="228">
        <v>538.02</v>
      </c>
      <c r="J1185" s="229"/>
      <c r="K1185" s="229"/>
      <c r="L1185" s="229">
        <f>SUM(ventas_b_mes11[[#This Row],[IMPORTE NETO]:[EXENTO]])</f>
        <v>3100</v>
      </c>
      <c r="M1185" s="55"/>
    </row>
    <row r="1186" spans="2:13" x14ac:dyDescent="0.3">
      <c r="B1186" s="223">
        <v>44840</v>
      </c>
      <c r="C1186" s="224">
        <v>6</v>
      </c>
      <c r="D1186" s="225">
        <v>13</v>
      </c>
      <c r="E1186" s="226">
        <v>26364</v>
      </c>
      <c r="F1186" s="227">
        <v>125</v>
      </c>
      <c r="G1186" s="1"/>
      <c r="H1186" s="60">
        <v>6512.4</v>
      </c>
      <c r="I1186" s="228">
        <v>1367.6</v>
      </c>
      <c r="J1186" s="229"/>
      <c r="K1186" s="229"/>
      <c r="L1186" s="229">
        <f>SUM(ventas_b_mes11[[#This Row],[IMPORTE NETO]:[EXENTO]])</f>
        <v>7880</v>
      </c>
      <c r="M1186" s="55"/>
    </row>
    <row r="1187" spans="2:13" x14ac:dyDescent="0.3">
      <c r="B1187" s="223">
        <v>44840</v>
      </c>
      <c r="C1187" s="224">
        <v>6</v>
      </c>
      <c r="D1187" s="225">
        <v>13</v>
      </c>
      <c r="E1187" s="226">
        <v>26365</v>
      </c>
      <c r="F1187" s="227">
        <v>11111111</v>
      </c>
      <c r="G1187" s="1"/>
      <c r="H1187" s="60">
        <v>9008.26</v>
      </c>
      <c r="I1187" s="228">
        <v>1891.73</v>
      </c>
      <c r="J1187" s="229"/>
      <c r="K1187" s="229"/>
      <c r="L1187" s="229">
        <f>SUM(ventas_b_mes11[[#This Row],[IMPORTE NETO]:[EXENTO]])</f>
        <v>10899.99</v>
      </c>
      <c r="M1187" s="55"/>
    </row>
    <row r="1188" spans="2:13" x14ac:dyDescent="0.3">
      <c r="B1188" s="223">
        <v>44840</v>
      </c>
      <c r="C1188" s="224">
        <v>6</v>
      </c>
      <c r="D1188" s="225">
        <v>13</v>
      </c>
      <c r="E1188" s="226">
        <v>26366</v>
      </c>
      <c r="F1188" s="227">
        <v>0</v>
      </c>
      <c r="G1188" s="1"/>
      <c r="H1188" s="60">
        <v>3677.69</v>
      </c>
      <c r="I1188" s="228">
        <v>772.31</v>
      </c>
      <c r="J1188" s="229"/>
      <c r="K1188" s="229"/>
      <c r="L1188" s="229">
        <f>SUM(ventas_b_mes11[[#This Row],[IMPORTE NETO]:[EXENTO]])</f>
        <v>4450</v>
      </c>
      <c r="M1188" s="55"/>
    </row>
    <row r="1189" spans="2:13" x14ac:dyDescent="0.3">
      <c r="B1189" s="223">
        <v>44840</v>
      </c>
      <c r="C1189" s="224">
        <v>6</v>
      </c>
      <c r="D1189" s="225">
        <v>13</v>
      </c>
      <c r="E1189" s="226">
        <v>26367</v>
      </c>
      <c r="F1189" s="227">
        <v>0</v>
      </c>
      <c r="G1189" s="1"/>
      <c r="H1189" s="60">
        <v>793.39</v>
      </c>
      <c r="I1189" s="228">
        <v>166.61</v>
      </c>
      <c r="J1189" s="229"/>
      <c r="K1189" s="229"/>
      <c r="L1189" s="229">
        <f>SUM(ventas_b_mes11[[#This Row],[IMPORTE NETO]:[EXENTO]])</f>
        <v>960</v>
      </c>
      <c r="M1189" s="55"/>
    </row>
    <row r="1190" spans="2:13" x14ac:dyDescent="0.3">
      <c r="B1190" s="223">
        <v>44840</v>
      </c>
      <c r="C1190" s="224">
        <v>6</v>
      </c>
      <c r="D1190" s="225">
        <v>13</v>
      </c>
      <c r="E1190" s="226">
        <v>26368</v>
      </c>
      <c r="F1190" s="227">
        <v>24235670</v>
      </c>
      <c r="G1190" s="1" t="s">
        <v>318</v>
      </c>
      <c r="H1190" s="60">
        <v>1487.6</v>
      </c>
      <c r="I1190" s="228">
        <v>312.39999999999998</v>
      </c>
      <c r="J1190" s="229"/>
      <c r="K1190" s="229"/>
      <c r="L1190" s="229">
        <f>SUM(ventas_b_mes11[[#This Row],[IMPORTE NETO]:[EXENTO]])</f>
        <v>1800</v>
      </c>
      <c r="M1190" s="55"/>
    </row>
    <row r="1191" spans="2:13" x14ac:dyDescent="0.3">
      <c r="B1191" s="223">
        <v>44840</v>
      </c>
      <c r="C1191" s="224">
        <v>6</v>
      </c>
      <c r="D1191" s="225">
        <v>13</v>
      </c>
      <c r="E1191" s="226">
        <v>26369</v>
      </c>
      <c r="F1191" s="227">
        <v>11111111</v>
      </c>
      <c r="G1191" s="1"/>
      <c r="H1191" s="60">
        <v>1209.92</v>
      </c>
      <c r="I1191" s="228">
        <v>254.08</v>
      </c>
      <c r="J1191" s="229"/>
      <c r="K1191" s="229"/>
      <c r="L1191" s="229">
        <f>SUM(ventas_b_mes11[[#This Row],[IMPORTE NETO]:[EXENTO]])</f>
        <v>1464</v>
      </c>
      <c r="M1191" s="55"/>
    </row>
    <row r="1192" spans="2:13" x14ac:dyDescent="0.3">
      <c r="B1192" s="223">
        <v>44840</v>
      </c>
      <c r="C1192" s="224">
        <v>6</v>
      </c>
      <c r="D1192" s="225">
        <v>13</v>
      </c>
      <c r="E1192" s="226">
        <v>26370</v>
      </c>
      <c r="F1192" s="227">
        <v>39266096</v>
      </c>
      <c r="G1192" s="1" t="s">
        <v>335</v>
      </c>
      <c r="H1192" s="60">
        <v>5588.84</v>
      </c>
      <c r="I1192" s="228">
        <v>1173.6600000000001</v>
      </c>
      <c r="J1192" s="229"/>
      <c r="K1192" s="229"/>
      <c r="L1192" s="229">
        <f>SUM(ventas_b_mes11[[#This Row],[IMPORTE NETO]:[EXENTO]])</f>
        <v>6762.5</v>
      </c>
      <c r="M1192" s="55"/>
    </row>
    <row r="1193" spans="2:13" x14ac:dyDescent="0.3">
      <c r="B1193" s="223">
        <v>44840</v>
      </c>
      <c r="C1193" s="224">
        <v>6</v>
      </c>
      <c r="D1193" s="225">
        <v>13</v>
      </c>
      <c r="E1193" s="226">
        <v>26371</v>
      </c>
      <c r="F1193" s="227">
        <v>11111111</v>
      </c>
      <c r="G1193" s="1"/>
      <c r="H1193" s="60">
        <v>148.76</v>
      </c>
      <c r="I1193" s="228">
        <v>31.24</v>
      </c>
      <c r="J1193" s="229"/>
      <c r="K1193" s="229"/>
      <c r="L1193" s="229">
        <f>SUM(ventas_b_mes11[[#This Row],[IMPORTE NETO]:[EXENTO]])</f>
        <v>180</v>
      </c>
      <c r="M1193" s="55"/>
    </row>
    <row r="1194" spans="2:13" x14ac:dyDescent="0.3">
      <c r="B1194" s="223">
        <v>44840</v>
      </c>
      <c r="C1194" s="224">
        <v>6</v>
      </c>
      <c r="D1194" s="225">
        <v>13</v>
      </c>
      <c r="E1194" s="226">
        <v>26372</v>
      </c>
      <c r="F1194" s="227">
        <v>92811677</v>
      </c>
      <c r="G1194" s="1" t="s">
        <v>149</v>
      </c>
      <c r="H1194" s="60">
        <v>1652.89</v>
      </c>
      <c r="I1194" s="228">
        <v>347.11</v>
      </c>
      <c r="J1194" s="229"/>
      <c r="K1194" s="229"/>
      <c r="L1194" s="229">
        <f>SUM(ventas_b_mes11[[#This Row],[IMPORTE NETO]:[EXENTO]])</f>
        <v>2000</v>
      </c>
      <c r="M1194" s="55"/>
    </row>
    <row r="1195" spans="2:13" x14ac:dyDescent="0.3">
      <c r="B1195" s="223">
        <v>44840</v>
      </c>
      <c r="C1195" s="224">
        <v>6</v>
      </c>
      <c r="D1195" s="225">
        <v>13</v>
      </c>
      <c r="E1195" s="226">
        <v>26373</v>
      </c>
      <c r="F1195" s="227">
        <v>33026736</v>
      </c>
      <c r="G1195" s="1" t="s">
        <v>337</v>
      </c>
      <c r="H1195" s="60">
        <v>5914.88</v>
      </c>
      <c r="I1195" s="228">
        <v>1242.1300000000001</v>
      </c>
      <c r="J1195" s="229"/>
      <c r="K1195" s="229"/>
      <c r="L1195" s="229">
        <f>SUM(ventas_b_mes11[[#This Row],[IMPORTE NETO]:[EXENTO]])</f>
        <v>7157.01</v>
      </c>
      <c r="M1195" s="55"/>
    </row>
    <row r="1196" spans="2:13" x14ac:dyDescent="0.3">
      <c r="B1196" s="223">
        <v>44840</v>
      </c>
      <c r="C1196" s="224">
        <v>6</v>
      </c>
      <c r="D1196" s="225">
        <v>13</v>
      </c>
      <c r="E1196" s="226">
        <v>26374</v>
      </c>
      <c r="F1196" s="227">
        <v>22933070</v>
      </c>
      <c r="G1196" s="1" t="s">
        <v>328</v>
      </c>
      <c r="H1196" s="60">
        <v>4958.68</v>
      </c>
      <c r="I1196" s="228">
        <v>1041.32</v>
      </c>
      <c r="J1196" s="229"/>
      <c r="K1196" s="229"/>
      <c r="L1196" s="229">
        <f>SUM(ventas_b_mes11[[#This Row],[IMPORTE NETO]:[EXENTO]])</f>
        <v>6000</v>
      </c>
      <c r="M1196" s="55"/>
    </row>
    <row r="1197" spans="2:13" x14ac:dyDescent="0.3">
      <c r="B1197" s="223">
        <v>44840</v>
      </c>
      <c r="C1197" s="224">
        <v>6</v>
      </c>
      <c r="D1197" s="225">
        <v>13</v>
      </c>
      <c r="E1197" s="226">
        <v>26375</v>
      </c>
      <c r="F1197" s="227">
        <v>19084273</v>
      </c>
      <c r="G1197" s="1" t="s">
        <v>352</v>
      </c>
      <c r="H1197" s="60">
        <v>4958.68</v>
      </c>
      <c r="I1197" s="228">
        <v>1041.32</v>
      </c>
      <c r="J1197" s="229"/>
      <c r="K1197" s="229"/>
      <c r="L1197" s="229">
        <f>SUM(ventas_b_mes11[[#This Row],[IMPORTE NETO]:[EXENTO]])</f>
        <v>6000</v>
      </c>
      <c r="M1197" s="55"/>
    </row>
    <row r="1198" spans="2:13" x14ac:dyDescent="0.3">
      <c r="B1198" s="223">
        <v>44842</v>
      </c>
      <c r="C1198" s="224">
        <v>6</v>
      </c>
      <c r="D1198" s="225">
        <v>13</v>
      </c>
      <c r="E1198" s="226">
        <v>26376</v>
      </c>
      <c r="F1198" s="227">
        <v>20569293</v>
      </c>
      <c r="G1198" s="1" t="s">
        <v>142</v>
      </c>
      <c r="H1198" s="60">
        <v>9917.36</v>
      </c>
      <c r="I1198" s="228">
        <v>2082.64</v>
      </c>
      <c r="J1198" s="229"/>
      <c r="K1198" s="229"/>
      <c r="L1198" s="229">
        <f>SUM(ventas_b_mes11[[#This Row],[IMPORTE NETO]:[EXENTO]])</f>
        <v>12000</v>
      </c>
      <c r="M1198" s="55"/>
    </row>
    <row r="1199" spans="2:13" x14ac:dyDescent="0.3">
      <c r="B1199" s="223">
        <v>44842</v>
      </c>
      <c r="C1199" s="224">
        <v>6</v>
      </c>
      <c r="D1199" s="225">
        <v>13</v>
      </c>
      <c r="E1199" s="226">
        <v>26377</v>
      </c>
      <c r="F1199" s="227">
        <v>26562916</v>
      </c>
      <c r="G1199" s="1" t="s">
        <v>391</v>
      </c>
      <c r="H1199" s="60">
        <v>4958.68</v>
      </c>
      <c r="I1199" s="228">
        <v>1041.32</v>
      </c>
      <c r="J1199" s="229"/>
      <c r="K1199" s="229"/>
      <c r="L1199" s="229">
        <f>SUM(ventas_b_mes11[[#This Row],[IMPORTE NETO]:[EXENTO]])</f>
        <v>6000</v>
      </c>
      <c r="M1199" s="55"/>
    </row>
    <row r="1200" spans="2:13" x14ac:dyDescent="0.3">
      <c r="B1200" s="223">
        <v>44842</v>
      </c>
      <c r="C1200" s="224">
        <v>6</v>
      </c>
      <c r="D1200" s="225">
        <v>13</v>
      </c>
      <c r="E1200" s="226">
        <v>26378</v>
      </c>
      <c r="F1200" s="227">
        <v>16286682</v>
      </c>
      <c r="G1200" s="1" t="s">
        <v>390</v>
      </c>
      <c r="H1200" s="60">
        <v>4958.68</v>
      </c>
      <c r="I1200" s="228">
        <v>1041.32</v>
      </c>
      <c r="J1200" s="229"/>
      <c r="K1200" s="229"/>
      <c r="L1200" s="229">
        <f>SUM(ventas_b_mes11[[#This Row],[IMPORTE NETO]:[EXENTO]])</f>
        <v>6000</v>
      </c>
      <c r="M1200" s="55"/>
    </row>
    <row r="1201" spans="2:13" x14ac:dyDescent="0.3">
      <c r="B1201" s="223">
        <v>44842</v>
      </c>
      <c r="C1201" s="224">
        <v>6</v>
      </c>
      <c r="D1201" s="225">
        <v>13</v>
      </c>
      <c r="E1201" s="226">
        <v>26379</v>
      </c>
      <c r="F1201" s="227">
        <v>16243515</v>
      </c>
      <c r="G1201" s="1" t="s">
        <v>392</v>
      </c>
      <c r="H1201" s="60">
        <v>10227.27</v>
      </c>
      <c r="I1201" s="228">
        <v>2147.73</v>
      </c>
      <c r="J1201" s="229"/>
      <c r="K1201" s="229"/>
      <c r="L1201" s="229">
        <f>SUM(ventas_b_mes11[[#This Row],[IMPORTE NETO]:[EXENTO]])</f>
        <v>12375</v>
      </c>
      <c r="M1201" s="55"/>
    </row>
    <row r="1202" spans="2:13" x14ac:dyDescent="0.3">
      <c r="B1202" s="223">
        <v>44842</v>
      </c>
      <c r="C1202" s="224">
        <v>6</v>
      </c>
      <c r="D1202" s="225">
        <v>13</v>
      </c>
      <c r="E1202" s="226">
        <v>26380</v>
      </c>
      <c r="F1202" s="227">
        <v>11111111</v>
      </c>
      <c r="G1202" s="1"/>
      <c r="H1202" s="60">
        <v>23578.53</v>
      </c>
      <c r="I1202" s="228">
        <v>4951.49</v>
      </c>
      <c r="J1202" s="229"/>
      <c r="K1202" s="229"/>
      <c r="L1202" s="229">
        <f>SUM(ventas_b_mes11[[#This Row],[IMPORTE NETO]:[EXENTO]])</f>
        <v>28530.019999999997</v>
      </c>
      <c r="M1202" s="55"/>
    </row>
    <row r="1203" spans="2:13" x14ac:dyDescent="0.3">
      <c r="B1203" s="223">
        <v>44842</v>
      </c>
      <c r="C1203" s="224">
        <v>6</v>
      </c>
      <c r="D1203" s="225">
        <v>13</v>
      </c>
      <c r="E1203" s="226">
        <v>26381</v>
      </c>
      <c r="F1203" s="227">
        <v>94172260</v>
      </c>
      <c r="G1203" s="1" t="s">
        <v>387</v>
      </c>
      <c r="H1203" s="60">
        <v>4958.68</v>
      </c>
      <c r="I1203" s="228">
        <v>1041.32</v>
      </c>
      <c r="J1203" s="229"/>
      <c r="K1203" s="229"/>
      <c r="L1203" s="229">
        <f>SUM(ventas_b_mes11[[#This Row],[IMPORTE NETO]:[EXENTO]])</f>
        <v>6000</v>
      </c>
      <c r="M1203" s="55"/>
    </row>
    <row r="1204" spans="2:13" x14ac:dyDescent="0.3">
      <c r="B1204" s="223">
        <v>44845</v>
      </c>
      <c r="C1204" s="224">
        <v>6</v>
      </c>
      <c r="D1204" s="225">
        <v>13</v>
      </c>
      <c r="E1204" s="226">
        <v>26382</v>
      </c>
      <c r="F1204" s="227">
        <v>94640073</v>
      </c>
      <c r="G1204" s="1" t="s">
        <v>506</v>
      </c>
      <c r="H1204" s="60">
        <v>4958.68</v>
      </c>
      <c r="I1204" s="228">
        <v>1041.32</v>
      </c>
      <c r="J1204" s="229"/>
      <c r="K1204" s="229"/>
      <c r="L1204" s="229">
        <f>SUM(ventas_b_mes11[[#This Row],[IMPORTE NETO]:[EXENTO]])</f>
        <v>6000</v>
      </c>
      <c r="M1204" s="55"/>
    </row>
    <row r="1205" spans="2:13" x14ac:dyDescent="0.3">
      <c r="B1205" s="223">
        <v>44845</v>
      </c>
      <c r="C1205" s="224">
        <v>6</v>
      </c>
      <c r="D1205" s="225">
        <v>13</v>
      </c>
      <c r="E1205" s="226">
        <v>26383</v>
      </c>
      <c r="F1205" s="227">
        <v>40641786</v>
      </c>
      <c r="G1205" s="1" t="s">
        <v>545</v>
      </c>
      <c r="H1205" s="60">
        <v>1404.96</v>
      </c>
      <c r="I1205" s="228">
        <v>295.04000000000002</v>
      </c>
      <c r="J1205" s="229"/>
      <c r="K1205" s="229"/>
      <c r="L1205" s="229">
        <f>SUM(ventas_b_mes11[[#This Row],[IMPORTE NETO]:[EXENTO]])</f>
        <v>1700</v>
      </c>
      <c r="M1205" s="55"/>
    </row>
    <row r="1206" spans="2:13" x14ac:dyDescent="0.3">
      <c r="B1206" s="223" t="s">
        <v>109</v>
      </c>
      <c r="C1206" s="224">
        <v>6</v>
      </c>
      <c r="D1206" s="225">
        <v>13</v>
      </c>
      <c r="E1206" s="226">
        <v>26384</v>
      </c>
      <c r="F1206" s="227">
        <v>22110195</v>
      </c>
      <c r="G1206" s="1" t="s">
        <v>578</v>
      </c>
      <c r="H1206" s="60">
        <v>25557.87</v>
      </c>
      <c r="I1206" s="228">
        <v>5367.15</v>
      </c>
      <c r="J1206" s="229"/>
      <c r="K1206" s="229"/>
      <c r="L1206" s="229">
        <f>SUM(ventas_b_mes11[[#This Row],[IMPORTE NETO]:[EXENTO]])</f>
        <v>30925.019999999997</v>
      </c>
      <c r="M1206" s="55"/>
    </row>
    <row r="1207" spans="2:13" x14ac:dyDescent="0.3">
      <c r="B1207" s="223" t="s">
        <v>109</v>
      </c>
      <c r="C1207" s="224">
        <v>6</v>
      </c>
      <c r="D1207" s="225">
        <v>13</v>
      </c>
      <c r="E1207" s="226">
        <v>26385</v>
      </c>
      <c r="F1207" s="227">
        <v>111</v>
      </c>
      <c r="G1207" s="1"/>
      <c r="H1207" s="60">
        <v>49604.639999999999</v>
      </c>
      <c r="I1207" s="228">
        <v>10416.969999999999</v>
      </c>
      <c r="J1207" s="229"/>
      <c r="K1207" s="229"/>
      <c r="L1207" s="229">
        <f>SUM(ventas_b_mes11[[#This Row],[IMPORTE NETO]:[EXENTO]])</f>
        <v>60021.61</v>
      </c>
      <c r="M1207" s="55"/>
    </row>
    <row r="1208" spans="2:13" x14ac:dyDescent="0.3">
      <c r="B1208" s="223" t="s">
        <v>109</v>
      </c>
      <c r="C1208" s="224">
        <v>6</v>
      </c>
      <c r="D1208" s="225">
        <v>13</v>
      </c>
      <c r="E1208" s="226">
        <v>26386</v>
      </c>
      <c r="F1208" s="227">
        <v>111</v>
      </c>
      <c r="G1208" s="1"/>
      <c r="H1208" s="60">
        <v>7475.21</v>
      </c>
      <c r="I1208" s="228">
        <v>1569.79</v>
      </c>
      <c r="J1208" s="229"/>
      <c r="K1208" s="229"/>
      <c r="L1208" s="229">
        <f>SUM(ventas_b_mes11[[#This Row],[IMPORTE NETO]:[EXENTO]])</f>
        <v>9045</v>
      </c>
      <c r="M1208" s="55"/>
    </row>
    <row r="1209" spans="2:13" x14ac:dyDescent="0.3">
      <c r="B1209" s="223">
        <v>44845</v>
      </c>
      <c r="C1209" s="224">
        <v>6</v>
      </c>
      <c r="D1209" s="225">
        <v>13</v>
      </c>
      <c r="E1209" s="226">
        <v>26387</v>
      </c>
      <c r="F1209" s="227">
        <v>29147355</v>
      </c>
      <c r="G1209" s="1" t="s">
        <v>216</v>
      </c>
      <c r="H1209" s="60">
        <v>6190.08</v>
      </c>
      <c r="I1209" s="228">
        <v>1299.92</v>
      </c>
      <c r="J1209" s="229"/>
      <c r="K1209" s="229"/>
      <c r="L1209" s="229">
        <f>SUM(ventas_b_mes11[[#This Row],[IMPORTE NETO]:[EXENTO]])</f>
        <v>7490</v>
      </c>
      <c r="M1209" s="55"/>
    </row>
    <row r="1210" spans="2:13" x14ac:dyDescent="0.3">
      <c r="B1210" s="223" t="s">
        <v>109</v>
      </c>
      <c r="C1210" s="224">
        <v>6</v>
      </c>
      <c r="D1210" s="225">
        <v>13</v>
      </c>
      <c r="E1210" s="226">
        <v>26388</v>
      </c>
      <c r="F1210" s="227">
        <v>0</v>
      </c>
      <c r="G1210" s="1"/>
      <c r="H1210" s="60">
        <v>1611.57</v>
      </c>
      <c r="I1210" s="228">
        <v>338.43</v>
      </c>
      <c r="J1210" s="229"/>
      <c r="K1210" s="229"/>
      <c r="L1210" s="229">
        <f>SUM(ventas_b_mes11[[#This Row],[IMPORTE NETO]:[EXENTO]])</f>
        <v>1950</v>
      </c>
      <c r="M1210" s="55"/>
    </row>
    <row r="1211" spans="2:13" x14ac:dyDescent="0.3">
      <c r="B1211" s="223" t="s">
        <v>109</v>
      </c>
      <c r="C1211" s="224">
        <v>6</v>
      </c>
      <c r="D1211" s="225">
        <v>13</v>
      </c>
      <c r="E1211" s="226">
        <v>26389</v>
      </c>
      <c r="F1211" s="227">
        <v>1111</v>
      </c>
      <c r="G1211" s="1"/>
      <c r="H1211" s="60">
        <v>6132.23</v>
      </c>
      <c r="I1211" s="228">
        <v>1287.77</v>
      </c>
      <c r="J1211" s="229"/>
      <c r="K1211" s="229"/>
      <c r="L1211" s="229">
        <f>SUM(ventas_b_mes11[[#This Row],[IMPORTE NETO]:[EXENTO]])</f>
        <v>7420</v>
      </c>
      <c r="M1211" s="55"/>
    </row>
    <row r="1212" spans="2:13" x14ac:dyDescent="0.3">
      <c r="B1212" s="223">
        <v>44845</v>
      </c>
      <c r="C1212" s="224">
        <v>6</v>
      </c>
      <c r="D1212" s="225">
        <v>13</v>
      </c>
      <c r="E1212" s="226">
        <v>26390</v>
      </c>
      <c r="F1212" s="227">
        <v>0</v>
      </c>
      <c r="G1212" s="1"/>
      <c r="H1212" s="60">
        <v>1818.18</v>
      </c>
      <c r="I1212" s="228">
        <v>381.82</v>
      </c>
      <c r="J1212" s="229"/>
      <c r="K1212" s="229"/>
      <c r="L1212" s="229">
        <f>SUM(ventas_b_mes11[[#This Row],[IMPORTE NETO]:[EXENTO]])</f>
        <v>2200</v>
      </c>
      <c r="M1212" s="55"/>
    </row>
    <row r="1213" spans="2:13" x14ac:dyDescent="0.3">
      <c r="B1213" s="223">
        <v>44846</v>
      </c>
      <c r="C1213" s="224">
        <v>6</v>
      </c>
      <c r="D1213" s="225">
        <v>13</v>
      </c>
      <c r="E1213" s="226">
        <v>26391</v>
      </c>
      <c r="F1213" s="227">
        <v>7894561233</v>
      </c>
      <c r="G1213" s="1"/>
      <c r="H1213" s="60">
        <v>1892.56</v>
      </c>
      <c r="I1213" s="228">
        <v>397.44</v>
      </c>
      <c r="J1213" s="229"/>
      <c r="K1213" s="229"/>
      <c r="L1213" s="229">
        <f>SUM(ventas_b_mes11[[#This Row],[IMPORTE NETO]:[EXENTO]])</f>
        <v>2290</v>
      </c>
      <c r="M1213" s="55"/>
    </row>
    <row r="1214" spans="2:13" x14ac:dyDescent="0.3">
      <c r="B1214" s="223">
        <v>44846</v>
      </c>
      <c r="C1214" s="224">
        <v>6</v>
      </c>
      <c r="D1214" s="225">
        <v>13</v>
      </c>
      <c r="E1214" s="226">
        <v>26392</v>
      </c>
      <c r="F1214" s="227">
        <v>27762548</v>
      </c>
      <c r="G1214" s="1" t="s">
        <v>583</v>
      </c>
      <c r="H1214" s="60">
        <v>4958.68</v>
      </c>
      <c r="I1214" s="228">
        <v>1041.32</v>
      </c>
      <c r="J1214" s="229"/>
      <c r="K1214" s="229"/>
      <c r="L1214" s="229">
        <f>SUM(ventas_b_mes11[[#This Row],[IMPORTE NETO]:[EXENTO]])</f>
        <v>6000</v>
      </c>
      <c r="M1214" s="55"/>
    </row>
    <row r="1215" spans="2:13" x14ac:dyDescent="0.3">
      <c r="B1215" s="223">
        <v>44846</v>
      </c>
      <c r="C1215" s="224">
        <v>6</v>
      </c>
      <c r="D1215" s="225">
        <v>13</v>
      </c>
      <c r="E1215" s="226">
        <v>26393</v>
      </c>
      <c r="F1215" s="227">
        <v>1111</v>
      </c>
      <c r="G1215" s="1"/>
      <c r="H1215" s="60">
        <v>3429.75</v>
      </c>
      <c r="I1215" s="228">
        <v>720.25</v>
      </c>
      <c r="J1215" s="229"/>
      <c r="K1215" s="229"/>
      <c r="L1215" s="229">
        <f>SUM(ventas_b_mes11[[#This Row],[IMPORTE NETO]:[EXENTO]])</f>
        <v>4150</v>
      </c>
      <c r="M1215" s="55"/>
    </row>
    <row r="1216" spans="2:13" x14ac:dyDescent="0.3">
      <c r="B1216" s="223">
        <v>44846</v>
      </c>
      <c r="C1216" s="224">
        <v>6</v>
      </c>
      <c r="D1216" s="225">
        <v>13</v>
      </c>
      <c r="E1216" s="226">
        <v>26394</v>
      </c>
      <c r="F1216" s="227">
        <v>111</v>
      </c>
      <c r="G1216" s="1"/>
      <c r="H1216" s="60">
        <v>3074.38</v>
      </c>
      <c r="I1216" s="228">
        <v>645.62</v>
      </c>
      <c r="J1216" s="229"/>
      <c r="K1216" s="229"/>
      <c r="L1216" s="229">
        <f>SUM(ventas_b_mes11[[#This Row],[IMPORTE NETO]:[EXENTO]])</f>
        <v>3720</v>
      </c>
      <c r="M1216" s="55"/>
    </row>
    <row r="1217" spans="2:13" x14ac:dyDescent="0.3">
      <c r="B1217" s="223">
        <v>44846</v>
      </c>
      <c r="C1217" s="224">
        <v>6</v>
      </c>
      <c r="D1217" s="225">
        <v>13</v>
      </c>
      <c r="E1217" s="226">
        <v>26395</v>
      </c>
      <c r="F1217" s="227">
        <v>11111111</v>
      </c>
      <c r="G1217" s="1"/>
      <c r="H1217" s="60">
        <v>1177.69</v>
      </c>
      <c r="I1217" s="228">
        <v>247.31</v>
      </c>
      <c r="J1217" s="229"/>
      <c r="K1217" s="229"/>
      <c r="L1217" s="229">
        <f>SUM(ventas_b_mes11[[#This Row],[IMPORTE NETO]:[EXENTO]])</f>
        <v>1425</v>
      </c>
      <c r="M1217" s="55"/>
    </row>
    <row r="1218" spans="2:13" x14ac:dyDescent="0.3">
      <c r="B1218" s="223">
        <v>44846</v>
      </c>
      <c r="C1218" s="224">
        <v>6</v>
      </c>
      <c r="D1218" s="225">
        <v>13</v>
      </c>
      <c r="E1218" s="226">
        <v>26396</v>
      </c>
      <c r="F1218" s="227">
        <v>0</v>
      </c>
      <c r="G1218" s="1"/>
      <c r="H1218" s="60">
        <v>2685.95</v>
      </c>
      <c r="I1218" s="228">
        <v>564.04999999999995</v>
      </c>
      <c r="J1218" s="229"/>
      <c r="K1218" s="229"/>
      <c r="L1218" s="229">
        <f>SUM(ventas_b_mes11[[#This Row],[IMPORTE NETO]:[EXENTO]])</f>
        <v>3250</v>
      </c>
      <c r="M1218" s="55"/>
    </row>
    <row r="1219" spans="2:13" x14ac:dyDescent="0.3">
      <c r="B1219" s="223">
        <v>44846</v>
      </c>
      <c r="C1219" s="224">
        <v>6</v>
      </c>
      <c r="D1219" s="225">
        <v>13</v>
      </c>
      <c r="E1219" s="226">
        <v>26397</v>
      </c>
      <c r="F1219" s="227">
        <v>0</v>
      </c>
      <c r="G1219" s="1"/>
      <c r="H1219" s="60">
        <v>1033.06</v>
      </c>
      <c r="I1219" s="228">
        <v>216.94</v>
      </c>
      <c r="J1219" s="229"/>
      <c r="K1219" s="229"/>
      <c r="L1219" s="229">
        <f>SUM(ventas_b_mes11[[#This Row],[IMPORTE NETO]:[EXENTO]])</f>
        <v>1250</v>
      </c>
      <c r="M1219" s="55"/>
    </row>
    <row r="1220" spans="2:13" x14ac:dyDescent="0.3">
      <c r="B1220" s="223">
        <v>44846</v>
      </c>
      <c r="C1220" s="224">
        <v>6</v>
      </c>
      <c r="D1220" s="225">
        <v>13</v>
      </c>
      <c r="E1220" s="226">
        <v>26398</v>
      </c>
      <c r="F1220" s="227">
        <v>0</v>
      </c>
      <c r="G1220" s="1"/>
      <c r="H1220" s="60">
        <v>3925.62</v>
      </c>
      <c r="I1220" s="228">
        <v>824.38</v>
      </c>
      <c r="J1220" s="229"/>
      <c r="K1220" s="229"/>
      <c r="L1220" s="229">
        <f>SUM(ventas_b_mes11[[#This Row],[IMPORTE NETO]:[EXENTO]])</f>
        <v>4750</v>
      </c>
      <c r="M1220" s="55"/>
    </row>
    <row r="1221" spans="2:13" x14ac:dyDescent="0.3">
      <c r="B1221" s="223">
        <v>44846</v>
      </c>
      <c r="C1221" s="224">
        <v>6</v>
      </c>
      <c r="D1221" s="225">
        <v>13</v>
      </c>
      <c r="E1221" s="226">
        <v>26399</v>
      </c>
      <c r="F1221" s="227">
        <v>27300495</v>
      </c>
      <c r="G1221" s="1" t="s">
        <v>606</v>
      </c>
      <c r="H1221" s="60">
        <v>3966.94</v>
      </c>
      <c r="I1221" s="228">
        <v>833.06</v>
      </c>
      <c r="J1221" s="229"/>
      <c r="K1221" s="229"/>
      <c r="L1221" s="229">
        <f>SUM(ventas_b_mes11[[#This Row],[IMPORTE NETO]:[EXENTO]])</f>
        <v>4800</v>
      </c>
      <c r="M1221" s="55"/>
    </row>
    <row r="1222" spans="2:13" x14ac:dyDescent="0.3">
      <c r="B1222" s="223">
        <v>44846</v>
      </c>
      <c r="C1222" s="224">
        <v>6</v>
      </c>
      <c r="D1222" s="225">
        <v>13</v>
      </c>
      <c r="E1222" s="226">
        <v>26400</v>
      </c>
      <c r="F1222" s="227">
        <v>2899900</v>
      </c>
      <c r="G1222" s="1"/>
      <c r="H1222" s="60">
        <v>14628.11</v>
      </c>
      <c r="I1222" s="228">
        <v>3071.9</v>
      </c>
      <c r="J1222" s="229"/>
      <c r="K1222" s="229"/>
      <c r="L1222" s="229">
        <f>SUM(ventas_b_mes11[[#This Row],[IMPORTE NETO]:[EXENTO]])</f>
        <v>17700.010000000002</v>
      </c>
      <c r="M1222" s="55"/>
    </row>
    <row r="1223" spans="2:13" x14ac:dyDescent="0.3">
      <c r="B1223" s="223">
        <v>44846</v>
      </c>
      <c r="C1223" s="224">
        <v>6</v>
      </c>
      <c r="D1223" s="225">
        <v>13</v>
      </c>
      <c r="E1223" s="226">
        <v>26401</v>
      </c>
      <c r="F1223" s="227">
        <v>2899900</v>
      </c>
      <c r="G1223" s="1"/>
      <c r="H1223" s="60">
        <v>27024.78</v>
      </c>
      <c r="I1223" s="228">
        <v>5675.2</v>
      </c>
      <c r="J1223" s="229"/>
      <c r="K1223" s="229"/>
      <c r="L1223" s="229">
        <f>SUM(ventas_b_mes11[[#This Row],[IMPORTE NETO]:[EXENTO]])</f>
        <v>32699.98</v>
      </c>
      <c r="M1223" s="55"/>
    </row>
    <row r="1224" spans="2:13" x14ac:dyDescent="0.3">
      <c r="B1224" s="223">
        <v>44847</v>
      </c>
      <c r="C1224" s="224">
        <v>6</v>
      </c>
      <c r="D1224" s="225">
        <v>13</v>
      </c>
      <c r="E1224" s="226">
        <v>26402</v>
      </c>
      <c r="F1224" s="227">
        <v>111</v>
      </c>
      <c r="G1224" s="1"/>
      <c r="H1224" s="60">
        <v>3702.48</v>
      </c>
      <c r="I1224" s="228">
        <v>777.52</v>
      </c>
      <c r="J1224" s="229"/>
      <c r="K1224" s="229"/>
      <c r="L1224" s="229">
        <f>SUM(ventas_b_mes11[[#This Row],[IMPORTE NETO]:[EXENTO]])</f>
        <v>4480</v>
      </c>
      <c r="M1224" s="55"/>
    </row>
    <row r="1225" spans="2:13" x14ac:dyDescent="0.3">
      <c r="B1225" s="223">
        <v>44847</v>
      </c>
      <c r="C1225" s="224">
        <v>6</v>
      </c>
      <c r="D1225" s="225">
        <v>13</v>
      </c>
      <c r="E1225" s="226">
        <v>26403</v>
      </c>
      <c r="F1225" s="227">
        <v>125</v>
      </c>
      <c r="G1225" s="1"/>
      <c r="H1225" s="60">
        <v>6701.65</v>
      </c>
      <c r="I1225" s="228">
        <v>1407.35</v>
      </c>
      <c r="J1225" s="229"/>
      <c r="K1225" s="229"/>
      <c r="L1225" s="229">
        <f>SUM(ventas_b_mes11[[#This Row],[IMPORTE NETO]:[EXENTO]])</f>
        <v>8109</v>
      </c>
      <c r="M1225" s="55"/>
    </row>
    <row r="1226" spans="2:13" x14ac:dyDescent="0.3">
      <c r="B1226" s="223">
        <v>44847</v>
      </c>
      <c r="C1226" s="224">
        <v>6</v>
      </c>
      <c r="D1226" s="225">
        <v>13</v>
      </c>
      <c r="E1226" s="226">
        <v>26404</v>
      </c>
      <c r="F1226" s="227">
        <v>29147355</v>
      </c>
      <c r="G1226" s="1" t="s">
        <v>216</v>
      </c>
      <c r="H1226" s="60">
        <v>4545.46</v>
      </c>
      <c r="I1226" s="228">
        <v>954.55</v>
      </c>
      <c r="J1226" s="229"/>
      <c r="K1226" s="229"/>
      <c r="L1226" s="229">
        <f>SUM(ventas_b_mes11[[#This Row],[IMPORTE NETO]:[EXENTO]])</f>
        <v>5500.01</v>
      </c>
      <c r="M1226" s="55"/>
    </row>
    <row r="1227" spans="2:13" x14ac:dyDescent="0.3">
      <c r="B1227" s="223">
        <v>44847</v>
      </c>
      <c r="C1227" s="224">
        <v>6</v>
      </c>
      <c r="D1227" s="225">
        <v>13</v>
      </c>
      <c r="E1227" s="226">
        <v>26405</v>
      </c>
      <c r="F1227" s="227">
        <v>0</v>
      </c>
      <c r="G1227" s="1"/>
      <c r="H1227" s="60">
        <v>1330.58</v>
      </c>
      <c r="I1227" s="228">
        <v>279.42</v>
      </c>
      <c r="J1227" s="229"/>
      <c r="K1227" s="229"/>
      <c r="L1227" s="229">
        <f>SUM(ventas_b_mes11[[#This Row],[IMPORTE NETO]:[EXENTO]])</f>
        <v>1610</v>
      </c>
      <c r="M1227" s="55"/>
    </row>
    <row r="1228" spans="2:13" x14ac:dyDescent="0.3">
      <c r="B1228" s="223">
        <v>44847</v>
      </c>
      <c r="C1228" s="224">
        <v>6</v>
      </c>
      <c r="D1228" s="225">
        <v>13</v>
      </c>
      <c r="E1228" s="226">
        <v>26406</v>
      </c>
      <c r="F1228" s="227">
        <v>11111111</v>
      </c>
      <c r="G1228" s="1"/>
      <c r="H1228" s="60">
        <v>6446.29</v>
      </c>
      <c r="I1228" s="228">
        <v>1353.72</v>
      </c>
      <c r="J1228" s="229"/>
      <c r="K1228" s="229"/>
      <c r="L1228" s="229">
        <f>SUM(ventas_b_mes11[[#This Row],[IMPORTE NETO]:[EXENTO]])</f>
        <v>7800.01</v>
      </c>
      <c r="M1228" s="55"/>
    </row>
    <row r="1229" spans="2:13" x14ac:dyDescent="0.3">
      <c r="B1229" s="223">
        <v>44847</v>
      </c>
      <c r="C1229" s="224">
        <v>6</v>
      </c>
      <c r="D1229" s="225">
        <v>13</v>
      </c>
      <c r="E1229" s="226">
        <v>26407</v>
      </c>
      <c r="F1229" s="227">
        <v>1111</v>
      </c>
      <c r="G1229" s="1"/>
      <c r="H1229" s="60">
        <v>6297.5</v>
      </c>
      <c r="I1229" s="228">
        <v>1322.48</v>
      </c>
      <c r="J1229" s="229"/>
      <c r="K1229" s="229"/>
      <c r="L1229" s="229">
        <f>SUM(ventas_b_mes11[[#This Row],[IMPORTE NETO]:[EXENTO]])</f>
        <v>7619.98</v>
      </c>
      <c r="M1229" s="55"/>
    </row>
    <row r="1230" spans="2:13" x14ac:dyDescent="0.3">
      <c r="B1230" s="223">
        <v>44847</v>
      </c>
      <c r="C1230" s="224">
        <v>6</v>
      </c>
      <c r="D1230" s="225">
        <v>13</v>
      </c>
      <c r="E1230" s="226">
        <v>26408</v>
      </c>
      <c r="F1230" s="227">
        <v>1111</v>
      </c>
      <c r="G1230" s="1"/>
      <c r="H1230" s="60">
        <v>30173.54</v>
      </c>
      <c r="I1230" s="228">
        <v>6336.44</v>
      </c>
      <c r="J1230" s="229"/>
      <c r="K1230" s="229"/>
      <c r="L1230" s="229">
        <f>SUM(ventas_b_mes11[[#This Row],[IMPORTE NETO]:[EXENTO]])</f>
        <v>36509.980000000003</v>
      </c>
      <c r="M1230" s="55"/>
    </row>
    <row r="1231" spans="2:13" x14ac:dyDescent="0.3">
      <c r="B1231" s="223">
        <v>44847</v>
      </c>
      <c r="C1231" s="224">
        <v>6</v>
      </c>
      <c r="D1231" s="225">
        <v>13</v>
      </c>
      <c r="E1231" s="226">
        <v>26409</v>
      </c>
      <c r="F1231" s="227">
        <v>1111</v>
      </c>
      <c r="G1231" s="1"/>
      <c r="H1231" s="60">
        <v>23553.7</v>
      </c>
      <c r="I1231" s="228">
        <v>4946.28</v>
      </c>
      <c r="J1231" s="229"/>
      <c r="K1231" s="229"/>
      <c r="L1231" s="229">
        <f>SUM(ventas_b_mes11[[#This Row],[IMPORTE NETO]:[EXENTO]])</f>
        <v>28499.98</v>
      </c>
      <c r="M1231" s="55"/>
    </row>
    <row r="1232" spans="2:13" x14ac:dyDescent="0.3">
      <c r="B1232" s="223">
        <v>44847</v>
      </c>
      <c r="C1232" s="224">
        <v>6</v>
      </c>
      <c r="D1232" s="225">
        <v>13</v>
      </c>
      <c r="E1232" s="226">
        <v>26410</v>
      </c>
      <c r="F1232" s="227">
        <v>33026736</v>
      </c>
      <c r="G1232" s="1" t="s">
        <v>337</v>
      </c>
      <c r="H1232" s="60">
        <v>5198.3500000000004</v>
      </c>
      <c r="I1232" s="228">
        <v>1091.6500000000001</v>
      </c>
      <c r="J1232" s="229"/>
      <c r="K1232" s="229"/>
      <c r="L1232" s="229">
        <f>SUM(ventas_b_mes11[[#This Row],[IMPORTE NETO]:[EXENTO]])</f>
        <v>6290</v>
      </c>
      <c r="M1232" s="55"/>
    </row>
    <row r="1233" spans="2:13" x14ac:dyDescent="0.3">
      <c r="B1233" s="223">
        <v>44847</v>
      </c>
      <c r="C1233" s="224">
        <v>6</v>
      </c>
      <c r="D1233" s="225">
        <v>13</v>
      </c>
      <c r="E1233" s="226">
        <v>26411</v>
      </c>
      <c r="F1233" s="227">
        <v>0</v>
      </c>
      <c r="G1233" s="1"/>
      <c r="H1233" s="60">
        <v>2561.98</v>
      </c>
      <c r="I1233" s="228">
        <v>538.02</v>
      </c>
      <c r="J1233" s="229"/>
      <c r="K1233" s="229"/>
      <c r="L1233" s="229">
        <f>SUM(ventas_b_mes11[[#This Row],[IMPORTE NETO]:[EXENTO]])</f>
        <v>3100</v>
      </c>
      <c r="M1233" s="55"/>
    </row>
    <row r="1234" spans="2:13" x14ac:dyDescent="0.3">
      <c r="B1234" s="223">
        <v>44847</v>
      </c>
      <c r="C1234" s="224">
        <v>6</v>
      </c>
      <c r="D1234" s="225">
        <v>13</v>
      </c>
      <c r="E1234" s="226">
        <v>26412</v>
      </c>
      <c r="F1234" s="227">
        <v>111</v>
      </c>
      <c r="G1234" s="1"/>
      <c r="H1234" s="60">
        <v>5371.9</v>
      </c>
      <c r="I1234" s="228">
        <v>1128.0999999999999</v>
      </c>
      <c r="J1234" s="229"/>
      <c r="K1234" s="229"/>
      <c r="L1234" s="229">
        <f>SUM(ventas_b_mes11[[#This Row],[IMPORTE NETO]:[EXENTO]])</f>
        <v>6500</v>
      </c>
      <c r="M1234" s="55"/>
    </row>
    <row r="1235" spans="2:13" x14ac:dyDescent="0.3">
      <c r="B1235" s="223">
        <v>44847</v>
      </c>
      <c r="C1235" s="224">
        <v>6</v>
      </c>
      <c r="D1235" s="225">
        <v>13</v>
      </c>
      <c r="E1235" s="226">
        <v>26413</v>
      </c>
      <c r="F1235" s="227">
        <v>111</v>
      </c>
      <c r="G1235" s="1"/>
      <c r="H1235" s="60">
        <v>6942.15</v>
      </c>
      <c r="I1235" s="228">
        <v>1457.85</v>
      </c>
      <c r="J1235" s="229"/>
      <c r="K1235" s="229"/>
      <c r="L1235" s="229">
        <f>SUM(ventas_b_mes11[[#This Row],[IMPORTE NETO]:[EXENTO]])</f>
        <v>8400</v>
      </c>
      <c r="M1235" s="55"/>
    </row>
    <row r="1236" spans="2:13" x14ac:dyDescent="0.3">
      <c r="B1236" s="223">
        <v>44847</v>
      </c>
      <c r="C1236" s="224">
        <v>6</v>
      </c>
      <c r="D1236" s="225">
        <v>13</v>
      </c>
      <c r="E1236" s="226">
        <v>26414</v>
      </c>
      <c r="F1236" s="227">
        <v>92811677</v>
      </c>
      <c r="G1236" s="1" t="s">
        <v>149</v>
      </c>
      <c r="H1236" s="60">
        <v>1826.45</v>
      </c>
      <c r="I1236" s="228">
        <v>383.55</v>
      </c>
      <c r="J1236" s="229"/>
      <c r="K1236" s="229"/>
      <c r="L1236" s="229">
        <f>SUM(ventas_b_mes11[[#This Row],[IMPORTE NETO]:[EXENTO]])</f>
        <v>2210</v>
      </c>
      <c r="M1236" s="55"/>
    </row>
    <row r="1237" spans="2:13" x14ac:dyDescent="0.3">
      <c r="B1237" s="223">
        <v>44847</v>
      </c>
      <c r="C1237" s="224">
        <v>6</v>
      </c>
      <c r="D1237" s="225">
        <v>13</v>
      </c>
      <c r="E1237" s="226">
        <v>26415</v>
      </c>
      <c r="F1237" s="227">
        <v>25027385</v>
      </c>
      <c r="G1237" s="1" t="s">
        <v>647</v>
      </c>
      <c r="H1237" s="60">
        <v>2388.4299999999998</v>
      </c>
      <c r="I1237" s="228">
        <v>501.57</v>
      </c>
      <c r="J1237" s="229"/>
      <c r="K1237" s="229"/>
      <c r="L1237" s="229">
        <f>SUM(ventas_b_mes11[[#This Row],[IMPORTE NETO]:[EXENTO]])</f>
        <v>2890</v>
      </c>
      <c r="M1237" s="55"/>
    </row>
    <row r="1238" spans="2:13" x14ac:dyDescent="0.3">
      <c r="B1238" s="223">
        <v>44847</v>
      </c>
      <c r="C1238" s="224">
        <v>6</v>
      </c>
      <c r="D1238" s="225">
        <v>13</v>
      </c>
      <c r="E1238" s="226">
        <v>26416</v>
      </c>
      <c r="F1238" s="227">
        <v>24695903</v>
      </c>
      <c r="G1238" s="1" t="s">
        <v>636</v>
      </c>
      <c r="H1238" s="60">
        <v>9462.81</v>
      </c>
      <c r="I1238" s="228">
        <v>1987.19</v>
      </c>
      <c r="J1238" s="229"/>
      <c r="K1238" s="229"/>
      <c r="L1238" s="229">
        <f>SUM(ventas_b_mes11[[#This Row],[IMPORTE NETO]:[EXENTO]])</f>
        <v>11450</v>
      </c>
      <c r="M1238" s="55"/>
    </row>
    <row r="1239" spans="2:13" x14ac:dyDescent="0.3">
      <c r="B1239" s="223">
        <v>44848</v>
      </c>
      <c r="C1239" s="224">
        <v>6</v>
      </c>
      <c r="D1239" s="225">
        <v>13</v>
      </c>
      <c r="E1239" s="226">
        <v>26417</v>
      </c>
      <c r="F1239" s="227">
        <v>24235670</v>
      </c>
      <c r="G1239" s="1" t="s">
        <v>318</v>
      </c>
      <c r="H1239" s="60">
        <v>5615.29</v>
      </c>
      <c r="I1239" s="228">
        <v>1179.21</v>
      </c>
      <c r="J1239" s="229"/>
      <c r="K1239" s="229"/>
      <c r="L1239" s="229">
        <f>SUM(ventas_b_mes11[[#This Row],[IMPORTE NETO]:[EXENTO]])</f>
        <v>6794.5</v>
      </c>
      <c r="M1239" s="55"/>
    </row>
    <row r="1240" spans="2:13" x14ac:dyDescent="0.3">
      <c r="B1240" s="223">
        <v>44848</v>
      </c>
      <c r="C1240" s="224">
        <v>6</v>
      </c>
      <c r="D1240" s="225">
        <v>13</v>
      </c>
      <c r="E1240" s="226">
        <v>26418</v>
      </c>
      <c r="F1240" s="227">
        <v>11</v>
      </c>
      <c r="G1240" s="1"/>
      <c r="H1240" s="60">
        <v>2066.12</v>
      </c>
      <c r="I1240" s="228">
        <v>433.88</v>
      </c>
      <c r="J1240" s="229"/>
      <c r="K1240" s="229"/>
      <c r="L1240" s="229">
        <f>SUM(ventas_b_mes11[[#This Row],[IMPORTE NETO]:[EXENTO]])</f>
        <v>2500</v>
      </c>
      <c r="M1240" s="55"/>
    </row>
    <row r="1241" spans="2:13" x14ac:dyDescent="0.3">
      <c r="B1241" s="223">
        <v>44848</v>
      </c>
      <c r="C1241" s="224">
        <v>6</v>
      </c>
      <c r="D1241" s="225">
        <v>13</v>
      </c>
      <c r="E1241" s="226">
        <v>26419</v>
      </c>
      <c r="F1241" s="227">
        <v>33004785</v>
      </c>
      <c r="G1241" s="1" t="s">
        <v>665</v>
      </c>
      <c r="H1241" s="60">
        <v>3016.53</v>
      </c>
      <c r="I1241" s="228">
        <v>633.47</v>
      </c>
      <c r="J1241" s="229"/>
      <c r="K1241" s="229"/>
      <c r="L1241" s="229">
        <f>SUM(ventas_b_mes11[[#This Row],[IMPORTE NETO]:[EXENTO]])</f>
        <v>3650</v>
      </c>
      <c r="M1241" s="55"/>
    </row>
    <row r="1242" spans="2:13" x14ac:dyDescent="0.3">
      <c r="B1242" s="223">
        <v>44848</v>
      </c>
      <c r="C1242" s="224">
        <v>6</v>
      </c>
      <c r="D1242" s="225">
        <v>13</v>
      </c>
      <c r="E1242" s="226">
        <v>26420</v>
      </c>
      <c r="F1242" s="227">
        <v>18442283</v>
      </c>
      <c r="G1242" s="1" t="s">
        <v>686</v>
      </c>
      <c r="H1242" s="60">
        <v>9094.2099999999991</v>
      </c>
      <c r="I1242" s="228">
        <v>1909.79</v>
      </c>
      <c r="J1242" s="229"/>
      <c r="K1242" s="229"/>
      <c r="L1242" s="229">
        <f>SUM(ventas_b_mes11[[#This Row],[IMPORTE NETO]:[EXENTO]])</f>
        <v>11004</v>
      </c>
      <c r="M1242" s="55"/>
    </row>
    <row r="1243" spans="2:13" x14ac:dyDescent="0.3">
      <c r="B1243" s="223">
        <v>44848</v>
      </c>
      <c r="C1243" s="224">
        <v>6</v>
      </c>
      <c r="D1243" s="225">
        <v>13</v>
      </c>
      <c r="E1243" s="226">
        <v>26421</v>
      </c>
      <c r="F1243" s="227">
        <v>11111111</v>
      </c>
      <c r="G1243" s="1"/>
      <c r="H1243" s="60">
        <v>4264.46</v>
      </c>
      <c r="I1243" s="228">
        <v>895.54</v>
      </c>
      <c r="J1243" s="229"/>
      <c r="K1243" s="229"/>
      <c r="L1243" s="229">
        <f>SUM(ventas_b_mes11[[#This Row],[IMPORTE NETO]:[EXENTO]])</f>
        <v>5160</v>
      </c>
      <c r="M1243" s="55"/>
    </row>
    <row r="1244" spans="2:13" x14ac:dyDescent="0.3">
      <c r="B1244" s="223">
        <v>44848</v>
      </c>
      <c r="C1244" s="224">
        <v>6</v>
      </c>
      <c r="D1244" s="225">
        <v>13</v>
      </c>
      <c r="E1244" s="226">
        <v>26422</v>
      </c>
      <c r="F1244" s="227">
        <v>22494352</v>
      </c>
      <c r="G1244" s="1" t="s">
        <v>669</v>
      </c>
      <c r="H1244" s="60">
        <v>4958.68</v>
      </c>
      <c r="I1244" s="228">
        <v>1041.32</v>
      </c>
      <c r="J1244" s="229"/>
      <c r="K1244" s="229"/>
      <c r="L1244" s="229">
        <f>SUM(ventas_b_mes11[[#This Row],[IMPORTE NETO]:[EXENTO]])</f>
        <v>6000</v>
      </c>
      <c r="M1244" s="55"/>
    </row>
    <row r="1245" spans="2:13" x14ac:dyDescent="0.3">
      <c r="B1245" s="223">
        <v>44848</v>
      </c>
      <c r="C1245" s="224">
        <v>6</v>
      </c>
      <c r="D1245" s="225">
        <v>13</v>
      </c>
      <c r="E1245" s="226">
        <v>26423</v>
      </c>
      <c r="F1245" s="227">
        <v>30436953</v>
      </c>
      <c r="G1245" s="1" t="s">
        <v>672</v>
      </c>
      <c r="H1245" s="60">
        <v>826.45</v>
      </c>
      <c r="I1245" s="228">
        <v>173.55</v>
      </c>
      <c r="J1245" s="229"/>
      <c r="K1245" s="229"/>
      <c r="L1245" s="229">
        <f>SUM(ventas_b_mes11[[#This Row],[IMPORTE NETO]:[EXENTO]])</f>
        <v>1000</v>
      </c>
      <c r="M1245" s="55"/>
    </row>
    <row r="1246" spans="2:13" x14ac:dyDescent="0.3">
      <c r="B1246" s="223">
        <v>44848</v>
      </c>
      <c r="C1246" s="224">
        <v>6</v>
      </c>
      <c r="D1246" s="225">
        <v>13</v>
      </c>
      <c r="E1246" s="226">
        <v>26424</v>
      </c>
      <c r="F1246" s="227">
        <v>94097987</v>
      </c>
      <c r="G1246" s="1" t="s">
        <v>687</v>
      </c>
      <c r="H1246" s="60">
        <v>4421.49</v>
      </c>
      <c r="I1246" s="228">
        <v>928.51</v>
      </c>
      <c r="J1246" s="229"/>
      <c r="K1246" s="229"/>
      <c r="L1246" s="229">
        <f>SUM(ventas_b_mes11[[#This Row],[IMPORTE NETO]:[EXENTO]])</f>
        <v>5350</v>
      </c>
      <c r="M1246" s="55"/>
    </row>
    <row r="1247" spans="2:13" x14ac:dyDescent="0.3">
      <c r="B1247" s="223">
        <v>44848</v>
      </c>
      <c r="C1247" s="224">
        <v>6</v>
      </c>
      <c r="D1247" s="225">
        <v>13</v>
      </c>
      <c r="E1247" s="226">
        <v>26425</v>
      </c>
      <c r="F1247" s="227">
        <v>22600844</v>
      </c>
      <c r="G1247" s="1" t="s">
        <v>658</v>
      </c>
      <c r="H1247" s="60">
        <v>3760.33</v>
      </c>
      <c r="I1247" s="228">
        <v>789.67</v>
      </c>
      <c r="J1247" s="229"/>
      <c r="K1247" s="229"/>
      <c r="L1247" s="229">
        <f>SUM(ventas_b_mes11[[#This Row],[IMPORTE NETO]:[EXENTO]])</f>
        <v>4550</v>
      </c>
      <c r="M1247" s="55"/>
    </row>
    <row r="1248" spans="2:13" x14ac:dyDescent="0.3">
      <c r="B1248" s="223">
        <v>44848</v>
      </c>
      <c r="C1248" s="224">
        <v>6</v>
      </c>
      <c r="D1248" s="225">
        <v>13</v>
      </c>
      <c r="E1248" s="226">
        <v>26426</v>
      </c>
      <c r="F1248" s="227">
        <v>16390316</v>
      </c>
      <c r="G1248" s="1" t="s">
        <v>236</v>
      </c>
      <c r="H1248" s="60">
        <v>5206.6099999999997</v>
      </c>
      <c r="I1248" s="228">
        <v>1093.3900000000001</v>
      </c>
      <c r="J1248" s="229"/>
      <c r="K1248" s="229"/>
      <c r="L1248" s="229">
        <f>SUM(ventas_b_mes11[[#This Row],[IMPORTE NETO]:[EXENTO]])</f>
        <v>6300</v>
      </c>
      <c r="M1248" s="55"/>
    </row>
    <row r="1249" spans="2:13" x14ac:dyDescent="0.3">
      <c r="B1249" s="223">
        <v>44848</v>
      </c>
      <c r="C1249" s="224">
        <v>6</v>
      </c>
      <c r="D1249" s="225">
        <v>13</v>
      </c>
      <c r="E1249" s="226">
        <v>26427</v>
      </c>
      <c r="F1249" s="227">
        <v>29147355</v>
      </c>
      <c r="G1249" s="1" t="s">
        <v>216</v>
      </c>
      <c r="H1249" s="60">
        <v>20950.41</v>
      </c>
      <c r="I1249" s="228">
        <v>4399.59</v>
      </c>
      <c r="J1249" s="229"/>
      <c r="K1249" s="229"/>
      <c r="L1249" s="229">
        <f>SUM(ventas_b_mes11[[#This Row],[IMPORTE NETO]:[EXENTO]])</f>
        <v>25350</v>
      </c>
      <c r="M1249" s="55"/>
    </row>
    <row r="1250" spans="2:13" x14ac:dyDescent="0.3">
      <c r="B1250" s="223">
        <v>44848</v>
      </c>
      <c r="C1250" s="224">
        <v>6</v>
      </c>
      <c r="D1250" s="225">
        <v>13</v>
      </c>
      <c r="E1250" s="226">
        <v>26428</v>
      </c>
      <c r="F1250" s="227">
        <v>12431210</v>
      </c>
      <c r="G1250" s="1" t="s">
        <v>690</v>
      </c>
      <c r="H1250" s="60">
        <v>18608.669999999998</v>
      </c>
      <c r="I1250" s="228">
        <v>3907.82</v>
      </c>
      <c r="J1250" s="229"/>
      <c r="K1250" s="229"/>
      <c r="L1250" s="229">
        <f>SUM(ventas_b_mes11[[#This Row],[IMPORTE NETO]:[EXENTO]])</f>
        <v>22516.489999999998</v>
      </c>
      <c r="M1250" s="55"/>
    </row>
    <row r="1251" spans="2:13" x14ac:dyDescent="0.3">
      <c r="B1251" s="223">
        <v>44848</v>
      </c>
      <c r="C1251" s="224">
        <v>6</v>
      </c>
      <c r="D1251" s="225">
        <v>13</v>
      </c>
      <c r="E1251" s="226">
        <v>26429</v>
      </c>
      <c r="F1251" s="227">
        <v>20569293</v>
      </c>
      <c r="G1251" s="1" t="s">
        <v>142</v>
      </c>
      <c r="H1251" s="60">
        <v>15053.31</v>
      </c>
      <c r="I1251" s="228">
        <v>3161.19</v>
      </c>
      <c r="J1251" s="229"/>
      <c r="K1251" s="229"/>
      <c r="L1251" s="229">
        <f>SUM(ventas_b_mes11[[#This Row],[IMPORTE NETO]:[EXENTO]])</f>
        <v>18214.5</v>
      </c>
      <c r="M1251" s="55"/>
    </row>
    <row r="1252" spans="2:13" x14ac:dyDescent="0.3">
      <c r="B1252" s="223">
        <v>44848</v>
      </c>
      <c r="C1252" s="224">
        <v>6</v>
      </c>
      <c r="D1252" s="225">
        <v>13</v>
      </c>
      <c r="E1252" s="226">
        <v>26430</v>
      </c>
      <c r="F1252" s="227">
        <v>20569293</v>
      </c>
      <c r="G1252" s="1" t="s">
        <v>142</v>
      </c>
      <c r="H1252" s="60">
        <v>702.48</v>
      </c>
      <c r="I1252" s="228">
        <v>147.52000000000001</v>
      </c>
      <c r="J1252" s="229"/>
      <c r="K1252" s="229"/>
      <c r="L1252" s="229">
        <f>SUM(ventas_b_mes11[[#This Row],[IMPORTE NETO]:[EXENTO]])</f>
        <v>850</v>
      </c>
      <c r="M1252" s="55"/>
    </row>
    <row r="1253" spans="2:13" x14ac:dyDescent="0.3">
      <c r="B1253" s="223">
        <v>44848</v>
      </c>
      <c r="C1253" s="224">
        <v>6</v>
      </c>
      <c r="D1253" s="225">
        <v>13</v>
      </c>
      <c r="E1253" s="226">
        <v>26431</v>
      </c>
      <c r="F1253" s="227">
        <v>41834837</v>
      </c>
      <c r="G1253" s="1"/>
      <c r="H1253" s="60">
        <v>1198.3499999999999</v>
      </c>
      <c r="I1253" s="228">
        <v>251.65</v>
      </c>
      <c r="J1253" s="229"/>
      <c r="K1253" s="229"/>
      <c r="L1253" s="229">
        <f>SUM(ventas_b_mes11[[#This Row],[IMPORTE NETO]:[EXENTO]])</f>
        <v>1450</v>
      </c>
      <c r="M1253" s="55"/>
    </row>
    <row r="1254" spans="2:13" x14ac:dyDescent="0.3">
      <c r="B1254" s="223">
        <v>44849</v>
      </c>
      <c r="C1254" s="224">
        <v>6</v>
      </c>
      <c r="D1254" s="225">
        <v>13</v>
      </c>
      <c r="E1254" s="226">
        <v>26432</v>
      </c>
      <c r="F1254" s="227">
        <v>94640071</v>
      </c>
      <c r="G1254" s="1" t="s">
        <v>698</v>
      </c>
      <c r="H1254" s="60">
        <v>4958.68</v>
      </c>
      <c r="I1254" s="228">
        <v>1041.32</v>
      </c>
      <c r="J1254" s="229"/>
      <c r="K1254" s="229"/>
      <c r="L1254" s="229">
        <f>SUM(ventas_b_mes11[[#This Row],[IMPORTE NETO]:[EXENTO]])</f>
        <v>6000</v>
      </c>
      <c r="M1254" s="55"/>
    </row>
    <row r="1255" spans="2:13" x14ac:dyDescent="0.3">
      <c r="B1255" s="223">
        <v>44849</v>
      </c>
      <c r="C1255" s="224">
        <v>6</v>
      </c>
      <c r="D1255" s="225">
        <v>13</v>
      </c>
      <c r="E1255" s="226">
        <v>26433</v>
      </c>
      <c r="F1255" s="227">
        <v>32678775</v>
      </c>
      <c r="G1255" s="1" t="s">
        <v>704</v>
      </c>
      <c r="H1255" s="60">
        <v>4338.84</v>
      </c>
      <c r="I1255" s="228">
        <v>911.16</v>
      </c>
      <c r="J1255" s="229"/>
      <c r="K1255" s="229"/>
      <c r="L1255" s="229">
        <f>SUM(ventas_b_mes11[[#This Row],[IMPORTE NETO]:[EXENTO]])</f>
        <v>5250</v>
      </c>
      <c r="M1255" s="55"/>
    </row>
    <row r="1256" spans="2:13" x14ac:dyDescent="0.3">
      <c r="B1256" s="223">
        <v>44849</v>
      </c>
      <c r="C1256" s="224">
        <v>6</v>
      </c>
      <c r="D1256" s="225">
        <v>13</v>
      </c>
      <c r="E1256" s="226">
        <v>26434</v>
      </c>
      <c r="F1256" s="227">
        <v>23135432</v>
      </c>
      <c r="G1256" s="1" t="s">
        <v>706</v>
      </c>
      <c r="H1256" s="60">
        <v>18383.89</v>
      </c>
      <c r="I1256" s="228">
        <v>3860.62</v>
      </c>
      <c r="J1256" s="229"/>
      <c r="K1256" s="229"/>
      <c r="L1256" s="229">
        <f>SUM(ventas_b_mes11[[#This Row],[IMPORTE NETO]:[EXENTO]])</f>
        <v>22244.51</v>
      </c>
      <c r="M1256" s="55"/>
    </row>
    <row r="1257" spans="2:13" x14ac:dyDescent="0.3">
      <c r="B1257" s="223">
        <v>44849</v>
      </c>
      <c r="C1257" s="224">
        <v>6</v>
      </c>
      <c r="D1257" s="225">
        <v>13</v>
      </c>
      <c r="E1257" s="226">
        <v>26435</v>
      </c>
      <c r="F1257" s="227">
        <v>20569293</v>
      </c>
      <c r="G1257" s="1" t="s">
        <v>142</v>
      </c>
      <c r="H1257" s="60">
        <v>7196.27</v>
      </c>
      <c r="I1257" s="228">
        <v>1511.22</v>
      </c>
      <c r="J1257" s="229"/>
      <c r="K1257" s="229"/>
      <c r="L1257" s="229">
        <f>SUM(ventas_b_mes11[[#This Row],[IMPORTE NETO]:[EXENTO]])</f>
        <v>8707.49</v>
      </c>
      <c r="M1257" s="55"/>
    </row>
    <row r="1258" spans="2:13" x14ac:dyDescent="0.3">
      <c r="B1258" s="223">
        <v>44849</v>
      </c>
      <c r="C1258" s="224">
        <v>6</v>
      </c>
      <c r="D1258" s="225">
        <v>13</v>
      </c>
      <c r="E1258" s="226">
        <v>26436</v>
      </c>
      <c r="F1258" s="227">
        <v>26962539</v>
      </c>
      <c r="G1258" s="1" t="s">
        <v>127</v>
      </c>
      <c r="H1258" s="60">
        <v>1159.0899999999999</v>
      </c>
      <c r="I1258" s="228">
        <v>243.41</v>
      </c>
      <c r="J1258" s="229"/>
      <c r="K1258" s="229"/>
      <c r="L1258" s="229">
        <f>SUM(ventas_b_mes11[[#This Row],[IMPORTE NETO]:[EXENTO]])</f>
        <v>1402.5</v>
      </c>
      <c r="M1258" s="55"/>
    </row>
    <row r="1259" spans="2:13" x14ac:dyDescent="0.3">
      <c r="B1259" s="223">
        <v>44849</v>
      </c>
      <c r="C1259" s="224">
        <v>6</v>
      </c>
      <c r="D1259" s="225">
        <v>13</v>
      </c>
      <c r="E1259" s="226">
        <v>26437</v>
      </c>
      <c r="F1259" s="227">
        <v>11111111</v>
      </c>
      <c r="G1259" s="1"/>
      <c r="H1259" s="60">
        <v>5892.56</v>
      </c>
      <c r="I1259" s="228">
        <v>1237.44</v>
      </c>
      <c r="J1259" s="229"/>
      <c r="K1259" s="229"/>
      <c r="L1259" s="229">
        <f>SUM(ventas_b_mes11[[#This Row],[IMPORTE NETO]:[EXENTO]])</f>
        <v>7130</v>
      </c>
      <c r="M1259" s="55"/>
    </row>
    <row r="1260" spans="2:13" x14ac:dyDescent="0.3">
      <c r="B1260" s="223">
        <v>44851</v>
      </c>
      <c r="C1260" s="224">
        <v>6</v>
      </c>
      <c r="D1260" s="225">
        <v>13</v>
      </c>
      <c r="E1260" s="226">
        <v>26438</v>
      </c>
      <c r="F1260" s="227">
        <v>18383601</v>
      </c>
      <c r="G1260" s="1" t="s">
        <v>739</v>
      </c>
      <c r="H1260" s="60">
        <v>7770.71</v>
      </c>
      <c r="I1260" s="228">
        <v>1631.85</v>
      </c>
      <c r="J1260" s="229"/>
      <c r="K1260" s="229"/>
      <c r="L1260" s="229">
        <f>SUM(ventas_b_mes11[[#This Row],[IMPORTE NETO]:[EXENTO]])</f>
        <v>9402.56</v>
      </c>
      <c r="M1260" s="55"/>
    </row>
    <row r="1261" spans="2:13" x14ac:dyDescent="0.3">
      <c r="B1261" s="223">
        <v>44851</v>
      </c>
      <c r="C1261" s="224">
        <v>6</v>
      </c>
      <c r="D1261" s="225">
        <v>13</v>
      </c>
      <c r="E1261" s="226">
        <v>26439</v>
      </c>
      <c r="F1261" s="227">
        <v>0</v>
      </c>
      <c r="G1261" s="1"/>
      <c r="H1261" s="60">
        <v>991.74</v>
      </c>
      <c r="I1261" s="228">
        <v>208.26</v>
      </c>
      <c r="J1261" s="229"/>
      <c r="K1261" s="229"/>
      <c r="L1261" s="229">
        <f>SUM(ventas_b_mes11[[#This Row],[IMPORTE NETO]:[EXENTO]])</f>
        <v>1200</v>
      </c>
      <c r="M1261" s="55"/>
    </row>
    <row r="1262" spans="2:13" x14ac:dyDescent="0.3">
      <c r="B1262" s="223">
        <v>44851</v>
      </c>
      <c r="C1262" s="224">
        <v>6</v>
      </c>
      <c r="D1262" s="225">
        <v>13</v>
      </c>
      <c r="E1262" s="226">
        <v>26440</v>
      </c>
      <c r="F1262" s="227">
        <v>11111111</v>
      </c>
      <c r="G1262" s="1"/>
      <c r="H1262" s="60">
        <v>4165.7</v>
      </c>
      <c r="I1262" s="228">
        <v>874.8</v>
      </c>
      <c r="J1262" s="229"/>
      <c r="K1262" s="229"/>
      <c r="L1262" s="229">
        <f>SUM(ventas_b_mes11[[#This Row],[IMPORTE NETO]:[EXENTO]])</f>
        <v>5040.5</v>
      </c>
      <c r="M1262" s="55"/>
    </row>
    <row r="1263" spans="2:13" x14ac:dyDescent="0.3">
      <c r="B1263" s="223">
        <v>44851</v>
      </c>
      <c r="C1263" s="224">
        <v>6</v>
      </c>
      <c r="D1263" s="225">
        <v>13</v>
      </c>
      <c r="E1263" s="226">
        <v>26441</v>
      </c>
      <c r="F1263" s="227">
        <v>0</v>
      </c>
      <c r="G1263" s="1"/>
      <c r="H1263" s="60">
        <v>1239.67</v>
      </c>
      <c r="I1263" s="228">
        <v>260.33</v>
      </c>
      <c r="J1263" s="229"/>
      <c r="K1263" s="229"/>
      <c r="L1263" s="229">
        <f>SUM(ventas_b_mes11[[#This Row],[IMPORTE NETO]:[EXENTO]])</f>
        <v>1500</v>
      </c>
      <c r="M1263" s="55"/>
    </row>
    <row r="1264" spans="2:13" x14ac:dyDescent="0.3">
      <c r="B1264" s="223">
        <v>44851</v>
      </c>
      <c r="C1264" s="224">
        <v>6</v>
      </c>
      <c r="D1264" s="225">
        <v>13</v>
      </c>
      <c r="E1264" s="226">
        <v>26442</v>
      </c>
      <c r="F1264" s="227">
        <v>27147838579</v>
      </c>
      <c r="G1264" s="1" t="s">
        <v>724</v>
      </c>
      <c r="H1264" s="60">
        <v>1033.06</v>
      </c>
      <c r="I1264" s="228">
        <v>216.94</v>
      </c>
      <c r="J1264" s="229"/>
      <c r="K1264" s="229"/>
      <c r="L1264" s="229">
        <f>SUM(ventas_b_mes11[[#This Row],[IMPORTE NETO]:[EXENTO]])</f>
        <v>1250</v>
      </c>
      <c r="M1264" s="55"/>
    </row>
    <row r="1265" spans="2:13" x14ac:dyDescent="0.3">
      <c r="B1265" s="223">
        <v>44851</v>
      </c>
      <c r="C1265" s="224">
        <v>6</v>
      </c>
      <c r="D1265" s="225">
        <v>13</v>
      </c>
      <c r="E1265" s="226">
        <v>26443</v>
      </c>
      <c r="F1265" s="227">
        <v>0</v>
      </c>
      <c r="G1265" s="1"/>
      <c r="H1265" s="60">
        <v>3266.53</v>
      </c>
      <c r="I1265" s="228">
        <v>685.97</v>
      </c>
      <c r="J1265" s="229"/>
      <c r="K1265" s="229"/>
      <c r="L1265" s="229">
        <f>SUM(ventas_b_mes11[[#This Row],[IMPORTE NETO]:[EXENTO]])</f>
        <v>3952.5</v>
      </c>
      <c r="M1265" s="55"/>
    </row>
    <row r="1266" spans="2:13" x14ac:dyDescent="0.3">
      <c r="B1266" s="223">
        <v>44851</v>
      </c>
      <c r="C1266" s="224">
        <v>6</v>
      </c>
      <c r="D1266" s="225">
        <v>13</v>
      </c>
      <c r="E1266" s="226">
        <v>26444</v>
      </c>
      <c r="F1266" s="227">
        <v>0</v>
      </c>
      <c r="G1266" s="1"/>
      <c r="H1266" s="60">
        <v>2314.0500000000002</v>
      </c>
      <c r="I1266" s="228">
        <v>485.95</v>
      </c>
      <c r="J1266" s="229"/>
      <c r="K1266" s="229"/>
      <c r="L1266" s="229">
        <f>SUM(ventas_b_mes11[[#This Row],[IMPORTE NETO]:[EXENTO]])</f>
        <v>2800</v>
      </c>
      <c r="M1266" s="55"/>
    </row>
    <row r="1267" spans="2:13" x14ac:dyDescent="0.3">
      <c r="B1267" s="223">
        <v>44851</v>
      </c>
      <c r="C1267" s="224">
        <v>6</v>
      </c>
      <c r="D1267" s="225">
        <v>13</v>
      </c>
      <c r="E1267" s="226">
        <v>26445</v>
      </c>
      <c r="F1267" s="227">
        <v>4767244</v>
      </c>
      <c r="G1267" s="1" t="s">
        <v>737</v>
      </c>
      <c r="H1267" s="60">
        <v>35425.620000000003</v>
      </c>
      <c r="I1267" s="228">
        <v>7439.38</v>
      </c>
      <c r="J1267" s="229"/>
      <c r="K1267" s="229"/>
      <c r="L1267" s="229">
        <f>SUM(ventas_b_mes11[[#This Row],[IMPORTE NETO]:[EXENTO]])</f>
        <v>42865</v>
      </c>
      <c r="M1267" s="55"/>
    </row>
    <row r="1268" spans="2:13" x14ac:dyDescent="0.3">
      <c r="B1268" s="223">
        <v>44851</v>
      </c>
      <c r="C1268" s="224">
        <v>6</v>
      </c>
      <c r="D1268" s="225">
        <v>13</v>
      </c>
      <c r="E1268" s="226">
        <v>26446</v>
      </c>
      <c r="F1268" s="227">
        <v>17503067</v>
      </c>
      <c r="G1268" s="1" t="s">
        <v>275</v>
      </c>
      <c r="H1268" s="60">
        <v>4074.38</v>
      </c>
      <c r="I1268" s="228">
        <v>855.62</v>
      </c>
      <c r="J1268" s="229"/>
      <c r="K1268" s="229"/>
      <c r="L1268" s="229">
        <f>SUM(ventas_b_mes11[[#This Row],[IMPORTE NETO]:[EXENTO]])</f>
        <v>4930</v>
      </c>
      <c r="M1268" s="55"/>
    </row>
    <row r="1269" spans="2:13" x14ac:dyDescent="0.3">
      <c r="B1269" s="223">
        <v>44851</v>
      </c>
      <c r="C1269" s="224">
        <v>6</v>
      </c>
      <c r="D1269" s="225">
        <v>13</v>
      </c>
      <c r="E1269" s="226">
        <v>26447</v>
      </c>
      <c r="F1269" s="227">
        <v>0</v>
      </c>
      <c r="G1269" s="1"/>
      <c r="H1269" s="60">
        <v>2774.79</v>
      </c>
      <c r="I1269" s="228">
        <v>582.71</v>
      </c>
      <c r="J1269" s="229"/>
      <c r="K1269" s="229"/>
      <c r="L1269" s="229">
        <f>SUM(ventas_b_mes11[[#This Row],[IMPORTE NETO]:[EXENTO]])</f>
        <v>3357.5</v>
      </c>
      <c r="M1269" s="55"/>
    </row>
    <row r="1270" spans="2:13" x14ac:dyDescent="0.3">
      <c r="B1270" s="223">
        <v>44851</v>
      </c>
      <c r="C1270" s="224">
        <v>6</v>
      </c>
      <c r="D1270" s="225">
        <v>13</v>
      </c>
      <c r="E1270" s="226">
        <v>26448</v>
      </c>
      <c r="F1270" s="227">
        <v>11111111</v>
      </c>
      <c r="G1270" s="1"/>
      <c r="H1270" s="60">
        <v>3016.53</v>
      </c>
      <c r="I1270" s="228">
        <v>633.47</v>
      </c>
      <c r="J1270" s="229"/>
      <c r="K1270" s="229"/>
      <c r="L1270" s="229">
        <f>SUM(ventas_b_mes11[[#This Row],[IMPORTE NETO]:[EXENTO]])</f>
        <v>3650</v>
      </c>
      <c r="M1270" s="55"/>
    </row>
    <row r="1271" spans="2:13" x14ac:dyDescent="0.3">
      <c r="B1271" s="223">
        <v>44851</v>
      </c>
      <c r="C1271" s="224">
        <v>6</v>
      </c>
      <c r="D1271" s="225">
        <v>13</v>
      </c>
      <c r="E1271" s="226">
        <v>26449</v>
      </c>
      <c r="F1271" s="227">
        <v>11111111</v>
      </c>
      <c r="G1271" s="1"/>
      <c r="H1271" s="60">
        <v>165.29</v>
      </c>
      <c r="I1271" s="228">
        <v>34.71</v>
      </c>
      <c r="J1271" s="229"/>
      <c r="K1271" s="229"/>
      <c r="L1271" s="229">
        <f>SUM(ventas_b_mes11[[#This Row],[IMPORTE NETO]:[EXENTO]])</f>
        <v>200</v>
      </c>
      <c r="M1271" s="55"/>
    </row>
    <row r="1272" spans="2:13" x14ac:dyDescent="0.3">
      <c r="B1272" s="223">
        <v>44851</v>
      </c>
      <c r="C1272" s="224">
        <v>6</v>
      </c>
      <c r="D1272" s="225">
        <v>13</v>
      </c>
      <c r="E1272" s="226">
        <v>26450</v>
      </c>
      <c r="F1272" s="227">
        <v>25983812</v>
      </c>
      <c r="G1272" s="1" t="s">
        <v>720</v>
      </c>
      <c r="H1272" s="60">
        <v>6701.65</v>
      </c>
      <c r="I1272" s="228">
        <v>1407.35</v>
      </c>
      <c r="J1272" s="229"/>
      <c r="K1272" s="229"/>
      <c r="L1272" s="229">
        <f>SUM(ventas_b_mes11[[#This Row],[IMPORTE NETO]:[EXENTO]])</f>
        <v>8109</v>
      </c>
      <c r="M1272" s="55"/>
    </row>
    <row r="1273" spans="2:13" x14ac:dyDescent="0.3">
      <c r="B1273" s="223">
        <v>44851</v>
      </c>
      <c r="C1273" s="224">
        <v>6</v>
      </c>
      <c r="D1273" s="225">
        <v>13</v>
      </c>
      <c r="E1273" s="226">
        <v>26451</v>
      </c>
      <c r="F1273" s="227">
        <v>11111111</v>
      </c>
      <c r="G1273" s="1"/>
      <c r="H1273" s="60">
        <v>9227.2800000000007</v>
      </c>
      <c r="I1273" s="228">
        <v>1937.73</v>
      </c>
      <c r="J1273" s="229"/>
      <c r="K1273" s="229"/>
      <c r="L1273" s="229">
        <f>SUM(ventas_b_mes11[[#This Row],[IMPORTE NETO]:[EXENTO]])</f>
        <v>11165.01</v>
      </c>
      <c r="M1273" s="55"/>
    </row>
    <row r="1274" spans="2:13" x14ac:dyDescent="0.3">
      <c r="B1274" s="223">
        <v>44851</v>
      </c>
      <c r="C1274" s="224">
        <v>6</v>
      </c>
      <c r="D1274" s="225">
        <v>13</v>
      </c>
      <c r="E1274" s="226">
        <v>26452</v>
      </c>
      <c r="F1274" s="227">
        <v>29147355</v>
      </c>
      <c r="G1274" s="1" t="s">
        <v>216</v>
      </c>
      <c r="H1274" s="60">
        <v>2561.98</v>
      </c>
      <c r="I1274" s="228">
        <v>538.02</v>
      </c>
      <c r="J1274" s="229"/>
      <c r="K1274" s="229"/>
      <c r="L1274" s="229">
        <f>SUM(ventas_b_mes11[[#This Row],[IMPORTE NETO]:[EXENTO]])</f>
        <v>3100</v>
      </c>
      <c r="M1274" s="55"/>
    </row>
    <row r="1275" spans="2:13" x14ac:dyDescent="0.3">
      <c r="B1275" s="223">
        <v>44852</v>
      </c>
      <c r="C1275" s="224">
        <v>6</v>
      </c>
      <c r="D1275" s="225">
        <v>13</v>
      </c>
      <c r="E1275" s="226">
        <v>26453</v>
      </c>
      <c r="F1275" s="227">
        <v>1224</v>
      </c>
      <c r="G1275" s="1"/>
      <c r="H1275" s="60">
        <v>3239.67</v>
      </c>
      <c r="I1275" s="228">
        <v>680.33</v>
      </c>
      <c r="J1275" s="229"/>
      <c r="K1275" s="229"/>
      <c r="L1275" s="229">
        <f>SUM(ventas_b_mes11[[#This Row],[IMPORTE NETO]:[EXENTO]])</f>
        <v>3920</v>
      </c>
      <c r="M1275" s="55"/>
    </row>
    <row r="1276" spans="2:13" x14ac:dyDescent="0.3">
      <c r="B1276" s="223">
        <v>44852</v>
      </c>
      <c r="C1276" s="224">
        <v>6</v>
      </c>
      <c r="D1276" s="225">
        <v>13</v>
      </c>
      <c r="E1276" s="226">
        <v>26454</v>
      </c>
      <c r="F1276" s="227">
        <v>94467087</v>
      </c>
      <c r="G1276" s="1" t="s">
        <v>758</v>
      </c>
      <c r="H1276" s="60">
        <v>9870.25</v>
      </c>
      <c r="I1276" s="228">
        <v>2072.75</v>
      </c>
      <c r="J1276" s="229"/>
      <c r="K1276" s="229"/>
      <c r="L1276" s="229">
        <f>SUM(ventas_b_mes11[[#This Row],[IMPORTE NETO]:[EXENTO]])</f>
        <v>11943</v>
      </c>
      <c r="M1276" s="55"/>
    </row>
    <row r="1277" spans="2:13" x14ac:dyDescent="0.3">
      <c r="B1277" s="223">
        <v>44852</v>
      </c>
      <c r="C1277" s="224">
        <v>6</v>
      </c>
      <c r="D1277" s="225">
        <v>13</v>
      </c>
      <c r="E1277" s="226">
        <v>26455</v>
      </c>
      <c r="F1277" s="227">
        <v>29147355</v>
      </c>
      <c r="G1277" s="1" t="s">
        <v>216</v>
      </c>
      <c r="H1277" s="60">
        <v>3057.85</v>
      </c>
      <c r="I1277" s="228">
        <v>642.15</v>
      </c>
      <c r="J1277" s="229"/>
      <c r="K1277" s="229"/>
      <c r="L1277" s="229">
        <f>SUM(ventas_b_mes11[[#This Row],[IMPORTE NETO]:[EXENTO]])</f>
        <v>3700</v>
      </c>
      <c r="M1277" s="55"/>
    </row>
    <row r="1278" spans="2:13" x14ac:dyDescent="0.3">
      <c r="B1278" s="223">
        <v>44852</v>
      </c>
      <c r="C1278" s="224">
        <v>6</v>
      </c>
      <c r="D1278" s="225">
        <v>13</v>
      </c>
      <c r="E1278" s="226">
        <v>26456</v>
      </c>
      <c r="F1278" s="227">
        <v>29147355</v>
      </c>
      <c r="G1278" s="1" t="s">
        <v>216</v>
      </c>
      <c r="H1278" s="60">
        <v>21290.080000000002</v>
      </c>
      <c r="I1278" s="228">
        <v>4470.92</v>
      </c>
      <c r="J1278" s="229"/>
      <c r="K1278" s="229"/>
      <c r="L1278" s="229">
        <f>SUM(ventas_b_mes11[[#This Row],[IMPORTE NETO]:[EXENTO]])</f>
        <v>25761</v>
      </c>
      <c r="M1278" s="55"/>
    </row>
    <row r="1279" spans="2:13" x14ac:dyDescent="0.3">
      <c r="B1279" s="223">
        <v>44852</v>
      </c>
      <c r="C1279" s="224">
        <v>6</v>
      </c>
      <c r="D1279" s="225">
        <v>13</v>
      </c>
      <c r="E1279" s="226">
        <v>26457</v>
      </c>
      <c r="F1279" s="227">
        <v>111</v>
      </c>
      <c r="G1279" s="1"/>
      <c r="H1279" s="60">
        <v>4194.21</v>
      </c>
      <c r="I1279" s="228">
        <v>880.79</v>
      </c>
      <c r="J1279" s="229"/>
      <c r="K1279" s="229"/>
      <c r="L1279" s="229">
        <f>SUM(ventas_b_mes11[[#This Row],[IMPORTE NETO]:[EXENTO]])</f>
        <v>5075</v>
      </c>
      <c r="M1279" s="55"/>
    </row>
    <row r="1280" spans="2:13" x14ac:dyDescent="0.3">
      <c r="B1280" s="223">
        <v>44852</v>
      </c>
      <c r="C1280" s="224">
        <v>6</v>
      </c>
      <c r="D1280" s="225">
        <v>13</v>
      </c>
      <c r="E1280" s="226">
        <v>26458</v>
      </c>
      <c r="F1280" s="227">
        <v>29147355</v>
      </c>
      <c r="G1280" s="1" t="s">
        <v>216</v>
      </c>
      <c r="H1280" s="60">
        <v>9008.26</v>
      </c>
      <c r="I1280" s="228">
        <v>1891.73</v>
      </c>
      <c r="J1280" s="229"/>
      <c r="K1280" s="229"/>
      <c r="L1280" s="229">
        <f>SUM(ventas_b_mes11[[#This Row],[IMPORTE NETO]:[EXENTO]])</f>
        <v>10899.99</v>
      </c>
      <c r="M1280" s="55"/>
    </row>
    <row r="1281" spans="2:13" x14ac:dyDescent="0.3">
      <c r="B1281" s="223">
        <v>44852</v>
      </c>
      <c r="C1281" s="224">
        <v>6</v>
      </c>
      <c r="D1281" s="225">
        <v>13</v>
      </c>
      <c r="E1281" s="226">
        <v>26459</v>
      </c>
      <c r="F1281" s="227">
        <v>0</v>
      </c>
      <c r="G1281" s="1"/>
      <c r="H1281" s="60">
        <v>2603.31</v>
      </c>
      <c r="I1281" s="228">
        <v>546.69000000000005</v>
      </c>
      <c r="J1281" s="229"/>
      <c r="K1281" s="229"/>
      <c r="L1281" s="229">
        <f>SUM(ventas_b_mes11[[#This Row],[IMPORTE NETO]:[EXENTO]])</f>
        <v>3150</v>
      </c>
      <c r="M1281" s="55"/>
    </row>
    <row r="1282" spans="2:13" x14ac:dyDescent="0.3">
      <c r="B1282" s="223">
        <v>44852</v>
      </c>
      <c r="C1282" s="224">
        <v>6</v>
      </c>
      <c r="D1282" s="225">
        <v>13</v>
      </c>
      <c r="E1282" s="226">
        <v>26460</v>
      </c>
      <c r="F1282" s="227">
        <v>18442283</v>
      </c>
      <c r="G1282" s="1" t="s">
        <v>686</v>
      </c>
      <c r="H1282" s="60">
        <v>17471.07</v>
      </c>
      <c r="I1282" s="228">
        <v>3668.93</v>
      </c>
      <c r="J1282" s="229"/>
      <c r="K1282" s="229"/>
      <c r="L1282" s="229">
        <f>SUM(ventas_b_mes11[[#This Row],[IMPORTE NETO]:[EXENTO]])</f>
        <v>21140</v>
      </c>
      <c r="M1282" s="55"/>
    </row>
    <row r="1283" spans="2:13" x14ac:dyDescent="0.3">
      <c r="B1283" s="223">
        <v>44852</v>
      </c>
      <c r="C1283" s="224">
        <v>6</v>
      </c>
      <c r="D1283" s="225">
        <v>13</v>
      </c>
      <c r="E1283" s="226">
        <v>26461</v>
      </c>
      <c r="F1283" s="227">
        <v>23878860</v>
      </c>
      <c r="G1283" s="1" t="s">
        <v>773</v>
      </c>
      <c r="H1283" s="60">
        <v>2704.55</v>
      </c>
      <c r="I1283" s="228">
        <v>567.95000000000005</v>
      </c>
      <c r="J1283" s="229"/>
      <c r="K1283" s="229"/>
      <c r="L1283" s="229">
        <f>SUM(ventas_b_mes11[[#This Row],[IMPORTE NETO]:[EXENTO]])</f>
        <v>3272.5</v>
      </c>
      <c r="M1283" s="55"/>
    </row>
    <row r="1284" spans="2:13" x14ac:dyDescent="0.3">
      <c r="B1284" s="223">
        <v>44852</v>
      </c>
      <c r="C1284" s="224">
        <v>6</v>
      </c>
      <c r="D1284" s="225">
        <v>13</v>
      </c>
      <c r="E1284" s="226">
        <v>26462</v>
      </c>
      <c r="F1284" s="227">
        <v>23277110</v>
      </c>
      <c r="G1284" s="1" t="s">
        <v>482</v>
      </c>
      <c r="H1284" s="60">
        <v>6128.1</v>
      </c>
      <c r="I1284" s="228">
        <v>1286.9000000000001</v>
      </c>
      <c r="J1284" s="229"/>
      <c r="K1284" s="229"/>
      <c r="L1284" s="229">
        <f>SUM(ventas_b_mes11[[#This Row],[IMPORTE NETO]:[EXENTO]])</f>
        <v>7415</v>
      </c>
      <c r="M1284" s="55"/>
    </row>
    <row r="1285" spans="2:13" x14ac:dyDescent="0.3">
      <c r="B1285" s="223">
        <v>44852</v>
      </c>
      <c r="C1285" s="224">
        <v>6</v>
      </c>
      <c r="D1285" s="225">
        <v>13</v>
      </c>
      <c r="E1285" s="226">
        <v>26463</v>
      </c>
      <c r="F1285" s="227">
        <v>11111111</v>
      </c>
      <c r="G1285" s="1"/>
      <c r="H1285" s="60">
        <v>8478.93</v>
      </c>
      <c r="I1285" s="228">
        <v>1780.57</v>
      </c>
      <c r="J1285" s="229"/>
      <c r="K1285" s="229"/>
      <c r="L1285" s="229">
        <f>SUM(ventas_b_mes11[[#This Row],[IMPORTE NETO]:[EXENTO]])</f>
        <v>10259.5</v>
      </c>
      <c r="M1285" s="55"/>
    </row>
    <row r="1286" spans="2:13" x14ac:dyDescent="0.3">
      <c r="B1286" s="223">
        <v>44852</v>
      </c>
      <c r="C1286" s="224">
        <v>6</v>
      </c>
      <c r="D1286" s="225">
        <v>13</v>
      </c>
      <c r="E1286" s="226">
        <v>26464</v>
      </c>
      <c r="F1286" s="227">
        <v>5406268</v>
      </c>
      <c r="G1286" s="1" t="s">
        <v>765</v>
      </c>
      <c r="H1286" s="60">
        <v>2493.8000000000002</v>
      </c>
      <c r="I1286" s="228">
        <v>523.70000000000005</v>
      </c>
      <c r="J1286" s="229"/>
      <c r="K1286" s="229"/>
      <c r="L1286" s="229">
        <f>SUM(ventas_b_mes11[[#This Row],[IMPORTE NETO]:[EXENTO]])</f>
        <v>3017.5</v>
      </c>
      <c r="M1286" s="55"/>
    </row>
    <row r="1287" spans="2:13" x14ac:dyDescent="0.3">
      <c r="B1287" s="223">
        <v>44852</v>
      </c>
      <c r="C1287" s="224">
        <v>6</v>
      </c>
      <c r="D1287" s="225">
        <v>13</v>
      </c>
      <c r="E1287" s="226">
        <v>26465</v>
      </c>
      <c r="F1287" s="227">
        <v>111</v>
      </c>
      <c r="G1287" s="1"/>
      <c r="H1287" s="60">
        <v>1338.84</v>
      </c>
      <c r="I1287" s="228">
        <v>281.16000000000003</v>
      </c>
      <c r="J1287" s="229"/>
      <c r="K1287" s="229"/>
      <c r="L1287" s="229">
        <f>SUM(ventas_b_mes11[[#This Row],[IMPORTE NETO]:[EXENTO]])</f>
        <v>1620</v>
      </c>
      <c r="M1287" s="55"/>
    </row>
    <row r="1288" spans="2:13" x14ac:dyDescent="0.3">
      <c r="B1288" s="223" t="s">
        <v>112</v>
      </c>
      <c r="C1288" s="224">
        <v>6</v>
      </c>
      <c r="D1288" s="225">
        <v>13</v>
      </c>
      <c r="E1288" s="226">
        <v>26466</v>
      </c>
      <c r="F1288" s="227">
        <v>11111111</v>
      </c>
      <c r="G1288" s="1"/>
      <c r="H1288" s="60">
        <v>855.37</v>
      </c>
      <c r="I1288" s="228">
        <v>179.63</v>
      </c>
      <c r="J1288" s="229"/>
      <c r="K1288" s="229"/>
      <c r="L1288" s="229">
        <f>SUM(ventas_b_mes11[[#This Row],[IMPORTE NETO]:[EXENTO]])</f>
        <v>1035</v>
      </c>
      <c r="M1288" s="55"/>
    </row>
    <row r="1289" spans="2:13" x14ac:dyDescent="0.3">
      <c r="B1289" s="223">
        <v>44853</v>
      </c>
      <c r="C1289" s="224">
        <v>6</v>
      </c>
      <c r="D1289" s="225">
        <v>13</v>
      </c>
      <c r="E1289" s="226">
        <v>26467</v>
      </c>
      <c r="F1289" s="227">
        <v>11111111</v>
      </c>
      <c r="G1289" s="1"/>
      <c r="H1289" s="60">
        <v>5900.83</v>
      </c>
      <c r="I1289" s="228">
        <v>1239.17</v>
      </c>
      <c r="J1289" s="229"/>
      <c r="K1289" s="229"/>
      <c r="L1289" s="229">
        <f>SUM(ventas_b_mes11[[#This Row],[IMPORTE NETO]:[EXENTO]])</f>
        <v>7140</v>
      </c>
      <c r="M1289" s="55"/>
    </row>
    <row r="1290" spans="2:13" x14ac:dyDescent="0.3">
      <c r="B1290" s="223">
        <v>44853</v>
      </c>
      <c r="C1290" s="224">
        <v>6</v>
      </c>
      <c r="D1290" s="225">
        <v>13</v>
      </c>
      <c r="E1290" s="226">
        <v>26468</v>
      </c>
      <c r="F1290" s="227">
        <v>0</v>
      </c>
      <c r="G1290" s="1"/>
      <c r="H1290" s="60">
        <v>3121.49</v>
      </c>
      <c r="I1290" s="228">
        <v>655.51</v>
      </c>
      <c r="J1290" s="229"/>
      <c r="K1290" s="229"/>
      <c r="L1290" s="229">
        <f>SUM(ventas_b_mes11[[#This Row],[IMPORTE NETO]:[EXENTO]])</f>
        <v>3777</v>
      </c>
      <c r="M1290" s="55"/>
    </row>
    <row r="1291" spans="2:13" x14ac:dyDescent="0.3">
      <c r="B1291" s="223">
        <v>44853</v>
      </c>
      <c r="C1291" s="224">
        <v>6</v>
      </c>
      <c r="D1291" s="225">
        <v>13</v>
      </c>
      <c r="E1291" s="226">
        <v>26469</v>
      </c>
      <c r="F1291" s="227">
        <v>1111</v>
      </c>
      <c r="G1291" s="1"/>
      <c r="H1291" s="60">
        <v>7171.07</v>
      </c>
      <c r="I1291" s="228">
        <v>1505.93</v>
      </c>
      <c r="J1291" s="229"/>
      <c r="K1291" s="229"/>
      <c r="L1291" s="229">
        <f>SUM(ventas_b_mes11[[#This Row],[IMPORTE NETO]:[EXENTO]])</f>
        <v>8677</v>
      </c>
      <c r="M1291" s="55"/>
    </row>
    <row r="1292" spans="2:13" x14ac:dyDescent="0.3">
      <c r="B1292" s="223">
        <v>44853</v>
      </c>
      <c r="C1292" s="224">
        <v>6</v>
      </c>
      <c r="D1292" s="225">
        <v>13</v>
      </c>
      <c r="E1292" s="226">
        <v>26470</v>
      </c>
      <c r="F1292" s="227">
        <v>22110195</v>
      </c>
      <c r="G1292" s="1" t="s">
        <v>578</v>
      </c>
      <c r="H1292" s="60">
        <v>3983.06</v>
      </c>
      <c r="I1292" s="228">
        <v>836.44</v>
      </c>
      <c r="J1292" s="229"/>
      <c r="K1292" s="229"/>
      <c r="L1292" s="229">
        <f>SUM(ventas_b_mes11[[#This Row],[IMPORTE NETO]:[EXENTO]])</f>
        <v>4819.5</v>
      </c>
      <c r="M1292" s="55"/>
    </row>
    <row r="1293" spans="2:13" x14ac:dyDescent="0.3">
      <c r="B1293" s="223">
        <v>44853</v>
      </c>
      <c r="C1293" s="224">
        <v>6</v>
      </c>
      <c r="D1293" s="225">
        <v>13</v>
      </c>
      <c r="E1293" s="226">
        <v>26471</v>
      </c>
      <c r="F1293" s="227">
        <v>14889577</v>
      </c>
      <c r="G1293" s="1" t="s">
        <v>793</v>
      </c>
      <c r="H1293" s="60">
        <v>12834.31</v>
      </c>
      <c r="I1293" s="228">
        <v>2695.21</v>
      </c>
      <c r="J1293" s="229"/>
      <c r="K1293" s="229"/>
      <c r="L1293" s="229">
        <f>SUM(ventas_b_mes11[[#This Row],[IMPORTE NETO]:[EXENTO]])</f>
        <v>15529.52</v>
      </c>
      <c r="M1293" s="55"/>
    </row>
    <row r="1294" spans="2:13" x14ac:dyDescent="0.3">
      <c r="B1294" s="223">
        <v>44853</v>
      </c>
      <c r="C1294" s="224">
        <v>6</v>
      </c>
      <c r="D1294" s="225">
        <v>13</v>
      </c>
      <c r="E1294" s="226">
        <v>26472</v>
      </c>
      <c r="F1294" s="227">
        <v>11111111</v>
      </c>
      <c r="G1294" s="1"/>
      <c r="H1294" s="60">
        <v>574.38</v>
      </c>
      <c r="I1294" s="228">
        <v>120.62</v>
      </c>
      <c r="J1294" s="229"/>
      <c r="K1294" s="229"/>
      <c r="L1294" s="229">
        <f>SUM(ventas_b_mes11[[#This Row],[IMPORTE NETO]:[EXENTO]])</f>
        <v>695</v>
      </c>
      <c r="M1294" s="55"/>
    </row>
    <row r="1295" spans="2:13" x14ac:dyDescent="0.3">
      <c r="B1295" s="223">
        <v>44853</v>
      </c>
      <c r="C1295" s="224">
        <v>6</v>
      </c>
      <c r="D1295" s="225">
        <v>13</v>
      </c>
      <c r="E1295" s="226">
        <v>26473</v>
      </c>
      <c r="F1295" s="227">
        <v>28358650</v>
      </c>
      <c r="G1295" s="1" t="s">
        <v>819</v>
      </c>
      <c r="H1295" s="60">
        <v>6425.62</v>
      </c>
      <c r="I1295" s="228">
        <v>1349.38</v>
      </c>
      <c r="J1295" s="229"/>
      <c r="K1295" s="229"/>
      <c r="L1295" s="229">
        <f>SUM(ventas_b_mes11[[#This Row],[IMPORTE NETO]:[EXENTO]])</f>
        <v>7775</v>
      </c>
      <c r="M1295" s="55"/>
    </row>
    <row r="1296" spans="2:13" x14ac:dyDescent="0.3">
      <c r="B1296" s="223">
        <v>44853</v>
      </c>
      <c r="C1296" s="224">
        <v>6</v>
      </c>
      <c r="D1296" s="225">
        <v>13</v>
      </c>
      <c r="E1296" s="226">
        <v>26474</v>
      </c>
      <c r="F1296" s="227">
        <v>16580900</v>
      </c>
      <c r="G1296" s="1"/>
      <c r="H1296" s="60">
        <v>5022.7299999999996</v>
      </c>
      <c r="I1296" s="228">
        <v>1054.77</v>
      </c>
      <c r="J1296" s="229"/>
      <c r="K1296" s="229"/>
      <c r="L1296" s="229">
        <f>SUM(ventas_b_mes11[[#This Row],[IMPORTE NETO]:[EXENTO]])</f>
        <v>6077.5</v>
      </c>
      <c r="M1296" s="55"/>
    </row>
    <row r="1297" spans="2:13" x14ac:dyDescent="0.3">
      <c r="B1297" s="223">
        <v>44853</v>
      </c>
      <c r="C1297" s="224">
        <v>6</v>
      </c>
      <c r="D1297" s="225">
        <v>13</v>
      </c>
      <c r="E1297" s="226">
        <v>26475</v>
      </c>
      <c r="F1297" s="227">
        <v>1111</v>
      </c>
      <c r="G1297" s="1"/>
      <c r="H1297" s="60">
        <v>10129.75</v>
      </c>
      <c r="I1297" s="228">
        <v>2127.25</v>
      </c>
      <c r="J1297" s="229"/>
      <c r="K1297" s="229"/>
      <c r="L1297" s="229">
        <f>SUM(ventas_b_mes11[[#This Row],[IMPORTE NETO]:[EXENTO]])</f>
        <v>12257</v>
      </c>
      <c r="M1297" s="55"/>
    </row>
    <row r="1298" spans="2:13" x14ac:dyDescent="0.3">
      <c r="B1298" s="223">
        <v>44853</v>
      </c>
      <c r="C1298" s="224">
        <v>6</v>
      </c>
      <c r="D1298" s="225">
        <v>13</v>
      </c>
      <c r="E1298" s="226">
        <v>26476</v>
      </c>
      <c r="F1298" s="227">
        <v>93904656</v>
      </c>
      <c r="G1298" s="1" t="s">
        <v>810</v>
      </c>
      <c r="H1298" s="60">
        <v>5268.6</v>
      </c>
      <c r="I1298" s="228">
        <v>1106.4000000000001</v>
      </c>
      <c r="J1298" s="229"/>
      <c r="K1298" s="229"/>
      <c r="L1298" s="229">
        <f>SUM(ventas_b_mes11[[#This Row],[IMPORTE NETO]:[EXENTO]])</f>
        <v>6375</v>
      </c>
      <c r="M1298" s="55"/>
    </row>
    <row r="1299" spans="2:13" x14ac:dyDescent="0.3">
      <c r="B1299" s="223">
        <v>44853</v>
      </c>
      <c r="C1299" s="224">
        <v>6</v>
      </c>
      <c r="D1299" s="225">
        <v>13</v>
      </c>
      <c r="E1299" s="226">
        <v>26477</v>
      </c>
      <c r="F1299" s="227">
        <v>11111111</v>
      </c>
      <c r="G1299" s="1"/>
      <c r="H1299" s="60">
        <v>5479.34</v>
      </c>
      <c r="I1299" s="228">
        <v>1150.6600000000001</v>
      </c>
      <c r="J1299" s="229"/>
      <c r="K1299" s="229"/>
      <c r="L1299" s="229">
        <f>SUM(ventas_b_mes11[[#This Row],[IMPORTE NETO]:[EXENTO]])</f>
        <v>6630</v>
      </c>
      <c r="M1299" s="55"/>
    </row>
    <row r="1300" spans="2:13" x14ac:dyDescent="0.3">
      <c r="B1300" s="223">
        <v>44853</v>
      </c>
      <c r="C1300" s="224">
        <v>6</v>
      </c>
      <c r="D1300" s="225">
        <v>13</v>
      </c>
      <c r="E1300" s="226">
        <v>26478</v>
      </c>
      <c r="F1300" s="227">
        <v>0</v>
      </c>
      <c r="G1300" s="1"/>
      <c r="H1300" s="60">
        <v>438.02</v>
      </c>
      <c r="I1300" s="228">
        <v>91.98</v>
      </c>
      <c r="J1300" s="229"/>
      <c r="K1300" s="229"/>
      <c r="L1300" s="229">
        <f>SUM(ventas_b_mes11[[#This Row],[IMPORTE NETO]:[EXENTO]])</f>
        <v>530</v>
      </c>
      <c r="M1300" s="55"/>
    </row>
    <row r="1301" spans="2:13" x14ac:dyDescent="0.3">
      <c r="B1301" s="223">
        <v>44853</v>
      </c>
      <c r="C1301" s="224">
        <v>6</v>
      </c>
      <c r="D1301" s="225">
        <v>13</v>
      </c>
      <c r="E1301" s="226">
        <v>26479</v>
      </c>
      <c r="F1301" s="227">
        <v>17880694</v>
      </c>
      <c r="G1301" s="1" t="s">
        <v>817</v>
      </c>
      <c r="H1301" s="60">
        <v>2613.2199999999998</v>
      </c>
      <c r="I1301" s="228">
        <v>548.78</v>
      </c>
      <c r="J1301" s="229"/>
      <c r="K1301" s="229"/>
      <c r="L1301" s="229">
        <f>SUM(ventas_b_mes11[[#This Row],[IMPORTE NETO]:[EXENTO]])</f>
        <v>3162</v>
      </c>
      <c r="M1301" s="55"/>
    </row>
    <row r="1302" spans="2:13" x14ac:dyDescent="0.3">
      <c r="B1302" s="223">
        <v>44853</v>
      </c>
      <c r="C1302" s="224">
        <v>6</v>
      </c>
      <c r="D1302" s="225">
        <v>13</v>
      </c>
      <c r="E1302" s="226">
        <v>26480</v>
      </c>
      <c r="F1302" s="227">
        <v>11111111</v>
      </c>
      <c r="G1302" s="1"/>
      <c r="H1302" s="60">
        <v>566.12</v>
      </c>
      <c r="I1302" s="228">
        <v>118.88</v>
      </c>
      <c r="J1302" s="229"/>
      <c r="K1302" s="229"/>
      <c r="L1302" s="229">
        <f>SUM(ventas_b_mes11[[#This Row],[IMPORTE NETO]:[EXENTO]])</f>
        <v>685</v>
      </c>
      <c r="M1302" s="55"/>
    </row>
    <row r="1303" spans="2:13" x14ac:dyDescent="0.3">
      <c r="B1303" s="223">
        <v>44853</v>
      </c>
      <c r="C1303" s="224">
        <v>6</v>
      </c>
      <c r="D1303" s="225">
        <v>13</v>
      </c>
      <c r="E1303" s="226">
        <v>26481</v>
      </c>
      <c r="F1303" s="227">
        <v>22110195</v>
      </c>
      <c r="G1303" s="1" t="s">
        <v>578</v>
      </c>
      <c r="H1303" s="60">
        <v>18433.060000000001</v>
      </c>
      <c r="I1303" s="228">
        <v>3870.94</v>
      </c>
      <c r="J1303" s="229"/>
      <c r="K1303" s="229"/>
      <c r="L1303" s="229">
        <f>SUM(ventas_b_mes11[[#This Row],[IMPORTE NETO]:[EXENTO]])</f>
        <v>22304</v>
      </c>
      <c r="M1303" s="55"/>
    </row>
    <row r="1304" spans="2:13" x14ac:dyDescent="0.3">
      <c r="B1304" s="223">
        <v>44853</v>
      </c>
      <c r="C1304" s="224">
        <v>6</v>
      </c>
      <c r="D1304" s="225">
        <v>13</v>
      </c>
      <c r="E1304" s="226">
        <v>26482</v>
      </c>
      <c r="F1304" s="227">
        <v>39266096</v>
      </c>
      <c r="G1304" s="1" t="s">
        <v>335</v>
      </c>
      <c r="H1304" s="60">
        <v>4958.68</v>
      </c>
      <c r="I1304" s="228">
        <v>1041.32</v>
      </c>
      <c r="J1304" s="229"/>
      <c r="K1304" s="229"/>
      <c r="L1304" s="229">
        <f>SUM(ventas_b_mes11[[#This Row],[IMPORTE NETO]:[EXENTO]])</f>
        <v>6000</v>
      </c>
      <c r="M1304" s="55"/>
    </row>
    <row r="1305" spans="2:13" x14ac:dyDescent="0.3">
      <c r="B1305" s="223">
        <v>44854</v>
      </c>
      <c r="C1305" s="224">
        <v>6</v>
      </c>
      <c r="D1305" s="225">
        <v>13</v>
      </c>
      <c r="E1305" s="226">
        <v>26483</v>
      </c>
      <c r="F1305" s="227">
        <v>29147355</v>
      </c>
      <c r="G1305" s="1" t="s">
        <v>216</v>
      </c>
      <c r="H1305" s="60">
        <v>371.9</v>
      </c>
      <c r="I1305" s="228">
        <v>78.099999999999994</v>
      </c>
      <c r="J1305" s="229"/>
      <c r="K1305" s="229"/>
      <c r="L1305" s="229">
        <f>SUM(ventas_b_mes11[[#This Row],[IMPORTE NETO]:[EXENTO]])</f>
        <v>450</v>
      </c>
      <c r="M1305" s="55"/>
    </row>
    <row r="1306" spans="2:13" x14ac:dyDescent="0.3">
      <c r="B1306" s="223">
        <v>44854</v>
      </c>
      <c r="C1306" s="224">
        <v>6</v>
      </c>
      <c r="D1306" s="225">
        <v>13</v>
      </c>
      <c r="E1306" s="226">
        <v>26484</v>
      </c>
      <c r="F1306" s="227">
        <v>0</v>
      </c>
      <c r="G1306" s="1"/>
      <c r="H1306" s="60">
        <v>1450.41</v>
      </c>
      <c r="I1306" s="228">
        <v>304.58999999999997</v>
      </c>
      <c r="J1306" s="229"/>
      <c r="K1306" s="229"/>
      <c r="L1306" s="229">
        <f>SUM(ventas_b_mes11[[#This Row],[IMPORTE NETO]:[EXENTO]])</f>
        <v>1755</v>
      </c>
      <c r="M1306" s="55"/>
    </row>
    <row r="1307" spans="2:13" x14ac:dyDescent="0.3">
      <c r="B1307" s="223">
        <v>44854</v>
      </c>
      <c r="C1307" s="224">
        <v>6</v>
      </c>
      <c r="D1307" s="225">
        <v>13</v>
      </c>
      <c r="E1307" s="226">
        <v>26485</v>
      </c>
      <c r="F1307" s="227">
        <v>111</v>
      </c>
      <c r="G1307" s="1"/>
      <c r="H1307" s="60">
        <v>4797.5200000000004</v>
      </c>
      <c r="I1307" s="228">
        <v>1007.48</v>
      </c>
      <c r="J1307" s="229"/>
      <c r="K1307" s="229"/>
      <c r="L1307" s="229">
        <f>SUM(ventas_b_mes11[[#This Row],[IMPORTE NETO]:[EXENTO]])</f>
        <v>5805</v>
      </c>
      <c r="M1307" s="55"/>
    </row>
    <row r="1308" spans="2:13" x14ac:dyDescent="0.3">
      <c r="B1308" s="223">
        <v>44854</v>
      </c>
      <c r="C1308" s="224">
        <v>6</v>
      </c>
      <c r="D1308" s="225">
        <v>13</v>
      </c>
      <c r="E1308" s="226">
        <v>26486</v>
      </c>
      <c r="F1308" s="227">
        <v>29147355</v>
      </c>
      <c r="G1308" s="1" t="s">
        <v>216</v>
      </c>
      <c r="H1308" s="60">
        <v>5247.93</v>
      </c>
      <c r="I1308" s="228">
        <v>1102.07</v>
      </c>
      <c r="J1308" s="229"/>
      <c r="K1308" s="229"/>
      <c r="L1308" s="229">
        <f>SUM(ventas_b_mes11[[#This Row],[IMPORTE NETO]:[EXENTO]])</f>
        <v>6350</v>
      </c>
      <c r="M1308" s="55"/>
    </row>
    <row r="1309" spans="2:13" x14ac:dyDescent="0.3">
      <c r="B1309" s="223">
        <v>44854</v>
      </c>
      <c r="C1309" s="224">
        <v>6</v>
      </c>
      <c r="D1309" s="225">
        <v>13</v>
      </c>
      <c r="E1309" s="226">
        <v>26487</v>
      </c>
      <c r="F1309" s="227">
        <v>0</v>
      </c>
      <c r="G1309" s="1"/>
      <c r="H1309" s="60">
        <v>1376.04</v>
      </c>
      <c r="I1309" s="228">
        <v>288.97000000000003</v>
      </c>
      <c r="J1309" s="229"/>
      <c r="K1309" s="229"/>
      <c r="L1309" s="229">
        <f>SUM(ventas_b_mes11[[#This Row],[IMPORTE NETO]:[EXENTO]])</f>
        <v>1665.01</v>
      </c>
      <c r="M1309" s="55"/>
    </row>
    <row r="1310" spans="2:13" x14ac:dyDescent="0.3">
      <c r="B1310" s="223">
        <v>44854</v>
      </c>
      <c r="C1310" s="224">
        <v>6</v>
      </c>
      <c r="D1310" s="225">
        <v>13</v>
      </c>
      <c r="E1310" s="226">
        <v>26488</v>
      </c>
      <c r="F1310" s="227">
        <v>4829926</v>
      </c>
      <c r="G1310" s="1"/>
      <c r="H1310" s="60">
        <v>5725.21</v>
      </c>
      <c r="I1310" s="228">
        <v>1202.29</v>
      </c>
      <c r="J1310" s="229"/>
      <c r="K1310" s="229"/>
      <c r="L1310" s="229">
        <f>SUM(ventas_b_mes11[[#This Row],[IMPORTE NETO]:[EXENTO]])</f>
        <v>6927.5</v>
      </c>
      <c r="M1310" s="55"/>
    </row>
    <row r="1311" spans="2:13" x14ac:dyDescent="0.3">
      <c r="B1311" s="223">
        <v>44854</v>
      </c>
      <c r="C1311" s="224">
        <v>6</v>
      </c>
      <c r="D1311" s="225">
        <v>13</v>
      </c>
      <c r="E1311" s="226">
        <v>26489</v>
      </c>
      <c r="F1311" s="227">
        <v>23568158</v>
      </c>
      <c r="G1311" s="1" t="s">
        <v>859</v>
      </c>
      <c r="H1311" s="60">
        <v>15342.16</v>
      </c>
      <c r="I1311" s="228">
        <v>3221.85</v>
      </c>
      <c r="J1311" s="229"/>
      <c r="K1311" s="229"/>
      <c r="L1311" s="229">
        <f>SUM(ventas_b_mes11[[#This Row],[IMPORTE NETO]:[EXENTO]])</f>
        <v>18564.009999999998</v>
      </c>
      <c r="M1311" s="55"/>
    </row>
    <row r="1312" spans="2:13" x14ac:dyDescent="0.3">
      <c r="B1312" s="223">
        <v>44854</v>
      </c>
      <c r="C1312" s="224">
        <v>6</v>
      </c>
      <c r="D1312" s="225">
        <v>13</v>
      </c>
      <c r="E1312" s="226">
        <v>26490</v>
      </c>
      <c r="F1312" s="227">
        <v>22549050</v>
      </c>
      <c r="G1312" s="1" t="s">
        <v>857</v>
      </c>
      <c r="H1312" s="60">
        <v>10291.32</v>
      </c>
      <c r="I1312" s="228">
        <v>2161.1799999999998</v>
      </c>
      <c r="J1312" s="229"/>
      <c r="K1312" s="229"/>
      <c r="L1312" s="229">
        <f>SUM(ventas_b_mes11[[#This Row],[IMPORTE NETO]:[EXENTO]])</f>
        <v>12452.5</v>
      </c>
      <c r="M1312" s="55"/>
    </row>
    <row r="1313" spans="2:13" x14ac:dyDescent="0.3">
      <c r="B1313" s="223">
        <v>44854</v>
      </c>
      <c r="C1313" s="224">
        <v>6</v>
      </c>
      <c r="D1313" s="225">
        <v>13</v>
      </c>
      <c r="E1313" s="226">
        <v>26491</v>
      </c>
      <c r="F1313" s="227">
        <v>29147355</v>
      </c>
      <c r="G1313" s="1" t="s">
        <v>216</v>
      </c>
      <c r="H1313" s="60">
        <v>3731.4</v>
      </c>
      <c r="I1313" s="228">
        <v>783.6</v>
      </c>
      <c r="J1313" s="229"/>
      <c r="K1313" s="229"/>
      <c r="L1313" s="229">
        <f>SUM(ventas_b_mes11[[#This Row],[IMPORTE NETO]:[EXENTO]])</f>
        <v>4515</v>
      </c>
      <c r="M1313" s="55"/>
    </row>
    <row r="1314" spans="2:13" x14ac:dyDescent="0.3">
      <c r="B1314" s="223">
        <v>44854</v>
      </c>
      <c r="C1314" s="224">
        <v>6</v>
      </c>
      <c r="D1314" s="225">
        <v>13</v>
      </c>
      <c r="E1314" s="226">
        <v>26492</v>
      </c>
      <c r="F1314" s="227">
        <v>11111111</v>
      </c>
      <c r="G1314" s="1"/>
      <c r="H1314" s="60">
        <v>804.34</v>
      </c>
      <c r="I1314" s="228">
        <v>168.91</v>
      </c>
      <c r="J1314" s="229"/>
      <c r="K1314" s="229"/>
      <c r="L1314" s="229">
        <f>SUM(ventas_b_mes11[[#This Row],[IMPORTE NETO]:[EXENTO]])</f>
        <v>973.25</v>
      </c>
      <c r="M1314" s="55"/>
    </row>
    <row r="1315" spans="2:13" x14ac:dyDescent="0.3">
      <c r="B1315" s="223">
        <v>44854</v>
      </c>
      <c r="C1315" s="224">
        <v>6</v>
      </c>
      <c r="D1315" s="225">
        <v>13</v>
      </c>
      <c r="E1315" s="226">
        <v>26493</v>
      </c>
      <c r="F1315" s="227">
        <v>25600288</v>
      </c>
      <c r="G1315" s="1" t="s">
        <v>856</v>
      </c>
      <c r="H1315" s="60">
        <v>1561.98</v>
      </c>
      <c r="I1315" s="228">
        <v>328.02</v>
      </c>
      <c r="J1315" s="229"/>
      <c r="K1315" s="229"/>
      <c r="L1315" s="229">
        <f>SUM(ventas_b_mes11[[#This Row],[IMPORTE NETO]:[EXENTO]])</f>
        <v>1890</v>
      </c>
      <c r="M1315" s="55"/>
    </row>
    <row r="1316" spans="2:13" x14ac:dyDescent="0.3">
      <c r="B1316" s="223">
        <v>44854</v>
      </c>
      <c r="C1316" s="224">
        <v>6</v>
      </c>
      <c r="D1316" s="225">
        <v>13</v>
      </c>
      <c r="E1316" s="226">
        <v>26494</v>
      </c>
      <c r="F1316" s="227">
        <v>29147355</v>
      </c>
      <c r="G1316" s="1" t="s">
        <v>216</v>
      </c>
      <c r="H1316" s="60">
        <v>1053.72</v>
      </c>
      <c r="I1316" s="228">
        <v>221.28</v>
      </c>
      <c r="J1316" s="229"/>
      <c r="K1316" s="229"/>
      <c r="L1316" s="229">
        <f>SUM(ventas_b_mes11[[#This Row],[IMPORTE NETO]:[EXENTO]])</f>
        <v>1275</v>
      </c>
      <c r="M1316" s="55"/>
    </row>
    <row r="1317" spans="2:13" x14ac:dyDescent="0.3">
      <c r="B1317" s="223">
        <v>44854</v>
      </c>
      <c r="C1317" s="224">
        <v>6</v>
      </c>
      <c r="D1317" s="225">
        <v>13</v>
      </c>
      <c r="E1317" s="226">
        <v>26495</v>
      </c>
      <c r="F1317" s="227">
        <v>3256478</v>
      </c>
      <c r="G1317" s="1" t="s">
        <v>831</v>
      </c>
      <c r="H1317" s="60">
        <v>3016.53</v>
      </c>
      <c r="I1317" s="228">
        <v>633.47</v>
      </c>
      <c r="J1317" s="229"/>
      <c r="K1317" s="229"/>
      <c r="L1317" s="229">
        <f>SUM(ventas_b_mes11[[#This Row],[IMPORTE NETO]:[EXENTO]])</f>
        <v>3650</v>
      </c>
      <c r="M1317" s="55"/>
    </row>
    <row r="1318" spans="2:13" x14ac:dyDescent="0.3">
      <c r="B1318" s="223">
        <v>44854</v>
      </c>
      <c r="C1318" s="224">
        <v>6</v>
      </c>
      <c r="D1318" s="225">
        <v>13</v>
      </c>
      <c r="E1318" s="226">
        <v>26496</v>
      </c>
      <c r="F1318" s="227">
        <v>92811677</v>
      </c>
      <c r="G1318" s="1" t="s">
        <v>149</v>
      </c>
      <c r="H1318" s="60">
        <v>2247.9299999999998</v>
      </c>
      <c r="I1318" s="228">
        <v>472.07</v>
      </c>
      <c r="J1318" s="229"/>
      <c r="K1318" s="229"/>
      <c r="L1318" s="229">
        <f>SUM(ventas_b_mes11[[#This Row],[IMPORTE NETO]:[EXENTO]])</f>
        <v>2720</v>
      </c>
      <c r="M1318" s="55"/>
    </row>
    <row r="1319" spans="2:13" x14ac:dyDescent="0.3">
      <c r="B1319" s="223">
        <v>44854</v>
      </c>
      <c r="C1319" s="224">
        <v>6</v>
      </c>
      <c r="D1319" s="225">
        <v>13</v>
      </c>
      <c r="E1319" s="226">
        <v>26497</v>
      </c>
      <c r="F1319" s="227">
        <v>33026736</v>
      </c>
      <c r="G1319" s="1" t="s">
        <v>337</v>
      </c>
      <c r="H1319" s="60">
        <v>9272.73</v>
      </c>
      <c r="I1319" s="228">
        <v>1947.27</v>
      </c>
      <c r="J1319" s="229"/>
      <c r="K1319" s="229"/>
      <c r="L1319" s="229">
        <f>SUM(ventas_b_mes11[[#This Row],[IMPORTE NETO]:[EXENTO]])</f>
        <v>11220</v>
      </c>
      <c r="M1319" s="55"/>
    </row>
    <row r="1320" spans="2:13" x14ac:dyDescent="0.3">
      <c r="B1320" s="223">
        <v>44854</v>
      </c>
      <c r="C1320" s="224">
        <v>6</v>
      </c>
      <c r="D1320" s="225">
        <v>13</v>
      </c>
      <c r="E1320" s="226">
        <v>26498</v>
      </c>
      <c r="F1320" s="227">
        <v>19084273</v>
      </c>
      <c r="G1320" s="1" t="s">
        <v>352</v>
      </c>
      <c r="H1320" s="60">
        <v>6778.93</v>
      </c>
      <c r="I1320" s="228">
        <v>1423.57</v>
      </c>
      <c r="J1320" s="229"/>
      <c r="K1320" s="229"/>
      <c r="L1320" s="229">
        <f>SUM(ventas_b_mes11[[#This Row],[IMPORTE NETO]:[EXENTO]])</f>
        <v>8202.5</v>
      </c>
      <c r="M1320" s="55"/>
    </row>
    <row r="1321" spans="2:13" x14ac:dyDescent="0.3">
      <c r="B1321" s="223">
        <v>44854</v>
      </c>
      <c r="C1321" s="224">
        <v>6</v>
      </c>
      <c r="D1321" s="225">
        <v>13</v>
      </c>
      <c r="E1321" s="226">
        <v>26499</v>
      </c>
      <c r="F1321" s="227">
        <v>17475733</v>
      </c>
      <c r="G1321" s="1" t="s">
        <v>843</v>
      </c>
      <c r="H1321" s="60">
        <v>4952.49</v>
      </c>
      <c r="I1321" s="228">
        <v>1040.02</v>
      </c>
      <c r="J1321" s="229"/>
      <c r="K1321" s="229"/>
      <c r="L1321" s="229">
        <f>SUM(ventas_b_mes11[[#This Row],[IMPORTE NETO]:[EXENTO]])</f>
        <v>5992.51</v>
      </c>
      <c r="M1321" s="55"/>
    </row>
    <row r="1322" spans="2:13" x14ac:dyDescent="0.3">
      <c r="B1322" s="223">
        <v>44855</v>
      </c>
      <c r="C1322" s="224">
        <v>6</v>
      </c>
      <c r="D1322" s="225">
        <v>13</v>
      </c>
      <c r="E1322" s="226">
        <v>26500</v>
      </c>
      <c r="F1322" s="227">
        <v>28972022</v>
      </c>
      <c r="G1322" s="1" t="s">
        <v>865</v>
      </c>
      <c r="H1322" s="60">
        <v>3477.27</v>
      </c>
      <c r="I1322" s="228">
        <v>730.23</v>
      </c>
      <c r="J1322" s="229"/>
      <c r="K1322" s="229"/>
      <c r="L1322" s="229">
        <f>SUM(ventas_b_mes11[[#This Row],[IMPORTE NETO]:[EXENTO]])</f>
        <v>4207.5</v>
      </c>
      <c r="M1322" s="55"/>
    </row>
    <row r="1323" spans="2:13" x14ac:dyDescent="0.3">
      <c r="B1323" s="223">
        <v>44855</v>
      </c>
      <c r="C1323" s="224">
        <v>6</v>
      </c>
      <c r="D1323" s="225">
        <v>13</v>
      </c>
      <c r="E1323" s="226">
        <v>26501</v>
      </c>
      <c r="F1323" s="227">
        <v>93636620</v>
      </c>
      <c r="G1323" s="1" t="s">
        <v>884</v>
      </c>
      <c r="H1323" s="60">
        <v>7252.07</v>
      </c>
      <c r="I1323" s="228">
        <v>1522.93</v>
      </c>
      <c r="J1323" s="229"/>
      <c r="K1323" s="229"/>
      <c r="L1323" s="229">
        <f>SUM(ventas_b_mes11[[#This Row],[IMPORTE NETO]:[EXENTO]])</f>
        <v>8775</v>
      </c>
      <c r="M1323" s="55"/>
    </row>
    <row r="1324" spans="2:13" x14ac:dyDescent="0.3">
      <c r="B1324" s="223">
        <v>44855</v>
      </c>
      <c r="C1324" s="224">
        <v>6</v>
      </c>
      <c r="D1324" s="225">
        <v>13</v>
      </c>
      <c r="E1324" s="226">
        <v>26502</v>
      </c>
      <c r="F1324" s="227">
        <v>28972022</v>
      </c>
      <c r="G1324" s="1" t="s">
        <v>865</v>
      </c>
      <c r="H1324" s="60">
        <v>16235.7</v>
      </c>
      <c r="I1324" s="228">
        <v>3409.5</v>
      </c>
      <c r="J1324" s="229"/>
      <c r="K1324" s="229"/>
      <c r="L1324" s="229">
        <f>SUM(ventas_b_mes11[[#This Row],[IMPORTE NETO]:[EXENTO]])</f>
        <v>19645.2</v>
      </c>
      <c r="M1324" s="55"/>
    </row>
    <row r="1325" spans="2:13" x14ac:dyDescent="0.3">
      <c r="B1325" s="223">
        <v>44855</v>
      </c>
      <c r="C1325" s="224">
        <v>6</v>
      </c>
      <c r="D1325" s="225">
        <v>13</v>
      </c>
      <c r="E1325" s="226">
        <v>26503</v>
      </c>
      <c r="F1325" s="227">
        <v>29147355</v>
      </c>
      <c r="G1325" s="1" t="s">
        <v>216</v>
      </c>
      <c r="H1325" s="60">
        <v>5371.9</v>
      </c>
      <c r="I1325" s="228">
        <v>1128.0999999999999</v>
      </c>
      <c r="J1325" s="229"/>
      <c r="K1325" s="229"/>
      <c r="L1325" s="229">
        <f>SUM(ventas_b_mes11[[#This Row],[IMPORTE NETO]:[EXENTO]])</f>
        <v>6500</v>
      </c>
      <c r="M1325" s="55"/>
    </row>
    <row r="1326" spans="2:13" x14ac:dyDescent="0.3">
      <c r="B1326" s="223">
        <v>44855</v>
      </c>
      <c r="C1326" s="224">
        <v>6</v>
      </c>
      <c r="D1326" s="225">
        <v>13</v>
      </c>
      <c r="E1326" s="226">
        <v>26504</v>
      </c>
      <c r="F1326" s="227">
        <v>11111111</v>
      </c>
      <c r="G1326" s="1"/>
      <c r="H1326" s="60">
        <v>4214.87</v>
      </c>
      <c r="I1326" s="228">
        <v>885.12</v>
      </c>
      <c r="J1326" s="229"/>
      <c r="K1326" s="229"/>
      <c r="L1326" s="229">
        <f>SUM(ventas_b_mes11[[#This Row],[IMPORTE NETO]:[EXENTO]])</f>
        <v>5099.99</v>
      </c>
      <c r="M1326" s="55"/>
    </row>
    <row r="1327" spans="2:13" x14ac:dyDescent="0.3">
      <c r="B1327" s="223">
        <v>44855</v>
      </c>
      <c r="C1327" s="224">
        <v>6</v>
      </c>
      <c r="D1327" s="225">
        <v>13</v>
      </c>
      <c r="E1327" s="226">
        <v>26505</v>
      </c>
      <c r="F1327" s="227">
        <v>11111111</v>
      </c>
      <c r="G1327" s="1"/>
      <c r="H1327" s="60">
        <v>8212.82</v>
      </c>
      <c r="I1327" s="228">
        <v>1724.69</v>
      </c>
      <c r="J1327" s="229"/>
      <c r="K1327" s="229"/>
      <c r="L1327" s="229">
        <f>SUM(ventas_b_mes11[[#This Row],[IMPORTE NETO]:[EXENTO]])</f>
        <v>9937.51</v>
      </c>
      <c r="M1327" s="55"/>
    </row>
    <row r="1328" spans="2:13" x14ac:dyDescent="0.3">
      <c r="B1328" s="223">
        <v>44855</v>
      </c>
      <c r="C1328" s="224">
        <v>6</v>
      </c>
      <c r="D1328" s="225">
        <v>13</v>
      </c>
      <c r="E1328" s="226">
        <v>26506</v>
      </c>
      <c r="F1328" s="227">
        <v>1254</v>
      </c>
      <c r="G1328" s="1"/>
      <c r="H1328" s="60">
        <v>7202.48</v>
      </c>
      <c r="I1328" s="228">
        <v>1512.52</v>
      </c>
      <c r="J1328" s="229"/>
      <c r="K1328" s="229"/>
      <c r="L1328" s="229">
        <f>SUM(ventas_b_mes11[[#This Row],[IMPORTE NETO]:[EXENTO]])</f>
        <v>8715</v>
      </c>
      <c r="M1328" s="55"/>
    </row>
    <row r="1329" spans="2:13" x14ac:dyDescent="0.3">
      <c r="B1329" s="223">
        <v>44855</v>
      </c>
      <c r="C1329" s="224">
        <v>6</v>
      </c>
      <c r="D1329" s="225">
        <v>13</v>
      </c>
      <c r="E1329" s="226">
        <v>26507</v>
      </c>
      <c r="F1329" s="227">
        <v>27153757</v>
      </c>
      <c r="G1329" s="1" t="s">
        <v>272</v>
      </c>
      <c r="H1329" s="60">
        <v>3950.41</v>
      </c>
      <c r="I1329" s="228">
        <v>829.59</v>
      </c>
      <c r="J1329" s="229"/>
      <c r="K1329" s="229"/>
      <c r="L1329" s="229">
        <f>SUM(ventas_b_mes11[[#This Row],[IMPORTE NETO]:[EXENTO]])</f>
        <v>4780</v>
      </c>
      <c r="M1329" s="55"/>
    </row>
    <row r="1330" spans="2:13" x14ac:dyDescent="0.3">
      <c r="B1330" s="223">
        <v>44855</v>
      </c>
      <c r="C1330" s="224">
        <v>6</v>
      </c>
      <c r="D1330" s="225">
        <v>13</v>
      </c>
      <c r="E1330" s="226">
        <v>26508</v>
      </c>
      <c r="F1330" s="227">
        <v>20569293</v>
      </c>
      <c r="G1330" s="1" t="s">
        <v>142</v>
      </c>
      <c r="H1330" s="60">
        <v>2950.41</v>
      </c>
      <c r="I1330" s="228">
        <v>619.59</v>
      </c>
      <c r="J1330" s="229"/>
      <c r="K1330" s="229"/>
      <c r="L1330" s="229">
        <f>SUM(ventas_b_mes11[[#This Row],[IMPORTE NETO]:[EXENTO]])</f>
        <v>3570</v>
      </c>
      <c r="M1330" s="55"/>
    </row>
    <row r="1331" spans="2:13" x14ac:dyDescent="0.3">
      <c r="B1331" s="223">
        <v>44855</v>
      </c>
      <c r="C1331" s="224">
        <v>6</v>
      </c>
      <c r="D1331" s="225">
        <v>13</v>
      </c>
      <c r="E1331" s="226">
        <v>26509</v>
      </c>
      <c r="F1331" s="227">
        <v>1224</v>
      </c>
      <c r="G1331" s="1"/>
      <c r="H1331" s="60">
        <v>5142.1499999999996</v>
      </c>
      <c r="I1331" s="228">
        <v>1079.8499999999999</v>
      </c>
      <c r="J1331" s="229"/>
      <c r="K1331" s="229"/>
      <c r="L1331" s="229">
        <f>SUM(ventas_b_mes11[[#This Row],[IMPORTE NETO]:[EXENTO]])</f>
        <v>6222</v>
      </c>
      <c r="M1331" s="55"/>
    </row>
    <row r="1332" spans="2:13" x14ac:dyDescent="0.3">
      <c r="B1332" s="223">
        <v>44855</v>
      </c>
      <c r="C1332" s="224">
        <v>6</v>
      </c>
      <c r="D1332" s="225">
        <v>13</v>
      </c>
      <c r="E1332" s="226">
        <v>26510</v>
      </c>
      <c r="F1332" s="227">
        <v>22757125</v>
      </c>
      <c r="G1332" s="1" t="s">
        <v>868</v>
      </c>
      <c r="H1332" s="60">
        <v>14016.54</v>
      </c>
      <c r="I1332" s="228">
        <v>2943.47</v>
      </c>
      <c r="J1332" s="229"/>
      <c r="K1332" s="229"/>
      <c r="L1332" s="229">
        <f>SUM(ventas_b_mes11[[#This Row],[IMPORTE NETO]:[EXENTO]])</f>
        <v>16960.010000000002</v>
      </c>
      <c r="M1332" s="55"/>
    </row>
    <row r="1333" spans="2:13" x14ac:dyDescent="0.3">
      <c r="B1333" s="223">
        <v>44855</v>
      </c>
      <c r="C1333" s="224">
        <v>6</v>
      </c>
      <c r="D1333" s="225">
        <v>13</v>
      </c>
      <c r="E1333" s="226">
        <v>26511</v>
      </c>
      <c r="F1333" s="227">
        <v>111</v>
      </c>
      <c r="G1333" s="1"/>
      <c r="H1333" s="60">
        <v>6917.36</v>
      </c>
      <c r="I1333" s="228">
        <v>1452.64</v>
      </c>
      <c r="J1333" s="229"/>
      <c r="K1333" s="229"/>
      <c r="L1333" s="229">
        <f>SUM(ventas_b_mes11[[#This Row],[IMPORTE NETO]:[EXENTO]])</f>
        <v>8370</v>
      </c>
      <c r="M1333" s="55"/>
    </row>
    <row r="1334" spans="2:13" x14ac:dyDescent="0.3">
      <c r="B1334" s="223">
        <v>44855</v>
      </c>
      <c r="C1334" s="224">
        <v>6</v>
      </c>
      <c r="D1334" s="225">
        <v>13</v>
      </c>
      <c r="E1334" s="226">
        <v>26512</v>
      </c>
      <c r="F1334" s="227">
        <v>111</v>
      </c>
      <c r="G1334" s="1"/>
      <c r="H1334" s="60">
        <v>4462.8100000000004</v>
      </c>
      <c r="I1334" s="228">
        <v>937.19</v>
      </c>
      <c r="J1334" s="229"/>
      <c r="K1334" s="229"/>
      <c r="L1334" s="229">
        <f>SUM(ventas_b_mes11[[#This Row],[IMPORTE NETO]:[EXENTO]])</f>
        <v>5400</v>
      </c>
      <c r="M1334" s="55"/>
    </row>
    <row r="1335" spans="2:13" x14ac:dyDescent="0.3">
      <c r="B1335" s="223">
        <v>44855</v>
      </c>
      <c r="C1335" s="224">
        <v>6</v>
      </c>
      <c r="D1335" s="225">
        <v>13</v>
      </c>
      <c r="E1335" s="226">
        <v>26513</v>
      </c>
      <c r="F1335" s="227">
        <v>17331658</v>
      </c>
      <c r="G1335" s="1" t="s">
        <v>311</v>
      </c>
      <c r="H1335" s="60">
        <v>1194.21</v>
      </c>
      <c r="I1335" s="228">
        <v>250.79</v>
      </c>
      <c r="J1335" s="229"/>
      <c r="K1335" s="229"/>
      <c r="L1335" s="229">
        <f>SUM(ventas_b_mes11[[#This Row],[IMPORTE NETO]:[EXENTO]])</f>
        <v>1445</v>
      </c>
      <c r="M1335" s="55"/>
    </row>
    <row r="1336" spans="2:13" x14ac:dyDescent="0.3">
      <c r="B1336" s="223">
        <v>44855</v>
      </c>
      <c r="C1336" s="224">
        <v>6</v>
      </c>
      <c r="D1336" s="225">
        <v>13</v>
      </c>
      <c r="E1336" s="226">
        <v>26514</v>
      </c>
      <c r="F1336" s="227">
        <v>11</v>
      </c>
      <c r="G1336" s="1"/>
      <c r="H1336" s="60">
        <v>7322.31</v>
      </c>
      <c r="I1336" s="228">
        <v>1537.69</v>
      </c>
      <c r="J1336" s="229"/>
      <c r="K1336" s="229"/>
      <c r="L1336" s="229">
        <f>SUM(ventas_b_mes11[[#This Row],[IMPORTE NETO]:[EXENTO]])</f>
        <v>8860</v>
      </c>
      <c r="M1336" s="55"/>
    </row>
    <row r="1337" spans="2:13" x14ac:dyDescent="0.3">
      <c r="B1337" s="223">
        <v>44855</v>
      </c>
      <c r="C1337" s="224">
        <v>6</v>
      </c>
      <c r="D1337" s="225">
        <v>13</v>
      </c>
      <c r="E1337" s="226">
        <v>26515</v>
      </c>
      <c r="F1337" s="227">
        <v>19084273</v>
      </c>
      <c r="G1337" s="1" t="s">
        <v>352</v>
      </c>
      <c r="H1337" s="60">
        <v>2942.15</v>
      </c>
      <c r="I1337" s="228">
        <v>617.85</v>
      </c>
      <c r="J1337" s="229"/>
      <c r="K1337" s="229"/>
      <c r="L1337" s="229">
        <f>SUM(ventas_b_mes11[[#This Row],[IMPORTE NETO]:[EXENTO]])</f>
        <v>3560</v>
      </c>
      <c r="M1337" s="55"/>
    </row>
    <row r="1338" spans="2:13" x14ac:dyDescent="0.3">
      <c r="B1338" s="223">
        <v>44855</v>
      </c>
      <c r="C1338" s="224">
        <v>6</v>
      </c>
      <c r="D1338" s="225">
        <v>13</v>
      </c>
      <c r="E1338" s="226">
        <v>26516</v>
      </c>
      <c r="F1338" s="227">
        <v>19084273</v>
      </c>
      <c r="G1338" s="1" t="s">
        <v>352</v>
      </c>
      <c r="H1338" s="60">
        <v>5844.63</v>
      </c>
      <c r="I1338" s="228">
        <v>1227.3699999999999</v>
      </c>
      <c r="J1338" s="229"/>
      <c r="K1338" s="229"/>
      <c r="L1338" s="229">
        <f>SUM(ventas_b_mes11[[#This Row],[IMPORTE NETO]:[EXENTO]])</f>
        <v>7072</v>
      </c>
      <c r="M1338" s="55"/>
    </row>
    <row r="1339" spans="2:13" x14ac:dyDescent="0.3">
      <c r="B1339" s="223">
        <v>44855</v>
      </c>
      <c r="C1339" s="224">
        <v>6</v>
      </c>
      <c r="D1339" s="225">
        <v>13</v>
      </c>
      <c r="E1339" s="226">
        <v>26517</v>
      </c>
      <c r="F1339" s="227">
        <v>0</v>
      </c>
      <c r="G1339" s="1"/>
      <c r="H1339" s="60">
        <v>1599.17</v>
      </c>
      <c r="I1339" s="228">
        <v>335.83</v>
      </c>
      <c r="J1339" s="229"/>
      <c r="K1339" s="229"/>
      <c r="L1339" s="229">
        <f>SUM(ventas_b_mes11[[#This Row],[IMPORTE NETO]:[EXENTO]])</f>
        <v>1935</v>
      </c>
      <c r="M1339" s="55"/>
    </row>
    <row r="1340" spans="2:13" x14ac:dyDescent="0.3">
      <c r="B1340" s="223">
        <v>44856</v>
      </c>
      <c r="C1340" s="224">
        <v>6</v>
      </c>
      <c r="D1340" s="225">
        <v>13</v>
      </c>
      <c r="E1340" s="226">
        <v>26518</v>
      </c>
      <c r="F1340" s="227">
        <v>0</v>
      </c>
      <c r="G1340" s="1"/>
      <c r="H1340" s="60">
        <v>2805.79</v>
      </c>
      <c r="I1340" s="228">
        <v>589.21</v>
      </c>
      <c r="J1340" s="229"/>
      <c r="K1340" s="229"/>
      <c r="L1340" s="229">
        <f>SUM(ventas_b_mes11[[#This Row],[IMPORTE NETO]:[EXENTO]])</f>
        <v>3395</v>
      </c>
      <c r="M1340" s="55"/>
    </row>
    <row r="1341" spans="2:13" x14ac:dyDescent="0.3">
      <c r="B1341" s="223">
        <v>44856</v>
      </c>
      <c r="C1341" s="224">
        <v>6</v>
      </c>
      <c r="D1341" s="225">
        <v>13</v>
      </c>
      <c r="E1341" s="226">
        <v>26519</v>
      </c>
      <c r="F1341" s="227">
        <v>37485965</v>
      </c>
      <c r="G1341" s="1" t="s">
        <v>893</v>
      </c>
      <c r="H1341" s="60">
        <v>9097.1</v>
      </c>
      <c r="I1341" s="228">
        <v>1910.39</v>
      </c>
      <c r="J1341" s="229"/>
      <c r="K1341" s="229"/>
      <c r="L1341" s="229">
        <f>SUM(ventas_b_mes11[[#This Row],[IMPORTE NETO]:[EXENTO]])</f>
        <v>11007.49</v>
      </c>
      <c r="M1341" s="55"/>
    </row>
    <row r="1342" spans="2:13" x14ac:dyDescent="0.3">
      <c r="B1342" s="223">
        <v>44856</v>
      </c>
      <c r="C1342" s="224">
        <v>6</v>
      </c>
      <c r="D1342" s="225">
        <v>13</v>
      </c>
      <c r="E1342" s="226">
        <v>26520</v>
      </c>
      <c r="F1342" s="227">
        <v>18152059</v>
      </c>
      <c r="G1342" s="1" t="s">
        <v>892</v>
      </c>
      <c r="H1342" s="60">
        <v>11099.18</v>
      </c>
      <c r="I1342" s="228">
        <v>2330.83</v>
      </c>
      <c r="J1342" s="229"/>
      <c r="K1342" s="229"/>
      <c r="L1342" s="229">
        <f>SUM(ventas_b_mes11[[#This Row],[IMPORTE NETO]:[EXENTO]])</f>
        <v>13430.01</v>
      </c>
      <c r="M1342" s="55"/>
    </row>
    <row r="1343" spans="2:13" x14ac:dyDescent="0.3">
      <c r="B1343" s="223">
        <v>44856</v>
      </c>
      <c r="C1343" s="224">
        <v>6</v>
      </c>
      <c r="D1343" s="225">
        <v>13</v>
      </c>
      <c r="E1343" s="226">
        <v>26521</v>
      </c>
      <c r="F1343" s="227">
        <v>22110195</v>
      </c>
      <c r="G1343" s="1" t="s">
        <v>578</v>
      </c>
      <c r="H1343" s="60">
        <v>11183.47</v>
      </c>
      <c r="I1343" s="228">
        <v>2348.5300000000002</v>
      </c>
      <c r="J1343" s="229"/>
      <c r="K1343" s="229"/>
      <c r="L1343" s="229">
        <f>SUM(ventas_b_mes11[[#This Row],[IMPORTE NETO]:[EXENTO]])</f>
        <v>13532</v>
      </c>
      <c r="M1343" s="55"/>
    </row>
    <row r="1344" spans="2:13" x14ac:dyDescent="0.3">
      <c r="B1344" s="223">
        <v>44856</v>
      </c>
      <c r="C1344" s="224">
        <v>6</v>
      </c>
      <c r="D1344" s="225">
        <v>13</v>
      </c>
      <c r="E1344" s="226">
        <v>26522</v>
      </c>
      <c r="F1344" s="227">
        <v>111</v>
      </c>
      <c r="G1344" s="1"/>
      <c r="H1344" s="60">
        <v>3933.88</v>
      </c>
      <c r="I1344" s="228">
        <v>826.12</v>
      </c>
      <c r="J1344" s="229"/>
      <c r="K1344" s="229"/>
      <c r="L1344" s="229">
        <f>SUM(ventas_b_mes11[[#This Row],[IMPORTE NETO]:[EXENTO]])</f>
        <v>4760</v>
      </c>
      <c r="M1344" s="55"/>
    </row>
    <row r="1345" spans="2:13" x14ac:dyDescent="0.3">
      <c r="B1345" s="223">
        <v>44856</v>
      </c>
      <c r="C1345" s="224">
        <v>6</v>
      </c>
      <c r="D1345" s="225">
        <v>13</v>
      </c>
      <c r="E1345" s="226">
        <v>26523</v>
      </c>
      <c r="F1345" s="227">
        <v>95845464</v>
      </c>
      <c r="G1345" s="1" t="s">
        <v>887</v>
      </c>
      <c r="H1345" s="60">
        <v>1756.2</v>
      </c>
      <c r="I1345" s="228">
        <v>368.8</v>
      </c>
      <c r="J1345" s="229"/>
      <c r="K1345" s="229"/>
      <c r="L1345" s="229">
        <f>SUM(ventas_b_mes11[[#This Row],[IMPORTE NETO]:[EXENTO]])</f>
        <v>2125</v>
      </c>
      <c r="M1345" s="55"/>
    </row>
    <row r="1346" spans="2:13" x14ac:dyDescent="0.3">
      <c r="B1346" s="223">
        <v>44856</v>
      </c>
      <c r="C1346" s="224">
        <v>6</v>
      </c>
      <c r="D1346" s="225">
        <v>13</v>
      </c>
      <c r="E1346" s="226">
        <v>26524</v>
      </c>
      <c r="F1346" s="227">
        <v>29147355</v>
      </c>
      <c r="G1346" s="1" t="s">
        <v>216</v>
      </c>
      <c r="H1346" s="60">
        <v>2446.2800000000002</v>
      </c>
      <c r="I1346" s="228">
        <v>513.72</v>
      </c>
      <c r="J1346" s="229"/>
      <c r="K1346" s="229"/>
      <c r="L1346" s="229">
        <f>SUM(ventas_b_mes11[[#This Row],[IMPORTE NETO]:[EXENTO]])</f>
        <v>2960</v>
      </c>
      <c r="M1346" s="55"/>
    </row>
    <row r="1347" spans="2:13" x14ac:dyDescent="0.3">
      <c r="B1347" s="223">
        <v>44856</v>
      </c>
      <c r="C1347" s="224">
        <v>6</v>
      </c>
      <c r="D1347" s="225">
        <v>13</v>
      </c>
      <c r="E1347" s="226">
        <v>26525</v>
      </c>
      <c r="F1347" s="227">
        <v>22004308</v>
      </c>
      <c r="G1347" s="1" t="s">
        <v>134</v>
      </c>
      <c r="H1347" s="60">
        <v>2066.12</v>
      </c>
      <c r="I1347" s="228">
        <v>433.88</v>
      </c>
      <c r="J1347" s="229"/>
      <c r="K1347" s="229"/>
      <c r="L1347" s="229">
        <f>SUM(ventas_b_mes11[[#This Row],[IMPORTE NETO]:[EXENTO]])</f>
        <v>2500</v>
      </c>
      <c r="M1347" s="55"/>
    </row>
    <row r="1348" spans="2:13" x14ac:dyDescent="0.3">
      <c r="B1348" s="223">
        <v>44856</v>
      </c>
      <c r="C1348" s="224">
        <v>6</v>
      </c>
      <c r="D1348" s="225">
        <v>13</v>
      </c>
      <c r="E1348" s="226">
        <v>26526</v>
      </c>
      <c r="F1348" s="227">
        <v>95160579</v>
      </c>
      <c r="G1348" s="1" t="s">
        <v>125</v>
      </c>
      <c r="H1348" s="60">
        <v>4958.68</v>
      </c>
      <c r="I1348" s="228">
        <v>1041.32</v>
      </c>
      <c r="J1348" s="229"/>
      <c r="K1348" s="229"/>
      <c r="L1348" s="229">
        <f>SUM(ventas_b_mes11[[#This Row],[IMPORTE NETO]:[EXENTO]])</f>
        <v>6000</v>
      </c>
      <c r="M1348" s="55"/>
    </row>
    <row r="1349" spans="2:13" x14ac:dyDescent="0.3">
      <c r="B1349" s="223">
        <v>44856</v>
      </c>
      <c r="C1349" s="224">
        <v>6</v>
      </c>
      <c r="D1349" s="225">
        <v>13</v>
      </c>
      <c r="E1349" s="226">
        <v>26527</v>
      </c>
      <c r="F1349" s="227">
        <v>26962539</v>
      </c>
      <c r="G1349" s="1" t="s">
        <v>127</v>
      </c>
      <c r="H1349" s="60">
        <v>6673.55</v>
      </c>
      <c r="I1349" s="228">
        <v>1401.45</v>
      </c>
      <c r="J1349" s="229"/>
      <c r="K1349" s="229"/>
      <c r="L1349" s="229">
        <f>SUM(ventas_b_mes11[[#This Row],[IMPORTE NETO]:[EXENTO]])</f>
        <v>8075</v>
      </c>
      <c r="M1349" s="55"/>
    </row>
    <row r="1350" spans="2:13" x14ac:dyDescent="0.3">
      <c r="B1350" s="223">
        <v>44858</v>
      </c>
      <c r="C1350" s="224">
        <v>6</v>
      </c>
      <c r="D1350" s="225">
        <v>13</v>
      </c>
      <c r="E1350" s="226">
        <v>26528</v>
      </c>
      <c r="F1350" s="227">
        <v>33026736</v>
      </c>
      <c r="G1350" s="1" t="s">
        <v>337</v>
      </c>
      <c r="H1350" s="60">
        <v>4958.68</v>
      </c>
      <c r="I1350" s="228">
        <v>1041.32</v>
      </c>
      <c r="J1350" s="229"/>
      <c r="K1350" s="229"/>
      <c r="L1350" s="229">
        <f>SUM(ventas_b_mes11[[#This Row],[IMPORTE NETO]:[EXENTO]])</f>
        <v>6000</v>
      </c>
      <c r="M1350" s="55"/>
    </row>
    <row r="1351" spans="2:13" x14ac:dyDescent="0.3">
      <c r="B1351" s="223">
        <v>44858</v>
      </c>
      <c r="C1351" s="224">
        <v>6</v>
      </c>
      <c r="D1351" s="225">
        <v>13</v>
      </c>
      <c r="E1351" s="226">
        <v>26529</v>
      </c>
      <c r="F1351" s="227">
        <v>94097987</v>
      </c>
      <c r="G1351" s="1" t="s">
        <v>687</v>
      </c>
      <c r="H1351" s="60">
        <v>4958.68</v>
      </c>
      <c r="I1351" s="228">
        <v>1041.32</v>
      </c>
      <c r="J1351" s="229"/>
      <c r="K1351" s="229"/>
      <c r="L1351" s="229">
        <f>SUM(ventas_b_mes11[[#This Row],[IMPORTE NETO]:[EXENTO]])</f>
        <v>6000</v>
      </c>
      <c r="M1351" s="55"/>
    </row>
    <row r="1352" spans="2:13" x14ac:dyDescent="0.3">
      <c r="B1352" s="223">
        <v>44858</v>
      </c>
      <c r="C1352" s="224">
        <v>6</v>
      </c>
      <c r="D1352" s="225">
        <v>13</v>
      </c>
      <c r="E1352" s="226">
        <v>26530</v>
      </c>
      <c r="F1352" s="227">
        <v>22004308</v>
      </c>
      <c r="G1352" s="1" t="s">
        <v>134</v>
      </c>
      <c r="H1352" s="60">
        <v>4958.68</v>
      </c>
      <c r="I1352" s="228">
        <v>1041.32</v>
      </c>
      <c r="J1352" s="229"/>
      <c r="K1352" s="229"/>
      <c r="L1352" s="229">
        <f>SUM(ventas_b_mes11[[#This Row],[IMPORTE NETO]:[EXENTO]])</f>
        <v>6000</v>
      </c>
      <c r="M1352" s="55"/>
    </row>
    <row r="1353" spans="2:13" x14ac:dyDescent="0.3">
      <c r="B1353" s="223">
        <v>44858</v>
      </c>
      <c r="C1353" s="224">
        <v>6</v>
      </c>
      <c r="D1353" s="225">
        <v>13</v>
      </c>
      <c r="E1353" s="226">
        <v>26531</v>
      </c>
      <c r="F1353" s="227">
        <v>29147355</v>
      </c>
      <c r="G1353" s="1" t="s">
        <v>216</v>
      </c>
      <c r="H1353" s="60">
        <v>3225</v>
      </c>
      <c r="I1353" s="228">
        <v>677.25</v>
      </c>
      <c r="J1353" s="229"/>
      <c r="K1353" s="229"/>
      <c r="L1353" s="229">
        <f>SUM(ventas_b_mes11[[#This Row],[IMPORTE NETO]:[EXENTO]])</f>
        <v>3902.25</v>
      </c>
      <c r="M1353" s="55"/>
    </row>
    <row r="1354" spans="2:13" x14ac:dyDescent="0.3">
      <c r="B1354" s="223">
        <v>44858</v>
      </c>
      <c r="C1354" s="224">
        <v>6</v>
      </c>
      <c r="D1354" s="225">
        <v>13</v>
      </c>
      <c r="E1354" s="226">
        <v>26532</v>
      </c>
      <c r="F1354" s="227">
        <v>26562916</v>
      </c>
      <c r="G1354" s="1" t="s">
        <v>391</v>
      </c>
      <c r="H1354" s="60">
        <v>8419.42</v>
      </c>
      <c r="I1354" s="228">
        <v>1768.08</v>
      </c>
      <c r="J1354" s="229"/>
      <c r="K1354" s="229"/>
      <c r="L1354" s="229">
        <f>SUM(ventas_b_mes11[[#This Row],[IMPORTE NETO]:[EXENTO]])</f>
        <v>10187.5</v>
      </c>
      <c r="M1354" s="55"/>
    </row>
    <row r="1355" spans="2:13" x14ac:dyDescent="0.3">
      <c r="B1355" s="223">
        <v>44858</v>
      </c>
      <c r="C1355" s="224">
        <v>6</v>
      </c>
      <c r="D1355" s="225">
        <v>13</v>
      </c>
      <c r="E1355" s="226">
        <v>26533</v>
      </c>
      <c r="F1355" s="227">
        <v>12668001</v>
      </c>
      <c r="G1355" s="1" t="s">
        <v>907</v>
      </c>
      <c r="H1355" s="60">
        <v>3231.41</v>
      </c>
      <c r="I1355" s="228">
        <v>678.6</v>
      </c>
      <c r="J1355" s="229"/>
      <c r="K1355" s="229"/>
      <c r="L1355" s="229">
        <f>SUM(ventas_b_mes11[[#This Row],[IMPORTE NETO]:[EXENTO]])</f>
        <v>3910.0099999999998</v>
      </c>
      <c r="M1355" s="55"/>
    </row>
    <row r="1356" spans="2:13" x14ac:dyDescent="0.3">
      <c r="B1356" s="223">
        <v>44858</v>
      </c>
      <c r="C1356" s="224">
        <v>6</v>
      </c>
      <c r="D1356" s="225">
        <v>13</v>
      </c>
      <c r="E1356" s="226">
        <v>26534</v>
      </c>
      <c r="F1356" s="227">
        <v>23224057</v>
      </c>
      <c r="G1356" s="1" t="s">
        <v>904</v>
      </c>
      <c r="H1356" s="60">
        <v>1301.6500000000001</v>
      </c>
      <c r="I1356" s="228">
        <v>273.35000000000002</v>
      </c>
      <c r="J1356" s="229"/>
      <c r="K1356" s="229"/>
      <c r="L1356" s="229">
        <f>SUM(ventas_b_mes11[[#This Row],[IMPORTE NETO]:[EXENTO]])</f>
        <v>1575</v>
      </c>
      <c r="M1356" s="55"/>
    </row>
    <row r="1357" spans="2:13" x14ac:dyDescent="0.3">
      <c r="B1357" s="223">
        <v>44858</v>
      </c>
      <c r="C1357" s="224">
        <v>6</v>
      </c>
      <c r="D1357" s="225">
        <v>13</v>
      </c>
      <c r="E1357" s="226">
        <v>26535</v>
      </c>
      <c r="F1357" s="227">
        <v>13664907</v>
      </c>
      <c r="G1357" s="1" t="s">
        <v>912</v>
      </c>
      <c r="H1357" s="60">
        <v>3477.28</v>
      </c>
      <c r="I1357" s="228">
        <v>730.23</v>
      </c>
      <c r="J1357" s="229"/>
      <c r="K1357" s="229"/>
      <c r="L1357" s="229">
        <f>SUM(ventas_b_mes11[[#This Row],[IMPORTE NETO]:[EXENTO]])</f>
        <v>4207.51</v>
      </c>
      <c r="M1357" s="55"/>
    </row>
    <row r="1358" spans="2:13" x14ac:dyDescent="0.3">
      <c r="B1358" s="223">
        <v>44858</v>
      </c>
      <c r="C1358" s="224">
        <v>6</v>
      </c>
      <c r="D1358" s="225">
        <v>13</v>
      </c>
      <c r="E1358" s="226">
        <v>26536</v>
      </c>
      <c r="F1358" s="227">
        <v>93764635</v>
      </c>
      <c r="G1358" s="1" t="s">
        <v>903</v>
      </c>
      <c r="H1358" s="60">
        <v>10184.9</v>
      </c>
      <c r="I1358" s="228">
        <v>2138.83</v>
      </c>
      <c r="J1358" s="229"/>
      <c r="K1358" s="229"/>
      <c r="L1358" s="229">
        <f>SUM(ventas_b_mes11[[#This Row],[IMPORTE NETO]:[EXENTO]])</f>
        <v>12323.73</v>
      </c>
      <c r="M1358" s="55"/>
    </row>
    <row r="1359" spans="2:13" x14ac:dyDescent="0.3">
      <c r="B1359" s="223">
        <v>44858</v>
      </c>
      <c r="C1359" s="224">
        <v>6</v>
      </c>
      <c r="D1359" s="225">
        <v>13</v>
      </c>
      <c r="E1359" s="226">
        <v>26537</v>
      </c>
      <c r="F1359" s="227">
        <v>11111111</v>
      </c>
      <c r="G1359" s="1"/>
      <c r="H1359" s="60">
        <v>1144.6300000000001</v>
      </c>
      <c r="I1359" s="228">
        <v>240.37</v>
      </c>
      <c r="J1359" s="229"/>
      <c r="K1359" s="229"/>
      <c r="L1359" s="229">
        <f>SUM(ventas_b_mes11[[#This Row],[IMPORTE NETO]:[EXENTO]])</f>
        <v>1385</v>
      </c>
      <c r="M1359" s="55"/>
    </row>
    <row r="1360" spans="2:13" x14ac:dyDescent="0.3">
      <c r="B1360" s="223">
        <v>44858</v>
      </c>
      <c r="C1360" s="224">
        <v>6</v>
      </c>
      <c r="D1360" s="225">
        <v>13</v>
      </c>
      <c r="E1360" s="226">
        <v>26538</v>
      </c>
      <c r="F1360" s="227">
        <v>1111</v>
      </c>
      <c r="G1360" s="1"/>
      <c r="H1360" s="60">
        <v>11944.62</v>
      </c>
      <c r="I1360" s="228">
        <v>2508.37</v>
      </c>
      <c r="J1360" s="229"/>
      <c r="K1360" s="229"/>
      <c r="L1360" s="229">
        <f>SUM(ventas_b_mes11[[#This Row],[IMPORTE NETO]:[EXENTO]])</f>
        <v>14452.990000000002</v>
      </c>
      <c r="M1360" s="55"/>
    </row>
    <row r="1361" spans="2:13" x14ac:dyDescent="0.3">
      <c r="B1361" s="223">
        <v>44858</v>
      </c>
      <c r="C1361" s="224">
        <v>6</v>
      </c>
      <c r="D1361" s="225">
        <v>13</v>
      </c>
      <c r="E1361" s="226">
        <v>26539</v>
      </c>
      <c r="F1361" s="227">
        <v>1111</v>
      </c>
      <c r="G1361" s="1"/>
      <c r="H1361" s="60">
        <v>5669.01</v>
      </c>
      <c r="I1361" s="228">
        <v>1190.49</v>
      </c>
      <c r="J1361" s="229"/>
      <c r="K1361" s="229"/>
      <c r="L1361" s="229">
        <f>SUM(ventas_b_mes11[[#This Row],[IMPORTE NETO]:[EXENTO]])</f>
        <v>6859.5</v>
      </c>
      <c r="M1361" s="55"/>
    </row>
    <row r="1362" spans="2:13" x14ac:dyDescent="0.3">
      <c r="B1362" s="223">
        <v>44858</v>
      </c>
      <c r="C1362" s="224">
        <v>6</v>
      </c>
      <c r="D1362" s="225">
        <v>13</v>
      </c>
      <c r="E1362" s="226">
        <v>26540</v>
      </c>
      <c r="F1362" s="227">
        <v>29147355</v>
      </c>
      <c r="G1362" s="1" t="s">
        <v>216</v>
      </c>
      <c r="H1362" s="60">
        <v>3293.39</v>
      </c>
      <c r="I1362" s="228">
        <v>691.61</v>
      </c>
      <c r="J1362" s="229"/>
      <c r="K1362" s="229"/>
      <c r="L1362" s="229">
        <f>SUM(ventas_b_mes11[[#This Row],[IMPORTE NETO]:[EXENTO]])</f>
        <v>3985</v>
      </c>
      <c r="M1362" s="55"/>
    </row>
    <row r="1363" spans="2:13" x14ac:dyDescent="0.3">
      <c r="B1363" s="223">
        <v>44858</v>
      </c>
      <c r="C1363" s="224">
        <v>6</v>
      </c>
      <c r="D1363" s="225">
        <v>13</v>
      </c>
      <c r="E1363" s="226">
        <v>26541</v>
      </c>
      <c r="F1363" s="227">
        <v>0</v>
      </c>
      <c r="G1363" s="1"/>
      <c r="H1363" s="60">
        <v>1413.22</v>
      </c>
      <c r="I1363" s="228">
        <v>296.77999999999997</v>
      </c>
      <c r="J1363" s="229"/>
      <c r="K1363" s="229"/>
      <c r="L1363" s="229">
        <f>SUM(ventas_b_mes11[[#This Row],[IMPORTE NETO]:[EXENTO]])</f>
        <v>1710</v>
      </c>
      <c r="M1363" s="55"/>
    </row>
    <row r="1364" spans="2:13" x14ac:dyDescent="0.3">
      <c r="B1364" s="223">
        <v>44858</v>
      </c>
      <c r="C1364" s="224">
        <v>6</v>
      </c>
      <c r="D1364" s="225">
        <v>13</v>
      </c>
      <c r="E1364" s="226">
        <v>26542</v>
      </c>
      <c r="F1364" s="227">
        <v>22004308</v>
      </c>
      <c r="G1364" s="1" t="s">
        <v>134</v>
      </c>
      <c r="H1364" s="60">
        <v>7648.76</v>
      </c>
      <c r="I1364" s="228">
        <v>1606.24</v>
      </c>
      <c r="J1364" s="229"/>
      <c r="K1364" s="229"/>
      <c r="L1364" s="229">
        <f>SUM(ventas_b_mes11[[#This Row],[IMPORTE NETO]:[EXENTO]])</f>
        <v>9255</v>
      </c>
      <c r="M1364" s="55"/>
    </row>
    <row r="1365" spans="2:13" x14ac:dyDescent="0.3">
      <c r="B1365" s="223">
        <v>44858</v>
      </c>
      <c r="C1365" s="224">
        <v>6</v>
      </c>
      <c r="D1365" s="225">
        <v>13</v>
      </c>
      <c r="E1365" s="226">
        <v>26543</v>
      </c>
      <c r="F1365" s="227">
        <v>22004308</v>
      </c>
      <c r="G1365" s="1" t="s">
        <v>134</v>
      </c>
      <c r="H1365" s="60">
        <v>1475.21</v>
      </c>
      <c r="I1365" s="228">
        <v>309.79000000000002</v>
      </c>
      <c r="J1365" s="229"/>
      <c r="K1365" s="229"/>
      <c r="L1365" s="229">
        <f>SUM(ventas_b_mes11[[#This Row],[IMPORTE NETO]:[EXENTO]])</f>
        <v>1785</v>
      </c>
      <c r="M1365" s="55"/>
    </row>
    <row r="1366" spans="2:13" x14ac:dyDescent="0.3">
      <c r="B1366" s="223">
        <v>44859</v>
      </c>
      <c r="C1366" s="224">
        <v>6</v>
      </c>
      <c r="D1366" s="225">
        <v>13</v>
      </c>
      <c r="E1366" s="226">
        <v>26544</v>
      </c>
      <c r="F1366" s="227">
        <v>11111111</v>
      </c>
      <c r="G1366" s="1"/>
      <c r="H1366" s="60">
        <v>7148.76</v>
      </c>
      <c r="I1366" s="228">
        <v>1501.24</v>
      </c>
      <c r="J1366" s="229"/>
      <c r="K1366" s="229"/>
      <c r="L1366" s="229">
        <f>SUM(ventas_b_mes11[[#This Row],[IMPORTE NETO]:[EXENTO]])</f>
        <v>8650</v>
      </c>
      <c r="M1366" s="55"/>
    </row>
    <row r="1367" spans="2:13" x14ac:dyDescent="0.3">
      <c r="B1367" s="223">
        <v>44859</v>
      </c>
      <c r="C1367" s="224">
        <v>6</v>
      </c>
      <c r="D1367" s="225">
        <v>13</v>
      </c>
      <c r="E1367" s="226">
        <v>26545</v>
      </c>
      <c r="F1367" s="227">
        <v>0</v>
      </c>
      <c r="G1367" s="1"/>
      <c r="H1367" s="60">
        <v>3049.59</v>
      </c>
      <c r="I1367" s="228">
        <v>640.41</v>
      </c>
      <c r="J1367" s="229"/>
      <c r="K1367" s="229"/>
      <c r="L1367" s="229">
        <f>SUM(ventas_b_mes11[[#This Row],[IMPORTE NETO]:[EXENTO]])</f>
        <v>3690</v>
      </c>
      <c r="M1367" s="55"/>
    </row>
    <row r="1368" spans="2:13" x14ac:dyDescent="0.3">
      <c r="B1368" s="223">
        <v>44859</v>
      </c>
      <c r="C1368" s="224">
        <v>6</v>
      </c>
      <c r="D1368" s="225">
        <v>13</v>
      </c>
      <c r="E1368" s="226">
        <v>26546</v>
      </c>
      <c r="F1368" s="227">
        <v>0</v>
      </c>
      <c r="G1368" s="1"/>
      <c r="H1368" s="60">
        <v>1933.88</v>
      </c>
      <c r="I1368" s="228">
        <v>406.12</v>
      </c>
      <c r="J1368" s="229"/>
      <c r="K1368" s="229"/>
      <c r="L1368" s="229">
        <f>SUM(ventas_b_mes11[[#This Row],[IMPORTE NETO]:[EXENTO]])</f>
        <v>2340</v>
      </c>
      <c r="M1368" s="55"/>
    </row>
    <row r="1369" spans="2:13" x14ac:dyDescent="0.3">
      <c r="B1369" s="223">
        <v>44859</v>
      </c>
      <c r="C1369" s="224">
        <v>6</v>
      </c>
      <c r="D1369" s="225">
        <v>13</v>
      </c>
      <c r="E1369" s="226">
        <v>26547</v>
      </c>
      <c r="F1369" s="227">
        <v>0</v>
      </c>
      <c r="G1369" s="1"/>
      <c r="H1369" s="60">
        <v>2809.92</v>
      </c>
      <c r="I1369" s="228">
        <v>590.08000000000004</v>
      </c>
      <c r="J1369" s="229"/>
      <c r="K1369" s="229"/>
      <c r="L1369" s="229">
        <f>SUM(ventas_b_mes11[[#This Row],[IMPORTE NETO]:[EXENTO]])</f>
        <v>3400</v>
      </c>
      <c r="M1369" s="55"/>
    </row>
    <row r="1370" spans="2:13" x14ac:dyDescent="0.3">
      <c r="B1370" s="223">
        <v>44859</v>
      </c>
      <c r="C1370" s="224">
        <v>6</v>
      </c>
      <c r="D1370" s="225">
        <v>13</v>
      </c>
      <c r="E1370" s="226">
        <v>26548</v>
      </c>
      <c r="F1370" s="227">
        <v>11</v>
      </c>
      <c r="G1370" s="1"/>
      <c r="H1370" s="60">
        <v>3617.77</v>
      </c>
      <c r="I1370" s="228">
        <v>759.73</v>
      </c>
      <c r="J1370" s="229"/>
      <c r="K1370" s="229"/>
      <c r="L1370" s="229">
        <f>SUM(ventas_b_mes11[[#This Row],[IMPORTE NETO]:[EXENTO]])</f>
        <v>4377.5</v>
      </c>
      <c r="M1370" s="55"/>
    </row>
    <row r="1371" spans="2:13" x14ac:dyDescent="0.3">
      <c r="B1371" s="223">
        <v>44859</v>
      </c>
      <c r="C1371" s="224">
        <v>6</v>
      </c>
      <c r="D1371" s="225">
        <v>13</v>
      </c>
      <c r="E1371" s="226">
        <v>26549</v>
      </c>
      <c r="F1371" s="227">
        <v>26823801</v>
      </c>
      <c r="G1371" s="1" t="s">
        <v>952</v>
      </c>
      <c r="H1371" s="60">
        <v>12131.83</v>
      </c>
      <c r="I1371" s="228">
        <v>2547.6799999999998</v>
      </c>
      <c r="J1371" s="229"/>
      <c r="K1371" s="229"/>
      <c r="L1371" s="229">
        <f>SUM(ventas_b_mes11[[#This Row],[IMPORTE NETO]:[EXENTO]])</f>
        <v>14679.51</v>
      </c>
      <c r="M1371" s="55"/>
    </row>
    <row r="1372" spans="2:13" x14ac:dyDescent="0.3">
      <c r="B1372" s="223">
        <v>44859</v>
      </c>
      <c r="C1372" s="224">
        <v>6</v>
      </c>
      <c r="D1372" s="225">
        <v>13</v>
      </c>
      <c r="E1372" s="226">
        <v>26550</v>
      </c>
      <c r="F1372" s="227">
        <v>26823801</v>
      </c>
      <c r="G1372" s="1" t="s">
        <v>952</v>
      </c>
      <c r="H1372" s="60">
        <v>4958.68</v>
      </c>
      <c r="I1372" s="228">
        <v>1041.32</v>
      </c>
      <c r="J1372" s="229"/>
      <c r="K1372" s="229"/>
      <c r="L1372" s="229">
        <f>SUM(ventas_b_mes11[[#This Row],[IMPORTE NETO]:[EXENTO]])</f>
        <v>6000</v>
      </c>
      <c r="M1372" s="55"/>
    </row>
    <row r="1373" spans="2:13" x14ac:dyDescent="0.3">
      <c r="B1373" s="223">
        <v>44859</v>
      </c>
      <c r="C1373" s="224">
        <v>6</v>
      </c>
      <c r="D1373" s="225">
        <v>13</v>
      </c>
      <c r="E1373" s="226">
        <v>26551</v>
      </c>
      <c r="F1373" s="227">
        <v>1111</v>
      </c>
      <c r="G1373" s="1"/>
      <c r="H1373" s="60">
        <v>4807.4399999999996</v>
      </c>
      <c r="I1373" s="228">
        <v>1009.56</v>
      </c>
      <c r="J1373" s="229"/>
      <c r="K1373" s="229"/>
      <c r="L1373" s="229">
        <f>SUM(ventas_b_mes11[[#This Row],[IMPORTE NETO]:[EXENTO]])</f>
        <v>5817</v>
      </c>
      <c r="M1373" s="55"/>
    </row>
    <row r="1374" spans="2:13" x14ac:dyDescent="0.3">
      <c r="B1374" s="223">
        <v>44859</v>
      </c>
      <c r="C1374" s="224">
        <v>6</v>
      </c>
      <c r="D1374" s="225">
        <v>13</v>
      </c>
      <c r="E1374" s="226">
        <v>26552</v>
      </c>
      <c r="F1374" s="227">
        <v>1111</v>
      </c>
      <c r="G1374" s="1"/>
      <c r="H1374" s="60">
        <v>4320.25</v>
      </c>
      <c r="I1374" s="228">
        <v>907.25</v>
      </c>
      <c r="J1374" s="229"/>
      <c r="K1374" s="229"/>
      <c r="L1374" s="229">
        <f>SUM(ventas_b_mes11[[#This Row],[IMPORTE NETO]:[EXENTO]])</f>
        <v>5227.5</v>
      </c>
      <c r="M1374" s="55"/>
    </row>
    <row r="1375" spans="2:13" x14ac:dyDescent="0.3">
      <c r="B1375" s="223">
        <v>44859</v>
      </c>
      <c r="C1375" s="224">
        <v>6</v>
      </c>
      <c r="D1375" s="225">
        <v>13</v>
      </c>
      <c r="E1375" s="226">
        <v>26553</v>
      </c>
      <c r="F1375" s="227">
        <v>19084273</v>
      </c>
      <c r="G1375" s="1" t="s">
        <v>352</v>
      </c>
      <c r="H1375" s="60">
        <v>4530.99</v>
      </c>
      <c r="I1375" s="228">
        <v>951.51</v>
      </c>
      <c r="J1375" s="229"/>
      <c r="K1375" s="229"/>
      <c r="L1375" s="229">
        <f>SUM(ventas_b_mes11[[#This Row],[IMPORTE NETO]:[EXENTO]])</f>
        <v>5482.5</v>
      </c>
      <c r="M1375" s="55"/>
    </row>
    <row r="1376" spans="2:13" x14ac:dyDescent="0.3">
      <c r="B1376" s="223">
        <v>44859</v>
      </c>
      <c r="C1376" s="224">
        <v>6</v>
      </c>
      <c r="D1376" s="225">
        <v>13</v>
      </c>
      <c r="E1376" s="226">
        <v>26554</v>
      </c>
      <c r="F1376" s="227">
        <v>13404975</v>
      </c>
      <c r="G1376" s="1" t="s">
        <v>961</v>
      </c>
      <c r="H1376" s="60">
        <v>31854.959999999999</v>
      </c>
      <c r="I1376" s="228">
        <v>6689.54</v>
      </c>
      <c r="J1376" s="229"/>
      <c r="K1376" s="229"/>
      <c r="L1376" s="229">
        <f>SUM(ventas_b_mes11[[#This Row],[IMPORTE NETO]:[EXENTO]])</f>
        <v>38544.5</v>
      </c>
      <c r="M1376" s="55"/>
    </row>
    <row r="1377" spans="2:13" x14ac:dyDescent="0.3">
      <c r="B1377" s="223">
        <v>44859</v>
      </c>
      <c r="C1377" s="224">
        <v>6</v>
      </c>
      <c r="D1377" s="225">
        <v>13</v>
      </c>
      <c r="E1377" s="226">
        <v>26555</v>
      </c>
      <c r="F1377" s="227">
        <v>17880694</v>
      </c>
      <c r="G1377" s="1" t="s">
        <v>817</v>
      </c>
      <c r="H1377" s="60">
        <v>7916.94</v>
      </c>
      <c r="I1377" s="228">
        <v>1662.56</v>
      </c>
      <c r="J1377" s="229"/>
      <c r="K1377" s="229"/>
      <c r="L1377" s="229">
        <f>SUM(ventas_b_mes11[[#This Row],[IMPORTE NETO]:[EXENTO]])</f>
        <v>9579.5</v>
      </c>
      <c r="M1377" s="55"/>
    </row>
    <row r="1378" spans="2:13" x14ac:dyDescent="0.3">
      <c r="B1378" s="223">
        <v>44859</v>
      </c>
      <c r="C1378" s="224">
        <v>6</v>
      </c>
      <c r="D1378" s="225">
        <v>13</v>
      </c>
      <c r="E1378" s="226">
        <v>26556</v>
      </c>
      <c r="F1378" s="227">
        <v>11111111</v>
      </c>
      <c r="G1378" s="1"/>
      <c r="H1378" s="60">
        <v>5303.72</v>
      </c>
      <c r="I1378" s="228">
        <v>1113.78</v>
      </c>
      <c r="J1378" s="229"/>
      <c r="K1378" s="229"/>
      <c r="L1378" s="229">
        <f>SUM(ventas_b_mes11[[#This Row],[IMPORTE NETO]:[EXENTO]])</f>
        <v>6417.5</v>
      </c>
      <c r="M1378" s="55"/>
    </row>
    <row r="1379" spans="2:13" x14ac:dyDescent="0.3">
      <c r="B1379" s="223">
        <v>44859</v>
      </c>
      <c r="C1379" s="224">
        <v>6</v>
      </c>
      <c r="D1379" s="225">
        <v>13</v>
      </c>
      <c r="E1379" s="226">
        <v>26557</v>
      </c>
      <c r="F1379" s="227">
        <v>11111111</v>
      </c>
      <c r="G1379" s="1"/>
      <c r="H1379" s="60">
        <v>20006.62</v>
      </c>
      <c r="I1379" s="228">
        <v>4201.3900000000003</v>
      </c>
      <c r="J1379" s="229"/>
      <c r="K1379" s="229"/>
      <c r="L1379" s="229">
        <f>SUM(ventas_b_mes11[[#This Row],[IMPORTE NETO]:[EXENTO]])</f>
        <v>24208.01</v>
      </c>
      <c r="M1379" s="55"/>
    </row>
    <row r="1380" spans="2:13" x14ac:dyDescent="0.3">
      <c r="B1380" s="223">
        <v>44859</v>
      </c>
      <c r="C1380" s="224">
        <v>6</v>
      </c>
      <c r="D1380" s="225">
        <v>13</v>
      </c>
      <c r="E1380" s="226">
        <v>26558</v>
      </c>
      <c r="F1380" s="227">
        <v>229866361</v>
      </c>
      <c r="G1380" s="1"/>
      <c r="H1380" s="60">
        <v>45726.25</v>
      </c>
      <c r="I1380" s="228">
        <v>9602.51</v>
      </c>
      <c r="J1380" s="229"/>
      <c r="K1380" s="229"/>
      <c r="L1380" s="229">
        <f>SUM(ventas_b_mes11[[#This Row],[IMPORTE NETO]:[EXENTO]])</f>
        <v>55328.76</v>
      </c>
      <c r="M1380" s="55"/>
    </row>
    <row r="1381" spans="2:13" x14ac:dyDescent="0.3">
      <c r="B1381" s="223">
        <v>44859</v>
      </c>
      <c r="C1381" s="224">
        <v>6</v>
      </c>
      <c r="D1381" s="225">
        <v>13</v>
      </c>
      <c r="E1381" s="226">
        <v>26559</v>
      </c>
      <c r="F1381" s="227">
        <v>18214452</v>
      </c>
      <c r="G1381" s="1" t="s">
        <v>963</v>
      </c>
      <c r="H1381" s="60">
        <v>7165.29</v>
      </c>
      <c r="I1381" s="228">
        <v>1504.71</v>
      </c>
      <c r="J1381" s="229"/>
      <c r="K1381" s="229"/>
      <c r="L1381" s="229">
        <f>SUM(ventas_b_mes11[[#This Row],[IMPORTE NETO]:[EXENTO]])</f>
        <v>8670</v>
      </c>
      <c r="M1381" s="55"/>
    </row>
    <row r="1382" spans="2:13" x14ac:dyDescent="0.3">
      <c r="B1382" s="223">
        <v>44859</v>
      </c>
      <c r="C1382" s="224">
        <v>6</v>
      </c>
      <c r="D1382" s="225">
        <v>13</v>
      </c>
      <c r="E1382" s="226">
        <v>26560</v>
      </c>
      <c r="F1382" s="227">
        <v>24695903</v>
      </c>
      <c r="G1382" s="1" t="s">
        <v>636</v>
      </c>
      <c r="H1382" s="60">
        <v>8197.93</v>
      </c>
      <c r="I1382" s="228">
        <v>1721.57</v>
      </c>
      <c r="J1382" s="229"/>
      <c r="K1382" s="229"/>
      <c r="L1382" s="229">
        <f>SUM(ventas_b_mes11[[#This Row],[IMPORTE NETO]:[EXENTO]])</f>
        <v>9919.5</v>
      </c>
      <c r="M1382" s="55"/>
    </row>
    <row r="1383" spans="2:13" x14ac:dyDescent="0.3">
      <c r="B1383" s="223">
        <v>44859</v>
      </c>
      <c r="C1383" s="224">
        <v>6</v>
      </c>
      <c r="D1383" s="225">
        <v>13</v>
      </c>
      <c r="E1383" s="226">
        <v>26561</v>
      </c>
      <c r="F1383" s="227">
        <v>0</v>
      </c>
      <c r="G1383" s="1"/>
      <c r="H1383" s="60">
        <v>1475.21</v>
      </c>
      <c r="I1383" s="228">
        <v>309.79000000000002</v>
      </c>
      <c r="J1383" s="229"/>
      <c r="K1383" s="229"/>
      <c r="L1383" s="229">
        <f>SUM(ventas_b_mes11[[#This Row],[IMPORTE NETO]:[EXENTO]])</f>
        <v>1785</v>
      </c>
      <c r="M1383" s="55"/>
    </row>
    <row r="1384" spans="2:13" x14ac:dyDescent="0.3">
      <c r="B1384" s="223">
        <v>44859</v>
      </c>
      <c r="C1384" s="224">
        <v>6</v>
      </c>
      <c r="D1384" s="225">
        <v>13</v>
      </c>
      <c r="E1384" s="226">
        <v>26562</v>
      </c>
      <c r="F1384" s="227">
        <v>31270108</v>
      </c>
      <c r="G1384" s="1" t="s">
        <v>951</v>
      </c>
      <c r="H1384" s="60">
        <v>4355.38</v>
      </c>
      <c r="I1384" s="228">
        <v>914.63</v>
      </c>
      <c r="J1384" s="229"/>
      <c r="K1384" s="229"/>
      <c r="L1384" s="229">
        <f>SUM(ventas_b_mes11[[#This Row],[IMPORTE NETO]:[EXENTO]])</f>
        <v>5270.01</v>
      </c>
      <c r="M1384" s="55"/>
    </row>
    <row r="1385" spans="2:13" x14ac:dyDescent="0.3">
      <c r="B1385" s="223">
        <v>44859</v>
      </c>
      <c r="C1385" s="224">
        <v>6</v>
      </c>
      <c r="D1385" s="225">
        <v>13</v>
      </c>
      <c r="E1385" s="226">
        <v>26563</v>
      </c>
      <c r="F1385" s="227">
        <v>31270108</v>
      </c>
      <c r="G1385" s="1" t="s">
        <v>951</v>
      </c>
      <c r="H1385" s="60">
        <v>5493.39</v>
      </c>
      <c r="I1385" s="228">
        <v>1153.6099999999999</v>
      </c>
      <c r="J1385" s="229"/>
      <c r="K1385" s="229"/>
      <c r="L1385" s="229">
        <f>SUM(ventas_b_mes11[[#This Row],[IMPORTE NETO]:[EXENTO]])</f>
        <v>6647</v>
      </c>
      <c r="M1385" s="55"/>
    </row>
    <row r="1386" spans="2:13" x14ac:dyDescent="0.3">
      <c r="B1386" s="223">
        <v>44859</v>
      </c>
      <c r="C1386" s="224">
        <v>6</v>
      </c>
      <c r="D1386" s="225">
        <v>13</v>
      </c>
      <c r="E1386" s="226">
        <v>26564</v>
      </c>
      <c r="F1386" s="227">
        <v>10971103</v>
      </c>
      <c r="G1386" s="1" t="s">
        <v>964</v>
      </c>
      <c r="H1386" s="60">
        <v>1752.07</v>
      </c>
      <c r="I1386" s="228">
        <v>367.93</v>
      </c>
      <c r="J1386" s="229"/>
      <c r="K1386" s="229"/>
      <c r="L1386" s="229">
        <f>SUM(ventas_b_mes11[[#This Row],[IMPORTE NETO]:[EXENTO]])</f>
        <v>2120</v>
      </c>
      <c r="M1386" s="55"/>
    </row>
    <row r="1387" spans="2:13" x14ac:dyDescent="0.3">
      <c r="B1387" s="223">
        <v>44860</v>
      </c>
      <c r="C1387" s="224">
        <v>6</v>
      </c>
      <c r="D1387" s="225">
        <v>13</v>
      </c>
      <c r="E1387" s="226">
        <v>26565</v>
      </c>
      <c r="F1387" s="227">
        <v>23834100</v>
      </c>
      <c r="G1387" s="1" t="s">
        <v>1006</v>
      </c>
      <c r="H1387" s="60">
        <v>5247.52</v>
      </c>
      <c r="I1387" s="228">
        <v>1101.98</v>
      </c>
      <c r="J1387" s="229"/>
      <c r="K1387" s="229"/>
      <c r="L1387" s="229">
        <f>SUM(ventas_b_mes11[[#This Row],[IMPORTE NETO]:[EXENTO]])</f>
        <v>6349.5</v>
      </c>
      <c r="M1387" s="55"/>
    </row>
    <row r="1388" spans="2:13" x14ac:dyDescent="0.3">
      <c r="B1388" s="223">
        <v>44860</v>
      </c>
      <c r="C1388" s="224">
        <v>6</v>
      </c>
      <c r="D1388" s="225">
        <v>13</v>
      </c>
      <c r="E1388" s="226">
        <v>26566</v>
      </c>
      <c r="F1388" s="227">
        <v>94006532</v>
      </c>
      <c r="G1388" s="1" t="s">
        <v>502</v>
      </c>
      <c r="H1388" s="60">
        <v>25956.61</v>
      </c>
      <c r="I1388" s="228">
        <v>5450.89</v>
      </c>
      <c r="J1388" s="229"/>
      <c r="K1388" s="229"/>
      <c r="L1388" s="229">
        <f>SUM(ventas_b_mes11[[#This Row],[IMPORTE NETO]:[EXENTO]])</f>
        <v>31407.5</v>
      </c>
      <c r="M1388" s="55"/>
    </row>
    <row r="1389" spans="2:13" x14ac:dyDescent="0.3">
      <c r="B1389" s="223">
        <v>44860</v>
      </c>
      <c r="C1389" s="224">
        <v>6</v>
      </c>
      <c r="D1389" s="225">
        <v>13</v>
      </c>
      <c r="E1389" s="226">
        <v>26567</v>
      </c>
      <c r="F1389" s="227">
        <v>27359945421</v>
      </c>
      <c r="G1389" s="1" t="s">
        <v>999</v>
      </c>
      <c r="H1389" s="60">
        <v>7474.38</v>
      </c>
      <c r="I1389" s="228">
        <v>1569.62</v>
      </c>
      <c r="J1389" s="229"/>
      <c r="K1389" s="229"/>
      <c r="L1389" s="229">
        <f>SUM(ventas_b_mes11[[#This Row],[IMPORTE NETO]:[EXENTO]])</f>
        <v>9044</v>
      </c>
      <c r="M1389" s="55"/>
    </row>
    <row r="1390" spans="2:13" x14ac:dyDescent="0.3">
      <c r="B1390" s="223">
        <v>44860</v>
      </c>
      <c r="C1390" s="224">
        <v>6</v>
      </c>
      <c r="D1390" s="225">
        <v>13</v>
      </c>
      <c r="E1390" s="226">
        <v>26568</v>
      </c>
      <c r="F1390" s="227">
        <v>93966980</v>
      </c>
      <c r="G1390" s="1" t="s">
        <v>998</v>
      </c>
      <c r="H1390" s="60">
        <v>7462.81</v>
      </c>
      <c r="I1390" s="228">
        <v>1567.19</v>
      </c>
      <c r="J1390" s="229"/>
      <c r="K1390" s="229"/>
      <c r="L1390" s="229">
        <f>SUM(ventas_b_mes11[[#This Row],[IMPORTE NETO]:[EXENTO]])</f>
        <v>9030</v>
      </c>
      <c r="M1390" s="55"/>
    </row>
    <row r="1391" spans="2:13" x14ac:dyDescent="0.3">
      <c r="B1391" s="223">
        <v>44860</v>
      </c>
      <c r="C1391" s="224">
        <v>6</v>
      </c>
      <c r="D1391" s="225">
        <v>13</v>
      </c>
      <c r="E1391" s="226">
        <v>26569</v>
      </c>
      <c r="F1391" s="227">
        <v>111</v>
      </c>
      <c r="G1391" s="1"/>
      <c r="H1391" s="60">
        <v>7305.79</v>
      </c>
      <c r="I1391" s="228">
        <v>1534.21</v>
      </c>
      <c r="J1391" s="229"/>
      <c r="K1391" s="229"/>
      <c r="L1391" s="229">
        <f>SUM(ventas_b_mes11[[#This Row],[IMPORTE NETO]:[EXENTO]])</f>
        <v>8840</v>
      </c>
      <c r="M1391" s="55"/>
    </row>
    <row r="1392" spans="2:13" x14ac:dyDescent="0.3">
      <c r="B1392" s="223">
        <v>44860</v>
      </c>
      <c r="C1392" s="224">
        <v>6</v>
      </c>
      <c r="D1392" s="225">
        <v>13</v>
      </c>
      <c r="E1392" s="226">
        <v>26570</v>
      </c>
      <c r="F1392" s="227">
        <v>111</v>
      </c>
      <c r="G1392" s="1"/>
      <c r="H1392" s="60">
        <v>511.41</v>
      </c>
      <c r="I1392" s="228">
        <v>107.4</v>
      </c>
      <c r="J1392" s="229"/>
      <c r="K1392" s="229"/>
      <c r="L1392" s="229">
        <f>SUM(ventas_b_mes11[[#This Row],[IMPORTE NETO]:[EXENTO]])</f>
        <v>618.81000000000006</v>
      </c>
      <c r="M1392" s="55"/>
    </row>
    <row r="1393" spans="2:13" x14ac:dyDescent="0.3">
      <c r="B1393" s="223">
        <v>44860</v>
      </c>
      <c r="C1393" s="224">
        <v>6</v>
      </c>
      <c r="D1393" s="225">
        <v>13</v>
      </c>
      <c r="E1393" s="226">
        <v>26571</v>
      </c>
      <c r="F1393" s="227">
        <v>11111111</v>
      </c>
      <c r="G1393" s="1"/>
      <c r="H1393" s="60">
        <v>533.05999999999995</v>
      </c>
      <c r="I1393" s="228">
        <v>111.94</v>
      </c>
      <c r="J1393" s="229"/>
      <c r="K1393" s="229"/>
      <c r="L1393" s="229">
        <f>SUM(ventas_b_mes11[[#This Row],[IMPORTE NETO]:[EXENTO]])</f>
        <v>645</v>
      </c>
      <c r="M1393" s="55"/>
    </row>
    <row r="1394" spans="2:13" x14ac:dyDescent="0.3">
      <c r="B1394" s="223">
        <v>44860</v>
      </c>
      <c r="C1394" s="224">
        <v>6</v>
      </c>
      <c r="D1394" s="225">
        <v>13</v>
      </c>
      <c r="E1394" s="226">
        <v>26572</v>
      </c>
      <c r="F1394" s="227">
        <v>1111</v>
      </c>
      <c r="G1394" s="1"/>
      <c r="H1394" s="60">
        <v>4966.53</v>
      </c>
      <c r="I1394" s="228">
        <v>1042.97</v>
      </c>
      <c r="J1394" s="229"/>
      <c r="K1394" s="229"/>
      <c r="L1394" s="229">
        <f>SUM(ventas_b_mes11[[#This Row],[IMPORTE NETO]:[EXENTO]])</f>
        <v>6009.5</v>
      </c>
      <c r="M1394" s="55"/>
    </row>
    <row r="1395" spans="2:13" x14ac:dyDescent="0.3">
      <c r="B1395" s="223">
        <v>44860</v>
      </c>
      <c r="C1395" s="224">
        <v>6</v>
      </c>
      <c r="D1395" s="225">
        <v>13</v>
      </c>
      <c r="E1395" s="226">
        <v>26573</v>
      </c>
      <c r="F1395" s="227">
        <v>11111111</v>
      </c>
      <c r="G1395" s="1"/>
      <c r="H1395" s="60">
        <v>2231.41</v>
      </c>
      <c r="I1395" s="228">
        <v>468.6</v>
      </c>
      <c r="J1395" s="229"/>
      <c r="K1395" s="229"/>
      <c r="L1395" s="229">
        <f>SUM(ventas_b_mes11[[#This Row],[IMPORTE NETO]:[EXENTO]])</f>
        <v>2700.0099999999998</v>
      </c>
      <c r="M1395" s="55"/>
    </row>
    <row r="1396" spans="2:13" x14ac:dyDescent="0.3">
      <c r="B1396" s="223">
        <v>44860</v>
      </c>
      <c r="C1396" s="224">
        <v>6</v>
      </c>
      <c r="D1396" s="225">
        <v>13</v>
      </c>
      <c r="E1396" s="226">
        <v>26574</v>
      </c>
      <c r="F1396" s="227">
        <v>111</v>
      </c>
      <c r="G1396" s="1"/>
      <c r="H1396" s="60">
        <v>2066.12</v>
      </c>
      <c r="I1396" s="228">
        <v>433.88</v>
      </c>
      <c r="J1396" s="229"/>
      <c r="K1396" s="229"/>
      <c r="L1396" s="229">
        <f>SUM(ventas_b_mes11[[#This Row],[IMPORTE NETO]:[EXENTO]])</f>
        <v>2500</v>
      </c>
      <c r="M1396" s="55"/>
    </row>
    <row r="1397" spans="2:13" x14ac:dyDescent="0.3">
      <c r="B1397" s="223">
        <v>44860</v>
      </c>
      <c r="C1397" s="224">
        <v>6</v>
      </c>
      <c r="D1397" s="225">
        <v>13</v>
      </c>
      <c r="E1397" s="226">
        <v>26575</v>
      </c>
      <c r="F1397" s="227">
        <v>23834100</v>
      </c>
      <c r="G1397" s="1" t="s">
        <v>1006</v>
      </c>
      <c r="H1397" s="60">
        <v>5247.52</v>
      </c>
      <c r="I1397" s="228">
        <v>1101.98</v>
      </c>
      <c r="J1397" s="229"/>
      <c r="K1397" s="229"/>
      <c r="L1397" s="229">
        <f>SUM(ventas_b_mes11[[#This Row],[IMPORTE NETO]:[EXENTO]])</f>
        <v>6349.5</v>
      </c>
      <c r="M1397" s="55"/>
    </row>
    <row r="1398" spans="2:13" x14ac:dyDescent="0.3">
      <c r="B1398" s="223">
        <v>44860</v>
      </c>
      <c r="C1398" s="224">
        <v>6</v>
      </c>
      <c r="D1398" s="225">
        <v>13</v>
      </c>
      <c r="E1398" s="226">
        <v>26576</v>
      </c>
      <c r="F1398" s="227">
        <v>27622361</v>
      </c>
      <c r="G1398" s="1" t="s">
        <v>1014</v>
      </c>
      <c r="H1398" s="60">
        <v>8745.8700000000008</v>
      </c>
      <c r="I1398" s="228">
        <v>1836.63</v>
      </c>
      <c r="J1398" s="229"/>
      <c r="K1398" s="229"/>
      <c r="L1398" s="229">
        <f>SUM(ventas_b_mes11[[#This Row],[IMPORTE NETO]:[EXENTO]])</f>
        <v>10582.5</v>
      </c>
      <c r="M1398" s="55"/>
    </row>
    <row r="1399" spans="2:13" x14ac:dyDescent="0.3">
      <c r="B1399" s="223">
        <v>44861</v>
      </c>
      <c r="C1399" s="224">
        <v>6</v>
      </c>
      <c r="D1399" s="225">
        <v>13</v>
      </c>
      <c r="E1399" s="226">
        <v>26577</v>
      </c>
      <c r="F1399" s="227">
        <v>37485965</v>
      </c>
      <c r="G1399" s="1" t="s">
        <v>893</v>
      </c>
      <c r="H1399" s="60">
        <v>1826.45</v>
      </c>
      <c r="I1399" s="228">
        <v>383.55</v>
      </c>
      <c r="J1399" s="229"/>
      <c r="K1399" s="229"/>
      <c r="L1399" s="229">
        <f>SUM(ventas_b_mes11[[#This Row],[IMPORTE NETO]:[EXENTO]])</f>
        <v>2210</v>
      </c>
      <c r="M1399" s="55"/>
    </row>
    <row r="1400" spans="2:13" x14ac:dyDescent="0.3">
      <c r="B1400" s="223">
        <v>44861</v>
      </c>
      <c r="C1400" s="224">
        <v>6</v>
      </c>
      <c r="D1400" s="225">
        <v>13</v>
      </c>
      <c r="E1400" s="226">
        <v>26578</v>
      </c>
      <c r="F1400" s="227">
        <v>37485965</v>
      </c>
      <c r="G1400" s="1" t="s">
        <v>893</v>
      </c>
      <c r="H1400" s="60">
        <v>1299.5899999999999</v>
      </c>
      <c r="I1400" s="228">
        <v>272.91000000000003</v>
      </c>
      <c r="J1400" s="229"/>
      <c r="K1400" s="229"/>
      <c r="L1400" s="229">
        <f>SUM(ventas_b_mes11[[#This Row],[IMPORTE NETO]:[EXENTO]])</f>
        <v>1572.5</v>
      </c>
      <c r="M1400" s="55"/>
    </row>
    <row r="1401" spans="2:13" x14ac:dyDescent="0.3">
      <c r="B1401" s="223">
        <v>44861</v>
      </c>
      <c r="C1401" s="224">
        <v>6</v>
      </c>
      <c r="D1401" s="225">
        <v>13</v>
      </c>
      <c r="E1401" s="226">
        <v>26579</v>
      </c>
      <c r="F1401" s="227">
        <v>16243515</v>
      </c>
      <c r="G1401" s="1" t="s">
        <v>392</v>
      </c>
      <c r="H1401" s="60">
        <v>5690.09</v>
      </c>
      <c r="I1401" s="228">
        <v>1194.92</v>
      </c>
      <c r="J1401" s="229"/>
      <c r="K1401" s="229"/>
      <c r="L1401" s="229">
        <f>SUM(ventas_b_mes11[[#This Row],[IMPORTE NETO]:[EXENTO]])</f>
        <v>6885.01</v>
      </c>
      <c r="M1401" s="55"/>
    </row>
    <row r="1402" spans="2:13" x14ac:dyDescent="0.3">
      <c r="B1402" s="223">
        <v>44861</v>
      </c>
      <c r="C1402" s="224">
        <v>6</v>
      </c>
      <c r="D1402" s="225">
        <v>13</v>
      </c>
      <c r="E1402" s="226">
        <v>26580</v>
      </c>
      <c r="F1402" s="227">
        <v>0</v>
      </c>
      <c r="G1402" s="1"/>
      <c r="H1402" s="60">
        <v>557.85</v>
      </c>
      <c r="I1402" s="228">
        <v>117.15</v>
      </c>
      <c r="J1402" s="229"/>
      <c r="K1402" s="229"/>
      <c r="L1402" s="229">
        <f>SUM(ventas_b_mes11[[#This Row],[IMPORTE NETO]:[EXENTO]])</f>
        <v>675</v>
      </c>
      <c r="M1402" s="55"/>
    </row>
    <row r="1403" spans="2:13" x14ac:dyDescent="0.3">
      <c r="B1403" s="223">
        <v>44861</v>
      </c>
      <c r="C1403" s="224">
        <v>6</v>
      </c>
      <c r="D1403" s="225">
        <v>13</v>
      </c>
      <c r="E1403" s="226">
        <v>26581</v>
      </c>
      <c r="F1403" s="227">
        <v>11111111</v>
      </c>
      <c r="G1403" s="1"/>
      <c r="H1403" s="60">
        <v>7479.35</v>
      </c>
      <c r="I1403" s="228">
        <v>1570.66</v>
      </c>
      <c r="J1403" s="229"/>
      <c r="K1403" s="229"/>
      <c r="L1403" s="229">
        <f>SUM(ventas_b_mes11[[#This Row],[IMPORTE NETO]:[EXENTO]])</f>
        <v>9050.01</v>
      </c>
      <c r="M1403" s="55"/>
    </row>
    <row r="1404" spans="2:13" x14ac:dyDescent="0.3">
      <c r="B1404" s="223">
        <v>44861</v>
      </c>
      <c r="C1404" s="224">
        <v>6</v>
      </c>
      <c r="D1404" s="225">
        <v>13</v>
      </c>
      <c r="E1404" s="226">
        <v>26582</v>
      </c>
      <c r="F1404" s="227">
        <v>33004785</v>
      </c>
      <c r="G1404" s="1" t="s">
        <v>665</v>
      </c>
      <c r="H1404" s="60">
        <v>3582.64</v>
      </c>
      <c r="I1404" s="228">
        <v>752.36</v>
      </c>
      <c r="J1404" s="229"/>
      <c r="K1404" s="229"/>
      <c r="L1404" s="229">
        <f>SUM(ventas_b_mes11[[#This Row],[IMPORTE NETO]:[EXENTO]])</f>
        <v>4335</v>
      </c>
      <c r="M1404" s="55"/>
    </row>
    <row r="1405" spans="2:13" x14ac:dyDescent="0.3">
      <c r="B1405" s="223">
        <v>44861</v>
      </c>
      <c r="C1405" s="224">
        <v>6</v>
      </c>
      <c r="D1405" s="225">
        <v>13</v>
      </c>
      <c r="E1405" s="226">
        <v>26583</v>
      </c>
      <c r="F1405" s="227">
        <v>11111111</v>
      </c>
      <c r="G1405" s="1"/>
      <c r="H1405" s="60">
        <v>491.74</v>
      </c>
      <c r="I1405" s="228">
        <v>103.26</v>
      </c>
      <c r="J1405" s="229"/>
      <c r="K1405" s="229"/>
      <c r="L1405" s="229">
        <f>SUM(ventas_b_mes11[[#This Row],[IMPORTE NETO]:[EXENTO]])</f>
        <v>595</v>
      </c>
      <c r="M1405" s="55"/>
    </row>
    <row r="1406" spans="2:13" x14ac:dyDescent="0.3">
      <c r="B1406" s="223">
        <v>44861</v>
      </c>
      <c r="C1406" s="224">
        <v>6</v>
      </c>
      <c r="D1406" s="225">
        <v>13</v>
      </c>
      <c r="E1406" s="226">
        <v>26584</v>
      </c>
      <c r="F1406" s="227">
        <v>27762548</v>
      </c>
      <c r="G1406" s="1" t="s">
        <v>583</v>
      </c>
      <c r="H1406" s="60">
        <v>3916.94</v>
      </c>
      <c r="I1406" s="228">
        <v>822.56</v>
      </c>
      <c r="J1406" s="229"/>
      <c r="K1406" s="229"/>
      <c r="L1406" s="229">
        <f>SUM(ventas_b_mes11[[#This Row],[IMPORTE NETO]:[EXENTO]])</f>
        <v>4739.5</v>
      </c>
      <c r="M1406" s="55"/>
    </row>
    <row r="1407" spans="2:13" x14ac:dyDescent="0.3">
      <c r="B1407" s="223">
        <v>44861</v>
      </c>
      <c r="C1407" s="224">
        <v>6</v>
      </c>
      <c r="D1407" s="225">
        <v>13</v>
      </c>
      <c r="E1407" s="226">
        <v>26585</v>
      </c>
      <c r="F1407" s="227">
        <v>11111111</v>
      </c>
      <c r="G1407" s="1"/>
      <c r="H1407" s="60">
        <v>4776.8599999999997</v>
      </c>
      <c r="I1407" s="228">
        <v>1003.14</v>
      </c>
      <c r="J1407" s="229"/>
      <c r="K1407" s="229"/>
      <c r="L1407" s="229">
        <f>SUM(ventas_b_mes11[[#This Row],[IMPORTE NETO]:[EXENTO]])</f>
        <v>5780</v>
      </c>
      <c r="M1407" s="55"/>
    </row>
    <row r="1408" spans="2:13" x14ac:dyDescent="0.3">
      <c r="B1408" s="223">
        <v>44861</v>
      </c>
      <c r="C1408" s="224">
        <v>6</v>
      </c>
      <c r="D1408" s="225">
        <v>13</v>
      </c>
      <c r="E1408" s="226">
        <v>26586</v>
      </c>
      <c r="F1408" s="227">
        <v>42668208</v>
      </c>
      <c r="G1408" s="1" t="s">
        <v>1055</v>
      </c>
      <c r="H1408" s="60">
        <v>10347.530000000001</v>
      </c>
      <c r="I1408" s="228">
        <v>2172.98</v>
      </c>
      <c r="J1408" s="229"/>
      <c r="K1408" s="229"/>
      <c r="L1408" s="229">
        <f>SUM(ventas_b_mes11[[#This Row],[IMPORTE NETO]:[EXENTO]])</f>
        <v>12520.51</v>
      </c>
      <c r="M1408" s="55"/>
    </row>
    <row r="1409" spans="2:13" x14ac:dyDescent="0.3">
      <c r="B1409" s="223">
        <v>44861</v>
      </c>
      <c r="C1409" s="224">
        <v>6</v>
      </c>
      <c r="D1409" s="225">
        <v>13</v>
      </c>
      <c r="E1409" s="226">
        <v>26587</v>
      </c>
      <c r="F1409" s="227">
        <v>11</v>
      </c>
      <c r="G1409" s="1"/>
      <c r="H1409" s="60">
        <v>6146.69</v>
      </c>
      <c r="I1409" s="228">
        <v>1290.81</v>
      </c>
      <c r="J1409" s="229"/>
      <c r="K1409" s="229"/>
      <c r="L1409" s="229">
        <f>SUM(ventas_b_mes11[[#This Row],[IMPORTE NETO]:[EXENTO]])</f>
        <v>7437.5</v>
      </c>
      <c r="M1409" s="55"/>
    </row>
    <row r="1410" spans="2:13" x14ac:dyDescent="0.3">
      <c r="B1410" s="223">
        <v>44861</v>
      </c>
      <c r="C1410" s="224">
        <v>6</v>
      </c>
      <c r="D1410" s="225">
        <v>13</v>
      </c>
      <c r="E1410" s="226">
        <v>26588</v>
      </c>
      <c r="F1410" s="227">
        <v>11111111</v>
      </c>
      <c r="G1410" s="1"/>
      <c r="H1410" s="60">
        <v>1045.45</v>
      </c>
      <c r="I1410" s="228">
        <v>219.55</v>
      </c>
      <c r="J1410" s="229"/>
      <c r="K1410" s="229"/>
      <c r="L1410" s="229">
        <f>SUM(ventas_b_mes11[[#This Row],[IMPORTE NETO]:[EXENTO]])</f>
        <v>1265</v>
      </c>
      <c r="M1410" s="55"/>
    </row>
    <row r="1411" spans="2:13" x14ac:dyDescent="0.3">
      <c r="B1411" s="223">
        <v>44861</v>
      </c>
      <c r="C1411" s="224">
        <v>6</v>
      </c>
      <c r="D1411" s="225">
        <v>13</v>
      </c>
      <c r="E1411" s="226">
        <v>26589</v>
      </c>
      <c r="F1411" s="227">
        <v>111</v>
      </c>
      <c r="G1411" s="1"/>
      <c r="H1411" s="60">
        <v>10326.450000000001</v>
      </c>
      <c r="I1411" s="228">
        <v>2168.5500000000002</v>
      </c>
      <c r="J1411" s="229"/>
      <c r="K1411" s="229"/>
      <c r="L1411" s="229">
        <f>SUM(ventas_b_mes11[[#This Row],[IMPORTE NETO]:[EXENTO]])</f>
        <v>12495</v>
      </c>
      <c r="M1411" s="55"/>
    </row>
    <row r="1412" spans="2:13" x14ac:dyDescent="0.3">
      <c r="B1412" s="223">
        <v>44861</v>
      </c>
      <c r="C1412" s="224">
        <v>6</v>
      </c>
      <c r="D1412" s="225">
        <v>13</v>
      </c>
      <c r="E1412" s="226">
        <v>26590</v>
      </c>
      <c r="F1412" s="227">
        <v>11111111</v>
      </c>
      <c r="G1412" s="1"/>
      <c r="H1412" s="60">
        <v>743.8</v>
      </c>
      <c r="I1412" s="228">
        <v>156.19999999999999</v>
      </c>
      <c r="J1412" s="229"/>
      <c r="K1412" s="229"/>
      <c r="L1412" s="229">
        <f>SUM(ventas_b_mes11[[#This Row],[IMPORTE NETO]:[EXENTO]])</f>
        <v>900</v>
      </c>
      <c r="M1412" s="55"/>
    </row>
    <row r="1413" spans="2:13" x14ac:dyDescent="0.3">
      <c r="B1413" s="223">
        <v>44861</v>
      </c>
      <c r="C1413" s="224">
        <v>6</v>
      </c>
      <c r="D1413" s="225">
        <v>13</v>
      </c>
      <c r="E1413" s="226">
        <v>26591</v>
      </c>
      <c r="F1413" s="227">
        <v>25027385</v>
      </c>
      <c r="G1413" s="1" t="s">
        <v>647</v>
      </c>
      <c r="H1413" s="60">
        <v>7107.44</v>
      </c>
      <c r="I1413" s="228">
        <v>1492.56</v>
      </c>
      <c r="J1413" s="229"/>
      <c r="K1413" s="229"/>
      <c r="L1413" s="229">
        <f>SUM(ventas_b_mes11[[#This Row],[IMPORTE NETO]:[EXENTO]])</f>
        <v>8600</v>
      </c>
      <c r="M1413" s="55"/>
    </row>
    <row r="1414" spans="2:13" x14ac:dyDescent="0.3">
      <c r="B1414" s="223">
        <v>44861</v>
      </c>
      <c r="C1414" s="224">
        <v>6</v>
      </c>
      <c r="D1414" s="225">
        <v>13</v>
      </c>
      <c r="E1414" s="226">
        <v>26592</v>
      </c>
      <c r="F1414" s="227">
        <v>11111111</v>
      </c>
      <c r="G1414" s="1"/>
      <c r="H1414" s="60">
        <v>11698.34</v>
      </c>
      <c r="I1414" s="228">
        <v>2456.65</v>
      </c>
      <c r="J1414" s="229"/>
      <c r="K1414" s="229"/>
      <c r="L1414" s="229">
        <f>SUM(ventas_b_mes11[[#This Row],[IMPORTE NETO]:[EXENTO]])</f>
        <v>14154.99</v>
      </c>
      <c r="M1414" s="55"/>
    </row>
    <row r="1415" spans="2:13" x14ac:dyDescent="0.3">
      <c r="B1415" s="223">
        <v>44861</v>
      </c>
      <c r="C1415" s="224">
        <v>6</v>
      </c>
      <c r="D1415" s="225">
        <v>13</v>
      </c>
      <c r="E1415" s="226">
        <v>26593</v>
      </c>
      <c r="F1415" s="227">
        <v>39266096</v>
      </c>
      <c r="G1415" s="1" t="s">
        <v>335</v>
      </c>
      <c r="H1415" s="60">
        <v>1231.4000000000001</v>
      </c>
      <c r="I1415" s="228">
        <v>258.60000000000002</v>
      </c>
      <c r="J1415" s="229"/>
      <c r="K1415" s="229"/>
      <c r="L1415" s="229">
        <f>SUM(ventas_b_mes11[[#This Row],[IMPORTE NETO]:[EXENTO]])</f>
        <v>1490</v>
      </c>
      <c r="M1415" s="55"/>
    </row>
    <row r="1416" spans="2:13" x14ac:dyDescent="0.3">
      <c r="B1416" s="223">
        <v>44861</v>
      </c>
      <c r="C1416" s="224">
        <v>6</v>
      </c>
      <c r="D1416" s="225">
        <v>13</v>
      </c>
      <c r="E1416" s="226">
        <v>26594</v>
      </c>
      <c r="F1416" s="227">
        <v>92811677</v>
      </c>
      <c r="G1416" s="1" t="s">
        <v>149</v>
      </c>
      <c r="H1416" s="60">
        <v>3793.39</v>
      </c>
      <c r="I1416" s="228">
        <v>796.61</v>
      </c>
      <c r="J1416" s="229"/>
      <c r="K1416" s="229"/>
      <c r="L1416" s="229">
        <f>SUM(ventas_b_mes11[[#This Row],[IMPORTE NETO]:[EXENTO]])</f>
        <v>4590</v>
      </c>
      <c r="M1416" s="55"/>
    </row>
    <row r="1417" spans="2:13" x14ac:dyDescent="0.3">
      <c r="B1417" s="223">
        <v>44861</v>
      </c>
      <c r="C1417" s="224">
        <v>6</v>
      </c>
      <c r="D1417" s="225">
        <v>13</v>
      </c>
      <c r="E1417" s="226">
        <v>26595</v>
      </c>
      <c r="F1417" s="227">
        <v>33026736</v>
      </c>
      <c r="G1417" s="1" t="s">
        <v>337</v>
      </c>
      <c r="H1417" s="60">
        <v>4004.13</v>
      </c>
      <c r="I1417" s="228">
        <v>840.87</v>
      </c>
      <c r="J1417" s="229"/>
      <c r="K1417" s="229"/>
      <c r="L1417" s="229">
        <f>SUM(ventas_b_mes11[[#This Row],[IMPORTE NETO]:[EXENTO]])</f>
        <v>4845</v>
      </c>
      <c r="M1417" s="55"/>
    </row>
    <row r="1418" spans="2:13" x14ac:dyDescent="0.3">
      <c r="B1418" s="223">
        <v>44861</v>
      </c>
      <c r="C1418" s="224">
        <v>6</v>
      </c>
      <c r="D1418" s="225">
        <v>13</v>
      </c>
      <c r="E1418" s="226">
        <v>26596</v>
      </c>
      <c r="F1418" s="227">
        <v>19084273</v>
      </c>
      <c r="G1418" s="1" t="s">
        <v>352</v>
      </c>
      <c r="H1418" s="60">
        <v>1194.21</v>
      </c>
      <c r="I1418" s="228">
        <v>250.79</v>
      </c>
      <c r="J1418" s="229"/>
      <c r="K1418" s="229"/>
      <c r="L1418" s="229">
        <f>SUM(ventas_b_mes11[[#This Row],[IMPORTE NETO]:[EXENTO]])</f>
        <v>1445</v>
      </c>
      <c r="M1418" s="55"/>
    </row>
    <row r="1419" spans="2:13" x14ac:dyDescent="0.3">
      <c r="B1419" s="223">
        <v>44861</v>
      </c>
      <c r="C1419" s="224">
        <v>6</v>
      </c>
      <c r="D1419" s="225">
        <v>13</v>
      </c>
      <c r="E1419" s="226">
        <v>26597</v>
      </c>
      <c r="F1419" s="227">
        <v>11</v>
      </c>
      <c r="G1419" s="1"/>
      <c r="H1419" s="60">
        <v>6181.82</v>
      </c>
      <c r="I1419" s="228">
        <v>1298.18</v>
      </c>
      <c r="J1419" s="229"/>
      <c r="K1419" s="229"/>
      <c r="L1419" s="229">
        <f>SUM(ventas_b_mes11[[#This Row],[IMPORTE NETO]:[EXENTO]])</f>
        <v>7480</v>
      </c>
      <c r="M1419" s="55"/>
    </row>
    <row r="1420" spans="2:13" x14ac:dyDescent="0.3">
      <c r="B1420" s="223">
        <v>44861</v>
      </c>
      <c r="C1420" s="224">
        <v>6</v>
      </c>
      <c r="D1420" s="225">
        <v>13</v>
      </c>
      <c r="E1420" s="226">
        <v>26598</v>
      </c>
      <c r="F1420" s="227">
        <v>37564555</v>
      </c>
      <c r="G1420" s="1" t="s">
        <v>1060</v>
      </c>
      <c r="H1420" s="60">
        <v>12714.88</v>
      </c>
      <c r="I1420" s="228">
        <v>2670.12</v>
      </c>
      <c r="J1420" s="229"/>
      <c r="K1420" s="229"/>
      <c r="L1420" s="229">
        <f>SUM(ventas_b_mes11[[#This Row],[IMPORTE NETO]:[EXENTO]])</f>
        <v>15385</v>
      </c>
      <c r="M1420" s="55"/>
    </row>
    <row r="1421" spans="2:13" x14ac:dyDescent="0.3">
      <c r="B1421" s="223">
        <v>44861</v>
      </c>
      <c r="C1421" s="224">
        <v>6</v>
      </c>
      <c r="D1421" s="225">
        <v>13</v>
      </c>
      <c r="E1421" s="226">
        <v>26599</v>
      </c>
      <c r="F1421" s="227">
        <v>35017438</v>
      </c>
      <c r="G1421" s="1"/>
      <c r="H1421" s="60">
        <v>4958.68</v>
      </c>
      <c r="I1421" s="228">
        <v>1041.32</v>
      </c>
      <c r="J1421" s="229"/>
      <c r="K1421" s="229"/>
      <c r="L1421" s="229">
        <f>SUM(ventas_b_mes11[[#This Row],[IMPORTE NETO]:[EXENTO]])</f>
        <v>6000</v>
      </c>
      <c r="M1421" s="55"/>
    </row>
    <row r="1422" spans="2:13" x14ac:dyDescent="0.3">
      <c r="B1422" s="223">
        <v>44862</v>
      </c>
      <c r="C1422" s="224">
        <v>6</v>
      </c>
      <c r="D1422" s="225">
        <v>13</v>
      </c>
      <c r="E1422" s="226">
        <v>26600</v>
      </c>
      <c r="F1422" s="227">
        <v>1111</v>
      </c>
      <c r="G1422" s="1"/>
      <c r="H1422" s="60">
        <v>6084.3</v>
      </c>
      <c r="I1422" s="228">
        <v>1277.7</v>
      </c>
      <c r="J1422" s="229"/>
      <c r="K1422" s="229"/>
      <c r="L1422" s="229">
        <f>SUM(ventas_b_mes11[[#This Row],[IMPORTE NETO]:[EXENTO]])</f>
        <v>7362</v>
      </c>
      <c r="M1422" s="55"/>
    </row>
    <row r="1423" spans="2:13" x14ac:dyDescent="0.3">
      <c r="B1423" s="223">
        <v>44862</v>
      </c>
      <c r="C1423" s="224">
        <v>6</v>
      </c>
      <c r="D1423" s="225">
        <v>13</v>
      </c>
      <c r="E1423" s="226">
        <v>26601</v>
      </c>
      <c r="F1423" s="227">
        <v>30409676</v>
      </c>
      <c r="G1423" s="1" t="s">
        <v>1083</v>
      </c>
      <c r="H1423" s="60">
        <v>2206.61</v>
      </c>
      <c r="I1423" s="228">
        <v>463.39</v>
      </c>
      <c r="J1423" s="229"/>
      <c r="K1423" s="229"/>
      <c r="L1423" s="229">
        <f>SUM(ventas_b_mes11[[#This Row],[IMPORTE NETO]:[EXENTO]])</f>
        <v>2670</v>
      </c>
      <c r="M1423" s="55"/>
    </row>
    <row r="1424" spans="2:13" x14ac:dyDescent="0.3">
      <c r="B1424" s="223">
        <v>44862</v>
      </c>
      <c r="C1424" s="224">
        <v>6</v>
      </c>
      <c r="D1424" s="225">
        <v>13</v>
      </c>
      <c r="E1424" s="226">
        <v>26602</v>
      </c>
      <c r="F1424" s="227">
        <v>11111111</v>
      </c>
      <c r="G1424" s="1"/>
      <c r="H1424" s="60">
        <v>1652.89</v>
      </c>
      <c r="I1424" s="228">
        <v>347.11</v>
      </c>
      <c r="J1424" s="229"/>
      <c r="K1424" s="229"/>
      <c r="L1424" s="229">
        <f>SUM(ventas_b_mes11[[#This Row],[IMPORTE NETO]:[EXENTO]])</f>
        <v>2000</v>
      </c>
      <c r="M1424" s="55"/>
    </row>
    <row r="1425" spans="2:13" x14ac:dyDescent="0.3">
      <c r="B1425" s="223">
        <v>44862</v>
      </c>
      <c r="C1425" s="224">
        <v>6</v>
      </c>
      <c r="D1425" s="225">
        <v>13</v>
      </c>
      <c r="E1425" s="226">
        <v>26603</v>
      </c>
      <c r="F1425" s="227">
        <v>11111111</v>
      </c>
      <c r="G1425" s="1"/>
      <c r="H1425" s="60">
        <v>2925.44</v>
      </c>
      <c r="I1425" s="228">
        <v>614.34</v>
      </c>
      <c r="J1425" s="229"/>
      <c r="K1425" s="229"/>
      <c r="L1425" s="229">
        <f>SUM(ventas_b_mes11[[#This Row],[IMPORTE NETO]:[EXENTO]])</f>
        <v>3539.78</v>
      </c>
      <c r="M1425" s="55"/>
    </row>
    <row r="1426" spans="2:13" x14ac:dyDescent="0.3">
      <c r="B1426" s="223">
        <v>44862</v>
      </c>
      <c r="C1426" s="224">
        <v>6</v>
      </c>
      <c r="D1426" s="225">
        <v>13</v>
      </c>
      <c r="E1426" s="226">
        <v>26604</v>
      </c>
      <c r="F1426" s="227">
        <v>111</v>
      </c>
      <c r="G1426" s="1"/>
      <c r="H1426" s="60">
        <v>6195.87</v>
      </c>
      <c r="I1426" s="228">
        <v>1301.1300000000001</v>
      </c>
      <c r="J1426" s="229"/>
      <c r="K1426" s="229"/>
      <c r="L1426" s="229">
        <f>SUM(ventas_b_mes11[[#This Row],[IMPORTE NETO]:[EXENTO]])</f>
        <v>7497</v>
      </c>
      <c r="M1426" s="55"/>
    </row>
    <row r="1427" spans="2:13" x14ac:dyDescent="0.3">
      <c r="B1427" s="223">
        <v>44862</v>
      </c>
      <c r="C1427" s="224">
        <v>6</v>
      </c>
      <c r="D1427" s="225">
        <v>13</v>
      </c>
      <c r="E1427" s="226">
        <v>26605</v>
      </c>
      <c r="F1427" s="227">
        <v>338489280</v>
      </c>
      <c r="G1427" s="1"/>
      <c r="H1427" s="60">
        <v>4088.43</v>
      </c>
      <c r="I1427" s="228">
        <v>858.57</v>
      </c>
      <c r="J1427" s="229"/>
      <c r="K1427" s="229"/>
      <c r="L1427" s="229">
        <f>SUM(ventas_b_mes11[[#This Row],[IMPORTE NETO]:[EXENTO]])</f>
        <v>4947</v>
      </c>
      <c r="M1427" s="55"/>
    </row>
    <row r="1428" spans="2:13" x14ac:dyDescent="0.3">
      <c r="B1428" s="223">
        <v>44862</v>
      </c>
      <c r="C1428" s="224">
        <v>6</v>
      </c>
      <c r="D1428" s="225">
        <v>13</v>
      </c>
      <c r="E1428" s="226">
        <v>26606</v>
      </c>
      <c r="F1428" s="227">
        <v>10402115</v>
      </c>
      <c r="G1428" s="1" t="s">
        <v>1070</v>
      </c>
      <c r="H1428" s="60">
        <v>13663.22</v>
      </c>
      <c r="I1428" s="228">
        <v>2869.28</v>
      </c>
      <c r="J1428" s="229"/>
      <c r="K1428" s="229"/>
      <c r="L1428" s="229">
        <f>SUM(ventas_b_mes11[[#This Row],[IMPORTE NETO]:[EXENTO]])</f>
        <v>16532.5</v>
      </c>
      <c r="M1428" s="55"/>
    </row>
    <row r="1429" spans="2:13" x14ac:dyDescent="0.3">
      <c r="B1429" s="223">
        <v>44862</v>
      </c>
      <c r="C1429" s="224">
        <v>6</v>
      </c>
      <c r="D1429" s="225">
        <v>13</v>
      </c>
      <c r="E1429" s="226">
        <v>26607</v>
      </c>
      <c r="F1429" s="227">
        <v>11111111</v>
      </c>
      <c r="G1429" s="1"/>
      <c r="H1429" s="60">
        <v>454.55</v>
      </c>
      <c r="I1429" s="228">
        <v>95.45</v>
      </c>
      <c r="J1429" s="229"/>
      <c r="K1429" s="229"/>
      <c r="L1429" s="229">
        <f>SUM(ventas_b_mes11[[#This Row],[IMPORTE NETO]:[EXENTO]])</f>
        <v>550</v>
      </c>
      <c r="M1429" s="55"/>
    </row>
    <row r="1430" spans="2:13" x14ac:dyDescent="0.3">
      <c r="B1430" s="223">
        <v>44862</v>
      </c>
      <c r="C1430" s="224">
        <v>6</v>
      </c>
      <c r="D1430" s="225">
        <v>13</v>
      </c>
      <c r="E1430" s="226">
        <v>26608</v>
      </c>
      <c r="F1430" s="227">
        <v>29147355</v>
      </c>
      <c r="G1430" s="1" t="s">
        <v>216</v>
      </c>
      <c r="H1430" s="60">
        <v>2338.84</v>
      </c>
      <c r="I1430" s="228">
        <v>491.16</v>
      </c>
      <c r="J1430" s="229"/>
      <c r="K1430" s="229"/>
      <c r="L1430" s="229">
        <f>SUM(ventas_b_mes11[[#This Row],[IMPORTE NETO]:[EXENTO]])</f>
        <v>2830</v>
      </c>
      <c r="M1430" s="55"/>
    </row>
    <row r="1431" spans="2:13" x14ac:dyDescent="0.3">
      <c r="B1431" s="223">
        <v>44862</v>
      </c>
      <c r="C1431" s="224">
        <v>6</v>
      </c>
      <c r="D1431" s="225">
        <v>13</v>
      </c>
      <c r="E1431" s="226">
        <v>26609</v>
      </c>
      <c r="F1431" s="227">
        <v>23224057</v>
      </c>
      <c r="G1431" s="1" t="s">
        <v>904</v>
      </c>
      <c r="H1431" s="60">
        <v>5935.95</v>
      </c>
      <c r="I1431" s="228">
        <v>1246.55</v>
      </c>
      <c r="J1431" s="229"/>
      <c r="K1431" s="229"/>
      <c r="L1431" s="229">
        <f>SUM(ventas_b_mes11[[#This Row],[IMPORTE NETO]:[EXENTO]])</f>
        <v>7182.5</v>
      </c>
      <c r="M1431" s="55"/>
    </row>
    <row r="1432" spans="2:13" x14ac:dyDescent="0.3">
      <c r="B1432" s="223">
        <v>44862</v>
      </c>
      <c r="C1432" s="224">
        <v>6</v>
      </c>
      <c r="D1432" s="225">
        <v>13</v>
      </c>
      <c r="E1432" s="226">
        <v>26610</v>
      </c>
      <c r="F1432" s="227">
        <v>0</v>
      </c>
      <c r="G1432" s="1"/>
      <c r="H1432" s="60">
        <v>3720.8</v>
      </c>
      <c r="I1432" s="228">
        <v>781.37</v>
      </c>
      <c r="J1432" s="229"/>
      <c r="K1432" s="229"/>
      <c r="L1432" s="229">
        <f>SUM(ventas_b_mes11[[#This Row],[IMPORTE NETO]:[EXENTO]])</f>
        <v>4502.17</v>
      </c>
      <c r="M1432" s="55"/>
    </row>
    <row r="1433" spans="2:13" x14ac:dyDescent="0.3">
      <c r="B1433" s="223">
        <v>44862</v>
      </c>
      <c r="C1433" s="224">
        <v>6</v>
      </c>
      <c r="D1433" s="225">
        <v>13</v>
      </c>
      <c r="E1433" s="226">
        <v>26611</v>
      </c>
      <c r="F1433" s="227">
        <v>11111111</v>
      </c>
      <c r="G1433" s="1"/>
      <c r="H1433" s="60">
        <v>5270.37</v>
      </c>
      <c r="I1433" s="228">
        <v>1106.78</v>
      </c>
      <c r="J1433" s="229"/>
      <c r="K1433" s="229"/>
      <c r="L1433" s="229">
        <f>SUM(ventas_b_mes11[[#This Row],[IMPORTE NETO]:[EXENTO]])</f>
        <v>6377.15</v>
      </c>
      <c r="M1433" s="55"/>
    </row>
    <row r="1434" spans="2:13" x14ac:dyDescent="0.3">
      <c r="B1434" s="223">
        <v>44862</v>
      </c>
      <c r="C1434" s="224">
        <v>6</v>
      </c>
      <c r="D1434" s="225">
        <v>13</v>
      </c>
      <c r="E1434" s="226">
        <v>26612</v>
      </c>
      <c r="F1434" s="227">
        <v>11111111</v>
      </c>
      <c r="G1434" s="1"/>
      <c r="H1434" s="60">
        <v>1554.14</v>
      </c>
      <c r="I1434" s="228">
        <v>326.37</v>
      </c>
      <c r="J1434" s="229"/>
      <c r="K1434" s="229"/>
      <c r="L1434" s="229">
        <f>SUM(ventas_b_mes11[[#This Row],[IMPORTE NETO]:[EXENTO]])</f>
        <v>1880.5100000000002</v>
      </c>
      <c r="M1434" s="55"/>
    </row>
    <row r="1435" spans="2:13" x14ac:dyDescent="0.3">
      <c r="B1435" s="223">
        <v>44862</v>
      </c>
      <c r="C1435" s="224">
        <v>6</v>
      </c>
      <c r="D1435" s="225">
        <v>13</v>
      </c>
      <c r="E1435" s="226">
        <v>26613</v>
      </c>
      <c r="F1435" s="227">
        <v>94097987</v>
      </c>
      <c r="G1435" s="1" t="s">
        <v>687</v>
      </c>
      <c r="H1435" s="60">
        <v>10425.84</v>
      </c>
      <c r="I1435" s="228">
        <v>2189.4299999999998</v>
      </c>
      <c r="J1435" s="229"/>
      <c r="K1435" s="229"/>
      <c r="L1435" s="229">
        <f>SUM(ventas_b_mes11[[#This Row],[IMPORTE NETO]:[EXENTO]])</f>
        <v>12615.27</v>
      </c>
      <c r="M1435" s="55"/>
    </row>
    <row r="1436" spans="2:13" x14ac:dyDescent="0.3">
      <c r="B1436" s="223">
        <v>44862</v>
      </c>
      <c r="C1436" s="224">
        <v>6</v>
      </c>
      <c r="D1436" s="225">
        <v>13</v>
      </c>
      <c r="E1436" s="226">
        <v>26614</v>
      </c>
      <c r="F1436" s="227">
        <v>94097987</v>
      </c>
      <c r="G1436" s="1" t="s">
        <v>687</v>
      </c>
      <c r="H1436" s="60">
        <v>1578.47</v>
      </c>
      <c r="I1436" s="228">
        <v>331.48</v>
      </c>
      <c r="J1436" s="229"/>
      <c r="K1436" s="229"/>
      <c r="L1436" s="229">
        <f>SUM(ventas_b_mes11[[#This Row],[IMPORTE NETO]:[EXENTO]])</f>
        <v>1909.95</v>
      </c>
      <c r="M1436" s="55"/>
    </row>
    <row r="1437" spans="2:13" x14ac:dyDescent="0.3">
      <c r="B1437" s="223">
        <v>44862</v>
      </c>
      <c r="C1437" s="224">
        <v>6</v>
      </c>
      <c r="D1437" s="225">
        <v>13</v>
      </c>
      <c r="E1437" s="226">
        <v>26615</v>
      </c>
      <c r="F1437" s="227">
        <v>0</v>
      </c>
      <c r="G1437" s="1"/>
      <c r="H1437" s="60">
        <v>1933.88</v>
      </c>
      <c r="I1437" s="228">
        <v>406.12</v>
      </c>
      <c r="J1437" s="229"/>
      <c r="K1437" s="229"/>
      <c r="L1437" s="229">
        <f>SUM(ventas_b_mes11[[#This Row],[IMPORTE NETO]:[EXENTO]])</f>
        <v>2340</v>
      </c>
      <c r="M1437" s="55"/>
    </row>
    <row r="1438" spans="2:13" x14ac:dyDescent="0.3">
      <c r="B1438" s="223">
        <v>44862</v>
      </c>
      <c r="C1438" s="224">
        <v>6</v>
      </c>
      <c r="D1438" s="225">
        <v>13</v>
      </c>
      <c r="E1438" s="226">
        <v>26616</v>
      </c>
      <c r="F1438" s="227">
        <v>0</v>
      </c>
      <c r="G1438" s="1"/>
      <c r="H1438" s="60">
        <v>1561.98</v>
      </c>
      <c r="I1438" s="228">
        <v>328.02</v>
      </c>
      <c r="J1438" s="229"/>
      <c r="K1438" s="229"/>
      <c r="L1438" s="229">
        <f>SUM(ventas_b_mes11[[#This Row],[IMPORTE NETO]:[EXENTO]])</f>
        <v>1890</v>
      </c>
      <c r="M1438" s="55"/>
    </row>
    <row r="1439" spans="2:13" x14ac:dyDescent="0.3">
      <c r="B1439" s="223">
        <v>44863</v>
      </c>
      <c r="C1439" s="224">
        <v>6</v>
      </c>
      <c r="D1439" s="225">
        <v>13</v>
      </c>
      <c r="E1439" s="226">
        <v>26617</v>
      </c>
      <c r="F1439" s="227">
        <v>94640071</v>
      </c>
      <c r="G1439" s="1" t="s">
        <v>698</v>
      </c>
      <c r="H1439" s="60">
        <v>6146.69</v>
      </c>
      <c r="I1439" s="228">
        <v>1290.81</v>
      </c>
      <c r="J1439" s="229"/>
      <c r="K1439" s="229"/>
      <c r="L1439" s="229">
        <f>SUM(ventas_b_mes11[[#This Row],[IMPORTE NETO]:[EXENTO]])</f>
        <v>7437.5</v>
      </c>
      <c r="M1439" s="55"/>
    </row>
    <row r="1440" spans="2:13" x14ac:dyDescent="0.3">
      <c r="B1440" s="223">
        <v>44863</v>
      </c>
      <c r="C1440" s="224">
        <v>6</v>
      </c>
      <c r="D1440" s="225">
        <v>13</v>
      </c>
      <c r="E1440" s="226">
        <v>26618</v>
      </c>
      <c r="F1440" s="227">
        <v>11</v>
      </c>
      <c r="G1440" s="1"/>
      <c r="H1440" s="60">
        <v>4088.43</v>
      </c>
      <c r="I1440" s="228">
        <v>858.57</v>
      </c>
      <c r="J1440" s="229"/>
      <c r="K1440" s="229"/>
      <c r="L1440" s="229">
        <f>SUM(ventas_b_mes11[[#This Row],[IMPORTE NETO]:[EXENTO]])</f>
        <v>4947</v>
      </c>
      <c r="M1440" s="55"/>
    </row>
    <row r="1441" spans="2:13" x14ac:dyDescent="0.3">
      <c r="B1441" s="223">
        <v>44863</v>
      </c>
      <c r="C1441" s="224">
        <v>6</v>
      </c>
      <c r="D1441" s="225">
        <v>13</v>
      </c>
      <c r="E1441" s="226">
        <v>26619</v>
      </c>
      <c r="F1441" s="227">
        <v>0</v>
      </c>
      <c r="G1441" s="1"/>
      <c r="H1441" s="60">
        <v>1264.46</v>
      </c>
      <c r="I1441" s="228">
        <v>265.54000000000002</v>
      </c>
      <c r="J1441" s="229"/>
      <c r="K1441" s="229"/>
      <c r="L1441" s="229">
        <f>SUM(ventas_b_mes11[[#This Row],[IMPORTE NETO]:[EXENTO]])</f>
        <v>1530</v>
      </c>
      <c r="M1441" s="55"/>
    </row>
    <row r="1442" spans="2:13" x14ac:dyDescent="0.3">
      <c r="B1442" s="223">
        <v>44863</v>
      </c>
      <c r="C1442" s="224">
        <v>6</v>
      </c>
      <c r="D1442" s="225">
        <v>13</v>
      </c>
      <c r="E1442" s="226">
        <v>26620</v>
      </c>
      <c r="F1442" s="227">
        <v>111</v>
      </c>
      <c r="G1442" s="1"/>
      <c r="H1442" s="60">
        <v>7340.91</v>
      </c>
      <c r="I1442" s="228">
        <v>1541.59</v>
      </c>
      <c r="J1442" s="229"/>
      <c r="K1442" s="229"/>
      <c r="L1442" s="229">
        <f>SUM(ventas_b_mes11[[#This Row],[IMPORTE NETO]:[EXENTO]])</f>
        <v>8882.5</v>
      </c>
      <c r="M1442" s="55"/>
    </row>
    <row r="1443" spans="2:13" x14ac:dyDescent="0.3">
      <c r="B1443" s="223">
        <v>44863</v>
      </c>
      <c r="C1443" s="224">
        <v>6</v>
      </c>
      <c r="D1443" s="225">
        <v>13</v>
      </c>
      <c r="E1443" s="226">
        <v>26621</v>
      </c>
      <c r="F1443" s="227">
        <v>22541456</v>
      </c>
      <c r="G1443" s="1" t="s">
        <v>1094</v>
      </c>
      <c r="H1443" s="60">
        <v>11218.6</v>
      </c>
      <c r="I1443" s="228">
        <v>2355.9</v>
      </c>
      <c r="J1443" s="229"/>
      <c r="K1443" s="229"/>
      <c r="L1443" s="229">
        <f>SUM(ventas_b_mes11[[#This Row],[IMPORTE NETO]:[EXENTO]])</f>
        <v>13574.5</v>
      </c>
      <c r="M1443" s="55"/>
    </row>
    <row r="1444" spans="2:13" x14ac:dyDescent="0.3">
      <c r="B1444" s="223">
        <v>44863</v>
      </c>
      <c r="C1444" s="224">
        <v>6</v>
      </c>
      <c r="D1444" s="225">
        <v>13</v>
      </c>
      <c r="E1444" s="226">
        <v>26622</v>
      </c>
      <c r="F1444" s="227">
        <v>29147355</v>
      </c>
      <c r="G1444" s="1" t="s">
        <v>216</v>
      </c>
      <c r="H1444" s="60">
        <v>12524.55</v>
      </c>
      <c r="I1444" s="228">
        <v>2630.16</v>
      </c>
      <c r="J1444" s="229"/>
      <c r="K1444" s="229"/>
      <c r="L1444" s="229">
        <f>SUM(ventas_b_mes11[[#This Row],[IMPORTE NETO]:[EXENTO]])</f>
        <v>15154.71</v>
      </c>
      <c r="M1444" s="55"/>
    </row>
    <row r="1445" spans="2:13" x14ac:dyDescent="0.3">
      <c r="B1445" s="223">
        <v>44863</v>
      </c>
      <c r="C1445" s="224">
        <v>6</v>
      </c>
      <c r="D1445" s="225">
        <v>13</v>
      </c>
      <c r="E1445" s="226">
        <v>26623</v>
      </c>
      <c r="F1445" s="227">
        <v>95160579</v>
      </c>
      <c r="G1445" s="1" t="s">
        <v>125</v>
      </c>
      <c r="H1445" s="60">
        <v>1159.0899999999999</v>
      </c>
      <c r="I1445" s="228">
        <v>243.41</v>
      </c>
      <c r="J1445" s="229"/>
      <c r="K1445" s="229"/>
      <c r="L1445" s="229">
        <f>SUM(ventas_b_mes11[[#This Row],[IMPORTE NETO]:[EXENTO]])</f>
        <v>1402.5</v>
      </c>
      <c r="M1445" s="55"/>
    </row>
    <row r="1446" spans="2:13" x14ac:dyDescent="0.3">
      <c r="B1446" s="223">
        <v>44863</v>
      </c>
      <c r="C1446" s="224">
        <v>6</v>
      </c>
      <c r="D1446" s="225">
        <v>13</v>
      </c>
      <c r="E1446" s="226">
        <v>26624</v>
      </c>
      <c r="F1446" s="227">
        <v>26962539</v>
      </c>
      <c r="G1446" s="1" t="s">
        <v>127</v>
      </c>
      <c r="H1446" s="60">
        <v>5338.84</v>
      </c>
      <c r="I1446" s="228">
        <v>1121.1600000000001</v>
      </c>
      <c r="J1446" s="229"/>
      <c r="K1446" s="229"/>
      <c r="L1446" s="229">
        <f>SUM(ventas_b_mes11[[#This Row],[IMPORTE NETO]:[EXENTO]])</f>
        <v>6460</v>
      </c>
      <c r="M1446" s="55"/>
    </row>
    <row r="1447" spans="2:13" x14ac:dyDescent="0.3">
      <c r="B1447" s="223">
        <v>44863</v>
      </c>
      <c r="C1447" s="224">
        <v>6</v>
      </c>
      <c r="D1447" s="225">
        <v>13</v>
      </c>
      <c r="E1447" s="226">
        <v>26625</v>
      </c>
      <c r="F1447" s="227">
        <v>22004308</v>
      </c>
      <c r="G1447" s="1" t="s">
        <v>134</v>
      </c>
      <c r="H1447" s="60">
        <v>36348.74</v>
      </c>
      <c r="I1447" s="228">
        <v>7633.24</v>
      </c>
      <c r="J1447" s="229"/>
      <c r="K1447" s="229"/>
      <c r="L1447" s="229">
        <f>SUM(ventas_b_mes11[[#This Row],[IMPORTE NETO]:[EXENTO]])</f>
        <v>43981.979999999996</v>
      </c>
      <c r="M1447" s="55"/>
    </row>
    <row r="1448" spans="2:13" x14ac:dyDescent="0.3">
      <c r="B1448" s="223">
        <v>44865</v>
      </c>
      <c r="C1448" s="224">
        <v>6</v>
      </c>
      <c r="D1448" s="225">
        <v>13</v>
      </c>
      <c r="E1448" s="226">
        <v>26626</v>
      </c>
      <c r="F1448" s="227">
        <v>11111111</v>
      </c>
      <c r="G1448" s="1"/>
      <c r="H1448" s="60">
        <v>5735.54</v>
      </c>
      <c r="I1448" s="228">
        <v>1204.46</v>
      </c>
      <c r="J1448" s="229"/>
      <c r="K1448" s="229"/>
      <c r="L1448" s="229">
        <f>SUM(ventas_b_mes11[[#This Row],[IMPORTE NETO]:[EXENTO]])</f>
        <v>6940</v>
      </c>
      <c r="M1448" s="55"/>
    </row>
    <row r="1449" spans="2:13" x14ac:dyDescent="0.3">
      <c r="B1449" s="223">
        <v>44865</v>
      </c>
      <c r="C1449" s="224">
        <v>6</v>
      </c>
      <c r="D1449" s="225">
        <v>13</v>
      </c>
      <c r="E1449" s="226">
        <v>26627</v>
      </c>
      <c r="F1449" s="227">
        <v>33004785</v>
      </c>
      <c r="G1449" s="1" t="s">
        <v>665</v>
      </c>
      <c r="H1449" s="60">
        <v>7239.67</v>
      </c>
      <c r="I1449" s="228">
        <v>1520.33</v>
      </c>
      <c r="J1449" s="229"/>
      <c r="K1449" s="229"/>
      <c r="L1449" s="229">
        <f>SUM(ventas_b_mes11[[#This Row],[IMPORTE NETO]:[EXENTO]])</f>
        <v>8760</v>
      </c>
      <c r="M1449" s="55"/>
    </row>
    <row r="1450" spans="2:13" x14ac:dyDescent="0.3">
      <c r="B1450" s="223">
        <v>44865</v>
      </c>
      <c r="C1450" s="224">
        <v>6</v>
      </c>
      <c r="D1450" s="225">
        <v>13</v>
      </c>
      <c r="E1450" s="226">
        <v>26628</v>
      </c>
      <c r="F1450" s="227">
        <v>29147355</v>
      </c>
      <c r="G1450" s="1" t="s">
        <v>216</v>
      </c>
      <c r="H1450" s="60">
        <v>677.69</v>
      </c>
      <c r="I1450" s="228">
        <v>142.31</v>
      </c>
      <c r="J1450" s="229"/>
      <c r="K1450" s="229"/>
      <c r="L1450" s="229">
        <f>SUM(ventas_b_mes11[[#This Row],[IMPORTE NETO]:[EXENTO]])</f>
        <v>820</v>
      </c>
      <c r="M1450" s="55"/>
    </row>
    <row r="1451" spans="2:13" x14ac:dyDescent="0.3">
      <c r="B1451" s="223">
        <v>44865</v>
      </c>
      <c r="C1451" s="224">
        <v>6</v>
      </c>
      <c r="D1451" s="225">
        <v>13</v>
      </c>
      <c r="E1451" s="226">
        <v>26629</v>
      </c>
      <c r="F1451" s="227">
        <v>11111111</v>
      </c>
      <c r="G1451" s="1"/>
      <c r="H1451" s="60">
        <v>2644.63</v>
      </c>
      <c r="I1451" s="228">
        <v>555.37</v>
      </c>
      <c r="J1451" s="229"/>
      <c r="K1451" s="229"/>
      <c r="L1451" s="229">
        <f>SUM(ventas_b_mes11[[#This Row],[IMPORTE NETO]:[EXENTO]])</f>
        <v>3200</v>
      </c>
      <c r="M1451" s="55"/>
    </row>
    <row r="1452" spans="2:13" x14ac:dyDescent="0.3">
      <c r="B1452" s="223">
        <v>44865</v>
      </c>
      <c r="C1452" s="224">
        <v>6</v>
      </c>
      <c r="D1452" s="225">
        <v>13</v>
      </c>
      <c r="E1452" s="226">
        <v>26630</v>
      </c>
      <c r="F1452" s="227">
        <v>27147838579</v>
      </c>
      <c r="G1452" s="1" t="s">
        <v>724</v>
      </c>
      <c r="H1452" s="60">
        <v>3735.54</v>
      </c>
      <c r="I1452" s="228">
        <v>784.46</v>
      </c>
      <c r="J1452" s="229"/>
      <c r="K1452" s="229"/>
      <c r="L1452" s="229">
        <f>SUM(ventas_b_mes11[[#This Row],[IMPORTE NETO]:[EXENTO]])</f>
        <v>4520</v>
      </c>
      <c r="M1452" s="55"/>
    </row>
    <row r="1453" spans="2:13" x14ac:dyDescent="0.3">
      <c r="B1453" s="223">
        <v>44865</v>
      </c>
      <c r="C1453" s="224">
        <v>6</v>
      </c>
      <c r="D1453" s="225">
        <v>13</v>
      </c>
      <c r="E1453" s="226">
        <v>26631</v>
      </c>
      <c r="F1453" s="227">
        <v>11111111</v>
      </c>
      <c r="G1453" s="1"/>
      <c r="H1453" s="60">
        <v>1136.3599999999999</v>
      </c>
      <c r="I1453" s="228">
        <v>238.64</v>
      </c>
      <c r="J1453" s="229"/>
      <c r="K1453" s="229"/>
      <c r="L1453" s="229">
        <f>SUM(ventas_b_mes11[[#This Row],[IMPORTE NETO]:[EXENTO]])</f>
        <v>1375</v>
      </c>
      <c r="M1453" s="55"/>
    </row>
    <row r="1454" spans="2:13" x14ac:dyDescent="0.3">
      <c r="B1454" s="223">
        <v>44865</v>
      </c>
      <c r="C1454" s="224">
        <v>6</v>
      </c>
      <c r="D1454" s="225">
        <v>13</v>
      </c>
      <c r="E1454" s="226">
        <v>26632</v>
      </c>
      <c r="F1454" s="227">
        <v>111</v>
      </c>
      <c r="G1454" s="1"/>
      <c r="H1454" s="60">
        <v>8242.98</v>
      </c>
      <c r="I1454" s="228">
        <v>1731.02</v>
      </c>
      <c r="J1454" s="229"/>
      <c r="K1454" s="229"/>
      <c r="L1454" s="229">
        <f>SUM(ventas_b_mes11[[#This Row],[IMPORTE NETO]:[EXENTO]])</f>
        <v>9974</v>
      </c>
      <c r="M1454" s="55"/>
    </row>
    <row r="1455" spans="2:13" x14ac:dyDescent="0.3">
      <c r="B1455" s="223">
        <v>44865</v>
      </c>
      <c r="C1455" s="224">
        <v>6</v>
      </c>
      <c r="D1455" s="225">
        <v>13</v>
      </c>
      <c r="E1455" s="226">
        <v>26633</v>
      </c>
      <c r="F1455" s="227">
        <v>29147355</v>
      </c>
      <c r="G1455" s="1" t="s">
        <v>216</v>
      </c>
      <c r="H1455" s="60">
        <v>747.93</v>
      </c>
      <c r="I1455" s="228">
        <v>157.07</v>
      </c>
      <c r="J1455" s="229"/>
      <c r="K1455" s="229"/>
      <c r="L1455" s="229">
        <f>SUM(ventas_b_mes11[[#This Row],[IMPORTE NETO]:[EXENTO]])</f>
        <v>905</v>
      </c>
      <c r="M1455" s="55"/>
    </row>
    <row r="1456" spans="2:13" x14ac:dyDescent="0.3">
      <c r="B1456" s="223">
        <v>44865</v>
      </c>
      <c r="C1456" s="224">
        <v>6</v>
      </c>
      <c r="D1456" s="225">
        <v>13</v>
      </c>
      <c r="E1456" s="226">
        <v>26634</v>
      </c>
      <c r="F1456" s="227">
        <v>0</v>
      </c>
      <c r="G1456" s="1"/>
      <c r="H1456" s="60">
        <v>1090.9100000000001</v>
      </c>
      <c r="I1456" s="228">
        <v>229.09</v>
      </c>
      <c r="J1456" s="229"/>
      <c r="K1456" s="229"/>
      <c r="L1456" s="229">
        <f>SUM(ventas_b_mes11[[#This Row],[IMPORTE NETO]:[EXENTO]])</f>
        <v>1320</v>
      </c>
      <c r="M1456" s="55"/>
    </row>
    <row r="1457" spans="2:13" x14ac:dyDescent="0.3">
      <c r="B1457" s="223">
        <v>44865</v>
      </c>
      <c r="C1457" s="224">
        <v>6</v>
      </c>
      <c r="D1457" s="225">
        <v>13</v>
      </c>
      <c r="E1457" s="226">
        <v>26635</v>
      </c>
      <c r="F1457" s="227">
        <v>25269467</v>
      </c>
      <c r="G1457" s="1" t="s">
        <v>1111</v>
      </c>
      <c r="H1457" s="60">
        <v>31896.69</v>
      </c>
      <c r="I1457" s="228">
        <v>6698.31</v>
      </c>
      <c r="J1457" s="229"/>
      <c r="K1457" s="229"/>
      <c r="L1457" s="229">
        <f>SUM(ventas_b_mes11[[#This Row],[IMPORTE NETO]:[EXENTO]])</f>
        <v>38595</v>
      </c>
      <c r="M1457" s="55"/>
    </row>
    <row r="1458" spans="2:13" x14ac:dyDescent="0.3">
      <c r="B1458" s="223">
        <v>44865</v>
      </c>
      <c r="C1458" s="224">
        <v>6</v>
      </c>
      <c r="D1458" s="225">
        <v>13</v>
      </c>
      <c r="E1458" s="226">
        <v>26636</v>
      </c>
      <c r="F1458" s="227">
        <v>33907250</v>
      </c>
      <c r="G1458" s="1" t="s">
        <v>759</v>
      </c>
      <c r="H1458" s="60">
        <v>4958.68</v>
      </c>
      <c r="I1458" s="228">
        <v>1041.32</v>
      </c>
      <c r="J1458" s="229"/>
      <c r="K1458" s="229"/>
      <c r="L1458" s="229">
        <f>SUM(ventas_b_mes11[[#This Row],[IMPORTE NETO]:[EXENTO]])</f>
        <v>6000</v>
      </c>
      <c r="M1458" s="55"/>
    </row>
    <row r="1459" spans="2:13" x14ac:dyDescent="0.3">
      <c r="B1459" s="223">
        <v>44835</v>
      </c>
      <c r="C1459" s="248">
        <v>6</v>
      </c>
      <c r="D1459" s="225">
        <v>11</v>
      </c>
      <c r="E1459" s="226">
        <v>29523</v>
      </c>
      <c r="F1459" s="227">
        <v>18398933</v>
      </c>
      <c r="G1459" s="1"/>
      <c r="H1459" s="60">
        <v>15276.86</v>
      </c>
      <c r="I1459" s="228">
        <v>3208.14</v>
      </c>
      <c r="J1459" s="229"/>
      <c r="K1459" s="229"/>
      <c r="L1459" s="229">
        <f>SUM(ventas_b_mes11[[#This Row],[IMPORTE NETO]:[EXENTO]])</f>
        <v>18485</v>
      </c>
      <c r="M1459" s="55"/>
    </row>
    <row r="1460" spans="2:13" x14ac:dyDescent="0.3">
      <c r="B1460" s="301">
        <v>44835</v>
      </c>
      <c r="C1460" s="248">
        <v>6</v>
      </c>
      <c r="D1460" s="304">
        <v>11</v>
      </c>
      <c r="E1460" s="249">
        <v>29524</v>
      </c>
      <c r="F1460" s="227" t="s">
        <v>119</v>
      </c>
      <c r="G1460" s="1" t="s">
        <v>128</v>
      </c>
      <c r="H1460" s="60">
        <v>5553.72</v>
      </c>
      <c r="I1460" s="60">
        <v>1166.28</v>
      </c>
      <c r="J1460" s="60"/>
      <c r="K1460" s="60"/>
      <c r="L1460" s="60">
        <f>SUM(ventas_b_mes11[[#This Row],[IMPORTE NETO]:[EXENTO]])</f>
        <v>6720</v>
      </c>
      <c r="M1460" s="55"/>
    </row>
    <row r="1461" spans="2:13" x14ac:dyDescent="0.3">
      <c r="B1461" s="301">
        <v>44835</v>
      </c>
      <c r="C1461" s="248">
        <v>6</v>
      </c>
      <c r="D1461" s="304">
        <v>11</v>
      </c>
      <c r="E1461" s="249">
        <v>29525</v>
      </c>
      <c r="F1461" s="227" t="s">
        <v>122</v>
      </c>
      <c r="G1461" s="1" t="s">
        <v>128</v>
      </c>
      <c r="H1461" s="60">
        <v>5209.92</v>
      </c>
      <c r="I1461" s="60">
        <v>1094.08</v>
      </c>
      <c r="J1461" s="60"/>
      <c r="K1461" s="60"/>
      <c r="L1461" s="60">
        <f>SUM(ventas_b_mes11[[#This Row],[IMPORTE NETO]:[EXENTO]])</f>
        <v>6304</v>
      </c>
      <c r="M1461" s="55"/>
    </row>
    <row r="1462" spans="2:13" x14ac:dyDescent="0.3">
      <c r="B1462" s="223">
        <v>44835</v>
      </c>
      <c r="C1462" s="248">
        <v>6</v>
      </c>
      <c r="D1462" s="225">
        <v>11</v>
      </c>
      <c r="E1462" s="226">
        <v>29526</v>
      </c>
      <c r="F1462" s="227">
        <v>13256715</v>
      </c>
      <c r="G1462" s="1" t="s">
        <v>137</v>
      </c>
      <c r="H1462" s="60">
        <v>1487.6</v>
      </c>
      <c r="I1462" s="228">
        <v>312.39999999999998</v>
      </c>
      <c r="J1462" s="229"/>
      <c r="K1462" s="229"/>
      <c r="L1462" s="229">
        <f>SUM(ventas_b_mes11[[#This Row],[IMPORTE NETO]:[EXENTO]])</f>
        <v>1800</v>
      </c>
      <c r="M1462" s="55"/>
    </row>
    <row r="1463" spans="2:13" x14ac:dyDescent="0.3">
      <c r="B1463" s="223">
        <v>44835</v>
      </c>
      <c r="C1463" s="248">
        <v>6</v>
      </c>
      <c r="D1463" s="225">
        <v>11</v>
      </c>
      <c r="E1463" s="226">
        <v>29527</v>
      </c>
      <c r="F1463" s="227">
        <v>13256715</v>
      </c>
      <c r="G1463" s="1" t="s">
        <v>137</v>
      </c>
      <c r="H1463" s="60">
        <v>12793.38</v>
      </c>
      <c r="I1463" s="228">
        <v>2686.61</v>
      </c>
      <c r="J1463" s="229"/>
      <c r="K1463" s="229"/>
      <c r="L1463" s="229">
        <f>SUM(ventas_b_mes11[[#This Row],[IMPORTE NETO]:[EXENTO]])</f>
        <v>15479.99</v>
      </c>
      <c r="M1463" s="55"/>
    </row>
    <row r="1464" spans="2:13" x14ac:dyDescent="0.3">
      <c r="B1464" s="223">
        <v>44835</v>
      </c>
      <c r="C1464" s="248">
        <v>6</v>
      </c>
      <c r="D1464" s="225">
        <v>11</v>
      </c>
      <c r="E1464" s="226">
        <v>29528</v>
      </c>
      <c r="F1464" s="227" t="s">
        <v>121</v>
      </c>
      <c r="G1464" s="1" t="s">
        <v>126</v>
      </c>
      <c r="H1464" s="60">
        <v>5355.37</v>
      </c>
      <c r="I1464" s="228">
        <v>1124.6300000000001</v>
      </c>
      <c r="J1464" s="229"/>
      <c r="K1464" s="229"/>
      <c r="L1464" s="229">
        <f>SUM(ventas_b_mes11[[#This Row],[IMPORTE NETO]:[EXENTO]])</f>
        <v>6480</v>
      </c>
      <c r="M1464" s="55"/>
    </row>
    <row r="1465" spans="2:13" x14ac:dyDescent="0.3">
      <c r="B1465" s="301">
        <v>44835</v>
      </c>
      <c r="C1465" s="248">
        <v>6</v>
      </c>
      <c r="D1465" s="304">
        <v>11</v>
      </c>
      <c r="E1465" s="249">
        <v>29529</v>
      </c>
      <c r="F1465" s="227" t="s">
        <v>117</v>
      </c>
      <c r="G1465" s="1" t="s">
        <v>126</v>
      </c>
      <c r="H1465" s="60">
        <v>12639.24</v>
      </c>
      <c r="I1465" s="60">
        <v>2654.24</v>
      </c>
      <c r="J1465" s="60"/>
      <c r="K1465" s="60"/>
      <c r="L1465" s="60">
        <f>SUM(ventas_b_mes11[[#This Row],[IMPORTE NETO]:[EXENTO]])</f>
        <v>15293.48</v>
      </c>
      <c r="M1465" s="55"/>
    </row>
    <row r="1466" spans="2:13" x14ac:dyDescent="0.3">
      <c r="B1466" s="223">
        <v>44837</v>
      </c>
      <c r="C1466" s="224">
        <v>6</v>
      </c>
      <c r="D1466" s="225">
        <v>11</v>
      </c>
      <c r="E1466" s="226">
        <v>29530</v>
      </c>
      <c r="F1466" s="227">
        <v>24007742</v>
      </c>
      <c r="G1466" s="1" t="s">
        <v>172</v>
      </c>
      <c r="H1466" s="60">
        <v>3305.79</v>
      </c>
      <c r="I1466" s="228">
        <v>694.21</v>
      </c>
      <c r="J1466" s="229"/>
      <c r="K1466" s="229"/>
      <c r="L1466" s="229">
        <f>SUM(ventas_b_mes11[[#This Row],[IMPORTE NETO]:[EXENTO]])</f>
        <v>4000</v>
      </c>
      <c r="M1466" s="55"/>
    </row>
    <row r="1467" spans="2:13" x14ac:dyDescent="0.3">
      <c r="B1467" s="223">
        <v>44837</v>
      </c>
      <c r="C1467" s="224">
        <v>6</v>
      </c>
      <c r="D1467" s="225">
        <v>11</v>
      </c>
      <c r="E1467" s="226">
        <v>29531</v>
      </c>
      <c r="F1467" s="227">
        <v>95913623</v>
      </c>
      <c r="G1467" s="1" t="s">
        <v>165</v>
      </c>
      <c r="H1467" s="60">
        <v>4185.12</v>
      </c>
      <c r="I1467" s="228">
        <v>878.88</v>
      </c>
      <c r="J1467" s="229"/>
      <c r="K1467" s="229"/>
      <c r="L1467" s="229">
        <f>SUM(ventas_b_mes11[[#This Row],[IMPORTE NETO]:[EXENTO]])</f>
        <v>5064</v>
      </c>
      <c r="M1467" s="55"/>
    </row>
    <row r="1468" spans="2:13" x14ac:dyDescent="0.3">
      <c r="B1468" s="223">
        <v>44837</v>
      </c>
      <c r="C1468" s="224">
        <v>6</v>
      </c>
      <c r="D1468" s="225">
        <v>11</v>
      </c>
      <c r="E1468" s="226">
        <v>29532</v>
      </c>
      <c r="F1468" s="227">
        <v>39783184</v>
      </c>
      <c r="G1468" s="1" t="s">
        <v>162</v>
      </c>
      <c r="H1468" s="60">
        <v>4958.68</v>
      </c>
      <c r="I1468" s="228">
        <v>1041.32</v>
      </c>
      <c r="J1468" s="229"/>
      <c r="K1468" s="229"/>
      <c r="L1468" s="229">
        <f>SUM(ventas_b_mes11[[#This Row],[IMPORTE NETO]:[EXENTO]])</f>
        <v>6000</v>
      </c>
      <c r="M1468" s="55"/>
    </row>
    <row r="1469" spans="2:13" x14ac:dyDescent="0.3">
      <c r="B1469" s="223">
        <v>44837</v>
      </c>
      <c r="C1469" s="224">
        <v>6</v>
      </c>
      <c r="D1469" s="225">
        <v>11</v>
      </c>
      <c r="E1469" s="226">
        <v>29533</v>
      </c>
      <c r="F1469" s="227">
        <v>96015159</v>
      </c>
      <c r="G1469" s="1" t="s">
        <v>191</v>
      </c>
      <c r="H1469" s="60">
        <v>859.5</v>
      </c>
      <c r="I1469" s="228">
        <v>180.5</v>
      </c>
      <c r="J1469" s="229"/>
      <c r="K1469" s="229"/>
      <c r="L1469" s="229">
        <f>SUM(ventas_b_mes11[[#This Row],[IMPORTE NETO]:[EXENTO]])</f>
        <v>1040</v>
      </c>
      <c r="M1469" s="55"/>
    </row>
    <row r="1470" spans="2:13" x14ac:dyDescent="0.3">
      <c r="B1470" s="223">
        <v>44837</v>
      </c>
      <c r="C1470" s="224">
        <v>6</v>
      </c>
      <c r="D1470" s="225">
        <v>11</v>
      </c>
      <c r="E1470" s="226">
        <v>29534</v>
      </c>
      <c r="F1470" s="227">
        <v>10478963</v>
      </c>
      <c r="G1470" s="1"/>
      <c r="H1470" s="60">
        <v>4280.99</v>
      </c>
      <c r="I1470" s="228">
        <v>899.01</v>
      </c>
      <c r="J1470" s="229"/>
      <c r="K1470" s="229"/>
      <c r="L1470" s="229">
        <f>SUM(ventas_b_mes11[[#This Row],[IMPORTE NETO]:[EXENTO]])</f>
        <v>5180</v>
      </c>
      <c r="M1470" s="55"/>
    </row>
    <row r="1471" spans="2:13" x14ac:dyDescent="0.3">
      <c r="B1471" s="223">
        <v>44837</v>
      </c>
      <c r="C1471" s="224">
        <v>6</v>
      </c>
      <c r="D1471" s="225">
        <v>11</v>
      </c>
      <c r="E1471" s="226">
        <v>29535</v>
      </c>
      <c r="F1471" s="227">
        <v>0</v>
      </c>
      <c r="G1471" s="1"/>
      <c r="H1471" s="60">
        <v>619.83000000000004</v>
      </c>
      <c r="I1471" s="228">
        <v>130.16999999999999</v>
      </c>
      <c r="J1471" s="229"/>
      <c r="K1471" s="229"/>
      <c r="L1471" s="229">
        <f>SUM(ventas_b_mes11[[#This Row],[IMPORTE NETO]:[EXENTO]])</f>
        <v>750</v>
      </c>
      <c r="M1471" s="55"/>
    </row>
    <row r="1472" spans="2:13" x14ac:dyDescent="0.3">
      <c r="B1472" s="223">
        <v>44837</v>
      </c>
      <c r="C1472" s="224">
        <v>6</v>
      </c>
      <c r="D1472" s="225">
        <v>11</v>
      </c>
      <c r="E1472" s="226">
        <v>29536</v>
      </c>
      <c r="F1472" s="227">
        <v>0</v>
      </c>
      <c r="G1472" s="1"/>
      <c r="H1472" s="60">
        <v>2214.88</v>
      </c>
      <c r="I1472" s="228">
        <v>465.13</v>
      </c>
      <c r="J1472" s="229"/>
      <c r="K1472" s="229"/>
      <c r="L1472" s="229">
        <f>SUM(ventas_b_mes11[[#This Row],[IMPORTE NETO]:[EXENTO]])</f>
        <v>2680.01</v>
      </c>
      <c r="M1472" s="55"/>
    </row>
    <row r="1473" spans="2:13" x14ac:dyDescent="0.3">
      <c r="B1473" s="223">
        <v>44837</v>
      </c>
      <c r="C1473" s="224">
        <v>6</v>
      </c>
      <c r="D1473" s="225">
        <v>11</v>
      </c>
      <c r="E1473" s="226">
        <v>29537</v>
      </c>
      <c r="F1473" s="227">
        <v>36401278</v>
      </c>
      <c r="G1473" s="1"/>
      <c r="H1473" s="60">
        <v>4958.68</v>
      </c>
      <c r="I1473" s="228">
        <v>1041.32</v>
      </c>
      <c r="J1473" s="229"/>
      <c r="K1473" s="229"/>
      <c r="L1473" s="229">
        <f>SUM(ventas_b_mes11[[#This Row],[IMPORTE NETO]:[EXENTO]])</f>
        <v>6000</v>
      </c>
      <c r="M1473" s="55"/>
    </row>
    <row r="1474" spans="2:13" x14ac:dyDescent="0.3">
      <c r="B1474" s="223">
        <v>44837</v>
      </c>
      <c r="C1474" s="224">
        <v>6</v>
      </c>
      <c r="D1474" s="225">
        <v>11</v>
      </c>
      <c r="E1474" s="226">
        <v>29538</v>
      </c>
      <c r="F1474" s="227">
        <v>94834002</v>
      </c>
      <c r="G1474" s="1" t="s">
        <v>198</v>
      </c>
      <c r="H1474" s="60">
        <v>4991.74</v>
      </c>
      <c r="I1474" s="228">
        <v>1048.26</v>
      </c>
      <c r="J1474" s="229"/>
      <c r="K1474" s="229"/>
      <c r="L1474" s="229">
        <f>SUM(ventas_b_mes11[[#This Row],[IMPORTE NETO]:[EXENTO]])</f>
        <v>6040</v>
      </c>
      <c r="M1474" s="55"/>
    </row>
    <row r="1475" spans="2:13" x14ac:dyDescent="0.3">
      <c r="B1475" s="223">
        <v>44837</v>
      </c>
      <c r="C1475" s="224">
        <v>6</v>
      </c>
      <c r="D1475" s="225">
        <v>11</v>
      </c>
      <c r="E1475" s="226">
        <v>29539</v>
      </c>
      <c r="F1475" s="227">
        <v>0</v>
      </c>
      <c r="G1475" s="1"/>
      <c r="H1475" s="60">
        <v>1322.31</v>
      </c>
      <c r="I1475" s="228">
        <v>277.69</v>
      </c>
      <c r="J1475" s="229"/>
      <c r="K1475" s="229"/>
      <c r="L1475" s="229">
        <f>SUM(ventas_b_mes11[[#This Row],[IMPORTE NETO]:[EXENTO]])</f>
        <v>1600</v>
      </c>
      <c r="M1475" s="55"/>
    </row>
    <row r="1476" spans="2:13" x14ac:dyDescent="0.3">
      <c r="B1476" s="223">
        <v>44837</v>
      </c>
      <c r="C1476" s="224">
        <v>6</v>
      </c>
      <c r="D1476" s="225">
        <v>11</v>
      </c>
      <c r="E1476" s="226">
        <v>29540</v>
      </c>
      <c r="F1476" s="227">
        <v>36401278</v>
      </c>
      <c r="G1476" s="1"/>
      <c r="H1476" s="60">
        <v>859.5</v>
      </c>
      <c r="I1476" s="228">
        <v>180.5</v>
      </c>
      <c r="J1476" s="229"/>
      <c r="K1476" s="229"/>
      <c r="L1476" s="229">
        <f>SUM(ventas_b_mes11[[#This Row],[IMPORTE NETO]:[EXENTO]])</f>
        <v>1040</v>
      </c>
      <c r="M1476" s="55"/>
    </row>
    <row r="1477" spans="2:13" x14ac:dyDescent="0.3">
      <c r="B1477" s="223">
        <v>44837</v>
      </c>
      <c r="C1477" s="224">
        <v>6</v>
      </c>
      <c r="D1477" s="225">
        <v>11</v>
      </c>
      <c r="E1477" s="226">
        <v>29541</v>
      </c>
      <c r="F1477" s="227">
        <v>25447953</v>
      </c>
      <c r="G1477" s="1" t="s">
        <v>175</v>
      </c>
      <c r="H1477" s="60">
        <v>84297.59</v>
      </c>
      <c r="I1477" s="228">
        <v>17702.490000000002</v>
      </c>
      <c r="J1477" s="229"/>
      <c r="K1477" s="229"/>
      <c r="L1477" s="229">
        <f>SUM(ventas_b_mes11[[#This Row],[IMPORTE NETO]:[EXENTO]])</f>
        <v>102000.08</v>
      </c>
      <c r="M1477" s="55"/>
    </row>
    <row r="1478" spans="2:13" x14ac:dyDescent="0.3">
      <c r="B1478" s="223">
        <v>44837</v>
      </c>
      <c r="C1478" s="224">
        <v>6</v>
      </c>
      <c r="D1478" s="225">
        <v>11</v>
      </c>
      <c r="E1478" s="226">
        <v>29542</v>
      </c>
      <c r="F1478" s="227">
        <v>25447953</v>
      </c>
      <c r="G1478" s="1" t="s">
        <v>175</v>
      </c>
      <c r="H1478" s="60">
        <v>4958.68</v>
      </c>
      <c r="I1478" s="228">
        <v>1041.32</v>
      </c>
      <c r="J1478" s="229"/>
      <c r="K1478" s="229"/>
      <c r="L1478" s="229">
        <f>SUM(ventas_b_mes11[[#This Row],[IMPORTE NETO]:[EXENTO]])</f>
        <v>6000</v>
      </c>
      <c r="M1478" s="55"/>
    </row>
    <row r="1479" spans="2:13" x14ac:dyDescent="0.3">
      <c r="B1479" s="223">
        <v>44837</v>
      </c>
      <c r="C1479" s="224">
        <v>6</v>
      </c>
      <c r="D1479" s="225">
        <v>11</v>
      </c>
      <c r="E1479" s="226">
        <v>29543</v>
      </c>
      <c r="F1479" s="227">
        <v>25447953</v>
      </c>
      <c r="G1479" s="1" t="s">
        <v>175</v>
      </c>
      <c r="H1479" s="60">
        <v>28016.53</v>
      </c>
      <c r="I1479" s="228">
        <v>5883.47</v>
      </c>
      <c r="J1479" s="229"/>
      <c r="K1479" s="229"/>
      <c r="L1479" s="229">
        <f>SUM(ventas_b_mes11[[#This Row],[IMPORTE NETO]:[EXENTO]])</f>
        <v>33900</v>
      </c>
      <c r="M1479" s="55"/>
    </row>
    <row r="1480" spans="2:13" x14ac:dyDescent="0.3">
      <c r="B1480" s="223">
        <v>44837</v>
      </c>
      <c r="C1480" s="224">
        <v>6</v>
      </c>
      <c r="D1480" s="225">
        <v>11</v>
      </c>
      <c r="E1480" s="226">
        <v>29544</v>
      </c>
      <c r="F1480" s="227">
        <v>12965965</v>
      </c>
      <c r="G1480" s="1" t="s">
        <v>186</v>
      </c>
      <c r="H1480" s="60">
        <v>7173.55</v>
      </c>
      <c r="I1480" s="228">
        <v>1506.45</v>
      </c>
      <c r="J1480" s="229"/>
      <c r="K1480" s="229"/>
      <c r="L1480" s="229">
        <f>SUM(ventas_b_mes11[[#This Row],[IMPORTE NETO]:[EXENTO]])</f>
        <v>8680</v>
      </c>
      <c r="M1480" s="55"/>
    </row>
    <row r="1481" spans="2:13" x14ac:dyDescent="0.3">
      <c r="B1481" s="223">
        <v>44837</v>
      </c>
      <c r="C1481" s="224">
        <v>6</v>
      </c>
      <c r="D1481" s="225">
        <v>11</v>
      </c>
      <c r="E1481" s="226">
        <v>29545</v>
      </c>
      <c r="F1481" s="227">
        <v>10620384</v>
      </c>
      <c r="G1481" s="1" t="s">
        <v>190</v>
      </c>
      <c r="H1481" s="60">
        <v>9371.9</v>
      </c>
      <c r="I1481" s="228">
        <v>1968.1</v>
      </c>
      <c r="J1481" s="229"/>
      <c r="K1481" s="229"/>
      <c r="L1481" s="229">
        <f>SUM(ventas_b_mes11[[#This Row],[IMPORTE NETO]:[EXENTO]])</f>
        <v>11340</v>
      </c>
      <c r="M1481" s="55"/>
    </row>
    <row r="1482" spans="2:13" x14ac:dyDescent="0.3">
      <c r="B1482" s="223">
        <v>44837</v>
      </c>
      <c r="C1482" s="224">
        <v>6</v>
      </c>
      <c r="D1482" s="225">
        <v>11</v>
      </c>
      <c r="E1482" s="226">
        <v>29546</v>
      </c>
      <c r="F1482" s="227">
        <v>31695044</v>
      </c>
      <c r="G1482" s="1" t="s">
        <v>169</v>
      </c>
      <c r="H1482" s="60">
        <v>4545.45</v>
      </c>
      <c r="I1482" s="228">
        <v>954.55</v>
      </c>
      <c r="J1482" s="229"/>
      <c r="K1482" s="229"/>
      <c r="L1482" s="229">
        <f>SUM(ventas_b_mes11[[#This Row],[IMPORTE NETO]:[EXENTO]])</f>
        <v>5500</v>
      </c>
      <c r="M1482" s="55"/>
    </row>
    <row r="1483" spans="2:13" x14ac:dyDescent="0.3">
      <c r="B1483" s="223">
        <v>44837</v>
      </c>
      <c r="C1483" s="224">
        <v>6</v>
      </c>
      <c r="D1483" s="225">
        <v>11</v>
      </c>
      <c r="E1483" s="226">
        <v>29547</v>
      </c>
      <c r="F1483" s="227">
        <v>31695044</v>
      </c>
      <c r="G1483" s="1" t="s">
        <v>169</v>
      </c>
      <c r="H1483" s="60">
        <v>1590.91</v>
      </c>
      <c r="I1483" s="228">
        <v>334.09</v>
      </c>
      <c r="J1483" s="229"/>
      <c r="K1483" s="229"/>
      <c r="L1483" s="229">
        <f>SUM(ventas_b_mes11[[#This Row],[IMPORTE NETO]:[EXENTO]])</f>
        <v>1925</v>
      </c>
      <c r="M1483" s="55"/>
    </row>
    <row r="1484" spans="2:13" x14ac:dyDescent="0.3">
      <c r="B1484" s="223">
        <v>44837</v>
      </c>
      <c r="C1484" s="224">
        <v>6</v>
      </c>
      <c r="D1484" s="225">
        <v>11</v>
      </c>
      <c r="E1484" s="226">
        <v>29548</v>
      </c>
      <c r="F1484" s="227">
        <v>0</v>
      </c>
      <c r="G1484" s="1"/>
      <c r="H1484" s="60">
        <v>1280.99</v>
      </c>
      <c r="I1484" s="228">
        <v>269.01</v>
      </c>
      <c r="J1484" s="229"/>
      <c r="K1484" s="229"/>
      <c r="L1484" s="229">
        <f>SUM(ventas_b_mes11[[#This Row],[IMPORTE NETO]:[EXENTO]])</f>
        <v>1550</v>
      </c>
      <c r="M1484" s="55"/>
    </row>
    <row r="1485" spans="2:13" x14ac:dyDescent="0.3">
      <c r="B1485" s="223">
        <v>44837</v>
      </c>
      <c r="C1485" s="224">
        <v>6</v>
      </c>
      <c r="D1485" s="225">
        <v>11</v>
      </c>
      <c r="E1485" s="226">
        <v>29549</v>
      </c>
      <c r="F1485" s="227">
        <v>8563214</v>
      </c>
      <c r="G1485" s="1"/>
      <c r="H1485" s="60">
        <v>3471.08</v>
      </c>
      <c r="I1485" s="228">
        <v>728.93</v>
      </c>
      <c r="J1485" s="229"/>
      <c r="K1485" s="229"/>
      <c r="L1485" s="229">
        <f>SUM(ventas_b_mes11[[#This Row],[IMPORTE NETO]:[EXENTO]])</f>
        <v>4200.01</v>
      </c>
      <c r="M1485" s="55"/>
    </row>
    <row r="1486" spans="2:13" x14ac:dyDescent="0.3">
      <c r="B1486" s="223">
        <v>44837</v>
      </c>
      <c r="C1486" s="224">
        <v>6</v>
      </c>
      <c r="D1486" s="225">
        <v>11</v>
      </c>
      <c r="E1486" s="226">
        <v>29550</v>
      </c>
      <c r="F1486" s="227">
        <v>20802193</v>
      </c>
      <c r="G1486" s="1" t="s">
        <v>184</v>
      </c>
      <c r="H1486" s="60">
        <v>3603.31</v>
      </c>
      <c r="I1486" s="228">
        <v>756.7</v>
      </c>
      <c r="J1486" s="229"/>
      <c r="K1486" s="229"/>
      <c r="L1486" s="229">
        <f>SUM(ventas_b_mes11[[#This Row],[IMPORTE NETO]:[EXENTO]])</f>
        <v>4360.01</v>
      </c>
      <c r="M1486" s="55"/>
    </row>
    <row r="1487" spans="2:13" x14ac:dyDescent="0.3">
      <c r="B1487" s="223">
        <v>44837</v>
      </c>
      <c r="C1487" s="224">
        <v>6</v>
      </c>
      <c r="D1487" s="225">
        <v>11</v>
      </c>
      <c r="E1487" s="226">
        <v>29551</v>
      </c>
      <c r="F1487" s="227">
        <v>6436196</v>
      </c>
      <c r="G1487" s="1" t="s">
        <v>157</v>
      </c>
      <c r="H1487" s="60">
        <v>2644.63</v>
      </c>
      <c r="I1487" s="228">
        <v>555.37</v>
      </c>
      <c r="J1487" s="229"/>
      <c r="K1487" s="229"/>
      <c r="L1487" s="229">
        <f>SUM(ventas_b_mes11[[#This Row],[IMPORTE NETO]:[EXENTO]])</f>
        <v>3200</v>
      </c>
      <c r="M1487" s="55"/>
    </row>
    <row r="1488" spans="2:13" x14ac:dyDescent="0.3">
      <c r="B1488" s="223">
        <v>44838</v>
      </c>
      <c r="C1488" s="224">
        <v>6</v>
      </c>
      <c r="D1488" s="225">
        <v>11</v>
      </c>
      <c r="E1488" s="226">
        <v>29552</v>
      </c>
      <c r="F1488" s="227">
        <v>24560874</v>
      </c>
      <c r="G1488" s="1" t="s">
        <v>249</v>
      </c>
      <c r="H1488" s="60">
        <v>4099.17</v>
      </c>
      <c r="I1488" s="228">
        <v>860.83</v>
      </c>
      <c r="J1488" s="229"/>
      <c r="K1488" s="229"/>
      <c r="L1488" s="229">
        <f>SUM(ventas_b_mes11[[#This Row],[IMPORTE NETO]:[EXENTO]])</f>
        <v>4960</v>
      </c>
      <c r="M1488" s="55"/>
    </row>
    <row r="1489" spans="2:13" x14ac:dyDescent="0.3">
      <c r="B1489" s="223">
        <v>44838</v>
      </c>
      <c r="C1489" s="224">
        <v>6</v>
      </c>
      <c r="D1489" s="225">
        <v>11</v>
      </c>
      <c r="E1489" s="226">
        <v>29553</v>
      </c>
      <c r="F1489" s="227">
        <v>20576063</v>
      </c>
      <c r="G1489" s="1" t="s">
        <v>201</v>
      </c>
      <c r="H1489" s="60">
        <v>11867.77</v>
      </c>
      <c r="I1489" s="228">
        <v>2492.23</v>
      </c>
      <c r="J1489" s="229"/>
      <c r="K1489" s="229"/>
      <c r="L1489" s="229">
        <f>SUM(ventas_b_mes11[[#This Row],[IMPORTE NETO]:[EXENTO]])</f>
        <v>14360</v>
      </c>
      <c r="M1489" s="55"/>
    </row>
    <row r="1490" spans="2:13" x14ac:dyDescent="0.3">
      <c r="B1490" s="223">
        <v>44838</v>
      </c>
      <c r="C1490" s="224">
        <v>6</v>
      </c>
      <c r="D1490" s="225">
        <v>11</v>
      </c>
      <c r="E1490" s="226">
        <v>29554</v>
      </c>
      <c r="F1490" s="227">
        <v>33587963</v>
      </c>
      <c r="G1490" s="1"/>
      <c r="H1490" s="60">
        <v>3756.2</v>
      </c>
      <c r="I1490" s="228">
        <v>788.8</v>
      </c>
      <c r="J1490" s="229"/>
      <c r="K1490" s="229"/>
      <c r="L1490" s="229">
        <f>SUM(ventas_b_mes11[[#This Row],[IMPORTE NETO]:[EXENTO]])</f>
        <v>4545</v>
      </c>
      <c r="M1490" s="55"/>
    </row>
    <row r="1491" spans="2:13" x14ac:dyDescent="0.3">
      <c r="B1491" s="223">
        <v>44838</v>
      </c>
      <c r="C1491" s="224">
        <v>6</v>
      </c>
      <c r="D1491" s="225">
        <v>11</v>
      </c>
      <c r="E1491" s="226">
        <v>29555</v>
      </c>
      <c r="F1491" s="227">
        <v>21476196</v>
      </c>
      <c r="G1491" s="1" t="s">
        <v>233</v>
      </c>
      <c r="H1491" s="60">
        <v>2066.12</v>
      </c>
      <c r="I1491" s="228">
        <v>433.88</v>
      </c>
      <c r="J1491" s="229"/>
      <c r="K1491" s="229"/>
      <c r="L1491" s="229">
        <f>SUM(ventas_b_mes11[[#This Row],[IMPORTE NETO]:[EXENTO]])</f>
        <v>2500</v>
      </c>
      <c r="M1491" s="55"/>
    </row>
    <row r="1492" spans="2:13" x14ac:dyDescent="0.3">
      <c r="B1492" s="223">
        <v>44838</v>
      </c>
      <c r="C1492" s="224">
        <v>6</v>
      </c>
      <c r="D1492" s="225">
        <v>11</v>
      </c>
      <c r="E1492" s="226">
        <v>29556</v>
      </c>
      <c r="F1492" s="227">
        <v>0</v>
      </c>
      <c r="G1492" s="1"/>
      <c r="H1492" s="60">
        <v>3016.53</v>
      </c>
      <c r="I1492" s="228">
        <v>633.47</v>
      </c>
      <c r="J1492" s="229"/>
      <c r="K1492" s="229"/>
      <c r="L1492" s="229">
        <f>SUM(ventas_b_mes11[[#This Row],[IMPORTE NETO]:[EXENTO]])</f>
        <v>3650</v>
      </c>
      <c r="M1492" s="55"/>
    </row>
    <row r="1493" spans="2:13" x14ac:dyDescent="0.3">
      <c r="B1493" s="223">
        <v>44838</v>
      </c>
      <c r="C1493" s="224">
        <v>6</v>
      </c>
      <c r="D1493" s="225">
        <v>11</v>
      </c>
      <c r="E1493" s="226">
        <v>29557</v>
      </c>
      <c r="F1493" s="227">
        <v>28479632</v>
      </c>
      <c r="G1493" s="1"/>
      <c r="H1493" s="60">
        <v>5619.83</v>
      </c>
      <c r="I1493" s="228">
        <v>1180.17</v>
      </c>
      <c r="J1493" s="229"/>
      <c r="K1493" s="229"/>
      <c r="L1493" s="229">
        <f>SUM(ventas_b_mes11[[#This Row],[IMPORTE NETO]:[EXENTO]])</f>
        <v>6800</v>
      </c>
      <c r="M1493" s="55"/>
    </row>
    <row r="1494" spans="2:13" x14ac:dyDescent="0.3">
      <c r="B1494" s="223">
        <v>44838</v>
      </c>
      <c r="C1494" s="224">
        <v>6</v>
      </c>
      <c r="D1494" s="225">
        <v>11</v>
      </c>
      <c r="E1494" s="226">
        <v>29558</v>
      </c>
      <c r="F1494" s="227">
        <v>22709320</v>
      </c>
      <c r="G1494" s="1" t="s">
        <v>199</v>
      </c>
      <c r="H1494" s="60">
        <v>4917.3500000000004</v>
      </c>
      <c r="I1494" s="228">
        <v>1032.6400000000001</v>
      </c>
      <c r="J1494" s="229"/>
      <c r="K1494" s="229"/>
      <c r="L1494" s="229">
        <f>SUM(ventas_b_mes11[[#This Row],[IMPORTE NETO]:[EXENTO]])</f>
        <v>5949.9900000000007</v>
      </c>
      <c r="M1494" s="55"/>
    </row>
    <row r="1495" spans="2:13" x14ac:dyDescent="0.3">
      <c r="B1495" s="223">
        <v>44838</v>
      </c>
      <c r="C1495" s="224">
        <v>6</v>
      </c>
      <c r="D1495" s="225">
        <v>11</v>
      </c>
      <c r="E1495" s="226">
        <v>29559</v>
      </c>
      <c r="F1495" s="227">
        <v>22709320</v>
      </c>
      <c r="G1495" s="1" t="s">
        <v>199</v>
      </c>
      <c r="H1495" s="60">
        <v>834.71</v>
      </c>
      <c r="I1495" s="228">
        <v>175.29</v>
      </c>
      <c r="J1495" s="229"/>
      <c r="K1495" s="229"/>
      <c r="L1495" s="229">
        <f>SUM(ventas_b_mes11[[#This Row],[IMPORTE NETO]:[EXENTO]])</f>
        <v>1010</v>
      </c>
      <c r="M1495" s="55"/>
    </row>
    <row r="1496" spans="2:13" x14ac:dyDescent="0.3">
      <c r="B1496" s="223">
        <v>44838</v>
      </c>
      <c r="C1496" s="224">
        <v>6</v>
      </c>
      <c r="D1496" s="225">
        <v>11</v>
      </c>
      <c r="E1496" s="226">
        <v>29560</v>
      </c>
      <c r="F1496" s="227">
        <v>9547632</v>
      </c>
      <c r="G1496" s="1"/>
      <c r="H1496" s="60">
        <v>4938.0200000000004</v>
      </c>
      <c r="I1496" s="228">
        <v>1036.98</v>
      </c>
      <c r="J1496" s="229"/>
      <c r="K1496" s="229"/>
      <c r="L1496" s="229">
        <f>SUM(ventas_b_mes11[[#This Row],[IMPORTE NETO]:[EXENTO]])</f>
        <v>5975</v>
      </c>
      <c r="M1496" s="55"/>
    </row>
    <row r="1497" spans="2:13" x14ac:dyDescent="0.3">
      <c r="B1497" s="223">
        <v>44838</v>
      </c>
      <c r="C1497" s="224">
        <v>6</v>
      </c>
      <c r="D1497" s="225">
        <v>11</v>
      </c>
      <c r="E1497" s="226">
        <v>29561</v>
      </c>
      <c r="F1497" s="227">
        <v>14543910</v>
      </c>
      <c r="G1497" s="1" t="s">
        <v>202</v>
      </c>
      <c r="H1497" s="60">
        <v>2115.6999999999998</v>
      </c>
      <c r="I1497" s="228">
        <v>444.3</v>
      </c>
      <c r="J1497" s="229"/>
      <c r="K1497" s="229"/>
      <c r="L1497" s="229">
        <f>SUM(ventas_b_mes11[[#This Row],[IMPORTE NETO]:[EXENTO]])</f>
        <v>2560</v>
      </c>
      <c r="M1497" s="55"/>
    </row>
    <row r="1498" spans="2:13" x14ac:dyDescent="0.3">
      <c r="B1498" s="223">
        <v>44838</v>
      </c>
      <c r="C1498" s="224">
        <v>6</v>
      </c>
      <c r="D1498" s="225">
        <v>11</v>
      </c>
      <c r="E1498" s="226">
        <v>29562</v>
      </c>
      <c r="F1498" s="227">
        <v>14543910</v>
      </c>
      <c r="G1498" s="1" t="s">
        <v>202</v>
      </c>
      <c r="H1498" s="60">
        <v>2561.98</v>
      </c>
      <c r="I1498" s="228">
        <v>538.02</v>
      </c>
      <c r="J1498" s="229"/>
      <c r="K1498" s="229"/>
      <c r="L1498" s="229">
        <f>SUM(ventas_b_mes11[[#This Row],[IMPORTE NETO]:[EXENTO]])</f>
        <v>3100</v>
      </c>
      <c r="M1498" s="55"/>
    </row>
    <row r="1499" spans="2:13" x14ac:dyDescent="0.3">
      <c r="B1499" s="223">
        <v>44838</v>
      </c>
      <c r="C1499" s="224">
        <v>6</v>
      </c>
      <c r="D1499" s="225">
        <v>11</v>
      </c>
      <c r="E1499" s="226">
        <v>29563</v>
      </c>
      <c r="F1499" s="227">
        <v>0</v>
      </c>
      <c r="G1499" s="1"/>
      <c r="H1499" s="60">
        <v>2727.27</v>
      </c>
      <c r="I1499" s="228">
        <v>572.73</v>
      </c>
      <c r="J1499" s="229"/>
      <c r="K1499" s="229"/>
      <c r="L1499" s="229">
        <f>SUM(ventas_b_mes11[[#This Row],[IMPORTE NETO]:[EXENTO]])</f>
        <v>3300</v>
      </c>
      <c r="M1499" s="55"/>
    </row>
    <row r="1500" spans="2:13" x14ac:dyDescent="0.3">
      <c r="B1500" s="223">
        <v>44838</v>
      </c>
      <c r="C1500" s="224">
        <v>6</v>
      </c>
      <c r="D1500" s="225">
        <v>11</v>
      </c>
      <c r="E1500" s="226">
        <v>29564</v>
      </c>
      <c r="F1500" s="227">
        <v>12027850</v>
      </c>
      <c r="G1500" s="1" t="s">
        <v>252</v>
      </c>
      <c r="H1500" s="60">
        <v>9388.43</v>
      </c>
      <c r="I1500" s="228">
        <v>1971.57</v>
      </c>
      <c r="J1500" s="229"/>
      <c r="K1500" s="229"/>
      <c r="L1500" s="229">
        <f>SUM(ventas_b_mes11[[#This Row],[IMPORTE NETO]:[EXENTO]])</f>
        <v>11360</v>
      </c>
      <c r="M1500" s="55"/>
    </row>
    <row r="1501" spans="2:13" x14ac:dyDescent="0.3">
      <c r="B1501" s="223">
        <v>44838</v>
      </c>
      <c r="C1501" s="224">
        <v>6</v>
      </c>
      <c r="D1501" s="225">
        <v>11</v>
      </c>
      <c r="E1501" s="226">
        <v>29565</v>
      </c>
      <c r="F1501" s="227">
        <v>30874963</v>
      </c>
      <c r="G1501" s="1" t="s">
        <v>251</v>
      </c>
      <c r="H1501" s="60">
        <v>20454.55</v>
      </c>
      <c r="I1501" s="228">
        <v>4295.45</v>
      </c>
      <c r="J1501" s="229"/>
      <c r="K1501" s="229"/>
      <c r="L1501" s="229">
        <f>SUM(ventas_b_mes11[[#This Row],[IMPORTE NETO]:[EXENTO]])</f>
        <v>24750</v>
      </c>
      <c r="M1501" s="55"/>
    </row>
    <row r="1502" spans="2:13" x14ac:dyDescent="0.3">
      <c r="B1502" s="223">
        <v>44838</v>
      </c>
      <c r="C1502" s="224">
        <v>6</v>
      </c>
      <c r="D1502" s="225">
        <v>11</v>
      </c>
      <c r="E1502" s="226">
        <v>29566</v>
      </c>
      <c r="F1502" s="227">
        <v>20673014</v>
      </c>
      <c r="G1502" s="1" t="s">
        <v>204</v>
      </c>
      <c r="H1502" s="60">
        <v>19052.89</v>
      </c>
      <c r="I1502" s="228">
        <v>4001.11</v>
      </c>
      <c r="J1502" s="229"/>
      <c r="K1502" s="229"/>
      <c r="L1502" s="229">
        <f>SUM(ventas_b_mes11[[#This Row],[IMPORTE NETO]:[EXENTO]])</f>
        <v>23054</v>
      </c>
      <c r="M1502" s="55"/>
    </row>
    <row r="1503" spans="2:13" x14ac:dyDescent="0.3">
      <c r="B1503" s="223">
        <v>44838</v>
      </c>
      <c r="C1503" s="224">
        <v>6</v>
      </c>
      <c r="D1503" s="225">
        <v>11</v>
      </c>
      <c r="E1503" s="226">
        <v>29567</v>
      </c>
      <c r="F1503" s="227">
        <v>6436196</v>
      </c>
      <c r="G1503" s="1" t="s">
        <v>157</v>
      </c>
      <c r="H1503" s="60">
        <v>6074.38</v>
      </c>
      <c r="I1503" s="228">
        <v>1275.6199999999999</v>
      </c>
      <c r="J1503" s="229"/>
      <c r="K1503" s="229"/>
      <c r="L1503" s="229">
        <f>SUM(ventas_b_mes11[[#This Row],[IMPORTE NETO]:[EXENTO]])</f>
        <v>7350</v>
      </c>
      <c r="M1503" s="55"/>
    </row>
    <row r="1504" spans="2:13" x14ac:dyDescent="0.3">
      <c r="B1504" s="223">
        <v>44838</v>
      </c>
      <c r="C1504" s="224">
        <v>6</v>
      </c>
      <c r="D1504" s="225">
        <v>11</v>
      </c>
      <c r="E1504" s="226">
        <v>29568</v>
      </c>
      <c r="F1504" s="227">
        <v>11267711</v>
      </c>
      <c r="G1504" s="1" t="s">
        <v>218</v>
      </c>
      <c r="H1504" s="60">
        <v>4876.03</v>
      </c>
      <c r="I1504" s="228">
        <v>1023.97</v>
      </c>
      <c r="J1504" s="229"/>
      <c r="K1504" s="229"/>
      <c r="L1504" s="229">
        <f>SUM(ventas_b_mes11[[#This Row],[IMPORTE NETO]:[EXENTO]])</f>
        <v>5900</v>
      </c>
      <c r="M1504" s="55"/>
    </row>
    <row r="1505" spans="2:13" x14ac:dyDescent="0.3">
      <c r="B1505" s="223">
        <v>44838</v>
      </c>
      <c r="C1505" s="224">
        <v>6</v>
      </c>
      <c r="D1505" s="225">
        <v>11</v>
      </c>
      <c r="E1505" s="226">
        <v>29569</v>
      </c>
      <c r="F1505" s="227">
        <v>30083634</v>
      </c>
      <c r="G1505" s="1" t="s">
        <v>222</v>
      </c>
      <c r="H1505" s="60">
        <v>4548.76</v>
      </c>
      <c r="I1505" s="228">
        <v>955.24</v>
      </c>
      <c r="J1505" s="229"/>
      <c r="K1505" s="229"/>
      <c r="L1505" s="229">
        <f>SUM(ventas_b_mes11[[#This Row],[IMPORTE NETO]:[EXENTO]])</f>
        <v>5504</v>
      </c>
      <c r="M1505" s="55"/>
    </row>
    <row r="1506" spans="2:13" x14ac:dyDescent="0.3">
      <c r="B1506" s="223">
        <v>44838</v>
      </c>
      <c r="C1506" s="224">
        <v>6</v>
      </c>
      <c r="D1506" s="225">
        <v>11</v>
      </c>
      <c r="E1506" s="226">
        <v>29570</v>
      </c>
      <c r="F1506" s="227">
        <v>20569369</v>
      </c>
      <c r="G1506" s="1" t="s">
        <v>247</v>
      </c>
      <c r="H1506" s="60">
        <v>2066.12</v>
      </c>
      <c r="I1506" s="228">
        <v>433.88</v>
      </c>
      <c r="J1506" s="229"/>
      <c r="K1506" s="229"/>
      <c r="L1506" s="229">
        <f>SUM(ventas_b_mes11[[#This Row],[IMPORTE NETO]:[EXENTO]])</f>
        <v>2500</v>
      </c>
      <c r="M1506" s="55"/>
    </row>
    <row r="1507" spans="2:13" x14ac:dyDescent="0.3">
      <c r="B1507" s="223">
        <v>44838</v>
      </c>
      <c r="C1507" s="224">
        <v>6</v>
      </c>
      <c r="D1507" s="225">
        <v>11</v>
      </c>
      <c r="E1507" s="226">
        <v>29571</v>
      </c>
      <c r="F1507" s="227">
        <v>28147987</v>
      </c>
      <c r="G1507" s="1" t="s">
        <v>217</v>
      </c>
      <c r="H1507" s="60">
        <v>7789.26</v>
      </c>
      <c r="I1507" s="228">
        <v>1635.75</v>
      </c>
      <c r="J1507" s="229"/>
      <c r="K1507" s="229"/>
      <c r="L1507" s="229">
        <f>SUM(ventas_b_mes11[[#This Row],[IMPORTE NETO]:[EXENTO]])</f>
        <v>9425.01</v>
      </c>
      <c r="M1507" s="55"/>
    </row>
    <row r="1508" spans="2:13" x14ac:dyDescent="0.3">
      <c r="B1508" s="223">
        <v>44838</v>
      </c>
      <c r="C1508" s="224">
        <v>6</v>
      </c>
      <c r="D1508" s="225">
        <v>11</v>
      </c>
      <c r="E1508" s="226">
        <v>29572</v>
      </c>
      <c r="F1508" s="227">
        <v>28147987</v>
      </c>
      <c r="G1508" s="1" t="s">
        <v>217</v>
      </c>
      <c r="H1508" s="60">
        <v>11801.67</v>
      </c>
      <c r="I1508" s="228">
        <v>2478.35</v>
      </c>
      <c r="J1508" s="229"/>
      <c r="K1508" s="229"/>
      <c r="L1508" s="229">
        <f>SUM(ventas_b_mes11[[#This Row],[IMPORTE NETO]:[EXENTO]])</f>
        <v>14280.02</v>
      </c>
      <c r="M1508" s="55"/>
    </row>
    <row r="1509" spans="2:13" x14ac:dyDescent="0.3">
      <c r="B1509" s="223">
        <v>44838</v>
      </c>
      <c r="C1509" s="224">
        <v>6</v>
      </c>
      <c r="D1509" s="225">
        <v>11</v>
      </c>
      <c r="E1509" s="226">
        <v>29573</v>
      </c>
      <c r="F1509" s="227">
        <v>28147987</v>
      </c>
      <c r="G1509" s="1" t="s">
        <v>217</v>
      </c>
      <c r="H1509" s="60">
        <v>3636.36</v>
      </c>
      <c r="I1509" s="228">
        <v>763.64</v>
      </c>
      <c r="J1509" s="229"/>
      <c r="K1509" s="229"/>
      <c r="L1509" s="229">
        <f>SUM(ventas_b_mes11[[#This Row],[IMPORTE NETO]:[EXENTO]])</f>
        <v>4400</v>
      </c>
      <c r="M1509" s="55"/>
    </row>
    <row r="1510" spans="2:13" x14ac:dyDescent="0.3">
      <c r="B1510" s="223">
        <v>44838</v>
      </c>
      <c r="C1510" s="224">
        <v>6</v>
      </c>
      <c r="D1510" s="225">
        <v>11</v>
      </c>
      <c r="E1510" s="226">
        <v>29574</v>
      </c>
      <c r="F1510" s="227">
        <v>13991629</v>
      </c>
      <c r="G1510" s="1" t="s">
        <v>227</v>
      </c>
      <c r="H1510" s="60">
        <v>4694.21</v>
      </c>
      <c r="I1510" s="228">
        <v>985.79</v>
      </c>
      <c r="J1510" s="229"/>
      <c r="K1510" s="229"/>
      <c r="L1510" s="229">
        <f>SUM(ventas_b_mes11[[#This Row],[IMPORTE NETO]:[EXENTO]])</f>
        <v>5680</v>
      </c>
      <c r="M1510" s="55"/>
    </row>
    <row r="1511" spans="2:13" x14ac:dyDescent="0.3">
      <c r="B1511" s="223">
        <v>44838</v>
      </c>
      <c r="C1511" s="224">
        <v>6</v>
      </c>
      <c r="D1511" s="225">
        <v>11</v>
      </c>
      <c r="E1511" s="226">
        <v>29575</v>
      </c>
      <c r="F1511" s="227">
        <v>6436196</v>
      </c>
      <c r="G1511" s="1" t="s">
        <v>157</v>
      </c>
      <c r="H1511" s="60">
        <v>1363.64</v>
      </c>
      <c r="I1511" s="228">
        <v>286.36</v>
      </c>
      <c r="J1511" s="229"/>
      <c r="K1511" s="229"/>
      <c r="L1511" s="229">
        <f>SUM(ventas_b_mes11[[#This Row],[IMPORTE NETO]:[EXENTO]])</f>
        <v>1650</v>
      </c>
      <c r="M1511" s="55"/>
    </row>
    <row r="1512" spans="2:13" x14ac:dyDescent="0.3">
      <c r="B1512" s="223">
        <v>44838</v>
      </c>
      <c r="C1512" s="224">
        <v>6</v>
      </c>
      <c r="D1512" s="225">
        <v>11</v>
      </c>
      <c r="E1512" s="226">
        <v>29576</v>
      </c>
      <c r="F1512" s="227">
        <v>11384123</v>
      </c>
      <c r="G1512" s="1" t="s">
        <v>210</v>
      </c>
      <c r="H1512" s="60">
        <v>4214.88</v>
      </c>
      <c r="I1512" s="228">
        <v>885.12</v>
      </c>
      <c r="J1512" s="229"/>
      <c r="K1512" s="229"/>
      <c r="L1512" s="229">
        <f>SUM(ventas_b_mes11[[#This Row],[IMPORTE NETO]:[EXENTO]])</f>
        <v>5100</v>
      </c>
      <c r="M1512" s="55"/>
    </row>
    <row r="1513" spans="2:13" x14ac:dyDescent="0.3">
      <c r="B1513" s="223">
        <v>44838</v>
      </c>
      <c r="C1513" s="224">
        <v>6</v>
      </c>
      <c r="D1513" s="225">
        <v>11</v>
      </c>
      <c r="E1513" s="226">
        <v>29577</v>
      </c>
      <c r="F1513" s="227">
        <v>28378051</v>
      </c>
      <c r="G1513" s="1" t="s">
        <v>262</v>
      </c>
      <c r="H1513" s="60">
        <v>9173.5499999999993</v>
      </c>
      <c r="I1513" s="228">
        <v>1926.45</v>
      </c>
      <c r="J1513" s="229"/>
      <c r="K1513" s="229"/>
      <c r="L1513" s="229">
        <f>SUM(ventas_b_mes11[[#This Row],[IMPORTE NETO]:[EXENTO]])</f>
        <v>11100</v>
      </c>
      <c r="M1513" s="55"/>
    </row>
    <row r="1514" spans="2:13" x14ac:dyDescent="0.3">
      <c r="B1514" s="223">
        <v>44839</v>
      </c>
      <c r="C1514" s="224">
        <v>6</v>
      </c>
      <c r="D1514" s="225">
        <v>11</v>
      </c>
      <c r="E1514" s="226">
        <v>29578</v>
      </c>
      <c r="F1514" s="227">
        <v>31431284</v>
      </c>
      <c r="G1514" s="1" t="s">
        <v>297</v>
      </c>
      <c r="H1514" s="60">
        <v>3969.01</v>
      </c>
      <c r="I1514" s="228">
        <v>833.49</v>
      </c>
      <c r="J1514" s="229"/>
      <c r="K1514" s="229"/>
      <c r="L1514" s="229">
        <f>SUM(ventas_b_mes11[[#This Row],[IMPORTE NETO]:[EXENTO]])</f>
        <v>4802.5</v>
      </c>
      <c r="M1514" s="55"/>
    </row>
    <row r="1515" spans="2:13" x14ac:dyDescent="0.3">
      <c r="B1515" s="223">
        <v>44839</v>
      </c>
      <c r="C1515" s="224">
        <v>6</v>
      </c>
      <c r="D1515" s="225">
        <v>11</v>
      </c>
      <c r="E1515" s="226">
        <v>29579</v>
      </c>
      <c r="F1515" s="227">
        <v>95450594</v>
      </c>
      <c r="G1515" s="1" t="s">
        <v>293</v>
      </c>
      <c r="H1515" s="60">
        <v>991.74</v>
      </c>
      <c r="I1515" s="228">
        <v>208.26</v>
      </c>
      <c r="J1515" s="229"/>
      <c r="K1515" s="229"/>
      <c r="L1515" s="229">
        <f>SUM(ventas_b_mes11[[#This Row],[IMPORTE NETO]:[EXENTO]])</f>
        <v>1200</v>
      </c>
      <c r="M1515" s="55"/>
    </row>
    <row r="1516" spans="2:13" x14ac:dyDescent="0.3">
      <c r="B1516" s="223">
        <v>44839</v>
      </c>
      <c r="C1516" s="224">
        <v>6</v>
      </c>
      <c r="D1516" s="225">
        <v>11</v>
      </c>
      <c r="E1516" s="226">
        <v>29580</v>
      </c>
      <c r="F1516" s="227">
        <v>95450594</v>
      </c>
      <c r="G1516" s="1" t="s">
        <v>293</v>
      </c>
      <c r="H1516" s="60">
        <v>4958.68</v>
      </c>
      <c r="I1516" s="228">
        <v>1041.32</v>
      </c>
      <c r="J1516" s="229"/>
      <c r="K1516" s="229"/>
      <c r="L1516" s="229">
        <f>SUM(ventas_b_mes11[[#This Row],[IMPORTE NETO]:[EXENTO]])</f>
        <v>6000</v>
      </c>
      <c r="M1516" s="55"/>
    </row>
    <row r="1517" spans="2:13" x14ac:dyDescent="0.3">
      <c r="B1517" s="223">
        <v>44839</v>
      </c>
      <c r="C1517" s="224">
        <v>6</v>
      </c>
      <c r="D1517" s="225">
        <v>11</v>
      </c>
      <c r="E1517" s="226">
        <v>29581</v>
      </c>
      <c r="F1517" s="227">
        <v>34513098</v>
      </c>
      <c r="G1517" s="1" t="s">
        <v>277</v>
      </c>
      <c r="H1517" s="60">
        <v>4958.68</v>
      </c>
      <c r="I1517" s="228">
        <v>1041.32</v>
      </c>
      <c r="J1517" s="229"/>
      <c r="K1517" s="229"/>
      <c r="L1517" s="229">
        <f>SUM(ventas_b_mes11[[#This Row],[IMPORTE NETO]:[EXENTO]])</f>
        <v>6000</v>
      </c>
      <c r="M1517" s="55"/>
    </row>
    <row r="1518" spans="2:13" x14ac:dyDescent="0.3">
      <c r="B1518" s="223">
        <v>44839</v>
      </c>
      <c r="C1518" s="224">
        <v>6</v>
      </c>
      <c r="D1518" s="225">
        <v>11</v>
      </c>
      <c r="E1518" s="226">
        <v>29582</v>
      </c>
      <c r="F1518" s="227">
        <v>14952566</v>
      </c>
      <c r="G1518" s="1" t="s">
        <v>309</v>
      </c>
      <c r="H1518" s="60">
        <v>4859.5</v>
      </c>
      <c r="I1518" s="228">
        <v>1020.5</v>
      </c>
      <c r="J1518" s="229"/>
      <c r="K1518" s="229"/>
      <c r="L1518" s="229">
        <f>SUM(ventas_b_mes11[[#This Row],[IMPORTE NETO]:[EXENTO]])</f>
        <v>5880</v>
      </c>
      <c r="M1518" s="55"/>
    </row>
    <row r="1519" spans="2:13" x14ac:dyDescent="0.3">
      <c r="B1519" s="223">
        <v>44839</v>
      </c>
      <c r="C1519" s="224">
        <v>6</v>
      </c>
      <c r="D1519" s="225">
        <v>11</v>
      </c>
      <c r="E1519" s="226">
        <v>29583</v>
      </c>
      <c r="F1519" s="227">
        <v>34513098</v>
      </c>
      <c r="G1519" s="1" t="s">
        <v>277</v>
      </c>
      <c r="H1519" s="60">
        <v>3424.79</v>
      </c>
      <c r="I1519" s="228">
        <v>719.21</v>
      </c>
      <c r="J1519" s="229"/>
      <c r="K1519" s="229"/>
      <c r="L1519" s="229">
        <f>SUM(ventas_b_mes11[[#This Row],[IMPORTE NETO]:[EXENTO]])</f>
        <v>4144</v>
      </c>
      <c r="M1519" s="55"/>
    </row>
    <row r="1520" spans="2:13" x14ac:dyDescent="0.3">
      <c r="B1520" s="223">
        <v>44839</v>
      </c>
      <c r="C1520" s="224">
        <v>6</v>
      </c>
      <c r="D1520" s="225">
        <v>11</v>
      </c>
      <c r="E1520" s="226">
        <v>29584</v>
      </c>
      <c r="F1520" s="227">
        <v>46074487</v>
      </c>
      <c r="G1520" s="1" t="s">
        <v>305</v>
      </c>
      <c r="H1520" s="60">
        <v>3126.03</v>
      </c>
      <c r="I1520" s="228">
        <v>656.47</v>
      </c>
      <c r="J1520" s="229"/>
      <c r="K1520" s="229"/>
      <c r="L1520" s="229">
        <f>SUM(ventas_b_mes11[[#This Row],[IMPORTE NETO]:[EXENTO]])</f>
        <v>3782.5</v>
      </c>
      <c r="M1520" s="55"/>
    </row>
    <row r="1521" spans="2:13" x14ac:dyDescent="0.3">
      <c r="B1521" s="223">
        <v>44839</v>
      </c>
      <c r="C1521" s="224">
        <v>6</v>
      </c>
      <c r="D1521" s="225">
        <v>11</v>
      </c>
      <c r="E1521" s="226">
        <v>29585</v>
      </c>
      <c r="F1521" s="227">
        <v>10969522</v>
      </c>
      <c r="G1521" s="1" t="s">
        <v>128</v>
      </c>
      <c r="H1521" s="60">
        <v>5909.09</v>
      </c>
      <c r="I1521" s="228">
        <v>1240.9100000000001</v>
      </c>
      <c r="J1521" s="229"/>
      <c r="K1521" s="229"/>
      <c r="L1521" s="229">
        <f>SUM(ventas_b_mes11[[#This Row],[IMPORTE NETO]:[EXENTO]])</f>
        <v>7150</v>
      </c>
      <c r="M1521" s="55"/>
    </row>
    <row r="1522" spans="2:13" x14ac:dyDescent="0.3">
      <c r="B1522" s="223">
        <v>44839</v>
      </c>
      <c r="C1522" s="224">
        <v>6</v>
      </c>
      <c r="D1522" s="225">
        <v>11</v>
      </c>
      <c r="E1522" s="226">
        <v>29586</v>
      </c>
      <c r="F1522" s="227">
        <v>33560878</v>
      </c>
      <c r="G1522" s="1" t="s">
        <v>315</v>
      </c>
      <c r="H1522" s="60">
        <v>9090.91</v>
      </c>
      <c r="I1522" s="228">
        <v>1909.09</v>
      </c>
      <c r="J1522" s="229"/>
      <c r="K1522" s="229"/>
      <c r="L1522" s="229">
        <f>SUM(ventas_b_mes11[[#This Row],[IMPORTE NETO]:[EXENTO]])</f>
        <v>11000</v>
      </c>
      <c r="M1522" s="55"/>
    </row>
    <row r="1523" spans="2:13" x14ac:dyDescent="0.3">
      <c r="B1523" s="223">
        <v>44839</v>
      </c>
      <c r="C1523" s="224">
        <v>6</v>
      </c>
      <c r="D1523" s="225">
        <v>11</v>
      </c>
      <c r="E1523" s="226">
        <v>29587</v>
      </c>
      <c r="F1523" s="227">
        <v>23770322</v>
      </c>
      <c r="G1523" s="1" t="s">
        <v>301</v>
      </c>
      <c r="H1523" s="60">
        <v>4116.53</v>
      </c>
      <c r="I1523" s="228">
        <v>864.47</v>
      </c>
      <c r="J1523" s="229"/>
      <c r="K1523" s="229"/>
      <c r="L1523" s="229">
        <f>SUM(ventas_b_mes11[[#This Row],[IMPORTE NETO]:[EXENTO]])</f>
        <v>4981</v>
      </c>
      <c r="M1523" s="55"/>
    </row>
    <row r="1524" spans="2:13" x14ac:dyDescent="0.3">
      <c r="B1524" s="223">
        <v>44839</v>
      </c>
      <c r="C1524" s="224">
        <v>6</v>
      </c>
      <c r="D1524" s="225">
        <v>11</v>
      </c>
      <c r="E1524" s="226">
        <v>29588</v>
      </c>
      <c r="F1524" s="227">
        <v>12560890</v>
      </c>
      <c r="G1524" s="1" t="s">
        <v>294</v>
      </c>
      <c r="H1524" s="60">
        <v>4775.21</v>
      </c>
      <c r="I1524" s="228">
        <v>1002.79</v>
      </c>
      <c r="J1524" s="229"/>
      <c r="K1524" s="229"/>
      <c r="L1524" s="229">
        <f>SUM(ventas_b_mes11[[#This Row],[IMPORTE NETO]:[EXENTO]])</f>
        <v>5778</v>
      </c>
      <c r="M1524" s="55"/>
    </row>
    <row r="1525" spans="2:13" x14ac:dyDescent="0.3">
      <c r="B1525" s="223">
        <v>44839</v>
      </c>
      <c r="C1525" s="224">
        <v>6</v>
      </c>
      <c r="D1525" s="225">
        <v>11</v>
      </c>
      <c r="E1525" s="226">
        <v>29589</v>
      </c>
      <c r="F1525" s="227">
        <v>20569172</v>
      </c>
      <c r="G1525" s="1" t="s">
        <v>312</v>
      </c>
      <c r="H1525" s="60">
        <v>4338.84</v>
      </c>
      <c r="I1525" s="228">
        <v>911.16</v>
      </c>
      <c r="J1525" s="229"/>
      <c r="K1525" s="229"/>
      <c r="L1525" s="229">
        <f>SUM(ventas_b_mes11[[#This Row],[IMPORTE NETO]:[EXENTO]])</f>
        <v>5250</v>
      </c>
      <c r="M1525" s="55"/>
    </row>
    <row r="1526" spans="2:13" x14ac:dyDescent="0.3">
      <c r="B1526" s="223">
        <v>44839</v>
      </c>
      <c r="C1526" s="224">
        <v>6</v>
      </c>
      <c r="D1526" s="225">
        <v>11</v>
      </c>
      <c r="E1526" s="226">
        <v>29590</v>
      </c>
      <c r="F1526" s="227">
        <v>95741325</v>
      </c>
      <c r="G1526" s="1" t="s">
        <v>304</v>
      </c>
      <c r="H1526" s="60">
        <v>4297.5200000000004</v>
      </c>
      <c r="I1526" s="228">
        <v>902.48</v>
      </c>
      <c r="J1526" s="229"/>
      <c r="K1526" s="229"/>
      <c r="L1526" s="229">
        <f>SUM(ventas_b_mes11[[#This Row],[IMPORTE NETO]:[EXENTO]])</f>
        <v>5200</v>
      </c>
      <c r="M1526" s="55"/>
    </row>
    <row r="1527" spans="2:13" x14ac:dyDescent="0.3">
      <c r="B1527" s="223">
        <v>44839</v>
      </c>
      <c r="C1527" s="224">
        <v>6</v>
      </c>
      <c r="D1527" s="225">
        <v>11</v>
      </c>
      <c r="E1527" s="226">
        <v>29591</v>
      </c>
      <c r="F1527" s="227">
        <v>6709425</v>
      </c>
      <c r="G1527" s="1"/>
      <c r="H1527" s="60">
        <v>1487.6</v>
      </c>
      <c r="I1527" s="228">
        <v>312.39999999999998</v>
      </c>
      <c r="J1527" s="229"/>
      <c r="K1527" s="229"/>
      <c r="L1527" s="229">
        <f>SUM(ventas_b_mes11[[#This Row],[IMPORTE NETO]:[EXENTO]])</f>
        <v>1800</v>
      </c>
      <c r="M1527" s="55"/>
    </row>
    <row r="1528" spans="2:13" x14ac:dyDescent="0.3">
      <c r="B1528" s="223">
        <v>44839</v>
      </c>
      <c r="C1528" s="224">
        <v>6</v>
      </c>
      <c r="D1528" s="225">
        <v>11</v>
      </c>
      <c r="E1528" s="226">
        <v>29592</v>
      </c>
      <c r="F1528" s="227">
        <v>9587412</v>
      </c>
      <c r="G1528" s="1"/>
      <c r="H1528" s="60">
        <v>2194.21</v>
      </c>
      <c r="I1528" s="228">
        <v>460.78</v>
      </c>
      <c r="J1528" s="229"/>
      <c r="K1528" s="229"/>
      <c r="L1528" s="229">
        <f>SUM(ventas_b_mes11[[#This Row],[IMPORTE NETO]:[EXENTO]])</f>
        <v>2654.99</v>
      </c>
      <c r="M1528" s="55"/>
    </row>
    <row r="1529" spans="2:13" x14ac:dyDescent="0.3">
      <c r="B1529" s="223">
        <v>44839</v>
      </c>
      <c r="C1529" s="224">
        <v>6</v>
      </c>
      <c r="D1529" s="225">
        <v>11</v>
      </c>
      <c r="E1529" s="226">
        <v>29593</v>
      </c>
      <c r="F1529" s="227">
        <v>30734021</v>
      </c>
      <c r="G1529" s="1" t="s">
        <v>286</v>
      </c>
      <c r="H1529" s="60">
        <v>9236.3700000000008</v>
      </c>
      <c r="I1529" s="228">
        <v>1939.64</v>
      </c>
      <c r="J1529" s="229"/>
      <c r="K1529" s="229"/>
      <c r="L1529" s="229">
        <f>SUM(ventas_b_mes11[[#This Row],[IMPORTE NETO]:[EXENTO]])</f>
        <v>11176.01</v>
      </c>
      <c r="M1529" s="55"/>
    </row>
    <row r="1530" spans="2:13" x14ac:dyDescent="0.3">
      <c r="B1530" s="223">
        <v>44839</v>
      </c>
      <c r="C1530" s="224">
        <v>6</v>
      </c>
      <c r="D1530" s="225">
        <v>11</v>
      </c>
      <c r="E1530" s="226">
        <v>29594</v>
      </c>
      <c r="F1530" s="227">
        <v>39909260</v>
      </c>
      <c r="G1530" s="1" t="s">
        <v>307</v>
      </c>
      <c r="H1530" s="60">
        <v>3305.79</v>
      </c>
      <c r="I1530" s="228">
        <v>694.21</v>
      </c>
      <c r="J1530" s="229"/>
      <c r="K1530" s="229"/>
      <c r="L1530" s="229">
        <f>SUM(ventas_b_mes11[[#This Row],[IMPORTE NETO]:[EXENTO]])</f>
        <v>4000</v>
      </c>
      <c r="M1530" s="55"/>
    </row>
    <row r="1531" spans="2:13" x14ac:dyDescent="0.3">
      <c r="B1531" s="223">
        <v>44839</v>
      </c>
      <c r="C1531" s="224">
        <v>6</v>
      </c>
      <c r="D1531" s="225">
        <v>11</v>
      </c>
      <c r="E1531" s="226">
        <v>29595</v>
      </c>
      <c r="F1531" s="227">
        <v>39588432</v>
      </c>
      <c r="G1531" s="1" t="s">
        <v>267</v>
      </c>
      <c r="H1531" s="60">
        <v>272.73</v>
      </c>
      <c r="I1531" s="228">
        <v>57.27</v>
      </c>
      <c r="J1531" s="229"/>
      <c r="K1531" s="229"/>
      <c r="L1531" s="229">
        <f>SUM(ventas_b_mes11[[#This Row],[IMPORTE NETO]:[EXENTO]])</f>
        <v>330</v>
      </c>
      <c r="M1531" s="55"/>
    </row>
    <row r="1532" spans="2:13" x14ac:dyDescent="0.3">
      <c r="B1532" s="223">
        <v>44839</v>
      </c>
      <c r="C1532" s="224">
        <v>6</v>
      </c>
      <c r="D1532" s="225">
        <v>11</v>
      </c>
      <c r="E1532" s="226">
        <v>29596</v>
      </c>
      <c r="F1532" s="227">
        <v>33746293</v>
      </c>
      <c r="G1532" s="1" t="s">
        <v>308</v>
      </c>
      <c r="H1532" s="60">
        <v>3814.88</v>
      </c>
      <c r="I1532" s="228">
        <v>801.13</v>
      </c>
      <c r="J1532" s="229"/>
      <c r="K1532" s="229"/>
      <c r="L1532" s="229">
        <f>SUM(ventas_b_mes11[[#This Row],[IMPORTE NETO]:[EXENTO]])</f>
        <v>4616.01</v>
      </c>
      <c r="M1532" s="55"/>
    </row>
    <row r="1533" spans="2:13" x14ac:dyDescent="0.3">
      <c r="B1533" s="223">
        <v>44839</v>
      </c>
      <c r="C1533" s="224">
        <v>6</v>
      </c>
      <c r="D1533" s="225">
        <v>11</v>
      </c>
      <c r="E1533" s="226">
        <v>29597</v>
      </c>
      <c r="F1533" s="227">
        <v>25072732</v>
      </c>
      <c r="G1533" s="1" t="s">
        <v>303</v>
      </c>
      <c r="H1533" s="60">
        <v>2545.4499999999998</v>
      </c>
      <c r="I1533" s="228">
        <v>534.54999999999995</v>
      </c>
      <c r="J1533" s="229"/>
      <c r="K1533" s="229"/>
      <c r="L1533" s="229">
        <f>SUM(ventas_b_mes11[[#This Row],[IMPORTE NETO]:[EXENTO]])</f>
        <v>3080</v>
      </c>
      <c r="M1533" s="55"/>
    </row>
    <row r="1534" spans="2:13" x14ac:dyDescent="0.3">
      <c r="B1534" s="223">
        <v>44839</v>
      </c>
      <c r="C1534" s="224">
        <v>6</v>
      </c>
      <c r="D1534" s="225">
        <v>11</v>
      </c>
      <c r="E1534" s="226">
        <v>29598</v>
      </c>
      <c r="F1534" s="227">
        <v>34705312</v>
      </c>
      <c r="G1534" s="1" t="s">
        <v>279</v>
      </c>
      <c r="H1534" s="60">
        <v>272.73</v>
      </c>
      <c r="I1534" s="228">
        <v>57.27</v>
      </c>
      <c r="J1534" s="229"/>
      <c r="K1534" s="229"/>
      <c r="L1534" s="229">
        <f>SUM(ventas_b_mes11[[#This Row],[IMPORTE NETO]:[EXENTO]])</f>
        <v>330</v>
      </c>
      <c r="M1534" s="55"/>
    </row>
    <row r="1535" spans="2:13" x14ac:dyDescent="0.3">
      <c r="B1535" s="223">
        <v>44839</v>
      </c>
      <c r="C1535" s="224">
        <v>6</v>
      </c>
      <c r="D1535" s="225">
        <v>11</v>
      </c>
      <c r="E1535" s="226">
        <v>29599</v>
      </c>
      <c r="F1535" s="227">
        <v>30734021</v>
      </c>
      <c r="G1535" s="1" t="s">
        <v>286</v>
      </c>
      <c r="H1535" s="60">
        <v>4429.75</v>
      </c>
      <c r="I1535" s="228">
        <v>930.25</v>
      </c>
      <c r="J1535" s="229"/>
      <c r="K1535" s="229"/>
      <c r="L1535" s="229">
        <f>SUM(ventas_b_mes11[[#This Row],[IMPORTE NETO]:[EXENTO]])</f>
        <v>5360</v>
      </c>
      <c r="M1535" s="55"/>
    </row>
    <row r="1536" spans="2:13" x14ac:dyDescent="0.3">
      <c r="B1536" s="223">
        <v>44840</v>
      </c>
      <c r="C1536" s="224">
        <v>6</v>
      </c>
      <c r="D1536" s="225">
        <v>11</v>
      </c>
      <c r="E1536" s="226">
        <v>29600</v>
      </c>
      <c r="F1536" s="227">
        <v>35990168</v>
      </c>
      <c r="G1536" s="1" t="s">
        <v>354</v>
      </c>
      <c r="H1536" s="60">
        <v>2862.81</v>
      </c>
      <c r="I1536" s="228">
        <v>601.19000000000005</v>
      </c>
      <c r="J1536" s="229"/>
      <c r="K1536" s="229"/>
      <c r="L1536" s="229">
        <f>SUM(ventas_b_mes11[[#This Row],[IMPORTE NETO]:[EXENTO]])</f>
        <v>3464</v>
      </c>
      <c r="M1536" s="55"/>
    </row>
    <row r="1537" spans="2:13" x14ac:dyDescent="0.3">
      <c r="B1537" s="223">
        <v>44840</v>
      </c>
      <c r="C1537" s="224">
        <v>6</v>
      </c>
      <c r="D1537" s="225">
        <v>11</v>
      </c>
      <c r="E1537" s="226">
        <v>29601</v>
      </c>
      <c r="F1537" s="227">
        <v>25447953</v>
      </c>
      <c r="G1537" s="1" t="s">
        <v>175</v>
      </c>
      <c r="H1537" s="60">
        <v>4586.8</v>
      </c>
      <c r="I1537" s="228">
        <v>963.23</v>
      </c>
      <c r="J1537" s="229"/>
      <c r="K1537" s="229"/>
      <c r="L1537" s="229">
        <f>SUM(ventas_b_mes11[[#This Row],[IMPORTE NETO]:[EXENTO]])</f>
        <v>5550.0300000000007</v>
      </c>
      <c r="M1537" s="55"/>
    </row>
    <row r="1538" spans="2:13" x14ac:dyDescent="0.3">
      <c r="B1538" s="223">
        <v>44840</v>
      </c>
      <c r="C1538" s="224">
        <v>6</v>
      </c>
      <c r="D1538" s="225">
        <v>11</v>
      </c>
      <c r="E1538" s="226">
        <v>29602</v>
      </c>
      <c r="F1538" s="227">
        <v>27963544</v>
      </c>
      <c r="G1538" s="1" t="s">
        <v>341</v>
      </c>
      <c r="H1538" s="60">
        <v>18531.400000000001</v>
      </c>
      <c r="I1538" s="228">
        <v>3891.6</v>
      </c>
      <c r="J1538" s="229"/>
      <c r="K1538" s="229"/>
      <c r="L1538" s="229">
        <f>SUM(ventas_b_mes11[[#This Row],[IMPORTE NETO]:[EXENTO]])</f>
        <v>22423</v>
      </c>
      <c r="M1538" s="55"/>
    </row>
    <row r="1539" spans="2:13" x14ac:dyDescent="0.3">
      <c r="B1539" s="223">
        <v>44840</v>
      </c>
      <c r="C1539" s="224">
        <v>6</v>
      </c>
      <c r="D1539" s="225">
        <v>11</v>
      </c>
      <c r="E1539" s="226">
        <v>29603</v>
      </c>
      <c r="F1539" s="227">
        <v>23138405</v>
      </c>
      <c r="G1539" s="1" t="s">
        <v>316</v>
      </c>
      <c r="H1539" s="60">
        <v>2437.1799999999998</v>
      </c>
      <c r="I1539" s="228">
        <v>511.81</v>
      </c>
      <c r="J1539" s="229"/>
      <c r="K1539" s="229"/>
      <c r="L1539" s="229">
        <f>SUM(ventas_b_mes11[[#This Row],[IMPORTE NETO]:[EXENTO]])</f>
        <v>2948.99</v>
      </c>
      <c r="M1539" s="55"/>
    </row>
    <row r="1540" spans="2:13" x14ac:dyDescent="0.3">
      <c r="B1540" s="223">
        <v>44840</v>
      </c>
      <c r="C1540" s="224">
        <v>6</v>
      </c>
      <c r="D1540" s="225">
        <v>11</v>
      </c>
      <c r="E1540" s="226">
        <v>29604</v>
      </c>
      <c r="F1540" s="227">
        <v>23138405</v>
      </c>
      <c r="G1540" s="1" t="s">
        <v>316</v>
      </c>
      <c r="H1540" s="60">
        <v>17024.8</v>
      </c>
      <c r="I1540" s="228">
        <v>3575.21</v>
      </c>
      <c r="J1540" s="229"/>
      <c r="K1540" s="229"/>
      <c r="L1540" s="229">
        <f>SUM(ventas_b_mes11[[#This Row],[IMPORTE NETO]:[EXENTO]])</f>
        <v>20600.009999999998</v>
      </c>
      <c r="M1540" s="55"/>
    </row>
    <row r="1541" spans="2:13" x14ac:dyDescent="0.3">
      <c r="B1541" s="223">
        <v>44840</v>
      </c>
      <c r="C1541" s="224">
        <v>6</v>
      </c>
      <c r="D1541" s="225">
        <v>11</v>
      </c>
      <c r="E1541" s="226">
        <v>29605</v>
      </c>
      <c r="F1541" s="227">
        <v>35967898</v>
      </c>
      <c r="G1541" s="1" t="s">
        <v>321</v>
      </c>
      <c r="H1541" s="60">
        <v>6859.52</v>
      </c>
      <c r="I1541" s="228">
        <v>1440.5</v>
      </c>
      <c r="J1541" s="229"/>
      <c r="K1541" s="229"/>
      <c r="L1541" s="229">
        <f>SUM(ventas_b_mes11[[#This Row],[IMPORTE NETO]:[EXENTO]])</f>
        <v>8300.02</v>
      </c>
      <c r="M1541" s="55"/>
    </row>
    <row r="1542" spans="2:13" x14ac:dyDescent="0.3">
      <c r="B1542" s="223">
        <v>44840</v>
      </c>
      <c r="C1542" s="224">
        <v>6</v>
      </c>
      <c r="D1542" s="225">
        <v>11</v>
      </c>
      <c r="E1542" s="226">
        <v>29606</v>
      </c>
      <c r="F1542" s="227">
        <v>0</v>
      </c>
      <c r="G1542" s="1"/>
      <c r="H1542" s="60">
        <v>2809.92</v>
      </c>
      <c r="I1542" s="228">
        <v>590.08000000000004</v>
      </c>
      <c r="J1542" s="229"/>
      <c r="K1542" s="229"/>
      <c r="L1542" s="229">
        <f>SUM(ventas_b_mes11[[#This Row],[IMPORTE NETO]:[EXENTO]])</f>
        <v>3400</v>
      </c>
      <c r="M1542" s="55"/>
    </row>
    <row r="1543" spans="2:13" x14ac:dyDescent="0.3">
      <c r="B1543" s="223">
        <v>44840</v>
      </c>
      <c r="C1543" s="224">
        <v>6</v>
      </c>
      <c r="D1543" s="225">
        <v>11</v>
      </c>
      <c r="E1543" s="226">
        <v>29607</v>
      </c>
      <c r="F1543" s="227">
        <v>21971280</v>
      </c>
      <c r="G1543" s="1"/>
      <c r="H1543" s="60">
        <v>4892.5600000000004</v>
      </c>
      <c r="I1543" s="228">
        <v>1027.44</v>
      </c>
      <c r="J1543" s="229"/>
      <c r="K1543" s="229"/>
      <c r="L1543" s="229">
        <f>SUM(ventas_b_mes11[[#This Row],[IMPORTE NETO]:[EXENTO]])</f>
        <v>5920</v>
      </c>
      <c r="M1543" s="55"/>
    </row>
    <row r="1544" spans="2:13" x14ac:dyDescent="0.3">
      <c r="B1544" s="223">
        <v>44842</v>
      </c>
      <c r="C1544" s="224">
        <v>6</v>
      </c>
      <c r="D1544" s="225">
        <v>11</v>
      </c>
      <c r="E1544" s="226">
        <v>29608</v>
      </c>
      <c r="F1544" s="227">
        <v>24330589</v>
      </c>
      <c r="G1544" s="1" t="s">
        <v>374</v>
      </c>
      <c r="H1544" s="60">
        <v>4421.49</v>
      </c>
      <c r="I1544" s="228">
        <v>928.51</v>
      </c>
      <c r="J1544" s="229"/>
      <c r="K1544" s="229"/>
      <c r="L1544" s="229">
        <f>SUM(ventas_b_mes11[[#This Row],[IMPORTE NETO]:[EXENTO]])</f>
        <v>5350</v>
      </c>
      <c r="M1544" s="55"/>
    </row>
    <row r="1545" spans="2:13" x14ac:dyDescent="0.3">
      <c r="B1545" s="223">
        <v>44842</v>
      </c>
      <c r="C1545" s="224">
        <v>6</v>
      </c>
      <c r="D1545" s="225">
        <v>11</v>
      </c>
      <c r="E1545" s="226">
        <v>29609</v>
      </c>
      <c r="F1545" s="227">
        <v>24330589</v>
      </c>
      <c r="G1545" s="1" t="s">
        <v>374</v>
      </c>
      <c r="H1545" s="60">
        <v>7900.83</v>
      </c>
      <c r="I1545" s="228">
        <v>1659.17</v>
      </c>
      <c r="J1545" s="229"/>
      <c r="K1545" s="229"/>
      <c r="L1545" s="229">
        <f>SUM(ventas_b_mes11[[#This Row],[IMPORTE NETO]:[EXENTO]])</f>
        <v>9560</v>
      </c>
      <c r="M1545" s="55"/>
    </row>
    <row r="1546" spans="2:13" x14ac:dyDescent="0.3">
      <c r="B1546" s="223">
        <v>44842</v>
      </c>
      <c r="C1546" s="224">
        <v>6</v>
      </c>
      <c r="D1546" s="225">
        <v>11</v>
      </c>
      <c r="E1546" s="226">
        <v>29610</v>
      </c>
      <c r="F1546" s="227">
        <v>24330589</v>
      </c>
      <c r="G1546" s="1" t="s">
        <v>374</v>
      </c>
      <c r="H1546" s="60">
        <v>284.05</v>
      </c>
      <c r="I1546" s="228">
        <v>59.65</v>
      </c>
      <c r="J1546" s="229"/>
      <c r="K1546" s="229"/>
      <c r="L1546" s="229">
        <f>SUM(ventas_b_mes11[[#This Row],[IMPORTE NETO]:[EXENTO]])</f>
        <v>343.7</v>
      </c>
      <c r="M1546" s="55"/>
    </row>
    <row r="1547" spans="2:13" x14ac:dyDescent="0.3">
      <c r="B1547" s="223">
        <v>44842</v>
      </c>
      <c r="C1547" s="224">
        <v>6</v>
      </c>
      <c r="D1547" s="225">
        <v>11</v>
      </c>
      <c r="E1547" s="226">
        <v>29611</v>
      </c>
      <c r="F1547" s="227">
        <v>40391297</v>
      </c>
      <c r="G1547" s="1" t="s">
        <v>371</v>
      </c>
      <c r="H1547" s="60">
        <v>4545.45</v>
      </c>
      <c r="I1547" s="228">
        <v>954.55</v>
      </c>
      <c r="J1547" s="229"/>
      <c r="K1547" s="229"/>
      <c r="L1547" s="229">
        <f>SUM(ventas_b_mes11[[#This Row],[IMPORTE NETO]:[EXENTO]])</f>
        <v>5500</v>
      </c>
      <c r="M1547" s="55"/>
    </row>
    <row r="1548" spans="2:13" x14ac:dyDescent="0.3">
      <c r="B1548" s="223">
        <v>44842</v>
      </c>
      <c r="C1548" s="224">
        <v>6</v>
      </c>
      <c r="D1548" s="225">
        <v>11</v>
      </c>
      <c r="E1548" s="226">
        <v>29612</v>
      </c>
      <c r="F1548" s="227">
        <v>2845963</v>
      </c>
      <c r="G1548" s="1" t="s">
        <v>372</v>
      </c>
      <c r="H1548" s="60">
        <v>6404.97</v>
      </c>
      <c r="I1548" s="228">
        <v>1345.04</v>
      </c>
      <c r="J1548" s="229"/>
      <c r="K1548" s="229"/>
      <c r="L1548" s="229">
        <f>SUM(ventas_b_mes11[[#This Row],[IMPORTE NETO]:[EXENTO]])</f>
        <v>7750.01</v>
      </c>
      <c r="M1548" s="55"/>
    </row>
    <row r="1549" spans="2:13" x14ac:dyDescent="0.3">
      <c r="B1549" s="223">
        <v>44842</v>
      </c>
      <c r="C1549" s="224">
        <v>6</v>
      </c>
      <c r="D1549" s="225">
        <v>11</v>
      </c>
      <c r="E1549" s="226">
        <v>29613</v>
      </c>
      <c r="F1549" s="227">
        <v>92708396</v>
      </c>
      <c r="G1549" s="1" t="s">
        <v>378</v>
      </c>
      <c r="H1549" s="60">
        <v>7285.12</v>
      </c>
      <c r="I1549" s="228">
        <v>1529.88</v>
      </c>
      <c r="J1549" s="229"/>
      <c r="K1549" s="229"/>
      <c r="L1549" s="229">
        <f>SUM(ventas_b_mes11[[#This Row],[IMPORTE NETO]:[EXENTO]])</f>
        <v>8815</v>
      </c>
      <c r="M1549" s="55"/>
    </row>
    <row r="1550" spans="2:13" x14ac:dyDescent="0.3">
      <c r="B1550" s="223">
        <v>44842</v>
      </c>
      <c r="C1550" s="224">
        <v>6</v>
      </c>
      <c r="D1550" s="225">
        <v>11</v>
      </c>
      <c r="E1550" s="226">
        <v>29614</v>
      </c>
      <c r="F1550" s="227">
        <v>92708396</v>
      </c>
      <c r="G1550" s="1" t="s">
        <v>378</v>
      </c>
      <c r="H1550" s="60">
        <v>773.56</v>
      </c>
      <c r="I1550" s="228">
        <v>162.44999999999999</v>
      </c>
      <c r="J1550" s="229"/>
      <c r="K1550" s="229"/>
      <c r="L1550" s="229">
        <f>SUM(ventas_b_mes11[[#This Row],[IMPORTE NETO]:[EXENTO]])</f>
        <v>936.01</v>
      </c>
      <c r="M1550" s="55"/>
    </row>
    <row r="1551" spans="2:13" x14ac:dyDescent="0.3">
      <c r="B1551" s="223">
        <v>44842</v>
      </c>
      <c r="C1551" s="224">
        <v>6</v>
      </c>
      <c r="D1551" s="225">
        <v>11</v>
      </c>
      <c r="E1551" s="226">
        <v>29615</v>
      </c>
      <c r="F1551" s="227">
        <v>6436196</v>
      </c>
      <c r="G1551" s="1" t="s">
        <v>157</v>
      </c>
      <c r="H1551" s="60">
        <v>3471.07</v>
      </c>
      <c r="I1551" s="228">
        <v>728.92</v>
      </c>
      <c r="J1551" s="229"/>
      <c r="K1551" s="229"/>
      <c r="L1551" s="229">
        <f>SUM(ventas_b_mes11[[#This Row],[IMPORTE NETO]:[EXENTO]])</f>
        <v>4199.99</v>
      </c>
      <c r="M1551" s="55"/>
    </row>
    <row r="1552" spans="2:13" x14ac:dyDescent="0.3">
      <c r="B1552" s="223">
        <v>44842</v>
      </c>
      <c r="C1552" s="224">
        <v>6</v>
      </c>
      <c r="D1552" s="225">
        <v>11</v>
      </c>
      <c r="E1552" s="226">
        <v>29616</v>
      </c>
      <c r="F1552" s="227">
        <v>95962559</v>
      </c>
      <c r="G1552" s="1" t="s">
        <v>385</v>
      </c>
      <c r="H1552" s="60">
        <v>4545.45</v>
      </c>
      <c r="I1552" s="228">
        <v>954.55</v>
      </c>
      <c r="J1552" s="229"/>
      <c r="K1552" s="229"/>
      <c r="L1552" s="229">
        <f>SUM(ventas_b_mes11[[#This Row],[IMPORTE NETO]:[EXENTO]])</f>
        <v>5500</v>
      </c>
      <c r="M1552" s="55"/>
    </row>
    <row r="1553" spans="2:13" x14ac:dyDescent="0.3">
      <c r="B1553" s="223">
        <v>44842</v>
      </c>
      <c r="C1553" s="224">
        <v>6</v>
      </c>
      <c r="D1553" s="225">
        <v>11</v>
      </c>
      <c r="E1553" s="226">
        <v>29617</v>
      </c>
      <c r="F1553" s="227">
        <v>16639762</v>
      </c>
      <c r="G1553" s="1" t="s">
        <v>379</v>
      </c>
      <c r="H1553" s="60">
        <v>2818.18</v>
      </c>
      <c r="I1553" s="228">
        <v>591.82000000000005</v>
      </c>
      <c r="J1553" s="229"/>
      <c r="K1553" s="229"/>
      <c r="L1553" s="229">
        <f>SUM(ventas_b_mes11[[#This Row],[IMPORTE NETO]:[EXENTO]])</f>
        <v>3410</v>
      </c>
      <c r="M1553" s="55"/>
    </row>
    <row r="1554" spans="2:13" x14ac:dyDescent="0.3">
      <c r="B1554" s="223">
        <v>44842</v>
      </c>
      <c r="C1554" s="224">
        <v>6</v>
      </c>
      <c r="D1554" s="225">
        <v>11</v>
      </c>
      <c r="E1554" s="226">
        <v>29618</v>
      </c>
      <c r="F1554" s="227">
        <v>24330589</v>
      </c>
      <c r="G1554" s="1" t="s">
        <v>374</v>
      </c>
      <c r="H1554" s="60">
        <v>1804.96</v>
      </c>
      <c r="I1554" s="228">
        <v>379.04</v>
      </c>
      <c r="J1554" s="229"/>
      <c r="K1554" s="229"/>
      <c r="L1554" s="229">
        <f>SUM(ventas_b_mes11[[#This Row],[IMPORTE NETO]:[EXENTO]])</f>
        <v>2184</v>
      </c>
      <c r="M1554" s="55"/>
    </row>
    <row r="1555" spans="2:13" x14ac:dyDescent="0.3">
      <c r="B1555" s="223">
        <v>44842</v>
      </c>
      <c r="C1555" s="224">
        <v>6</v>
      </c>
      <c r="D1555" s="225">
        <v>11</v>
      </c>
      <c r="E1555" s="226">
        <v>29619</v>
      </c>
      <c r="F1555" s="227">
        <v>16232863</v>
      </c>
      <c r="G1555" s="1" t="s">
        <v>375</v>
      </c>
      <c r="H1555" s="60">
        <v>4140.51</v>
      </c>
      <c r="I1555" s="228">
        <v>869.51</v>
      </c>
      <c r="J1555" s="229"/>
      <c r="K1555" s="229"/>
      <c r="L1555" s="229">
        <f>SUM(ventas_b_mes11[[#This Row],[IMPORTE NETO]:[EXENTO]])</f>
        <v>5010.0200000000004</v>
      </c>
      <c r="M1555" s="55"/>
    </row>
    <row r="1556" spans="2:13" x14ac:dyDescent="0.3">
      <c r="B1556" s="223">
        <v>44842</v>
      </c>
      <c r="C1556" s="224">
        <v>6</v>
      </c>
      <c r="D1556" s="225">
        <v>11</v>
      </c>
      <c r="E1556" s="226">
        <v>29620</v>
      </c>
      <c r="F1556" s="227">
        <v>1047963</v>
      </c>
      <c r="G1556" s="1" t="s">
        <v>381</v>
      </c>
      <c r="H1556" s="60">
        <v>4264.46</v>
      </c>
      <c r="I1556" s="228">
        <v>895.54</v>
      </c>
      <c r="J1556" s="229"/>
      <c r="K1556" s="229"/>
      <c r="L1556" s="229">
        <f>SUM(ventas_b_mes11[[#This Row],[IMPORTE NETO]:[EXENTO]])</f>
        <v>5160</v>
      </c>
      <c r="M1556" s="55"/>
    </row>
    <row r="1557" spans="2:13" x14ac:dyDescent="0.3">
      <c r="B1557" s="223">
        <v>44845</v>
      </c>
      <c r="C1557" s="224">
        <v>6</v>
      </c>
      <c r="D1557" s="225">
        <v>11</v>
      </c>
      <c r="E1557" s="226">
        <v>29621</v>
      </c>
      <c r="F1557" s="227">
        <v>0</v>
      </c>
      <c r="G1557" s="1"/>
      <c r="H1557" s="60">
        <v>2892.56</v>
      </c>
      <c r="I1557" s="228">
        <v>607.44000000000005</v>
      </c>
      <c r="J1557" s="229"/>
      <c r="K1557" s="229"/>
      <c r="L1557" s="229">
        <f>SUM(ventas_b_mes11[[#This Row],[IMPORTE NETO]:[EXENTO]])</f>
        <v>3500</v>
      </c>
      <c r="M1557" s="55"/>
    </row>
    <row r="1558" spans="2:13" x14ac:dyDescent="0.3">
      <c r="B1558" s="223" t="s">
        <v>109</v>
      </c>
      <c r="C1558" s="224">
        <v>6</v>
      </c>
      <c r="D1558" s="225">
        <v>11</v>
      </c>
      <c r="E1558" s="226">
        <v>29622</v>
      </c>
      <c r="F1558" s="227">
        <v>0</v>
      </c>
      <c r="G1558" s="1"/>
      <c r="H1558" s="60">
        <v>3272.73</v>
      </c>
      <c r="I1558" s="228">
        <v>687.27</v>
      </c>
      <c r="J1558" s="229"/>
      <c r="K1558" s="229"/>
      <c r="L1558" s="229">
        <f>SUM(ventas_b_mes11[[#This Row],[IMPORTE NETO]:[EXENTO]])</f>
        <v>3960</v>
      </c>
      <c r="M1558" s="55"/>
    </row>
    <row r="1559" spans="2:13" x14ac:dyDescent="0.3">
      <c r="B1559" s="223" t="s">
        <v>109</v>
      </c>
      <c r="C1559" s="224">
        <v>6</v>
      </c>
      <c r="D1559" s="225">
        <v>11</v>
      </c>
      <c r="E1559" s="226">
        <v>29623</v>
      </c>
      <c r="F1559" s="227">
        <v>33324521</v>
      </c>
      <c r="G1559" s="1" t="s">
        <v>470</v>
      </c>
      <c r="H1559" s="60">
        <v>5537.19</v>
      </c>
      <c r="I1559" s="228">
        <v>1162.81</v>
      </c>
      <c r="J1559" s="229"/>
      <c r="K1559" s="229"/>
      <c r="L1559" s="229">
        <f>SUM(ventas_b_mes11[[#This Row],[IMPORTE NETO]:[EXENTO]])</f>
        <v>6700</v>
      </c>
      <c r="M1559" s="55"/>
    </row>
    <row r="1560" spans="2:13" x14ac:dyDescent="0.3">
      <c r="B1560" s="223">
        <v>44845</v>
      </c>
      <c r="C1560" s="224">
        <v>6</v>
      </c>
      <c r="D1560" s="225">
        <v>11</v>
      </c>
      <c r="E1560" s="226">
        <v>29624</v>
      </c>
      <c r="F1560" s="227">
        <v>0</v>
      </c>
      <c r="G1560" s="1"/>
      <c r="H1560" s="60">
        <v>587.96</v>
      </c>
      <c r="I1560" s="228">
        <v>123.47</v>
      </c>
      <c r="J1560" s="229"/>
      <c r="K1560" s="229"/>
      <c r="L1560" s="229">
        <f>SUM(ventas_b_mes11[[#This Row],[IMPORTE NETO]:[EXENTO]])</f>
        <v>711.43000000000006</v>
      </c>
      <c r="M1560" s="55"/>
    </row>
    <row r="1561" spans="2:13" x14ac:dyDescent="0.3">
      <c r="B1561" s="223">
        <v>44845</v>
      </c>
      <c r="C1561" s="224">
        <v>6</v>
      </c>
      <c r="D1561" s="225">
        <v>11</v>
      </c>
      <c r="E1561" s="226">
        <v>29625</v>
      </c>
      <c r="F1561" s="227">
        <v>91355478</v>
      </c>
      <c r="G1561" s="1"/>
      <c r="H1561" s="60">
        <v>14388.4</v>
      </c>
      <c r="I1561" s="228">
        <v>3021.56</v>
      </c>
      <c r="J1561" s="229"/>
      <c r="K1561" s="229"/>
      <c r="L1561" s="229">
        <f>SUM(ventas_b_mes11[[#This Row],[IMPORTE NETO]:[EXENTO]])</f>
        <v>17409.96</v>
      </c>
      <c r="M1561" s="55"/>
    </row>
    <row r="1562" spans="2:13" x14ac:dyDescent="0.3">
      <c r="B1562" s="223">
        <v>44845</v>
      </c>
      <c r="C1562" s="224">
        <v>6</v>
      </c>
      <c r="D1562" s="225">
        <v>11</v>
      </c>
      <c r="E1562" s="226">
        <v>29626</v>
      </c>
      <c r="F1562" s="227">
        <v>18249112</v>
      </c>
      <c r="G1562" s="1" t="s">
        <v>530</v>
      </c>
      <c r="H1562" s="60">
        <v>6427.7</v>
      </c>
      <c r="I1562" s="228">
        <v>1349.82</v>
      </c>
      <c r="J1562" s="229"/>
      <c r="K1562" s="229"/>
      <c r="L1562" s="229">
        <f>SUM(ventas_b_mes11[[#This Row],[IMPORTE NETO]:[EXENTO]])</f>
        <v>7777.5199999999995</v>
      </c>
      <c r="M1562" s="55"/>
    </row>
    <row r="1563" spans="2:13" x14ac:dyDescent="0.3">
      <c r="B1563" s="223">
        <v>44845</v>
      </c>
      <c r="C1563" s="224">
        <v>6</v>
      </c>
      <c r="D1563" s="225">
        <v>11</v>
      </c>
      <c r="E1563" s="226">
        <v>29627</v>
      </c>
      <c r="F1563" s="227">
        <v>22669786</v>
      </c>
      <c r="G1563" s="1" t="s">
        <v>483</v>
      </c>
      <c r="H1563" s="60">
        <v>8512.4</v>
      </c>
      <c r="I1563" s="228">
        <v>1787.6</v>
      </c>
      <c r="J1563" s="229"/>
      <c r="K1563" s="229"/>
      <c r="L1563" s="229">
        <f>SUM(ventas_b_mes11[[#This Row],[IMPORTE NETO]:[EXENTO]])</f>
        <v>10300</v>
      </c>
      <c r="M1563" s="55"/>
    </row>
    <row r="1564" spans="2:13" x14ac:dyDescent="0.3">
      <c r="B1564" s="223">
        <v>44845</v>
      </c>
      <c r="C1564" s="224">
        <v>6</v>
      </c>
      <c r="D1564" s="225">
        <v>11</v>
      </c>
      <c r="E1564" s="226">
        <v>29628</v>
      </c>
      <c r="F1564" s="227">
        <v>6526838</v>
      </c>
      <c r="G1564" s="1"/>
      <c r="H1564" s="60">
        <v>2685.95</v>
      </c>
      <c r="I1564" s="228">
        <v>564.04999999999995</v>
      </c>
      <c r="J1564" s="229"/>
      <c r="K1564" s="229"/>
      <c r="L1564" s="229">
        <f>SUM(ventas_b_mes11[[#This Row],[IMPORTE NETO]:[EXENTO]])</f>
        <v>3250</v>
      </c>
      <c r="M1564" s="55"/>
    </row>
    <row r="1565" spans="2:13" x14ac:dyDescent="0.3">
      <c r="B1565" s="223">
        <v>44845</v>
      </c>
      <c r="C1565" s="224">
        <v>6</v>
      </c>
      <c r="D1565" s="225">
        <v>11</v>
      </c>
      <c r="E1565" s="226">
        <v>29629</v>
      </c>
      <c r="F1565" s="227">
        <v>28147987</v>
      </c>
      <c r="G1565" s="1" t="s">
        <v>217</v>
      </c>
      <c r="H1565" s="60">
        <v>5330.59</v>
      </c>
      <c r="I1565" s="228">
        <v>1119.42</v>
      </c>
      <c r="J1565" s="229"/>
      <c r="K1565" s="229"/>
      <c r="L1565" s="229">
        <f>SUM(ventas_b_mes11[[#This Row],[IMPORTE NETO]:[EXENTO]])</f>
        <v>6450.01</v>
      </c>
      <c r="M1565" s="55"/>
    </row>
    <row r="1566" spans="2:13" x14ac:dyDescent="0.3">
      <c r="B1566" s="223">
        <v>44845</v>
      </c>
      <c r="C1566" s="224">
        <v>6</v>
      </c>
      <c r="D1566" s="225">
        <v>11</v>
      </c>
      <c r="E1566" s="226">
        <v>29630</v>
      </c>
      <c r="F1566" s="227">
        <v>28147987</v>
      </c>
      <c r="G1566" s="1" t="s">
        <v>217</v>
      </c>
      <c r="H1566" s="60">
        <v>1446.28</v>
      </c>
      <c r="I1566" s="228">
        <v>303.72000000000003</v>
      </c>
      <c r="J1566" s="229"/>
      <c r="K1566" s="229"/>
      <c r="L1566" s="229">
        <f>SUM(ventas_b_mes11[[#This Row],[IMPORTE NETO]:[EXENTO]])</f>
        <v>1750</v>
      </c>
      <c r="M1566" s="55"/>
    </row>
    <row r="1567" spans="2:13" x14ac:dyDescent="0.3">
      <c r="B1567" s="223" t="s">
        <v>109</v>
      </c>
      <c r="C1567" s="224">
        <v>6</v>
      </c>
      <c r="D1567" s="225">
        <v>11</v>
      </c>
      <c r="E1567" s="226">
        <v>29631</v>
      </c>
      <c r="F1567" s="227">
        <v>95962559</v>
      </c>
      <c r="G1567" s="1" t="s">
        <v>385</v>
      </c>
      <c r="H1567" s="60">
        <v>7603.31</v>
      </c>
      <c r="I1567" s="228">
        <v>1596.69</v>
      </c>
      <c r="J1567" s="229"/>
      <c r="K1567" s="229"/>
      <c r="L1567" s="229">
        <f>SUM(ventas_b_mes11[[#This Row],[IMPORTE NETO]:[EXENTO]])</f>
        <v>9200</v>
      </c>
      <c r="M1567" s="55"/>
    </row>
    <row r="1568" spans="2:13" x14ac:dyDescent="0.3">
      <c r="B1568" s="223" t="s">
        <v>109</v>
      </c>
      <c r="C1568" s="224">
        <v>6</v>
      </c>
      <c r="D1568" s="225">
        <v>11</v>
      </c>
      <c r="E1568" s="226">
        <v>29632</v>
      </c>
      <c r="F1568" s="227">
        <v>30247968</v>
      </c>
      <c r="G1568" s="1" t="s">
        <v>558</v>
      </c>
      <c r="H1568" s="60">
        <v>4859.5</v>
      </c>
      <c r="I1568" s="228">
        <v>1020.5</v>
      </c>
      <c r="J1568" s="229"/>
      <c r="K1568" s="229"/>
      <c r="L1568" s="229">
        <f>SUM(ventas_b_mes11[[#This Row],[IMPORTE NETO]:[EXENTO]])</f>
        <v>5880</v>
      </c>
      <c r="M1568" s="55"/>
    </row>
    <row r="1569" spans="2:13" x14ac:dyDescent="0.3">
      <c r="B1569" s="223" t="s">
        <v>109</v>
      </c>
      <c r="C1569" s="224">
        <v>6</v>
      </c>
      <c r="D1569" s="225">
        <v>11</v>
      </c>
      <c r="E1569" s="226">
        <v>29633</v>
      </c>
      <c r="F1569" s="227">
        <v>94622772</v>
      </c>
      <c r="G1569" s="1"/>
      <c r="H1569" s="60">
        <v>11504.13</v>
      </c>
      <c r="I1569" s="228">
        <v>2415.87</v>
      </c>
      <c r="J1569" s="229"/>
      <c r="K1569" s="229"/>
      <c r="L1569" s="229">
        <f>SUM(ventas_b_mes11[[#This Row],[IMPORTE NETO]:[EXENTO]])</f>
        <v>13920</v>
      </c>
      <c r="M1569" s="55"/>
    </row>
    <row r="1570" spans="2:13" x14ac:dyDescent="0.3">
      <c r="B1570" s="223">
        <v>44845</v>
      </c>
      <c r="C1570" s="224">
        <v>6</v>
      </c>
      <c r="D1570" s="225">
        <v>11</v>
      </c>
      <c r="E1570" s="226">
        <v>29634</v>
      </c>
      <c r="F1570" s="227">
        <v>33587963</v>
      </c>
      <c r="G1570" s="1"/>
      <c r="H1570" s="60">
        <v>4958.68</v>
      </c>
      <c r="I1570" s="228">
        <v>1041.32</v>
      </c>
      <c r="J1570" s="229"/>
      <c r="K1570" s="229"/>
      <c r="L1570" s="229">
        <f>SUM(ventas_b_mes11[[#This Row],[IMPORTE NETO]:[EXENTO]])</f>
        <v>6000</v>
      </c>
      <c r="M1570" s="55"/>
    </row>
    <row r="1571" spans="2:13" x14ac:dyDescent="0.3">
      <c r="B1571" s="223">
        <v>44845</v>
      </c>
      <c r="C1571" s="224">
        <v>6</v>
      </c>
      <c r="D1571" s="225">
        <v>11</v>
      </c>
      <c r="E1571" s="226">
        <v>29635</v>
      </c>
      <c r="F1571" s="227">
        <v>0</v>
      </c>
      <c r="G1571" s="1"/>
      <c r="H1571" s="60">
        <v>3859.5</v>
      </c>
      <c r="I1571" s="228">
        <v>810.49</v>
      </c>
      <c r="J1571" s="229"/>
      <c r="K1571" s="229"/>
      <c r="L1571" s="229">
        <f>SUM(ventas_b_mes11[[#This Row],[IMPORTE NETO]:[EXENTO]])</f>
        <v>4669.99</v>
      </c>
      <c r="M1571" s="55"/>
    </row>
    <row r="1572" spans="2:13" x14ac:dyDescent="0.3">
      <c r="B1572" s="223">
        <v>44845</v>
      </c>
      <c r="C1572" s="224">
        <v>6</v>
      </c>
      <c r="D1572" s="225">
        <v>11</v>
      </c>
      <c r="E1572" s="226">
        <v>29636</v>
      </c>
      <c r="F1572" s="227">
        <v>0</v>
      </c>
      <c r="G1572" s="1"/>
      <c r="H1572" s="60">
        <v>1735.54</v>
      </c>
      <c r="I1572" s="228">
        <v>364.46</v>
      </c>
      <c r="J1572" s="229"/>
      <c r="K1572" s="229"/>
      <c r="L1572" s="229">
        <f>SUM(ventas_b_mes11[[#This Row],[IMPORTE NETO]:[EXENTO]])</f>
        <v>2100</v>
      </c>
      <c r="M1572" s="55"/>
    </row>
    <row r="1573" spans="2:13" x14ac:dyDescent="0.3">
      <c r="B1573" s="223">
        <v>44846</v>
      </c>
      <c r="C1573" s="224">
        <v>6</v>
      </c>
      <c r="D1573" s="225">
        <v>11</v>
      </c>
      <c r="E1573" s="226">
        <v>29637</v>
      </c>
      <c r="F1573" s="227">
        <v>0</v>
      </c>
      <c r="G1573" s="1"/>
      <c r="H1573" s="60">
        <v>2913.22</v>
      </c>
      <c r="I1573" s="228">
        <v>611.78</v>
      </c>
      <c r="J1573" s="229"/>
      <c r="K1573" s="229"/>
      <c r="L1573" s="229">
        <f>SUM(ventas_b_mes11[[#This Row],[IMPORTE NETO]:[EXENTO]])</f>
        <v>3525</v>
      </c>
      <c r="M1573" s="55"/>
    </row>
    <row r="1574" spans="2:13" x14ac:dyDescent="0.3">
      <c r="B1574" s="223">
        <v>44846</v>
      </c>
      <c r="C1574" s="224">
        <v>6</v>
      </c>
      <c r="D1574" s="225">
        <v>11</v>
      </c>
      <c r="E1574" s="226">
        <v>29638</v>
      </c>
      <c r="F1574" s="227">
        <v>28882424</v>
      </c>
      <c r="G1574" s="1" t="s">
        <v>589</v>
      </c>
      <c r="H1574" s="60">
        <v>2768.6</v>
      </c>
      <c r="I1574" s="228">
        <v>581.4</v>
      </c>
      <c r="J1574" s="229"/>
      <c r="K1574" s="229"/>
      <c r="L1574" s="229">
        <f>SUM(ventas_b_mes11[[#This Row],[IMPORTE NETO]:[EXENTO]])</f>
        <v>3350</v>
      </c>
      <c r="M1574" s="55"/>
    </row>
    <row r="1575" spans="2:13" x14ac:dyDescent="0.3">
      <c r="B1575" s="223">
        <v>44846</v>
      </c>
      <c r="C1575" s="224">
        <v>6</v>
      </c>
      <c r="D1575" s="225">
        <v>11</v>
      </c>
      <c r="E1575" s="226">
        <v>29639</v>
      </c>
      <c r="F1575" s="227">
        <v>33560878</v>
      </c>
      <c r="G1575" s="1" t="s">
        <v>315</v>
      </c>
      <c r="H1575" s="60">
        <v>10413.219999999999</v>
      </c>
      <c r="I1575" s="228">
        <v>2186.7800000000002</v>
      </c>
      <c r="J1575" s="229"/>
      <c r="K1575" s="229"/>
      <c r="L1575" s="229">
        <f>SUM(ventas_b_mes11[[#This Row],[IMPORTE NETO]:[EXENTO]])</f>
        <v>12600</v>
      </c>
      <c r="M1575" s="55"/>
    </row>
    <row r="1576" spans="2:13" x14ac:dyDescent="0.3">
      <c r="B1576" s="223">
        <v>44846</v>
      </c>
      <c r="C1576" s="224">
        <v>6</v>
      </c>
      <c r="D1576" s="225">
        <v>11</v>
      </c>
      <c r="E1576" s="226">
        <v>29640</v>
      </c>
      <c r="F1576" s="227">
        <v>35324529</v>
      </c>
      <c r="G1576" s="1" t="s">
        <v>616</v>
      </c>
      <c r="H1576" s="60">
        <v>5301.65</v>
      </c>
      <c r="I1576" s="228">
        <v>1113.3499999999999</v>
      </c>
      <c r="J1576" s="229"/>
      <c r="K1576" s="229"/>
      <c r="L1576" s="229">
        <f>SUM(ventas_b_mes11[[#This Row],[IMPORTE NETO]:[EXENTO]])</f>
        <v>6415</v>
      </c>
      <c r="M1576" s="55"/>
    </row>
    <row r="1577" spans="2:13" x14ac:dyDescent="0.3">
      <c r="B1577" s="223">
        <v>44846</v>
      </c>
      <c r="C1577" s="224">
        <v>6</v>
      </c>
      <c r="D1577" s="225">
        <v>11</v>
      </c>
      <c r="E1577" s="226">
        <v>29641</v>
      </c>
      <c r="F1577" s="227">
        <v>9587412</v>
      </c>
      <c r="G1577" s="1"/>
      <c r="H1577" s="60">
        <v>5652.89</v>
      </c>
      <c r="I1577" s="228">
        <v>1187.1099999999999</v>
      </c>
      <c r="J1577" s="229"/>
      <c r="K1577" s="229"/>
      <c r="L1577" s="229">
        <f>SUM(ventas_b_mes11[[#This Row],[IMPORTE NETO]:[EXENTO]])</f>
        <v>6840</v>
      </c>
      <c r="M1577" s="55"/>
    </row>
    <row r="1578" spans="2:13" x14ac:dyDescent="0.3">
      <c r="B1578" s="223">
        <v>44846</v>
      </c>
      <c r="C1578" s="224">
        <v>6</v>
      </c>
      <c r="D1578" s="225">
        <v>11</v>
      </c>
      <c r="E1578" s="226">
        <v>29642</v>
      </c>
      <c r="F1578" s="227">
        <v>93334072</v>
      </c>
      <c r="G1578" s="1" t="s">
        <v>597</v>
      </c>
      <c r="H1578" s="60">
        <v>3895.04</v>
      </c>
      <c r="I1578" s="228">
        <v>817.96</v>
      </c>
      <c r="J1578" s="229"/>
      <c r="K1578" s="229"/>
      <c r="L1578" s="229">
        <f>SUM(ventas_b_mes11[[#This Row],[IMPORTE NETO]:[EXENTO]])</f>
        <v>4713</v>
      </c>
      <c r="M1578" s="55"/>
    </row>
    <row r="1579" spans="2:13" x14ac:dyDescent="0.3">
      <c r="B1579" s="223">
        <v>44846</v>
      </c>
      <c r="C1579" s="224">
        <v>6</v>
      </c>
      <c r="D1579" s="225">
        <v>11</v>
      </c>
      <c r="E1579" s="226">
        <v>29643</v>
      </c>
      <c r="F1579" s="227">
        <v>20974087</v>
      </c>
      <c r="G1579" s="1" t="s">
        <v>614</v>
      </c>
      <c r="H1579" s="60">
        <v>18110.36</v>
      </c>
      <c r="I1579" s="228">
        <v>3803.18</v>
      </c>
      <c r="J1579" s="229"/>
      <c r="K1579" s="229"/>
      <c r="L1579" s="229">
        <f>SUM(ventas_b_mes11[[#This Row],[IMPORTE NETO]:[EXENTO]])</f>
        <v>21913.54</v>
      </c>
      <c r="M1579" s="55"/>
    </row>
    <row r="1580" spans="2:13" x14ac:dyDescent="0.3">
      <c r="B1580" s="223">
        <v>44846</v>
      </c>
      <c r="C1580" s="224">
        <v>6</v>
      </c>
      <c r="D1580" s="225">
        <v>11</v>
      </c>
      <c r="E1580" s="226">
        <v>29644</v>
      </c>
      <c r="F1580" s="227">
        <v>33587963</v>
      </c>
      <c r="G1580" s="1"/>
      <c r="H1580" s="60">
        <v>1681.82</v>
      </c>
      <c r="I1580" s="228">
        <v>353.18</v>
      </c>
      <c r="J1580" s="229"/>
      <c r="K1580" s="229"/>
      <c r="L1580" s="229">
        <f>SUM(ventas_b_mes11[[#This Row],[IMPORTE NETO]:[EXENTO]])</f>
        <v>2035</v>
      </c>
      <c r="M1580" s="55"/>
    </row>
    <row r="1581" spans="2:13" x14ac:dyDescent="0.3">
      <c r="B1581" s="223">
        <v>44846</v>
      </c>
      <c r="C1581" s="224">
        <v>6</v>
      </c>
      <c r="D1581" s="225">
        <v>11</v>
      </c>
      <c r="E1581" s="226">
        <v>29645</v>
      </c>
      <c r="F1581" s="227">
        <v>20945273</v>
      </c>
      <c r="G1581" s="1" t="s">
        <v>588</v>
      </c>
      <c r="H1581" s="60">
        <v>2268.6</v>
      </c>
      <c r="I1581" s="228">
        <v>476.4</v>
      </c>
      <c r="J1581" s="229"/>
      <c r="K1581" s="229"/>
      <c r="L1581" s="229">
        <f>SUM(ventas_b_mes11[[#This Row],[IMPORTE NETO]:[EXENTO]])</f>
        <v>2745</v>
      </c>
      <c r="M1581" s="55"/>
    </row>
    <row r="1582" spans="2:13" x14ac:dyDescent="0.3">
      <c r="B1582" s="223">
        <v>44846</v>
      </c>
      <c r="C1582" s="224">
        <v>6</v>
      </c>
      <c r="D1582" s="225">
        <v>11</v>
      </c>
      <c r="E1582" s="226">
        <v>29646</v>
      </c>
      <c r="F1582" s="227">
        <v>16497402</v>
      </c>
      <c r="G1582" s="1" t="s">
        <v>126</v>
      </c>
      <c r="H1582" s="60">
        <v>6342.97</v>
      </c>
      <c r="I1582" s="228">
        <v>1332.02</v>
      </c>
      <c r="J1582" s="229"/>
      <c r="K1582" s="229"/>
      <c r="L1582" s="229">
        <f>SUM(ventas_b_mes11[[#This Row],[IMPORTE NETO]:[EXENTO]])</f>
        <v>7674.99</v>
      </c>
      <c r="M1582" s="55"/>
    </row>
    <row r="1583" spans="2:13" x14ac:dyDescent="0.3">
      <c r="B1583" s="223">
        <v>44846</v>
      </c>
      <c r="C1583" s="224">
        <v>6</v>
      </c>
      <c r="D1583" s="225">
        <v>11</v>
      </c>
      <c r="E1583" s="226">
        <v>29647</v>
      </c>
      <c r="F1583" s="227">
        <v>16497402</v>
      </c>
      <c r="G1583" s="1" t="s">
        <v>126</v>
      </c>
      <c r="H1583" s="60">
        <v>673.52</v>
      </c>
      <c r="I1583" s="228">
        <v>141.44</v>
      </c>
      <c r="J1583" s="229"/>
      <c r="K1583" s="229"/>
      <c r="L1583" s="229">
        <f>SUM(ventas_b_mes11[[#This Row],[IMPORTE NETO]:[EXENTO]])</f>
        <v>814.96</v>
      </c>
      <c r="M1583" s="55"/>
    </row>
    <row r="1584" spans="2:13" x14ac:dyDescent="0.3">
      <c r="B1584" s="223">
        <v>44846</v>
      </c>
      <c r="C1584" s="224">
        <v>6</v>
      </c>
      <c r="D1584" s="225">
        <v>11</v>
      </c>
      <c r="E1584" s="226">
        <v>29648</v>
      </c>
      <c r="F1584" s="227">
        <v>33587963</v>
      </c>
      <c r="G1584" s="1"/>
      <c r="H1584" s="60">
        <v>6471.07</v>
      </c>
      <c r="I1584" s="228">
        <v>1358.93</v>
      </c>
      <c r="J1584" s="229"/>
      <c r="K1584" s="229"/>
      <c r="L1584" s="229">
        <f>SUM(ventas_b_mes11[[#This Row],[IMPORTE NETO]:[EXENTO]])</f>
        <v>7830</v>
      </c>
      <c r="M1584" s="55"/>
    </row>
    <row r="1585" spans="2:13" x14ac:dyDescent="0.3">
      <c r="B1585" s="223">
        <v>44846</v>
      </c>
      <c r="C1585" s="224">
        <v>6</v>
      </c>
      <c r="D1585" s="225">
        <v>11</v>
      </c>
      <c r="E1585" s="226">
        <v>29649</v>
      </c>
      <c r="F1585" s="227">
        <v>18288478</v>
      </c>
      <c r="G1585" s="1" t="s">
        <v>613</v>
      </c>
      <c r="H1585" s="60">
        <v>1487.6</v>
      </c>
      <c r="I1585" s="228">
        <v>312.39999999999998</v>
      </c>
      <c r="J1585" s="229"/>
      <c r="K1585" s="229"/>
      <c r="L1585" s="229">
        <f>SUM(ventas_b_mes11[[#This Row],[IMPORTE NETO]:[EXENTO]])</f>
        <v>1800</v>
      </c>
      <c r="M1585" s="55"/>
    </row>
    <row r="1586" spans="2:13" x14ac:dyDescent="0.3">
      <c r="B1586" s="223">
        <v>44846</v>
      </c>
      <c r="C1586" s="224">
        <v>6</v>
      </c>
      <c r="D1586" s="225">
        <v>11</v>
      </c>
      <c r="E1586" s="226">
        <v>29650</v>
      </c>
      <c r="F1586" s="227">
        <v>19017457</v>
      </c>
      <c r="G1586" s="1" t="s">
        <v>591</v>
      </c>
      <c r="H1586" s="60">
        <v>10020.66</v>
      </c>
      <c r="I1586" s="228">
        <v>2104.34</v>
      </c>
      <c r="J1586" s="229"/>
      <c r="K1586" s="229"/>
      <c r="L1586" s="229">
        <f>SUM(ventas_b_mes11[[#This Row],[IMPORTE NETO]:[EXENTO]])</f>
        <v>12125</v>
      </c>
      <c r="M1586" s="55"/>
    </row>
    <row r="1587" spans="2:13" x14ac:dyDescent="0.3">
      <c r="B1587" s="223">
        <v>44846</v>
      </c>
      <c r="C1587" s="224">
        <v>6</v>
      </c>
      <c r="D1587" s="225">
        <v>11</v>
      </c>
      <c r="E1587" s="226">
        <v>29651</v>
      </c>
      <c r="F1587" s="227">
        <v>10280141</v>
      </c>
      <c r="G1587" s="1" t="s">
        <v>592</v>
      </c>
      <c r="H1587" s="60">
        <v>5851.24</v>
      </c>
      <c r="I1587" s="228">
        <v>1228.76</v>
      </c>
      <c r="J1587" s="229"/>
      <c r="K1587" s="229"/>
      <c r="L1587" s="229">
        <f>SUM(ventas_b_mes11[[#This Row],[IMPORTE NETO]:[EXENTO]])</f>
        <v>7080</v>
      </c>
      <c r="M1587" s="55"/>
    </row>
    <row r="1588" spans="2:13" x14ac:dyDescent="0.3">
      <c r="B1588" s="223">
        <v>44846</v>
      </c>
      <c r="C1588" s="224">
        <v>6</v>
      </c>
      <c r="D1588" s="225">
        <v>11</v>
      </c>
      <c r="E1588" s="226">
        <v>29652</v>
      </c>
      <c r="F1588" s="227">
        <v>18288478</v>
      </c>
      <c r="G1588" s="1" t="s">
        <v>613</v>
      </c>
      <c r="H1588" s="60">
        <v>2744.63</v>
      </c>
      <c r="I1588" s="228">
        <v>576.37</v>
      </c>
      <c r="J1588" s="229"/>
      <c r="K1588" s="229"/>
      <c r="L1588" s="229">
        <f>SUM(ventas_b_mes11[[#This Row],[IMPORTE NETO]:[EXENTO]])</f>
        <v>3321</v>
      </c>
      <c r="M1588" s="55"/>
    </row>
    <row r="1589" spans="2:13" x14ac:dyDescent="0.3">
      <c r="B1589" s="223">
        <v>44846</v>
      </c>
      <c r="C1589" s="224">
        <v>6</v>
      </c>
      <c r="D1589" s="225">
        <v>11</v>
      </c>
      <c r="E1589" s="226">
        <v>29653</v>
      </c>
      <c r="F1589" s="227">
        <v>22274268</v>
      </c>
      <c r="G1589" s="1" t="s">
        <v>593</v>
      </c>
      <c r="H1589" s="60">
        <v>14613.29</v>
      </c>
      <c r="I1589" s="228">
        <v>3068.79</v>
      </c>
      <c r="J1589" s="229"/>
      <c r="K1589" s="229"/>
      <c r="L1589" s="229">
        <f>SUM(ventas_b_mes11[[#This Row],[IMPORTE NETO]:[EXENTO]])</f>
        <v>17682.080000000002</v>
      </c>
      <c r="M1589" s="55"/>
    </row>
    <row r="1590" spans="2:13" x14ac:dyDescent="0.3">
      <c r="B1590" s="223">
        <v>44846</v>
      </c>
      <c r="C1590" s="224">
        <v>6</v>
      </c>
      <c r="D1590" s="225">
        <v>11</v>
      </c>
      <c r="E1590" s="226">
        <v>29654</v>
      </c>
      <c r="F1590" s="227">
        <v>13388299</v>
      </c>
      <c r="G1590" s="1" t="s">
        <v>621</v>
      </c>
      <c r="H1590" s="60">
        <v>5619.83</v>
      </c>
      <c r="I1590" s="228">
        <v>1180.17</v>
      </c>
      <c r="J1590" s="229"/>
      <c r="K1590" s="229"/>
      <c r="L1590" s="229">
        <f>SUM(ventas_b_mes11[[#This Row],[IMPORTE NETO]:[EXENTO]])</f>
        <v>6800</v>
      </c>
      <c r="M1590" s="55"/>
    </row>
    <row r="1591" spans="2:13" x14ac:dyDescent="0.3">
      <c r="B1591" s="223">
        <v>44846</v>
      </c>
      <c r="C1591" s="224">
        <v>6</v>
      </c>
      <c r="D1591" s="225">
        <v>11</v>
      </c>
      <c r="E1591" s="226">
        <v>29655</v>
      </c>
      <c r="F1591" s="227">
        <v>22274268</v>
      </c>
      <c r="G1591" s="1" t="s">
        <v>593</v>
      </c>
      <c r="H1591" s="60">
        <v>1756.2</v>
      </c>
      <c r="I1591" s="228">
        <v>368.8</v>
      </c>
      <c r="J1591" s="229"/>
      <c r="K1591" s="229"/>
      <c r="L1591" s="229">
        <f>SUM(ventas_b_mes11[[#This Row],[IMPORTE NETO]:[EXENTO]])</f>
        <v>2125</v>
      </c>
      <c r="M1591" s="55"/>
    </row>
    <row r="1592" spans="2:13" x14ac:dyDescent="0.3">
      <c r="B1592" s="223">
        <v>44846</v>
      </c>
      <c r="C1592" s="224">
        <v>6</v>
      </c>
      <c r="D1592" s="225">
        <v>11</v>
      </c>
      <c r="E1592" s="226">
        <v>29656</v>
      </c>
      <c r="F1592" s="227">
        <v>0</v>
      </c>
      <c r="G1592" s="1"/>
      <c r="H1592" s="60">
        <v>991.74</v>
      </c>
      <c r="I1592" s="228">
        <v>208.26</v>
      </c>
      <c r="J1592" s="229"/>
      <c r="K1592" s="229"/>
      <c r="L1592" s="229">
        <f>SUM(ventas_b_mes11[[#This Row],[IMPORTE NETO]:[EXENTO]])</f>
        <v>1200</v>
      </c>
      <c r="M1592" s="55"/>
    </row>
    <row r="1593" spans="2:13" x14ac:dyDescent="0.3">
      <c r="B1593" s="223">
        <v>44846</v>
      </c>
      <c r="C1593" s="224">
        <v>6</v>
      </c>
      <c r="D1593" s="225">
        <v>11</v>
      </c>
      <c r="E1593" s="226">
        <v>29657</v>
      </c>
      <c r="F1593" s="227">
        <v>36990057</v>
      </c>
      <c r="G1593" s="1" t="s">
        <v>598</v>
      </c>
      <c r="H1593" s="60">
        <v>2685.95</v>
      </c>
      <c r="I1593" s="228">
        <v>564.04999999999995</v>
      </c>
      <c r="J1593" s="229"/>
      <c r="K1593" s="229"/>
      <c r="L1593" s="229">
        <f>SUM(ventas_b_mes11[[#This Row],[IMPORTE NETO]:[EXENTO]])</f>
        <v>3250</v>
      </c>
      <c r="M1593" s="55"/>
    </row>
    <row r="1594" spans="2:13" x14ac:dyDescent="0.3">
      <c r="B1594" s="223">
        <v>44846</v>
      </c>
      <c r="C1594" s="224">
        <v>6</v>
      </c>
      <c r="D1594" s="225">
        <v>11</v>
      </c>
      <c r="E1594" s="226">
        <v>29658</v>
      </c>
      <c r="F1594" s="227">
        <v>36990057</v>
      </c>
      <c r="G1594" s="1" t="s">
        <v>598</v>
      </c>
      <c r="H1594" s="60">
        <v>4545.45</v>
      </c>
      <c r="I1594" s="228">
        <v>954.55</v>
      </c>
      <c r="J1594" s="229"/>
      <c r="K1594" s="229"/>
      <c r="L1594" s="229">
        <f>SUM(ventas_b_mes11[[#This Row],[IMPORTE NETO]:[EXENTO]])</f>
        <v>5500</v>
      </c>
      <c r="M1594" s="55"/>
    </row>
    <row r="1595" spans="2:13" x14ac:dyDescent="0.3">
      <c r="B1595" s="223">
        <v>44846</v>
      </c>
      <c r="C1595" s="224">
        <v>6</v>
      </c>
      <c r="D1595" s="225">
        <v>11</v>
      </c>
      <c r="E1595" s="226">
        <v>29659</v>
      </c>
      <c r="F1595" s="227">
        <v>14340921</v>
      </c>
      <c r="G1595" s="1" t="s">
        <v>611</v>
      </c>
      <c r="H1595" s="60">
        <v>2685.95</v>
      </c>
      <c r="I1595" s="228">
        <v>564.04999999999995</v>
      </c>
      <c r="J1595" s="229"/>
      <c r="K1595" s="229"/>
      <c r="L1595" s="229">
        <f>SUM(ventas_b_mes11[[#This Row],[IMPORTE NETO]:[EXENTO]])</f>
        <v>3250</v>
      </c>
      <c r="M1595" s="55"/>
    </row>
    <row r="1596" spans="2:13" x14ac:dyDescent="0.3">
      <c r="B1596" s="223">
        <v>44846</v>
      </c>
      <c r="C1596" s="224">
        <v>6</v>
      </c>
      <c r="D1596" s="225">
        <v>11</v>
      </c>
      <c r="E1596" s="226">
        <v>29660</v>
      </c>
      <c r="F1596" s="227">
        <v>22922032</v>
      </c>
      <c r="G1596" s="1" t="s">
        <v>608</v>
      </c>
      <c r="H1596" s="60">
        <v>5915.7</v>
      </c>
      <c r="I1596" s="228">
        <v>1242.3</v>
      </c>
      <c r="J1596" s="229"/>
      <c r="K1596" s="229"/>
      <c r="L1596" s="229">
        <f>SUM(ventas_b_mes11[[#This Row],[IMPORTE NETO]:[EXENTO]])</f>
        <v>7158</v>
      </c>
      <c r="M1596" s="55"/>
    </row>
    <row r="1597" spans="2:13" x14ac:dyDescent="0.3">
      <c r="B1597" s="223">
        <v>44846</v>
      </c>
      <c r="C1597" s="224">
        <v>6</v>
      </c>
      <c r="D1597" s="225">
        <v>11</v>
      </c>
      <c r="E1597" s="226">
        <v>29661</v>
      </c>
      <c r="F1597" s="227">
        <v>30098795</v>
      </c>
      <c r="G1597" s="1" t="s">
        <v>601</v>
      </c>
      <c r="H1597" s="60">
        <v>5969.01</v>
      </c>
      <c r="I1597" s="228">
        <v>1253.49</v>
      </c>
      <c r="J1597" s="229"/>
      <c r="K1597" s="229"/>
      <c r="L1597" s="229">
        <f>SUM(ventas_b_mes11[[#This Row],[IMPORTE NETO]:[EXENTO]])</f>
        <v>7222.5</v>
      </c>
      <c r="M1597" s="55"/>
    </row>
    <row r="1598" spans="2:13" x14ac:dyDescent="0.3">
      <c r="B1598" s="223">
        <v>44846</v>
      </c>
      <c r="C1598" s="224">
        <v>6</v>
      </c>
      <c r="D1598" s="225">
        <v>11</v>
      </c>
      <c r="E1598" s="226">
        <v>29662</v>
      </c>
      <c r="F1598" s="227">
        <v>25072732</v>
      </c>
      <c r="G1598" s="1" t="s">
        <v>303</v>
      </c>
      <c r="H1598" s="60">
        <v>1931.82</v>
      </c>
      <c r="I1598" s="228">
        <v>405.68</v>
      </c>
      <c r="J1598" s="229"/>
      <c r="K1598" s="229"/>
      <c r="L1598" s="229">
        <f>SUM(ventas_b_mes11[[#This Row],[IMPORTE NETO]:[EXENTO]])</f>
        <v>2337.5</v>
      </c>
      <c r="M1598" s="55"/>
    </row>
    <row r="1599" spans="2:13" x14ac:dyDescent="0.3">
      <c r="B1599" s="223">
        <v>44847</v>
      </c>
      <c r="C1599" s="224">
        <v>6</v>
      </c>
      <c r="D1599" s="225">
        <v>11</v>
      </c>
      <c r="E1599" s="226">
        <v>29663</v>
      </c>
      <c r="F1599" s="227">
        <v>18573238</v>
      </c>
      <c r="G1599" s="1" t="s">
        <v>633</v>
      </c>
      <c r="H1599" s="60">
        <v>5015.7</v>
      </c>
      <c r="I1599" s="228">
        <v>1053.3</v>
      </c>
      <c r="J1599" s="229"/>
      <c r="K1599" s="229"/>
      <c r="L1599" s="229">
        <f>SUM(ventas_b_mes11[[#This Row],[IMPORTE NETO]:[EXENTO]])</f>
        <v>6069</v>
      </c>
      <c r="M1599" s="55"/>
    </row>
    <row r="1600" spans="2:13" x14ac:dyDescent="0.3">
      <c r="B1600" s="223">
        <v>44847</v>
      </c>
      <c r="C1600" s="224">
        <v>6</v>
      </c>
      <c r="D1600" s="225">
        <v>11</v>
      </c>
      <c r="E1600" s="226">
        <v>29664</v>
      </c>
      <c r="F1600" s="227">
        <v>31380849</v>
      </c>
      <c r="G1600" s="1" t="s">
        <v>655</v>
      </c>
      <c r="H1600" s="60">
        <v>7148.76</v>
      </c>
      <c r="I1600" s="228">
        <v>1501.24</v>
      </c>
      <c r="J1600" s="229"/>
      <c r="K1600" s="229"/>
      <c r="L1600" s="229">
        <f>SUM(ventas_b_mes11[[#This Row],[IMPORTE NETO]:[EXENTO]])</f>
        <v>8650</v>
      </c>
      <c r="M1600" s="55"/>
    </row>
    <row r="1601" spans="2:13" x14ac:dyDescent="0.3">
      <c r="B1601" s="223">
        <v>44847</v>
      </c>
      <c r="C1601" s="224">
        <v>6</v>
      </c>
      <c r="D1601" s="225">
        <v>11</v>
      </c>
      <c r="E1601" s="226">
        <v>29665</v>
      </c>
      <c r="F1601" s="227">
        <v>18573238</v>
      </c>
      <c r="G1601" s="1" t="s">
        <v>633</v>
      </c>
      <c r="H1601" s="60">
        <v>3673.56</v>
      </c>
      <c r="I1601" s="228">
        <v>771.45</v>
      </c>
      <c r="J1601" s="229"/>
      <c r="K1601" s="229"/>
      <c r="L1601" s="229">
        <f>SUM(ventas_b_mes11[[#This Row],[IMPORTE NETO]:[EXENTO]])</f>
        <v>4445.01</v>
      </c>
      <c r="M1601" s="55"/>
    </row>
    <row r="1602" spans="2:13" x14ac:dyDescent="0.3">
      <c r="B1602" s="223">
        <v>44847</v>
      </c>
      <c r="C1602" s="224">
        <v>6</v>
      </c>
      <c r="D1602" s="225">
        <v>11</v>
      </c>
      <c r="E1602" s="226">
        <v>29666</v>
      </c>
      <c r="F1602" s="227">
        <v>34999032089</v>
      </c>
      <c r="G1602" s="1" t="s">
        <v>568</v>
      </c>
      <c r="H1602" s="60">
        <v>6774.38</v>
      </c>
      <c r="I1602" s="228">
        <v>1422.62</v>
      </c>
      <c r="J1602" s="229"/>
      <c r="K1602" s="229"/>
      <c r="L1602" s="229">
        <f>SUM(ventas_b_mes11[[#This Row],[IMPORTE NETO]:[EXENTO]])</f>
        <v>8197</v>
      </c>
      <c r="M1602" s="55"/>
    </row>
    <row r="1603" spans="2:13" x14ac:dyDescent="0.3">
      <c r="B1603" s="223">
        <v>44847</v>
      </c>
      <c r="C1603" s="224">
        <v>6</v>
      </c>
      <c r="D1603" s="225">
        <v>11</v>
      </c>
      <c r="E1603" s="226">
        <v>29667</v>
      </c>
      <c r="F1603" s="227">
        <v>34999032089</v>
      </c>
      <c r="G1603" s="1" t="s">
        <v>568</v>
      </c>
      <c r="H1603" s="60">
        <v>2221.4899999999998</v>
      </c>
      <c r="I1603" s="228">
        <v>466.51</v>
      </c>
      <c r="J1603" s="229"/>
      <c r="K1603" s="229"/>
      <c r="L1603" s="229">
        <f>SUM(ventas_b_mes11[[#This Row],[IMPORTE NETO]:[EXENTO]])</f>
        <v>2688</v>
      </c>
      <c r="M1603" s="55"/>
    </row>
    <row r="1604" spans="2:13" x14ac:dyDescent="0.3">
      <c r="B1604" s="223">
        <v>44847</v>
      </c>
      <c r="C1604" s="224">
        <v>6</v>
      </c>
      <c r="D1604" s="225">
        <v>11</v>
      </c>
      <c r="E1604" s="226">
        <v>29668</v>
      </c>
      <c r="F1604" s="227">
        <v>0</v>
      </c>
      <c r="G1604" s="1"/>
      <c r="H1604" s="60">
        <v>1528.93</v>
      </c>
      <c r="I1604" s="228">
        <v>321.08</v>
      </c>
      <c r="J1604" s="229"/>
      <c r="K1604" s="229"/>
      <c r="L1604" s="229">
        <f>SUM(ventas_b_mes11[[#This Row],[IMPORTE NETO]:[EXENTO]])</f>
        <v>1850.01</v>
      </c>
      <c r="M1604" s="55"/>
    </row>
    <row r="1605" spans="2:13" x14ac:dyDescent="0.3">
      <c r="B1605" s="223">
        <v>44847</v>
      </c>
      <c r="C1605" s="224">
        <v>6</v>
      </c>
      <c r="D1605" s="225">
        <v>11</v>
      </c>
      <c r="E1605" s="226">
        <v>29669</v>
      </c>
      <c r="F1605" s="227">
        <v>16454169</v>
      </c>
      <c r="G1605" s="1" t="s">
        <v>657</v>
      </c>
      <c r="H1605" s="60">
        <v>1404.96</v>
      </c>
      <c r="I1605" s="228">
        <v>295.04000000000002</v>
      </c>
      <c r="J1605" s="229"/>
      <c r="K1605" s="229"/>
      <c r="L1605" s="229">
        <f>SUM(ventas_b_mes11[[#This Row],[IMPORTE NETO]:[EXENTO]])</f>
        <v>1700</v>
      </c>
      <c r="M1605" s="55"/>
    </row>
    <row r="1606" spans="2:13" x14ac:dyDescent="0.3">
      <c r="B1606" s="223">
        <v>44847</v>
      </c>
      <c r="C1606" s="224">
        <v>6</v>
      </c>
      <c r="D1606" s="225">
        <v>11</v>
      </c>
      <c r="E1606" s="226">
        <v>29670</v>
      </c>
      <c r="F1606" s="227">
        <v>6436196</v>
      </c>
      <c r="G1606" s="1" t="s">
        <v>157</v>
      </c>
      <c r="H1606" s="60">
        <v>1983.47</v>
      </c>
      <c r="I1606" s="228">
        <v>416.53</v>
      </c>
      <c r="J1606" s="229"/>
      <c r="K1606" s="229"/>
      <c r="L1606" s="229">
        <f>SUM(ventas_b_mes11[[#This Row],[IMPORTE NETO]:[EXENTO]])</f>
        <v>2400</v>
      </c>
      <c r="M1606" s="55"/>
    </row>
    <row r="1607" spans="2:13" x14ac:dyDescent="0.3">
      <c r="B1607" s="223">
        <v>44847</v>
      </c>
      <c r="C1607" s="224">
        <v>6</v>
      </c>
      <c r="D1607" s="225">
        <v>11</v>
      </c>
      <c r="E1607" s="226">
        <v>29671</v>
      </c>
      <c r="F1607" s="227">
        <v>18621526</v>
      </c>
      <c r="G1607" s="1" t="s">
        <v>653</v>
      </c>
      <c r="H1607" s="60">
        <v>4545.45</v>
      </c>
      <c r="I1607" s="228">
        <v>954.55</v>
      </c>
      <c r="J1607" s="229"/>
      <c r="K1607" s="229"/>
      <c r="L1607" s="229">
        <f>SUM(ventas_b_mes11[[#This Row],[IMPORTE NETO]:[EXENTO]])</f>
        <v>5500</v>
      </c>
      <c r="M1607" s="55"/>
    </row>
    <row r="1608" spans="2:13" x14ac:dyDescent="0.3">
      <c r="B1608" s="223">
        <v>44847</v>
      </c>
      <c r="C1608" s="224">
        <v>6</v>
      </c>
      <c r="D1608" s="225">
        <v>11</v>
      </c>
      <c r="E1608" s="226">
        <v>29672</v>
      </c>
      <c r="F1608" s="227">
        <v>96040874</v>
      </c>
      <c r="G1608" s="1" t="s">
        <v>656</v>
      </c>
      <c r="H1608" s="60">
        <v>7325.62</v>
      </c>
      <c r="I1608" s="228">
        <v>1538.38</v>
      </c>
      <c r="J1608" s="229"/>
      <c r="K1608" s="229"/>
      <c r="L1608" s="229">
        <f>SUM(ventas_b_mes11[[#This Row],[IMPORTE NETO]:[EXENTO]])</f>
        <v>8864</v>
      </c>
      <c r="M1608" s="55"/>
    </row>
    <row r="1609" spans="2:13" x14ac:dyDescent="0.3">
      <c r="B1609" s="223">
        <v>44848</v>
      </c>
      <c r="C1609" s="224">
        <v>6</v>
      </c>
      <c r="D1609" s="225">
        <v>11</v>
      </c>
      <c r="E1609" s="226">
        <v>29673</v>
      </c>
      <c r="F1609" s="227">
        <v>13256715</v>
      </c>
      <c r="G1609" s="1" t="s">
        <v>137</v>
      </c>
      <c r="H1609" s="60">
        <v>14381.82</v>
      </c>
      <c r="I1609" s="228">
        <v>3020.18</v>
      </c>
      <c r="J1609" s="229"/>
      <c r="K1609" s="229"/>
      <c r="L1609" s="229">
        <f>SUM(ventas_b_mes11[[#This Row],[IMPORTE NETO]:[EXENTO]])</f>
        <v>17402</v>
      </c>
      <c r="M1609" s="55"/>
    </row>
    <row r="1610" spans="2:13" x14ac:dyDescent="0.3">
      <c r="B1610" s="223">
        <v>44848</v>
      </c>
      <c r="C1610" s="224">
        <v>6</v>
      </c>
      <c r="D1610" s="225">
        <v>11</v>
      </c>
      <c r="E1610" s="226">
        <v>29674</v>
      </c>
      <c r="F1610" s="227">
        <v>13256715</v>
      </c>
      <c r="G1610" s="1" t="s">
        <v>137</v>
      </c>
      <c r="H1610" s="60">
        <v>1475.21</v>
      </c>
      <c r="I1610" s="228">
        <v>309.79000000000002</v>
      </c>
      <c r="J1610" s="229"/>
      <c r="K1610" s="229"/>
      <c r="L1610" s="229">
        <f>SUM(ventas_b_mes11[[#This Row],[IMPORTE NETO]:[EXENTO]])</f>
        <v>1785</v>
      </c>
      <c r="M1610" s="55"/>
    </row>
    <row r="1611" spans="2:13" x14ac:dyDescent="0.3">
      <c r="B1611" s="223">
        <v>44848</v>
      </c>
      <c r="C1611" s="224">
        <v>6</v>
      </c>
      <c r="D1611" s="225">
        <v>11</v>
      </c>
      <c r="E1611" s="226">
        <v>29675</v>
      </c>
      <c r="F1611" s="227">
        <v>0</v>
      </c>
      <c r="G1611" s="1"/>
      <c r="H1611" s="60">
        <v>3123.97</v>
      </c>
      <c r="I1611" s="228">
        <v>656.03</v>
      </c>
      <c r="J1611" s="229"/>
      <c r="K1611" s="229"/>
      <c r="L1611" s="229">
        <f>SUM(ventas_b_mes11[[#This Row],[IMPORTE NETO]:[EXENTO]])</f>
        <v>3780</v>
      </c>
      <c r="M1611" s="55"/>
    </row>
    <row r="1612" spans="2:13" x14ac:dyDescent="0.3">
      <c r="B1612" s="223">
        <v>44848</v>
      </c>
      <c r="C1612" s="224">
        <v>6</v>
      </c>
      <c r="D1612" s="225">
        <v>11</v>
      </c>
      <c r="E1612" s="226">
        <v>29676</v>
      </c>
      <c r="F1612" s="227">
        <v>0</v>
      </c>
      <c r="G1612" s="1"/>
      <c r="H1612" s="60">
        <v>3057.85</v>
      </c>
      <c r="I1612" s="228">
        <v>642.15</v>
      </c>
      <c r="J1612" s="229"/>
      <c r="K1612" s="229"/>
      <c r="L1612" s="229">
        <f>SUM(ventas_b_mes11[[#This Row],[IMPORTE NETO]:[EXENTO]])</f>
        <v>3700</v>
      </c>
      <c r="M1612" s="55"/>
    </row>
    <row r="1613" spans="2:13" x14ac:dyDescent="0.3">
      <c r="B1613" s="223">
        <v>44848</v>
      </c>
      <c r="C1613" s="224">
        <v>6</v>
      </c>
      <c r="D1613" s="225">
        <v>11</v>
      </c>
      <c r="E1613" s="226">
        <v>29677</v>
      </c>
      <c r="F1613" s="227">
        <v>18905338</v>
      </c>
      <c r="G1613" s="1" t="s">
        <v>662</v>
      </c>
      <c r="H1613" s="60">
        <v>10979.75</v>
      </c>
      <c r="I1613" s="228">
        <v>2305.75</v>
      </c>
      <c r="J1613" s="229"/>
      <c r="K1613" s="229"/>
      <c r="L1613" s="229">
        <f>SUM(ventas_b_mes11[[#This Row],[IMPORTE NETO]:[EXENTO]])</f>
        <v>13285.5</v>
      </c>
      <c r="M1613" s="55"/>
    </row>
    <row r="1614" spans="2:13" x14ac:dyDescent="0.3">
      <c r="B1614" s="223">
        <v>44848</v>
      </c>
      <c r="C1614" s="224">
        <v>6</v>
      </c>
      <c r="D1614" s="225">
        <v>11</v>
      </c>
      <c r="E1614" s="226">
        <v>29678</v>
      </c>
      <c r="F1614" s="227">
        <v>13147846</v>
      </c>
      <c r="G1614" s="1" t="s">
        <v>684</v>
      </c>
      <c r="H1614" s="60">
        <v>3012.4</v>
      </c>
      <c r="I1614" s="228">
        <v>632.6</v>
      </c>
      <c r="J1614" s="229"/>
      <c r="K1614" s="229"/>
      <c r="L1614" s="229">
        <f>SUM(ventas_b_mes11[[#This Row],[IMPORTE NETO]:[EXENTO]])</f>
        <v>3645</v>
      </c>
      <c r="M1614" s="55"/>
    </row>
    <row r="1615" spans="2:13" x14ac:dyDescent="0.3">
      <c r="B1615" s="223">
        <v>44848</v>
      </c>
      <c r="C1615" s="224">
        <v>6</v>
      </c>
      <c r="D1615" s="225">
        <v>11</v>
      </c>
      <c r="E1615" s="226">
        <v>29679</v>
      </c>
      <c r="F1615" s="227">
        <v>6436196</v>
      </c>
      <c r="G1615" s="1" t="s">
        <v>157</v>
      </c>
      <c r="H1615" s="60">
        <v>10115.709999999999</v>
      </c>
      <c r="I1615" s="228">
        <v>2124.3000000000002</v>
      </c>
      <c r="J1615" s="229"/>
      <c r="K1615" s="229"/>
      <c r="L1615" s="229">
        <f>SUM(ventas_b_mes11[[#This Row],[IMPORTE NETO]:[EXENTO]])</f>
        <v>12240.009999999998</v>
      </c>
      <c r="M1615" s="55"/>
    </row>
    <row r="1616" spans="2:13" x14ac:dyDescent="0.3">
      <c r="B1616" s="223">
        <v>44848</v>
      </c>
      <c r="C1616" s="224">
        <v>6</v>
      </c>
      <c r="D1616" s="225">
        <v>11</v>
      </c>
      <c r="E1616" s="226">
        <v>29680</v>
      </c>
      <c r="F1616" s="227">
        <v>28147987</v>
      </c>
      <c r="G1616" s="1" t="s">
        <v>217</v>
      </c>
      <c r="H1616" s="60">
        <v>2685.95</v>
      </c>
      <c r="I1616" s="228">
        <v>564.04999999999995</v>
      </c>
      <c r="J1616" s="229"/>
      <c r="K1616" s="229"/>
      <c r="L1616" s="229">
        <f>SUM(ventas_b_mes11[[#This Row],[IMPORTE NETO]:[EXENTO]])</f>
        <v>3250</v>
      </c>
      <c r="M1616" s="55"/>
    </row>
    <row r="1617" spans="2:13" x14ac:dyDescent="0.3">
      <c r="B1617" s="223">
        <v>44848</v>
      </c>
      <c r="C1617" s="224">
        <v>6</v>
      </c>
      <c r="D1617" s="225">
        <v>11</v>
      </c>
      <c r="E1617" s="226">
        <v>29681</v>
      </c>
      <c r="F1617" s="227">
        <v>21476196</v>
      </c>
      <c r="G1617" s="1" t="s">
        <v>233</v>
      </c>
      <c r="H1617" s="60">
        <v>6780.99</v>
      </c>
      <c r="I1617" s="228">
        <v>1424.01</v>
      </c>
      <c r="J1617" s="229"/>
      <c r="K1617" s="229"/>
      <c r="L1617" s="229">
        <f>SUM(ventas_b_mes11[[#This Row],[IMPORTE NETO]:[EXENTO]])</f>
        <v>8205</v>
      </c>
      <c r="M1617" s="55"/>
    </row>
    <row r="1618" spans="2:13" x14ac:dyDescent="0.3">
      <c r="B1618" s="223">
        <v>44848</v>
      </c>
      <c r="C1618" s="224">
        <v>6</v>
      </c>
      <c r="D1618" s="225">
        <v>11</v>
      </c>
      <c r="E1618" s="226">
        <v>29682</v>
      </c>
      <c r="F1618" s="227">
        <v>21476196</v>
      </c>
      <c r="G1618" s="1" t="s">
        <v>233</v>
      </c>
      <c r="H1618" s="60">
        <v>1488.11</v>
      </c>
      <c r="I1618" s="228">
        <v>312.5</v>
      </c>
      <c r="J1618" s="229"/>
      <c r="K1618" s="229"/>
      <c r="L1618" s="229">
        <f>SUM(ventas_b_mes11[[#This Row],[IMPORTE NETO]:[EXENTO]])</f>
        <v>1800.61</v>
      </c>
      <c r="M1618" s="55"/>
    </row>
    <row r="1619" spans="2:13" x14ac:dyDescent="0.3">
      <c r="B1619" s="223">
        <v>44848</v>
      </c>
      <c r="C1619" s="224">
        <v>6</v>
      </c>
      <c r="D1619" s="225">
        <v>11</v>
      </c>
      <c r="E1619" s="226">
        <v>29683</v>
      </c>
      <c r="F1619" s="227">
        <v>0</v>
      </c>
      <c r="G1619" s="1"/>
      <c r="H1619" s="60">
        <v>2714.88</v>
      </c>
      <c r="I1619" s="228">
        <v>570.12</v>
      </c>
      <c r="J1619" s="229"/>
      <c r="K1619" s="229"/>
      <c r="L1619" s="229">
        <f>SUM(ventas_b_mes11[[#This Row],[IMPORTE NETO]:[EXENTO]])</f>
        <v>3285</v>
      </c>
      <c r="M1619" s="55"/>
    </row>
    <row r="1620" spans="2:13" x14ac:dyDescent="0.3">
      <c r="B1620" s="223">
        <v>44848</v>
      </c>
      <c r="C1620" s="224">
        <v>6</v>
      </c>
      <c r="D1620" s="225">
        <v>11</v>
      </c>
      <c r="E1620" s="226">
        <v>29684</v>
      </c>
      <c r="F1620" s="227">
        <v>30734021</v>
      </c>
      <c r="G1620" s="1" t="s">
        <v>286</v>
      </c>
      <c r="H1620" s="60">
        <v>4931.42</v>
      </c>
      <c r="I1620" s="228">
        <v>1035.5999999999999</v>
      </c>
      <c r="J1620" s="229"/>
      <c r="K1620" s="229"/>
      <c r="L1620" s="229">
        <f>SUM(ventas_b_mes11[[#This Row],[IMPORTE NETO]:[EXENTO]])</f>
        <v>5967.02</v>
      </c>
      <c r="M1620" s="55"/>
    </row>
    <row r="1621" spans="2:13" x14ac:dyDescent="0.3">
      <c r="B1621" s="223">
        <v>44848</v>
      </c>
      <c r="C1621" s="224">
        <v>6</v>
      </c>
      <c r="D1621" s="225">
        <v>11</v>
      </c>
      <c r="E1621" s="226">
        <v>29685</v>
      </c>
      <c r="F1621" s="227">
        <v>9587412</v>
      </c>
      <c r="G1621" s="1"/>
      <c r="H1621" s="60">
        <v>1933.88</v>
      </c>
      <c r="I1621" s="228">
        <v>406.12</v>
      </c>
      <c r="J1621" s="229"/>
      <c r="K1621" s="229"/>
      <c r="L1621" s="229">
        <f>SUM(ventas_b_mes11[[#This Row],[IMPORTE NETO]:[EXENTO]])</f>
        <v>2340</v>
      </c>
      <c r="M1621" s="55"/>
    </row>
    <row r="1622" spans="2:13" x14ac:dyDescent="0.3">
      <c r="B1622" s="223">
        <v>44848</v>
      </c>
      <c r="C1622" s="224">
        <v>6</v>
      </c>
      <c r="D1622" s="225">
        <v>11</v>
      </c>
      <c r="E1622" s="226">
        <v>29686</v>
      </c>
      <c r="F1622" s="227">
        <v>93547345</v>
      </c>
      <c r="G1622" s="1" t="s">
        <v>663</v>
      </c>
      <c r="H1622" s="60">
        <v>3407.02</v>
      </c>
      <c r="I1622" s="228">
        <v>715.48</v>
      </c>
      <c r="J1622" s="229"/>
      <c r="K1622" s="229"/>
      <c r="L1622" s="229">
        <f>SUM(ventas_b_mes11[[#This Row],[IMPORTE NETO]:[EXENTO]])</f>
        <v>4122.5</v>
      </c>
      <c r="M1622" s="55"/>
    </row>
    <row r="1623" spans="2:13" x14ac:dyDescent="0.3">
      <c r="B1623" s="223">
        <v>44848</v>
      </c>
      <c r="C1623" s="224">
        <v>6</v>
      </c>
      <c r="D1623" s="225">
        <v>11</v>
      </c>
      <c r="E1623" s="226">
        <v>29687</v>
      </c>
      <c r="F1623" s="227">
        <v>93547345</v>
      </c>
      <c r="G1623" s="1" t="s">
        <v>663</v>
      </c>
      <c r="H1623" s="60">
        <v>8859.5</v>
      </c>
      <c r="I1623" s="228">
        <v>1860.5</v>
      </c>
      <c r="J1623" s="229"/>
      <c r="K1623" s="229"/>
      <c r="L1623" s="229">
        <f>SUM(ventas_b_mes11[[#This Row],[IMPORTE NETO]:[EXENTO]])</f>
        <v>10720</v>
      </c>
      <c r="M1623" s="55"/>
    </row>
    <row r="1624" spans="2:13" x14ac:dyDescent="0.3">
      <c r="B1624" s="223">
        <v>44848</v>
      </c>
      <c r="C1624" s="224">
        <v>6</v>
      </c>
      <c r="D1624" s="225">
        <v>11</v>
      </c>
      <c r="E1624" s="226">
        <v>29688</v>
      </c>
      <c r="F1624" s="227">
        <v>25682601</v>
      </c>
      <c r="G1624" s="1" t="s">
        <v>666</v>
      </c>
      <c r="H1624" s="60">
        <v>5103.3100000000004</v>
      </c>
      <c r="I1624" s="228">
        <v>1071.69</v>
      </c>
      <c r="J1624" s="229"/>
      <c r="K1624" s="229"/>
      <c r="L1624" s="229">
        <f>SUM(ventas_b_mes11[[#This Row],[IMPORTE NETO]:[EXENTO]])</f>
        <v>6175</v>
      </c>
      <c r="M1624" s="55"/>
    </row>
    <row r="1625" spans="2:13" x14ac:dyDescent="0.3">
      <c r="B1625" s="223">
        <v>44848</v>
      </c>
      <c r="C1625" s="224">
        <v>6</v>
      </c>
      <c r="D1625" s="225">
        <v>11</v>
      </c>
      <c r="E1625" s="226">
        <v>29689</v>
      </c>
      <c r="F1625" s="227">
        <v>0</v>
      </c>
      <c r="G1625" s="1"/>
      <c r="H1625" s="60">
        <v>1896.69</v>
      </c>
      <c r="I1625" s="228">
        <v>398.31</v>
      </c>
      <c r="J1625" s="229"/>
      <c r="K1625" s="229"/>
      <c r="L1625" s="229">
        <f>SUM(ventas_b_mes11[[#This Row],[IMPORTE NETO]:[EXENTO]])</f>
        <v>2295</v>
      </c>
      <c r="M1625" s="55"/>
    </row>
    <row r="1626" spans="2:13" x14ac:dyDescent="0.3">
      <c r="B1626" s="223">
        <v>44848</v>
      </c>
      <c r="C1626" s="224">
        <v>6</v>
      </c>
      <c r="D1626" s="225">
        <v>11</v>
      </c>
      <c r="E1626" s="226">
        <v>29690</v>
      </c>
      <c r="F1626" s="227">
        <v>6436196</v>
      </c>
      <c r="G1626" s="1" t="s">
        <v>157</v>
      </c>
      <c r="H1626" s="60">
        <v>471.24</v>
      </c>
      <c r="I1626" s="228">
        <v>98.96</v>
      </c>
      <c r="J1626" s="229"/>
      <c r="K1626" s="229"/>
      <c r="L1626" s="229">
        <f>SUM(ventas_b_mes11[[#This Row],[IMPORTE NETO]:[EXENTO]])</f>
        <v>570.20000000000005</v>
      </c>
      <c r="M1626" s="55"/>
    </row>
    <row r="1627" spans="2:13" x14ac:dyDescent="0.3">
      <c r="B1627" s="223">
        <v>44848</v>
      </c>
      <c r="C1627" s="224">
        <v>6</v>
      </c>
      <c r="D1627" s="225">
        <v>11</v>
      </c>
      <c r="E1627" s="226">
        <v>29691</v>
      </c>
      <c r="F1627" s="227">
        <v>6436196</v>
      </c>
      <c r="G1627" s="1" t="s">
        <v>157</v>
      </c>
      <c r="H1627" s="60">
        <v>4438.0200000000004</v>
      </c>
      <c r="I1627" s="228">
        <v>931.98</v>
      </c>
      <c r="J1627" s="229"/>
      <c r="K1627" s="229"/>
      <c r="L1627" s="229">
        <f>SUM(ventas_b_mes11[[#This Row],[IMPORTE NETO]:[EXENTO]])</f>
        <v>5370</v>
      </c>
      <c r="M1627" s="55"/>
    </row>
    <row r="1628" spans="2:13" x14ac:dyDescent="0.3">
      <c r="B1628" s="223">
        <v>44848</v>
      </c>
      <c r="C1628" s="224">
        <v>6</v>
      </c>
      <c r="D1628" s="225">
        <v>11</v>
      </c>
      <c r="E1628" s="226">
        <v>29692</v>
      </c>
      <c r="F1628" s="227">
        <v>0</v>
      </c>
      <c r="G1628" s="1"/>
      <c r="H1628" s="60">
        <v>1239.67</v>
      </c>
      <c r="I1628" s="228">
        <v>260.33</v>
      </c>
      <c r="J1628" s="229"/>
      <c r="K1628" s="229"/>
      <c r="L1628" s="229">
        <f>SUM(ventas_b_mes11[[#This Row],[IMPORTE NETO]:[EXENTO]])</f>
        <v>1500</v>
      </c>
      <c r="M1628" s="55"/>
    </row>
    <row r="1629" spans="2:13" x14ac:dyDescent="0.3">
      <c r="B1629" s="223">
        <v>44848</v>
      </c>
      <c r="C1629" s="224">
        <v>6</v>
      </c>
      <c r="D1629" s="225">
        <v>11</v>
      </c>
      <c r="E1629" s="226">
        <v>29693</v>
      </c>
      <c r="F1629" s="227">
        <v>0</v>
      </c>
      <c r="G1629" s="1"/>
      <c r="H1629" s="60">
        <v>727.27</v>
      </c>
      <c r="I1629" s="228">
        <v>152.72999999999999</v>
      </c>
      <c r="J1629" s="229"/>
      <c r="K1629" s="229"/>
      <c r="L1629" s="229">
        <f>SUM(ventas_b_mes11[[#This Row],[IMPORTE NETO]:[EXENTO]])</f>
        <v>880</v>
      </c>
      <c r="M1629" s="55"/>
    </row>
    <row r="1630" spans="2:13" x14ac:dyDescent="0.3">
      <c r="B1630" s="223">
        <v>44849</v>
      </c>
      <c r="C1630" s="224">
        <v>6</v>
      </c>
      <c r="D1630" s="225">
        <v>11</v>
      </c>
      <c r="E1630" s="226">
        <v>29694</v>
      </c>
      <c r="F1630" s="227">
        <v>16232863</v>
      </c>
      <c r="G1630" s="1" t="s">
        <v>375</v>
      </c>
      <c r="H1630" s="60">
        <v>9090.91</v>
      </c>
      <c r="I1630" s="228">
        <v>1909.09</v>
      </c>
      <c r="J1630" s="229"/>
      <c r="K1630" s="229"/>
      <c r="L1630" s="229">
        <f>SUM(ventas_b_mes11[[#This Row],[IMPORTE NETO]:[EXENTO]])</f>
        <v>11000</v>
      </c>
      <c r="M1630" s="55"/>
    </row>
    <row r="1631" spans="2:13" x14ac:dyDescent="0.3">
      <c r="B1631" s="223">
        <v>44849</v>
      </c>
      <c r="C1631" s="224">
        <v>6</v>
      </c>
      <c r="D1631" s="225">
        <v>11</v>
      </c>
      <c r="E1631" s="226">
        <v>29695</v>
      </c>
      <c r="F1631" s="227">
        <v>35460555</v>
      </c>
      <c r="G1631" s="1" t="s">
        <v>695</v>
      </c>
      <c r="H1631" s="60">
        <v>735.54</v>
      </c>
      <c r="I1631" s="228">
        <v>154.46</v>
      </c>
      <c r="J1631" s="229"/>
      <c r="K1631" s="229"/>
      <c r="L1631" s="229">
        <f>SUM(ventas_b_mes11[[#This Row],[IMPORTE NETO]:[EXENTO]])</f>
        <v>890</v>
      </c>
      <c r="M1631" s="55"/>
    </row>
    <row r="1632" spans="2:13" x14ac:dyDescent="0.3">
      <c r="B1632" s="223">
        <v>44849</v>
      </c>
      <c r="C1632" s="224">
        <v>6</v>
      </c>
      <c r="D1632" s="225">
        <v>11</v>
      </c>
      <c r="E1632" s="226">
        <v>29696</v>
      </c>
      <c r="F1632" s="227">
        <v>95962559</v>
      </c>
      <c r="G1632" s="1" t="s">
        <v>385</v>
      </c>
      <c r="H1632" s="60">
        <v>1793.39</v>
      </c>
      <c r="I1632" s="228">
        <v>376.61</v>
      </c>
      <c r="J1632" s="229"/>
      <c r="K1632" s="229"/>
      <c r="L1632" s="229">
        <f>SUM(ventas_b_mes11[[#This Row],[IMPORTE NETO]:[EXENTO]])</f>
        <v>2170</v>
      </c>
      <c r="M1632" s="55"/>
    </row>
    <row r="1633" spans="2:13" x14ac:dyDescent="0.3">
      <c r="B1633" s="223">
        <v>44849</v>
      </c>
      <c r="C1633" s="224">
        <v>6</v>
      </c>
      <c r="D1633" s="225">
        <v>11</v>
      </c>
      <c r="E1633" s="226">
        <v>29697</v>
      </c>
      <c r="F1633" s="227">
        <v>31431284</v>
      </c>
      <c r="G1633" s="1" t="s">
        <v>297</v>
      </c>
      <c r="H1633" s="60">
        <v>4958.68</v>
      </c>
      <c r="I1633" s="228">
        <v>1041.32</v>
      </c>
      <c r="J1633" s="229"/>
      <c r="K1633" s="229"/>
      <c r="L1633" s="229">
        <f>SUM(ventas_b_mes11[[#This Row],[IMPORTE NETO]:[EXENTO]])</f>
        <v>6000</v>
      </c>
      <c r="M1633" s="55"/>
    </row>
    <row r="1634" spans="2:13" x14ac:dyDescent="0.3">
      <c r="B1634" s="223">
        <v>44849</v>
      </c>
      <c r="C1634" s="224">
        <v>6</v>
      </c>
      <c r="D1634" s="225">
        <v>11</v>
      </c>
      <c r="E1634" s="226">
        <v>29698</v>
      </c>
      <c r="F1634" s="227">
        <v>24007375</v>
      </c>
      <c r="G1634" s="1" t="s">
        <v>712</v>
      </c>
      <c r="H1634" s="60">
        <v>2780.99</v>
      </c>
      <c r="I1634" s="228">
        <v>584.01</v>
      </c>
      <c r="J1634" s="229"/>
      <c r="K1634" s="229"/>
      <c r="L1634" s="229">
        <f>SUM(ventas_b_mes11[[#This Row],[IMPORTE NETO]:[EXENTO]])</f>
        <v>3365</v>
      </c>
      <c r="M1634" s="55"/>
    </row>
    <row r="1635" spans="2:13" x14ac:dyDescent="0.3">
      <c r="B1635" s="223">
        <v>44849</v>
      </c>
      <c r="C1635" s="224">
        <v>6</v>
      </c>
      <c r="D1635" s="225">
        <v>11</v>
      </c>
      <c r="E1635" s="226">
        <v>29699</v>
      </c>
      <c r="F1635" s="227">
        <v>95804809</v>
      </c>
      <c r="G1635" s="1" t="s">
        <v>703</v>
      </c>
      <c r="H1635" s="60">
        <v>2938.02</v>
      </c>
      <c r="I1635" s="228">
        <v>616.98</v>
      </c>
      <c r="J1635" s="229"/>
      <c r="K1635" s="229"/>
      <c r="L1635" s="229">
        <f>SUM(ventas_b_mes11[[#This Row],[IMPORTE NETO]:[EXENTO]])</f>
        <v>3555</v>
      </c>
      <c r="M1635" s="55"/>
    </row>
    <row r="1636" spans="2:13" x14ac:dyDescent="0.3">
      <c r="B1636" s="223">
        <v>44849</v>
      </c>
      <c r="C1636" s="224">
        <v>6</v>
      </c>
      <c r="D1636" s="225">
        <v>11</v>
      </c>
      <c r="E1636" s="226">
        <v>29700</v>
      </c>
      <c r="F1636" s="227">
        <v>29993743</v>
      </c>
      <c r="G1636" s="1" t="s">
        <v>700</v>
      </c>
      <c r="H1636" s="60">
        <v>5363.64</v>
      </c>
      <c r="I1636" s="228">
        <v>1126.3599999999999</v>
      </c>
      <c r="J1636" s="229"/>
      <c r="K1636" s="229"/>
      <c r="L1636" s="229">
        <f>SUM(ventas_b_mes11[[#This Row],[IMPORTE NETO]:[EXENTO]])</f>
        <v>6490</v>
      </c>
      <c r="M1636" s="55"/>
    </row>
    <row r="1637" spans="2:13" x14ac:dyDescent="0.3">
      <c r="B1637" s="223">
        <v>44849</v>
      </c>
      <c r="C1637" s="224">
        <v>6</v>
      </c>
      <c r="D1637" s="225">
        <v>11</v>
      </c>
      <c r="E1637" s="226">
        <v>29701</v>
      </c>
      <c r="F1637" s="227">
        <v>22633975</v>
      </c>
      <c r="G1637" s="1" t="s">
        <v>697</v>
      </c>
      <c r="H1637" s="60">
        <v>9192.15</v>
      </c>
      <c r="I1637" s="228">
        <v>1930.35</v>
      </c>
      <c r="J1637" s="229"/>
      <c r="K1637" s="229"/>
      <c r="L1637" s="229">
        <f>SUM(ventas_b_mes11[[#This Row],[IMPORTE NETO]:[EXENTO]])</f>
        <v>11122.5</v>
      </c>
      <c r="M1637" s="55"/>
    </row>
    <row r="1638" spans="2:13" x14ac:dyDescent="0.3">
      <c r="B1638" s="223">
        <v>44849</v>
      </c>
      <c r="C1638" s="224">
        <v>6</v>
      </c>
      <c r="D1638" s="225">
        <v>11</v>
      </c>
      <c r="E1638" s="226">
        <v>29702</v>
      </c>
      <c r="F1638" s="227">
        <v>29478695</v>
      </c>
      <c r="G1638" s="1" t="s">
        <v>715</v>
      </c>
      <c r="H1638" s="60">
        <v>3057.85</v>
      </c>
      <c r="I1638" s="228">
        <v>642.15</v>
      </c>
      <c r="J1638" s="229"/>
      <c r="K1638" s="229"/>
      <c r="L1638" s="229">
        <f>SUM(ventas_b_mes11[[#This Row],[IMPORTE NETO]:[EXENTO]])</f>
        <v>3700</v>
      </c>
      <c r="M1638" s="55"/>
    </row>
    <row r="1639" spans="2:13" x14ac:dyDescent="0.3">
      <c r="B1639" s="223">
        <v>44849</v>
      </c>
      <c r="C1639" s="224">
        <v>6</v>
      </c>
      <c r="D1639" s="225">
        <v>11</v>
      </c>
      <c r="E1639" s="226">
        <v>29703</v>
      </c>
      <c r="F1639" s="227">
        <v>20957396</v>
      </c>
      <c r="G1639" s="1" t="s">
        <v>693</v>
      </c>
      <c r="H1639" s="60">
        <v>2952.89</v>
      </c>
      <c r="I1639" s="228">
        <v>620.11</v>
      </c>
      <c r="J1639" s="229"/>
      <c r="K1639" s="229"/>
      <c r="L1639" s="229">
        <f>SUM(ventas_b_mes11[[#This Row],[IMPORTE NETO]:[EXENTO]])</f>
        <v>3573</v>
      </c>
      <c r="M1639" s="55"/>
    </row>
    <row r="1640" spans="2:13" x14ac:dyDescent="0.3">
      <c r="B1640" s="223">
        <v>44849</v>
      </c>
      <c r="C1640" s="224">
        <v>6</v>
      </c>
      <c r="D1640" s="225">
        <v>11</v>
      </c>
      <c r="E1640" s="226">
        <v>29704</v>
      </c>
      <c r="F1640" s="227">
        <v>20957396</v>
      </c>
      <c r="G1640" s="1" t="s">
        <v>693</v>
      </c>
      <c r="H1640" s="60">
        <v>396.69</v>
      </c>
      <c r="I1640" s="228">
        <v>83.31</v>
      </c>
      <c r="J1640" s="229"/>
      <c r="K1640" s="229"/>
      <c r="L1640" s="229">
        <f>SUM(ventas_b_mes11[[#This Row],[IMPORTE NETO]:[EXENTO]])</f>
        <v>480</v>
      </c>
      <c r="M1640" s="55"/>
    </row>
    <row r="1641" spans="2:13" x14ac:dyDescent="0.3">
      <c r="B1641" s="223">
        <v>44849</v>
      </c>
      <c r="C1641" s="224">
        <v>6</v>
      </c>
      <c r="D1641" s="225">
        <v>11</v>
      </c>
      <c r="E1641" s="226">
        <v>29705</v>
      </c>
      <c r="F1641" s="227">
        <v>39348401</v>
      </c>
      <c r="G1641" s="1" t="s">
        <v>702</v>
      </c>
      <c r="H1641" s="60">
        <v>5177.6899999999996</v>
      </c>
      <c r="I1641" s="228">
        <v>1087.31</v>
      </c>
      <c r="J1641" s="229"/>
      <c r="K1641" s="229"/>
      <c r="L1641" s="229">
        <f>SUM(ventas_b_mes11[[#This Row],[IMPORTE NETO]:[EXENTO]])</f>
        <v>6265</v>
      </c>
      <c r="M1641" s="55"/>
    </row>
    <row r="1642" spans="2:13" x14ac:dyDescent="0.3">
      <c r="B1642" s="223">
        <v>44849</v>
      </c>
      <c r="C1642" s="224">
        <v>6</v>
      </c>
      <c r="D1642" s="225">
        <v>11</v>
      </c>
      <c r="E1642" s="226">
        <v>29706</v>
      </c>
      <c r="F1642" s="227">
        <v>39348401</v>
      </c>
      <c r="G1642" s="1" t="s">
        <v>702</v>
      </c>
      <c r="H1642" s="60">
        <v>632.23</v>
      </c>
      <c r="I1642" s="228">
        <v>132.77000000000001</v>
      </c>
      <c r="J1642" s="229"/>
      <c r="K1642" s="229"/>
      <c r="L1642" s="229">
        <f>SUM(ventas_b_mes11[[#This Row],[IMPORTE NETO]:[EXENTO]])</f>
        <v>765</v>
      </c>
      <c r="M1642" s="55"/>
    </row>
    <row r="1643" spans="2:13" x14ac:dyDescent="0.3">
      <c r="B1643" s="223">
        <v>44849</v>
      </c>
      <c r="C1643" s="224">
        <v>6</v>
      </c>
      <c r="D1643" s="225">
        <v>11</v>
      </c>
      <c r="E1643" s="226">
        <v>29707</v>
      </c>
      <c r="F1643" s="227">
        <v>13131017</v>
      </c>
      <c r="G1643" s="1" t="s">
        <v>691</v>
      </c>
      <c r="H1643" s="60">
        <v>9764.48</v>
      </c>
      <c r="I1643" s="228">
        <v>2050.54</v>
      </c>
      <c r="J1643" s="229"/>
      <c r="K1643" s="229"/>
      <c r="L1643" s="229">
        <f>SUM(ventas_b_mes11[[#This Row],[IMPORTE NETO]:[EXENTO]])</f>
        <v>11815.02</v>
      </c>
      <c r="M1643" s="55"/>
    </row>
    <row r="1644" spans="2:13" x14ac:dyDescent="0.3">
      <c r="B1644" s="223">
        <v>44849</v>
      </c>
      <c r="C1644" s="224">
        <v>6</v>
      </c>
      <c r="D1644" s="225">
        <v>11</v>
      </c>
      <c r="E1644" s="226">
        <v>29708</v>
      </c>
      <c r="F1644" s="227">
        <v>13131017</v>
      </c>
      <c r="G1644" s="1" t="s">
        <v>691</v>
      </c>
      <c r="H1644" s="60">
        <v>597.11</v>
      </c>
      <c r="I1644" s="228">
        <v>125.39</v>
      </c>
      <c r="J1644" s="229"/>
      <c r="K1644" s="229"/>
      <c r="L1644" s="229">
        <f>SUM(ventas_b_mes11[[#This Row],[IMPORTE NETO]:[EXENTO]])</f>
        <v>722.5</v>
      </c>
      <c r="M1644" s="55"/>
    </row>
    <row r="1645" spans="2:13" x14ac:dyDescent="0.3">
      <c r="B1645" s="223">
        <v>44849</v>
      </c>
      <c r="C1645" s="224">
        <v>6</v>
      </c>
      <c r="D1645" s="225">
        <v>11</v>
      </c>
      <c r="E1645" s="226">
        <v>29709</v>
      </c>
      <c r="F1645" s="227">
        <v>13131017</v>
      </c>
      <c r="G1645" s="1" t="s">
        <v>691</v>
      </c>
      <c r="H1645" s="60">
        <v>1100.23</v>
      </c>
      <c r="I1645" s="228">
        <v>231.05</v>
      </c>
      <c r="J1645" s="229"/>
      <c r="K1645" s="229"/>
      <c r="L1645" s="229">
        <f>SUM(ventas_b_mes11[[#This Row],[IMPORTE NETO]:[EXENTO]])</f>
        <v>1331.28</v>
      </c>
      <c r="M1645" s="55"/>
    </row>
    <row r="1646" spans="2:13" x14ac:dyDescent="0.3">
      <c r="B1646" s="223">
        <v>44849</v>
      </c>
      <c r="C1646" s="224">
        <v>6</v>
      </c>
      <c r="D1646" s="225">
        <v>11</v>
      </c>
      <c r="E1646" s="226">
        <v>29710</v>
      </c>
      <c r="F1646" s="227">
        <v>95586154</v>
      </c>
      <c r="G1646" s="1" t="s">
        <v>694</v>
      </c>
      <c r="H1646" s="60">
        <v>4446.6899999999996</v>
      </c>
      <c r="I1646" s="228">
        <v>933.81</v>
      </c>
      <c r="J1646" s="229"/>
      <c r="K1646" s="229"/>
      <c r="L1646" s="229">
        <f>SUM(ventas_b_mes11[[#This Row],[IMPORTE NETO]:[EXENTO]])</f>
        <v>5380.5</v>
      </c>
      <c r="M1646" s="55"/>
    </row>
    <row r="1647" spans="2:13" x14ac:dyDescent="0.3">
      <c r="B1647" s="223">
        <v>44849</v>
      </c>
      <c r="C1647" s="224">
        <v>6</v>
      </c>
      <c r="D1647" s="225">
        <v>11</v>
      </c>
      <c r="E1647" s="226">
        <v>29711</v>
      </c>
      <c r="F1647" s="227">
        <v>95512434</v>
      </c>
      <c r="G1647" s="1" t="s">
        <v>710</v>
      </c>
      <c r="H1647" s="60">
        <v>1933.88</v>
      </c>
      <c r="I1647" s="228">
        <v>406.12</v>
      </c>
      <c r="J1647" s="229"/>
      <c r="K1647" s="229"/>
      <c r="L1647" s="229">
        <f>SUM(ventas_b_mes11[[#This Row],[IMPORTE NETO]:[EXENTO]])</f>
        <v>2340</v>
      </c>
      <c r="M1647" s="55"/>
    </row>
    <row r="1648" spans="2:13" x14ac:dyDescent="0.3">
      <c r="B1648" s="223">
        <v>44851</v>
      </c>
      <c r="C1648" s="224">
        <v>6</v>
      </c>
      <c r="D1648" s="225">
        <v>11</v>
      </c>
      <c r="E1648" s="226">
        <v>29712</v>
      </c>
      <c r="F1648" s="227">
        <v>33936383</v>
      </c>
      <c r="G1648" s="1" t="s">
        <v>726</v>
      </c>
      <c r="H1648" s="60">
        <v>3305.79</v>
      </c>
      <c r="I1648" s="228">
        <v>694.21</v>
      </c>
      <c r="J1648" s="229"/>
      <c r="K1648" s="229"/>
      <c r="L1648" s="229">
        <f>SUM(ventas_b_mes11[[#This Row],[IMPORTE NETO]:[EXENTO]])</f>
        <v>4000</v>
      </c>
      <c r="M1648" s="55"/>
    </row>
    <row r="1649" spans="2:13" x14ac:dyDescent="0.3">
      <c r="B1649" s="223">
        <v>44851</v>
      </c>
      <c r="C1649" s="224">
        <v>6</v>
      </c>
      <c r="D1649" s="225">
        <v>11</v>
      </c>
      <c r="E1649" s="226">
        <v>29713</v>
      </c>
      <c r="F1649" s="227">
        <v>39588432</v>
      </c>
      <c r="G1649" s="1" t="s">
        <v>267</v>
      </c>
      <c r="H1649" s="60">
        <v>4545.45</v>
      </c>
      <c r="I1649" s="228">
        <v>954.55</v>
      </c>
      <c r="J1649" s="229"/>
      <c r="K1649" s="229"/>
      <c r="L1649" s="229">
        <f>SUM(ventas_b_mes11[[#This Row],[IMPORTE NETO]:[EXENTO]])</f>
        <v>5500</v>
      </c>
      <c r="M1649" s="55"/>
    </row>
    <row r="1650" spans="2:13" x14ac:dyDescent="0.3">
      <c r="B1650" s="223">
        <v>44851</v>
      </c>
      <c r="C1650" s="224">
        <v>6</v>
      </c>
      <c r="D1650" s="225">
        <v>11</v>
      </c>
      <c r="E1650" s="226">
        <v>29714</v>
      </c>
      <c r="F1650" s="227">
        <v>31088709</v>
      </c>
      <c r="G1650" s="1" t="s">
        <v>730</v>
      </c>
      <c r="H1650" s="60">
        <v>1322.31</v>
      </c>
      <c r="I1650" s="228">
        <v>277.69</v>
      </c>
      <c r="J1650" s="229"/>
      <c r="K1650" s="229"/>
      <c r="L1650" s="229">
        <f>SUM(ventas_b_mes11[[#This Row],[IMPORTE NETO]:[EXENTO]])</f>
        <v>1600</v>
      </c>
      <c r="M1650" s="55"/>
    </row>
    <row r="1651" spans="2:13" x14ac:dyDescent="0.3">
      <c r="B1651" s="223">
        <v>44851</v>
      </c>
      <c r="C1651" s="224">
        <v>6</v>
      </c>
      <c r="D1651" s="225">
        <v>11</v>
      </c>
      <c r="E1651" s="226">
        <v>29715</v>
      </c>
      <c r="F1651" s="227">
        <v>36401278</v>
      </c>
      <c r="G1651" s="1"/>
      <c r="H1651" s="60">
        <v>537.19000000000005</v>
      </c>
      <c r="I1651" s="228">
        <v>112.81</v>
      </c>
      <c r="J1651" s="229"/>
      <c r="K1651" s="229"/>
      <c r="L1651" s="229">
        <f>SUM(ventas_b_mes11[[#This Row],[IMPORTE NETO]:[EXENTO]])</f>
        <v>650</v>
      </c>
      <c r="M1651" s="55"/>
    </row>
    <row r="1652" spans="2:13" x14ac:dyDescent="0.3">
      <c r="B1652" s="223">
        <v>44851</v>
      </c>
      <c r="C1652" s="224">
        <v>6</v>
      </c>
      <c r="D1652" s="225">
        <v>11</v>
      </c>
      <c r="E1652" s="226">
        <v>29716</v>
      </c>
      <c r="F1652" s="227">
        <v>41758742</v>
      </c>
      <c r="G1652" s="1" t="s">
        <v>719</v>
      </c>
      <c r="H1652" s="60">
        <v>3617.77</v>
      </c>
      <c r="I1652" s="228">
        <v>759.73</v>
      </c>
      <c r="J1652" s="229"/>
      <c r="K1652" s="229"/>
      <c r="L1652" s="229">
        <f>SUM(ventas_b_mes11[[#This Row],[IMPORTE NETO]:[EXENTO]])</f>
        <v>4377.5</v>
      </c>
      <c r="M1652" s="55"/>
    </row>
    <row r="1653" spans="2:13" x14ac:dyDescent="0.3">
      <c r="B1653" s="223">
        <v>44851</v>
      </c>
      <c r="C1653" s="224">
        <v>6</v>
      </c>
      <c r="D1653" s="225">
        <v>11</v>
      </c>
      <c r="E1653" s="226">
        <v>29717</v>
      </c>
      <c r="F1653" s="227">
        <v>95586154</v>
      </c>
      <c r="G1653" s="1" t="s">
        <v>694</v>
      </c>
      <c r="H1653" s="60">
        <v>4545.45</v>
      </c>
      <c r="I1653" s="228">
        <v>954.55</v>
      </c>
      <c r="J1653" s="229"/>
      <c r="K1653" s="229"/>
      <c r="L1653" s="229">
        <f>SUM(ventas_b_mes11[[#This Row],[IMPORTE NETO]:[EXENTO]])</f>
        <v>5500</v>
      </c>
      <c r="M1653" s="55"/>
    </row>
    <row r="1654" spans="2:13" x14ac:dyDescent="0.3">
      <c r="B1654" s="223">
        <v>44851</v>
      </c>
      <c r="C1654" s="224">
        <v>6</v>
      </c>
      <c r="D1654" s="225">
        <v>11</v>
      </c>
      <c r="E1654" s="226">
        <v>29718</v>
      </c>
      <c r="F1654" s="227">
        <v>31088709</v>
      </c>
      <c r="G1654" s="1" t="s">
        <v>730</v>
      </c>
      <c r="H1654" s="60">
        <v>3176.03</v>
      </c>
      <c r="I1654" s="228">
        <v>666.97</v>
      </c>
      <c r="J1654" s="229"/>
      <c r="K1654" s="229"/>
      <c r="L1654" s="229">
        <f>SUM(ventas_b_mes11[[#This Row],[IMPORTE NETO]:[EXENTO]])</f>
        <v>3843</v>
      </c>
      <c r="M1654" s="55"/>
    </row>
    <row r="1655" spans="2:13" x14ac:dyDescent="0.3">
      <c r="B1655" s="223">
        <v>44851</v>
      </c>
      <c r="C1655" s="224">
        <v>6</v>
      </c>
      <c r="D1655" s="225">
        <v>11</v>
      </c>
      <c r="E1655" s="226">
        <v>29719</v>
      </c>
      <c r="F1655" s="227">
        <v>0</v>
      </c>
      <c r="G1655" s="1"/>
      <c r="H1655" s="60">
        <v>2863.64</v>
      </c>
      <c r="I1655" s="228">
        <v>601.36</v>
      </c>
      <c r="J1655" s="229"/>
      <c r="K1655" s="229"/>
      <c r="L1655" s="229">
        <f>SUM(ventas_b_mes11[[#This Row],[IMPORTE NETO]:[EXENTO]])</f>
        <v>3465</v>
      </c>
      <c r="M1655" s="55"/>
    </row>
    <row r="1656" spans="2:13" x14ac:dyDescent="0.3">
      <c r="B1656" s="223">
        <v>44851</v>
      </c>
      <c r="C1656" s="224">
        <v>6</v>
      </c>
      <c r="D1656" s="225">
        <v>11</v>
      </c>
      <c r="E1656" s="226">
        <v>29720</v>
      </c>
      <c r="F1656" s="227">
        <v>1254</v>
      </c>
      <c r="G1656" s="1"/>
      <c r="H1656" s="60">
        <v>4958.68</v>
      </c>
      <c r="I1656" s="228">
        <v>1041.32</v>
      </c>
      <c r="J1656" s="229"/>
      <c r="K1656" s="229"/>
      <c r="L1656" s="229">
        <f>SUM(ventas_b_mes11[[#This Row],[IMPORTE NETO]:[EXENTO]])</f>
        <v>6000</v>
      </c>
      <c r="M1656" s="55"/>
    </row>
    <row r="1657" spans="2:13" x14ac:dyDescent="0.3">
      <c r="B1657" s="223">
        <v>44851</v>
      </c>
      <c r="C1657" s="224">
        <v>6</v>
      </c>
      <c r="D1657" s="225">
        <v>11</v>
      </c>
      <c r="E1657" s="226">
        <v>29721</v>
      </c>
      <c r="F1657" s="227">
        <v>35460555</v>
      </c>
      <c r="G1657" s="1" t="s">
        <v>695</v>
      </c>
      <c r="H1657" s="60">
        <v>7851.24</v>
      </c>
      <c r="I1657" s="228">
        <v>1648.76</v>
      </c>
      <c r="J1657" s="229"/>
      <c r="K1657" s="229"/>
      <c r="L1657" s="229">
        <f>SUM(ventas_b_mes11[[#This Row],[IMPORTE NETO]:[EXENTO]])</f>
        <v>9500</v>
      </c>
      <c r="M1657" s="55"/>
    </row>
    <row r="1658" spans="2:13" x14ac:dyDescent="0.3">
      <c r="B1658" s="223">
        <v>44851</v>
      </c>
      <c r="C1658" s="224">
        <v>6</v>
      </c>
      <c r="D1658" s="225">
        <v>11</v>
      </c>
      <c r="E1658" s="226">
        <v>29722</v>
      </c>
      <c r="F1658" s="227">
        <v>18621526</v>
      </c>
      <c r="G1658" s="1" t="s">
        <v>653</v>
      </c>
      <c r="H1658" s="60">
        <v>6532.64</v>
      </c>
      <c r="I1658" s="228">
        <v>1371.86</v>
      </c>
      <c r="J1658" s="229"/>
      <c r="K1658" s="229"/>
      <c r="L1658" s="229">
        <f>SUM(ventas_b_mes11[[#This Row],[IMPORTE NETO]:[EXENTO]])</f>
        <v>7904.5</v>
      </c>
      <c r="M1658" s="55"/>
    </row>
    <row r="1659" spans="2:13" x14ac:dyDescent="0.3">
      <c r="B1659" s="223">
        <v>44851</v>
      </c>
      <c r="C1659" s="224">
        <v>6</v>
      </c>
      <c r="D1659" s="225">
        <v>11</v>
      </c>
      <c r="E1659" s="226">
        <v>29723</v>
      </c>
      <c r="F1659" s="227">
        <v>30734021</v>
      </c>
      <c r="G1659" s="1" t="s">
        <v>286</v>
      </c>
      <c r="H1659" s="60">
        <v>4545.45</v>
      </c>
      <c r="I1659" s="228">
        <v>954.55</v>
      </c>
      <c r="J1659" s="229"/>
      <c r="K1659" s="229"/>
      <c r="L1659" s="229">
        <f>SUM(ventas_b_mes11[[#This Row],[IMPORTE NETO]:[EXENTO]])</f>
        <v>5500</v>
      </c>
      <c r="M1659" s="55"/>
    </row>
    <row r="1660" spans="2:13" x14ac:dyDescent="0.3">
      <c r="B1660" s="223">
        <v>44851</v>
      </c>
      <c r="C1660" s="224">
        <v>6</v>
      </c>
      <c r="D1660" s="225">
        <v>11</v>
      </c>
      <c r="E1660" s="226">
        <v>29724</v>
      </c>
      <c r="F1660" s="227">
        <v>32531343</v>
      </c>
      <c r="G1660" s="1" t="s">
        <v>743</v>
      </c>
      <c r="H1660" s="60">
        <v>3238.02</v>
      </c>
      <c r="I1660" s="228">
        <v>679.98</v>
      </c>
      <c r="J1660" s="229"/>
      <c r="K1660" s="229"/>
      <c r="L1660" s="229">
        <f>SUM(ventas_b_mes11[[#This Row],[IMPORTE NETO]:[EXENTO]])</f>
        <v>3918</v>
      </c>
      <c r="M1660" s="55"/>
    </row>
    <row r="1661" spans="2:13" x14ac:dyDescent="0.3">
      <c r="B1661" s="223">
        <v>44851</v>
      </c>
      <c r="C1661" s="224">
        <v>6</v>
      </c>
      <c r="D1661" s="225">
        <v>11</v>
      </c>
      <c r="E1661" s="226">
        <v>29725</v>
      </c>
      <c r="F1661" s="227">
        <v>31541337</v>
      </c>
      <c r="G1661" s="1" t="s">
        <v>746</v>
      </c>
      <c r="H1661" s="60">
        <v>3505.38</v>
      </c>
      <c r="I1661" s="228">
        <v>736.13</v>
      </c>
      <c r="J1661" s="229"/>
      <c r="K1661" s="229"/>
      <c r="L1661" s="229">
        <f>SUM(ventas_b_mes11[[#This Row],[IMPORTE NETO]:[EXENTO]])</f>
        <v>4241.51</v>
      </c>
      <c r="M1661" s="55"/>
    </row>
    <row r="1662" spans="2:13" x14ac:dyDescent="0.3">
      <c r="B1662" s="223">
        <v>44851</v>
      </c>
      <c r="C1662" s="224">
        <v>6</v>
      </c>
      <c r="D1662" s="225">
        <v>11</v>
      </c>
      <c r="E1662" s="226">
        <v>29726</v>
      </c>
      <c r="F1662" s="227">
        <v>5109592</v>
      </c>
      <c r="G1662" s="1"/>
      <c r="H1662" s="60">
        <v>11415.28</v>
      </c>
      <c r="I1662" s="228">
        <v>2397.21</v>
      </c>
      <c r="J1662" s="229"/>
      <c r="K1662" s="229"/>
      <c r="L1662" s="229">
        <f>SUM(ventas_b_mes11[[#This Row],[IMPORTE NETO]:[EXENTO]])</f>
        <v>13812.490000000002</v>
      </c>
      <c r="M1662" s="55"/>
    </row>
    <row r="1663" spans="2:13" x14ac:dyDescent="0.3">
      <c r="B1663" s="223">
        <v>44852</v>
      </c>
      <c r="C1663" s="224">
        <v>6</v>
      </c>
      <c r="D1663" s="225">
        <v>11</v>
      </c>
      <c r="E1663" s="226">
        <v>29727</v>
      </c>
      <c r="F1663" s="227">
        <v>0</v>
      </c>
      <c r="G1663" s="1"/>
      <c r="H1663" s="60">
        <v>3533.06</v>
      </c>
      <c r="I1663" s="228">
        <v>741.94</v>
      </c>
      <c r="J1663" s="229"/>
      <c r="K1663" s="229"/>
      <c r="L1663" s="229">
        <f>SUM(ventas_b_mes11[[#This Row],[IMPORTE NETO]:[EXENTO]])</f>
        <v>4275</v>
      </c>
      <c r="M1663" s="55"/>
    </row>
    <row r="1664" spans="2:13" x14ac:dyDescent="0.3">
      <c r="B1664" s="223">
        <v>44852</v>
      </c>
      <c r="C1664" s="224">
        <v>6</v>
      </c>
      <c r="D1664" s="225">
        <v>11</v>
      </c>
      <c r="E1664" s="226">
        <v>29728</v>
      </c>
      <c r="F1664" s="227">
        <v>43036057</v>
      </c>
      <c r="G1664" s="1" t="s">
        <v>750</v>
      </c>
      <c r="H1664" s="60">
        <v>4545.45</v>
      </c>
      <c r="I1664" s="228">
        <v>954.55</v>
      </c>
      <c r="J1664" s="229"/>
      <c r="K1664" s="229"/>
      <c r="L1664" s="229">
        <f>SUM(ventas_b_mes11[[#This Row],[IMPORTE NETO]:[EXENTO]])</f>
        <v>5500</v>
      </c>
      <c r="M1664" s="55"/>
    </row>
    <row r="1665" spans="2:13" x14ac:dyDescent="0.3">
      <c r="B1665" s="223">
        <v>44852</v>
      </c>
      <c r="C1665" s="224">
        <v>6</v>
      </c>
      <c r="D1665" s="225">
        <v>11</v>
      </c>
      <c r="E1665" s="226">
        <v>29729</v>
      </c>
      <c r="F1665" s="227">
        <v>18069383</v>
      </c>
      <c r="G1665" s="1" t="s">
        <v>753</v>
      </c>
      <c r="H1665" s="60">
        <v>1301.6500000000001</v>
      </c>
      <c r="I1665" s="228">
        <v>273.35000000000002</v>
      </c>
      <c r="J1665" s="229"/>
      <c r="K1665" s="229"/>
      <c r="L1665" s="229">
        <f>SUM(ventas_b_mes11[[#This Row],[IMPORTE NETO]:[EXENTO]])</f>
        <v>1575</v>
      </c>
      <c r="M1665" s="55"/>
    </row>
    <row r="1666" spans="2:13" x14ac:dyDescent="0.3">
      <c r="B1666" s="223">
        <v>44852</v>
      </c>
      <c r="C1666" s="224">
        <v>6</v>
      </c>
      <c r="D1666" s="225">
        <v>11</v>
      </c>
      <c r="E1666" s="226">
        <v>29730</v>
      </c>
      <c r="F1666" s="227">
        <v>33907250</v>
      </c>
      <c r="G1666" s="1" t="s">
        <v>759</v>
      </c>
      <c r="H1666" s="60">
        <v>4958.68</v>
      </c>
      <c r="I1666" s="228">
        <v>1041.32</v>
      </c>
      <c r="J1666" s="229"/>
      <c r="K1666" s="229"/>
      <c r="L1666" s="229">
        <f>SUM(ventas_b_mes11[[#This Row],[IMPORTE NETO]:[EXENTO]])</f>
        <v>6000</v>
      </c>
      <c r="M1666" s="55"/>
    </row>
    <row r="1667" spans="2:13" x14ac:dyDescent="0.3">
      <c r="B1667" s="223">
        <v>44852</v>
      </c>
      <c r="C1667" s="224">
        <v>6</v>
      </c>
      <c r="D1667" s="225">
        <v>11</v>
      </c>
      <c r="E1667" s="226">
        <v>29731</v>
      </c>
      <c r="F1667" s="227">
        <v>12333666</v>
      </c>
      <c r="G1667" s="1"/>
      <c r="H1667" s="60">
        <v>6947.53</v>
      </c>
      <c r="I1667" s="228">
        <v>1458.98</v>
      </c>
      <c r="J1667" s="229"/>
      <c r="K1667" s="229"/>
      <c r="L1667" s="229">
        <f>SUM(ventas_b_mes11[[#This Row],[IMPORTE NETO]:[EXENTO]])</f>
        <v>8406.51</v>
      </c>
      <c r="M1667" s="55"/>
    </row>
    <row r="1668" spans="2:13" x14ac:dyDescent="0.3">
      <c r="B1668" s="223">
        <v>44852</v>
      </c>
      <c r="C1668" s="224">
        <v>6</v>
      </c>
      <c r="D1668" s="225">
        <v>11</v>
      </c>
      <c r="E1668" s="226">
        <v>29732</v>
      </c>
      <c r="F1668" s="227">
        <v>14897728</v>
      </c>
      <c r="G1668" s="1" t="s">
        <v>763</v>
      </c>
      <c r="H1668" s="60">
        <v>6223.97</v>
      </c>
      <c r="I1668" s="228">
        <v>1307.03</v>
      </c>
      <c r="J1668" s="229"/>
      <c r="K1668" s="229"/>
      <c r="L1668" s="229">
        <f>SUM(ventas_b_mes11[[#This Row],[IMPORTE NETO]:[EXENTO]])</f>
        <v>7531</v>
      </c>
      <c r="M1668" s="55"/>
    </row>
    <row r="1669" spans="2:13" x14ac:dyDescent="0.3">
      <c r="B1669" s="223">
        <v>44852</v>
      </c>
      <c r="C1669" s="224">
        <v>6</v>
      </c>
      <c r="D1669" s="225">
        <v>11</v>
      </c>
      <c r="E1669" s="226">
        <v>29733</v>
      </c>
      <c r="F1669" s="227">
        <v>14897728</v>
      </c>
      <c r="G1669" s="1" t="s">
        <v>763</v>
      </c>
      <c r="H1669" s="60">
        <v>632.23</v>
      </c>
      <c r="I1669" s="228">
        <v>132.77000000000001</v>
      </c>
      <c r="J1669" s="229"/>
      <c r="K1669" s="229"/>
      <c r="L1669" s="229">
        <f>SUM(ventas_b_mes11[[#This Row],[IMPORTE NETO]:[EXENTO]])</f>
        <v>765</v>
      </c>
      <c r="M1669" s="55"/>
    </row>
    <row r="1670" spans="2:13" x14ac:dyDescent="0.3">
      <c r="B1670" s="223">
        <v>44852</v>
      </c>
      <c r="C1670" s="224">
        <v>6</v>
      </c>
      <c r="D1670" s="225">
        <v>11</v>
      </c>
      <c r="E1670" s="226">
        <v>29734</v>
      </c>
      <c r="F1670" s="227">
        <v>10969522</v>
      </c>
      <c r="G1670" s="1" t="s">
        <v>128</v>
      </c>
      <c r="H1670" s="60">
        <v>4088.43</v>
      </c>
      <c r="I1670" s="228">
        <v>858.57</v>
      </c>
      <c r="J1670" s="229"/>
      <c r="K1670" s="229"/>
      <c r="L1670" s="229">
        <f>SUM(ventas_b_mes11[[#This Row],[IMPORTE NETO]:[EXENTO]])</f>
        <v>4947</v>
      </c>
      <c r="M1670" s="55"/>
    </row>
    <row r="1671" spans="2:13" x14ac:dyDescent="0.3">
      <c r="B1671" s="223">
        <v>44852</v>
      </c>
      <c r="C1671" s="224">
        <v>6</v>
      </c>
      <c r="D1671" s="225">
        <v>11</v>
      </c>
      <c r="E1671" s="226">
        <v>29735</v>
      </c>
      <c r="F1671" s="227">
        <v>0</v>
      </c>
      <c r="G1671" s="1"/>
      <c r="H1671" s="60">
        <v>4036.38</v>
      </c>
      <c r="I1671" s="228">
        <v>847.64</v>
      </c>
      <c r="J1671" s="229"/>
      <c r="K1671" s="229"/>
      <c r="L1671" s="229">
        <f>SUM(ventas_b_mes11[[#This Row],[IMPORTE NETO]:[EXENTO]])</f>
        <v>4884.0200000000004</v>
      </c>
      <c r="M1671" s="55"/>
    </row>
    <row r="1672" spans="2:13" x14ac:dyDescent="0.3">
      <c r="B1672" s="223">
        <v>44852</v>
      </c>
      <c r="C1672" s="224">
        <v>6</v>
      </c>
      <c r="D1672" s="225">
        <v>11</v>
      </c>
      <c r="E1672" s="226">
        <v>29736</v>
      </c>
      <c r="F1672" s="227">
        <v>17363693</v>
      </c>
      <c r="G1672" s="1" t="s">
        <v>771</v>
      </c>
      <c r="H1672" s="60">
        <v>3057.85</v>
      </c>
      <c r="I1672" s="228">
        <v>642.15</v>
      </c>
      <c r="J1672" s="229"/>
      <c r="K1672" s="229"/>
      <c r="L1672" s="229">
        <f>SUM(ventas_b_mes11[[#This Row],[IMPORTE NETO]:[EXENTO]])</f>
        <v>3700</v>
      </c>
      <c r="M1672" s="55"/>
    </row>
    <row r="1673" spans="2:13" x14ac:dyDescent="0.3">
      <c r="B1673" s="223">
        <v>44852</v>
      </c>
      <c r="C1673" s="224">
        <v>6</v>
      </c>
      <c r="D1673" s="225">
        <v>11</v>
      </c>
      <c r="E1673" s="226">
        <v>29737</v>
      </c>
      <c r="F1673" s="227">
        <v>33560878</v>
      </c>
      <c r="G1673" s="1" t="s">
        <v>315</v>
      </c>
      <c r="H1673" s="60">
        <v>8240.08</v>
      </c>
      <c r="I1673" s="228">
        <v>1730.42</v>
      </c>
      <c r="J1673" s="229"/>
      <c r="K1673" s="229"/>
      <c r="L1673" s="229">
        <f>SUM(ventas_b_mes11[[#This Row],[IMPORTE NETO]:[EXENTO]])</f>
        <v>9970.5</v>
      </c>
      <c r="M1673" s="55"/>
    </row>
    <row r="1674" spans="2:13" x14ac:dyDescent="0.3">
      <c r="B1674" s="223">
        <v>44852</v>
      </c>
      <c r="C1674" s="224">
        <v>6</v>
      </c>
      <c r="D1674" s="225">
        <v>11</v>
      </c>
      <c r="E1674" s="226">
        <v>29738</v>
      </c>
      <c r="F1674" s="227">
        <v>16854242</v>
      </c>
      <c r="G1674" s="1" t="s">
        <v>769</v>
      </c>
      <c r="H1674" s="60">
        <v>6055.37</v>
      </c>
      <c r="I1674" s="228">
        <v>1271.6300000000001</v>
      </c>
      <c r="J1674" s="229"/>
      <c r="K1674" s="229"/>
      <c r="L1674" s="229">
        <f>SUM(ventas_b_mes11[[#This Row],[IMPORTE NETO]:[EXENTO]])</f>
        <v>7327</v>
      </c>
      <c r="M1674" s="55"/>
    </row>
    <row r="1675" spans="2:13" x14ac:dyDescent="0.3">
      <c r="B1675" s="223">
        <v>44852</v>
      </c>
      <c r="C1675" s="224">
        <v>6</v>
      </c>
      <c r="D1675" s="225">
        <v>11</v>
      </c>
      <c r="E1675" s="226">
        <v>29739</v>
      </c>
      <c r="F1675" s="227">
        <v>93580969</v>
      </c>
      <c r="G1675" s="1" t="s">
        <v>754</v>
      </c>
      <c r="H1675" s="60">
        <v>5654.97</v>
      </c>
      <c r="I1675" s="228">
        <v>1187.54</v>
      </c>
      <c r="J1675" s="229"/>
      <c r="K1675" s="229"/>
      <c r="L1675" s="229">
        <f>SUM(ventas_b_mes11[[#This Row],[IMPORTE NETO]:[EXENTO]])</f>
        <v>6842.51</v>
      </c>
      <c r="M1675" s="55"/>
    </row>
    <row r="1676" spans="2:13" x14ac:dyDescent="0.3">
      <c r="B1676" s="223">
        <v>44852</v>
      </c>
      <c r="C1676" s="224">
        <v>6</v>
      </c>
      <c r="D1676" s="225">
        <v>11</v>
      </c>
      <c r="E1676" s="226">
        <v>29740</v>
      </c>
      <c r="F1676" s="227">
        <v>0</v>
      </c>
      <c r="G1676" s="1"/>
      <c r="H1676" s="60">
        <v>1791.32</v>
      </c>
      <c r="I1676" s="228">
        <v>376.18</v>
      </c>
      <c r="J1676" s="229"/>
      <c r="K1676" s="229"/>
      <c r="L1676" s="229">
        <f>SUM(ventas_b_mes11[[#This Row],[IMPORTE NETO]:[EXENTO]])</f>
        <v>2167.5</v>
      </c>
      <c r="M1676" s="55"/>
    </row>
    <row r="1677" spans="2:13" x14ac:dyDescent="0.3">
      <c r="B1677" s="223">
        <v>44852</v>
      </c>
      <c r="C1677" s="224">
        <v>6</v>
      </c>
      <c r="D1677" s="225">
        <v>11</v>
      </c>
      <c r="E1677" s="226">
        <v>29741</v>
      </c>
      <c r="F1677" s="227">
        <v>45542818</v>
      </c>
      <c r="G1677" s="1" t="s">
        <v>764</v>
      </c>
      <c r="H1677" s="60">
        <v>3912.81</v>
      </c>
      <c r="I1677" s="228">
        <v>821.69</v>
      </c>
      <c r="J1677" s="229"/>
      <c r="K1677" s="229"/>
      <c r="L1677" s="229">
        <f>SUM(ventas_b_mes11[[#This Row],[IMPORTE NETO]:[EXENTO]])</f>
        <v>4734.5</v>
      </c>
      <c r="M1677" s="55"/>
    </row>
    <row r="1678" spans="2:13" x14ac:dyDescent="0.3">
      <c r="B1678" s="223">
        <v>44852</v>
      </c>
      <c r="C1678" s="224">
        <v>6</v>
      </c>
      <c r="D1678" s="225">
        <v>11</v>
      </c>
      <c r="E1678" s="226">
        <v>29742</v>
      </c>
      <c r="F1678" s="227">
        <v>45542818</v>
      </c>
      <c r="G1678" s="1" t="s">
        <v>764</v>
      </c>
      <c r="H1678" s="60">
        <v>3912.81</v>
      </c>
      <c r="I1678" s="228">
        <v>821.69</v>
      </c>
      <c r="J1678" s="229"/>
      <c r="K1678" s="229"/>
      <c r="L1678" s="229">
        <f>SUM(ventas_b_mes11[[#This Row],[IMPORTE NETO]:[EXENTO]])</f>
        <v>4734.5</v>
      </c>
      <c r="M1678" s="55"/>
    </row>
    <row r="1679" spans="2:13" x14ac:dyDescent="0.3">
      <c r="B1679" s="223">
        <v>44852</v>
      </c>
      <c r="C1679" s="224">
        <v>6</v>
      </c>
      <c r="D1679" s="225">
        <v>11</v>
      </c>
      <c r="E1679" s="226">
        <v>29743</v>
      </c>
      <c r="F1679" s="227">
        <v>28147987</v>
      </c>
      <c r="G1679" s="1" t="s">
        <v>217</v>
      </c>
      <c r="H1679" s="60">
        <v>4320.25</v>
      </c>
      <c r="I1679" s="228">
        <v>907.25</v>
      </c>
      <c r="J1679" s="229"/>
      <c r="K1679" s="229"/>
      <c r="L1679" s="229">
        <f>SUM(ventas_b_mes11[[#This Row],[IMPORTE NETO]:[EXENTO]])</f>
        <v>5227.5</v>
      </c>
      <c r="M1679" s="55"/>
    </row>
    <row r="1680" spans="2:13" x14ac:dyDescent="0.3">
      <c r="B1680" s="223">
        <v>44853</v>
      </c>
      <c r="C1680" s="224">
        <v>6</v>
      </c>
      <c r="D1680" s="225">
        <v>11</v>
      </c>
      <c r="E1680" s="226">
        <v>29744</v>
      </c>
      <c r="F1680" s="227">
        <v>41852951</v>
      </c>
      <c r="G1680" s="1" t="s">
        <v>816</v>
      </c>
      <c r="H1680" s="60">
        <v>4958.68</v>
      </c>
      <c r="I1680" s="228">
        <v>1041.32</v>
      </c>
      <c r="J1680" s="229"/>
      <c r="K1680" s="229"/>
      <c r="L1680" s="229">
        <f>SUM(ventas_b_mes11[[#This Row],[IMPORTE NETO]:[EXENTO]])</f>
        <v>6000</v>
      </c>
      <c r="M1680" s="55"/>
    </row>
    <row r="1681" spans="2:13" x14ac:dyDescent="0.3">
      <c r="B1681" s="223">
        <v>44853</v>
      </c>
      <c r="C1681" s="224">
        <v>6</v>
      </c>
      <c r="D1681" s="225">
        <v>11</v>
      </c>
      <c r="E1681" s="226">
        <v>29745</v>
      </c>
      <c r="F1681" s="227">
        <v>27138528311</v>
      </c>
      <c r="G1681" s="1" t="s">
        <v>785</v>
      </c>
      <c r="H1681" s="60">
        <v>4088.43</v>
      </c>
      <c r="I1681" s="228">
        <v>858.57</v>
      </c>
      <c r="J1681" s="229"/>
      <c r="K1681" s="229"/>
      <c r="L1681" s="229">
        <f>SUM(ventas_b_mes11[[#This Row],[IMPORTE NETO]:[EXENTO]])</f>
        <v>4947</v>
      </c>
      <c r="M1681" s="55"/>
    </row>
    <row r="1682" spans="2:13" x14ac:dyDescent="0.3">
      <c r="B1682" s="223">
        <v>44853</v>
      </c>
      <c r="C1682" s="224">
        <v>6</v>
      </c>
      <c r="D1682" s="225">
        <v>11</v>
      </c>
      <c r="E1682" s="226">
        <v>29746</v>
      </c>
      <c r="F1682" s="227">
        <v>20008688</v>
      </c>
      <c r="G1682" s="1" t="s">
        <v>783</v>
      </c>
      <c r="H1682" s="60">
        <v>10965.7</v>
      </c>
      <c r="I1682" s="228">
        <v>2302.8000000000002</v>
      </c>
      <c r="J1682" s="229"/>
      <c r="K1682" s="229"/>
      <c r="L1682" s="229">
        <f>SUM(ventas_b_mes11[[#This Row],[IMPORTE NETO]:[EXENTO]])</f>
        <v>13268.5</v>
      </c>
      <c r="M1682" s="55"/>
    </row>
    <row r="1683" spans="2:13" x14ac:dyDescent="0.3">
      <c r="B1683" s="223">
        <v>44853</v>
      </c>
      <c r="C1683" s="224">
        <v>6</v>
      </c>
      <c r="D1683" s="225">
        <v>11</v>
      </c>
      <c r="E1683" s="226">
        <v>29747</v>
      </c>
      <c r="F1683" s="227">
        <v>20427797</v>
      </c>
      <c r="G1683" s="1" t="s">
        <v>792</v>
      </c>
      <c r="H1683" s="60">
        <v>12004.13</v>
      </c>
      <c r="I1683" s="228">
        <v>2520.87</v>
      </c>
      <c r="J1683" s="229"/>
      <c r="K1683" s="229"/>
      <c r="L1683" s="229">
        <f>SUM(ventas_b_mes11[[#This Row],[IMPORTE NETO]:[EXENTO]])</f>
        <v>14525</v>
      </c>
      <c r="M1683" s="55"/>
    </row>
    <row r="1684" spans="2:13" x14ac:dyDescent="0.3">
      <c r="B1684" s="223">
        <v>44853</v>
      </c>
      <c r="C1684" s="224">
        <v>6</v>
      </c>
      <c r="D1684" s="225">
        <v>11</v>
      </c>
      <c r="E1684" s="226">
        <v>29748</v>
      </c>
      <c r="F1684" s="227">
        <v>26431063</v>
      </c>
      <c r="G1684" s="1" t="s">
        <v>780</v>
      </c>
      <c r="H1684" s="60">
        <v>2012.4</v>
      </c>
      <c r="I1684" s="228">
        <v>422.6</v>
      </c>
      <c r="J1684" s="229"/>
      <c r="K1684" s="229"/>
      <c r="L1684" s="229">
        <f>SUM(ventas_b_mes11[[#This Row],[IMPORTE NETO]:[EXENTO]])</f>
        <v>2435</v>
      </c>
      <c r="M1684" s="55"/>
    </row>
    <row r="1685" spans="2:13" x14ac:dyDescent="0.3">
      <c r="B1685" s="223">
        <v>44853</v>
      </c>
      <c r="C1685" s="224">
        <v>6</v>
      </c>
      <c r="D1685" s="225">
        <v>11</v>
      </c>
      <c r="E1685" s="226">
        <v>29749</v>
      </c>
      <c r="F1685" s="227">
        <v>14783988</v>
      </c>
      <c r="G1685" s="1" t="s">
        <v>776</v>
      </c>
      <c r="H1685" s="60">
        <v>10346.280000000001</v>
      </c>
      <c r="I1685" s="228">
        <v>2172.7199999999998</v>
      </c>
      <c r="J1685" s="229"/>
      <c r="K1685" s="229"/>
      <c r="L1685" s="229">
        <f>SUM(ventas_b_mes11[[#This Row],[IMPORTE NETO]:[EXENTO]])</f>
        <v>12519</v>
      </c>
      <c r="M1685" s="55"/>
    </row>
    <row r="1686" spans="2:13" x14ac:dyDescent="0.3">
      <c r="B1686" s="223">
        <v>44853</v>
      </c>
      <c r="C1686" s="224">
        <v>6</v>
      </c>
      <c r="D1686" s="225">
        <v>11</v>
      </c>
      <c r="E1686" s="226">
        <v>29750</v>
      </c>
      <c r="F1686" s="227">
        <v>10478965</v>
      </c>
      <c r="G1686" s="1" t="s">
        <v>788</v>
      </c>
      <c r="H1686" s="60">
        <v>6567.77</v>
      </c>
      <c r="I1686" s="228">
        <v>1379.23</v>
      </c>
      <c r="J1686" s="229"/>
      <c r="K1686" s="229"/>
      <c r="L1686" s="229">
        <f>SUM(ventas_b_mes11[[#This Row],[IMPORTE NETO]:[EXENTO]])</f>
        <v>7947</v>
      </c>
      <c r="M1686" s="55"/>
    </row>
    <row r="1687" spans="2:13" x14ac:dyDescent="0.3">
      <c r="B1687" s="223">
        <v>44853</v>
      </c>
      <c r="C1687" s="224">
        <v>6</v>
      </c>
      <c r="D1687" s="225">
        <v>11</v>
      </c>
      <c r="E1687" s="226">
        <v>29751</v>
      </c>
      <c r="F1687" s="227">
        <v>94622772</v>
      </c>
      <c r="G1687" s="1"/>
      <c r="H1687" s="60">
        <v>15735.54</v>
      </c>
      <c r="I1687" s="228">
        <v>3304.46</v>
      </c>
      <c r="J1687" s="229"/>
      <c r="K1687" s="229"/>
      <c r="L1687" s="229">
        <f>SUM(ventas_b_mes11[[#This Row],[IMPORTE NETO]:[EXENTO]])</f>
        <v>19040</v>
      </c>
      <c r="M1687" s="55"/>
    </row>
    <row r="1688" spans="2:13" x14ac:dyDescent="0.3">
      <c r="B1688" s="223">
        <v>44853</v>
      </c>
      <c r="C1688" s="224">
        <v>6</v>
      </c>
      <c r="D1688" s="225">
        <v>11</v>
      </c>
      <c r="E1688" s="226">
        <v>29752</v>
      </c>
      <c r="F1688" s="227">
        <v>0</v>
      </c>
      <c r="G1688" s="1"/>
      <c r="H1688" s="60">
        <v>1933.88</v>
      </c>
      <c r="I1688" s="228">
        <v>406.12</v>
      </c>
      <c r="J1688" s="229"/>
      <c r="K1688" s="229"/>
      <c r="L1688" s="229">
        <f>SUM(ventas_b_mes11[[#This Row],[IMPORTE NETO]:[EXENTO]])</f>
        <v>2340</v>
      </c>
      <c r="M1688" s="55"/>
    </row>
    <row r="1689" spans="2:13" x14ac:dyDescent="0.3">
      <c r="B1689" s="223">
        <v>44853</v>
      </c>
      <c r="C1689" s="224">
        <v>6</v>
      </c>
      <c r="D1689" s="225">
        <v>11</v>
      </c>
      <c r="E1689" s="226">
        <v>29753</v>
      </c>
      <c r="F1689" s="227">
        <v>14783988</v>
      </c>
      <c r="G1689" s="1" t="s">
        <v>776</v>
      </c>
      <c r="H1689" s="60">
        <v>4297.5200000000004</v>
      </c>
      <c r="I1689" s="228">
        <v>902.48</v>
      </c>
      <c r="J1689" s="229"/>
      <c r="K1689" s="229"/>
      <c r="L1689" s="229">
        <f>SUM(ventas_b_mes11[[#This Row],[IMPORTE NETO]:[EXENTO]])</f>
        <v>5200</v>
      </c>
      <c r="M1689" s="55"/>
    </row>
    <row r="1690" spans="2:13" x14ac:dyDescent="0.3">
      <c r="B1690" s="223">
        <v>44853</v>
      </c>
      <c r="C1690" s="224">
        <v>6</v>
      </c>
      <c r="D1690" s="225">
        <v>11</v>
      </c>
      <c r="E1690" s="226">
        <v>29754</v>
      </c>
      <c r="F1690" s="227">
        <v>23540854</v>
      </c>
      <c r="G1690" s="1" t="s">
        <v>812</v>
      </c>
      <c r="H1690" s="60">
        <v>15979.34</v>
      </c>
      <c r="I1690" s="228">
        <v>3355.66</v>
      </c>
      <c r="J1690" s="229"/>
      <c r="K1690" s="229"/>
      <c r="L1690" s="229">
        <f>SUM(ventas_b_mes11[[#This Row],[IMPORTE NETO]:[EXENTO]])</f>
        <v>19335</v>
      </c>
      <c r="M1690" s="55"/>
    </row>
    <row r="1691" spans="2:13" x14ac:dyDescent="0.3">
      <c r="B1691" s="223">
        <v>44853</v>
      </c>
      <c r="C1691" s="224">
        <v>6</v>
      </c>
      <c r="D1691" s="225">
        <v>11</v>
      </c>
      <c r="E1691" s="226">
        <v>29755</v>
      </c>
      <c r="F1691" s="227">
        <v>11836780</v>
      </c>
      <c r="G1691" s="1" t="s">
        <v>777</v>
      </c>
      <c r="H1691" s="60">
        <v>6733.06</v>
      </c>
      <c r="I1691" s="228">
        <v>1413.94</v>
      </c>
      <c r="J1691" s="229"/>
      <c r="K1691" s="229"/>
      <c r="L1691" s="229">
        <f>SUM(ventas_b_mes11[[#This Row],[IMPORTE NETO]:[EXENTO]])</f>
        <v>8147</v>
      </c>
      <c r="M1691" s="55"/>
    </row>
    <row r="1692" spans="2:13" x14ac:dyDescent="0.3">
      <c r="B1692" s="223">
        <v>44853</v>
      </c>
      <c r="C1692" s="224">
        <v>6</v>
      </c>
      <c r="D1692" s="225">
        <v>11</v>
      </c>
      <c r="E1692" s="226">
        <v>29756</v>
      </c>
      <c r="F1692" s="227">
        <v>11836780</v>
      </c>
      <c r="G1692" s="1" t="s">
        <v>777</v>
      </c>
      <c r="H1692" s="60">
        <v>2661.16</v>
      </c>
      <c r="I1692" s="228">
        <v>558.84</v>
      </c>
      <c r="J1692" s="229"/>
      <c r="K1692" s="229"/>
      <c r="L1692" s="229">
        <f>SUM(ventas_b_mes11[[#This Row],[IMPORTE NETO]:[EXENTO]])</f>
        <v>3220</v>
      </c>
      <c r="M1692" s="55"/>
    </row>
    <row r="1693" spans="2:13" x14ac:dyDescent="0.3">
      <c r="B1693" s="223">
        <v>44853</v>
      </c>
      <c r="C1693" s="224">
        <v>6</v>
      </c>
      <c r="D1693" s="225">
        <v>11</v>
      </c>
      <c r="E1693" s="226">
        <v>29757</v>
      </c>
      <c r="F1693" s="227">
        <v>23138405</v>
      </c>
      <c r="G1693" s="1" t="s">
        <v>316</v>
      </c>
      <c r="H1693" s="60">
        <v>4274.79</v>
      </c>
      <c r="I1693" s="228">
        <v>897.71</v>
      </c>
      <c r="J1693" s="229"/>
      <c r="K1693" s="229"/>
      <c r="L1693" s="229">
        <f>SUM(ventas_b_mes11[[#This Row],[IMPORTE NETO]:[EXENTO]])</f>
        <v>5172.5</v>
      </c>
      <c r="M1693" s="55"/>
    </row>
    <row r="1694" spans="2:13" x14ac:dyDescent="0.3">
      <c r="B1694" s="223">
        <v>44853</v>
      </c>
      <c r="C1694" s="224">
        <v>6</v>
      </c>
      <c r="D1694" s="225">
        <v>11</v>
      </c>
      <c r="E1694" s="226">
        <v>29758</v>
      </c>
      <c r="F1694" s="227">
        <v>0</v>
      </c>
      <c r="G1694" s="1"/>
      <c r="H1694" s="60">
        <v>1561.98</v>
      </c>
      <c r="I1694" s="228">
        <v>328.02</v>
      </c>
      <c r="J1694" s="229"/>
      <c r="K1694" s="229"/>
      <c r="L1694" s="229">
        <f>SUM(ventas_b_mes11[[#This Row],[IMPORTE NETO]:[EXENTO]])</f>
        <v>1890</v>
      </c>
      <c r="M1694" s="55"/>
    </row>
    <row r="1695" spans="2:13" x14ac:dyDescent="0.3">
      <c r="B1695" s="223">
        <v>44853</v>
      </c>
      <c r="C1695" s="224">
        <v>6</v>
      </c>
      <c r="D1695" s="225">
        <v>11</v>
      </c>
      <c r="E1695" s="226">
        <v>29759</v>
      </c>
      <c r="F1695" s="227">
        <v>23864789</v>
      </c>
      <c r="G1695" s="1" t="s">
        <v>815</v>
      </c>
      <c r="H1695" s="60">
        <v>20321.919999999998</v>
      </c>
      <c r="I1695" s="228">
        <v>4267.6000000000004</v>
      </c>
      <c r="J1695" s="229"/>
      <c r="K1695" s="229"/>
      <c r="L1695" s="229">
        <f>SUM(ventas_b_mes11[[#This Row],[IMPORTE NETO]:[EXENTO]])</f>
        <v>24589.519999999997</v>
      </c>
      <c r="M1695" s="55"/>
    </row>
    <row r="1696" spans="2:13" x14ac:dyDescent="0.3">
      <c r="B1696" s="223">
        <v>44853</v>
      </c>
      <c r="C1696" s="224">
        <v>6</v>
      </c>
      <c r="D1696" s="225">
        <v>11</v>
      </c>
      <c r="E1696" s="226">
        <v>29760</v>
      </c>
      <c r="F1696" s="227">
        <v>94302866</v>
      </c>
      <c r="G1696" s="1" t="s">
        <v>822</v>
      </c>
      <c r="H1696" s="60">
        <v>7671.08</v>
      </c>
      <c r="I1696" s="228">
        <v>1610.93</v>
      </c>
      <c r="J1696" s="229"/>
      <c r="K1696" s="229"/>
      <c r="L1696" s="229">
        <f>SUM(ventas_b_mes11[[#This Row],[IMPORTE NETO]:[EXENTO]])</f>
        <v>9282.01</v>
      </c>
      <c r="M1696" s="55"/>
    </row>
    <row r="1697" spans="2:13" x14ac:dyDescent="0.3">
      <c r="B1697" s="223">
        <v>44853</v>
      </c>
      <c r="C1697" s="224">
        <v>6</v>
      </c>
      <c r="D1697" s="225">
        <v>11</v>
      </c>
      <c r="E1697" s="226">
        <v>29761</v>
      </c>
      <c r="F1697" s="227">
        <v>28378051</v>
      </c>
      <c r="G1697" s="1" t="s">
        <v>262</v>
      </c>
      <c r="H1697" s="60">
        <v>17255.37</v>
      </c>
      <c r="I1697" s="228">
        <v>3623.63</v>
      </c>
      <c r="J1697" s="229"/>
      <c r="K1697" s="229"/>
      <c r="L1697" s="229">
        <f>SUM(ventas_b_mes11[[#This Row],[IMPORTE NETO]:[EXENTO]])</f>
        <v>20879</v>
      </c>
      <c r="M1697" s="55"/>
    </row>
    <row r="1698" spans="2:13" x14ac:dyDescent="0.3">
      <c r="B1698" s="223">
        <v>44853</v>
      </c>
      <c r="C1698" s="224">
        <v>6</v>
      </c>
      <c r="D1698" s="225">
        <v>11</v>
      </c>
      <c r="E1698" s="226">
        <v>29762</v>
      </c>
      <c r="F1698" s="227">
        <v>30456789</v>
      </c>
      <c r="G1698" s="1"/>
      <c r="H1698" s="60">
        <v>14133.88</v>
      </c>
      <c r="I1698" s="228">
        <v>2968.12</v>
      </c>
      <c r="J1698" s="229"/>
      <c r="K1698" s="229"/>
      <c r="L1698" s="229">
        <f>SUM(ventas_b_mes11[[#This Row],[IMPORTE NETO]:[EXENTO]])</f>
        <v>17102</v>
      </c>
      <c r="M1698" s="55"/>
    </row>
    <row r="1699" spans="2:13" x14ac:dyDescent="0.3">
      <c r="B1699" s="223">
        <v>44853</v>
      </c>
      <c r="C1699" s="224">
        <v>6</v>
      </c>
      <c r="D1699" s="225">
        <v>11</v>
      </c>
      <c r="E1699" s="226">
        <v>29763</v>
      </c>
      <c r="F1699" s="227">
        <v>18249112</v>
      </c>
      <c r="G1699" s="1" t="s">
        <v>530</v>
      </c>
      <c r="H1699" s="60">
        <v>1640.5</v>
      </c>
      <c r="I1699" s="228">
        <v>344.5</v>
      </c>
      <c r="J1699" s="229"/>
      <c r="K1699" s="229"/>
      <c r="L1699" s="229">
        <f>SUM(ventas_b_mes11[[#This Row],[IMPORTE NETO]:[EXENTO]])</f>
        <v>1985</v>
      </c>
      <c r="M1699" s="55"/>
    </row>
    <row r="1700" spans="2:13" x14ac:dyDescent="0.3">
      <c r="B1700" s="223">
        <v>44853</v>
      </c>
      <c r="C1700" s="224">
        <v>6</v>
      </c>
      <c r="D1700" s="225">
        <v>11</v>
      </c>
      <c r="E1700" s="226">
        <v>29764</v>
      </c>
      <c r="F1700" s="227">
        <v>32990545</v>
      </c>
      <c r="G1700" s="1" t="s">
        <v>798</v>
      </c>
      <c r="H1700" s="60">
        <v>4425.62</v>
      </c>
      <c r="I1700" s="228">
        <v>929.38</v>
      </c>
      <c r="J1700" s="229"/>
      <c r="K1700" s="229"/>
      <c r="L1700" s="229">
        <f>SUM(ventas_b_mes11[[#This Row],[IMPORTE NETO]:[EXENTO]])</f>
        <v>5355</v>
      </c>
      <c r="M1700" s="55"/>
    </row>
    <row r="1701" spans="2:13" x14ac:dyDescent="0.3">
      <c r="B1701" s="223">
        <v>44853</v>
      </c>
      <c r="C1701" s="224">
        <v>6</v>
      </c>
      <c r="D1701" s="225">
        <v>11</v>
      </c>
      <c r="E1701" s="226">
        <v>29765</v>
      </c>
      <c r="F1701" s="227">
        <v>23284387</v>
      </c>
      <c r="G1701" s="1" t="s">
        <v>790</v>
      </c>
      <c r="H1701" s="60">
        <v>7867.77</v>
      </c>
      <c r="I1701" s="228">
        <v>1652.23</v>
      </c>
      <c r="J1701" s="229"/>
      <c r="K1701" s="229"/>
      <c r="L1701" s="229">
        <f>SUM(ventas_b_mes11[[#This Row],[IMPORTE NETO]:[EXENTO]])</f>
        <v>9520</v>
      </c>
      <c r="M1701" s="55"/>
    </row>
    <row r="1702" spans="2:13" x14ac:dyDescent="0.3">
      <c r="B1702" s="223">
        <v>44853</v>
      </c>
      <c r="C1702" s="224">
        <v>6</v>
      </c>
      <c r="D1702" s="225">
        <v>11</v>
      </c>
      <c r="E1702" s="226">
        <v>29766</v>
      </c>
      <c r="F1702" s="227">
        <v>23284387</v>
      </c>
      <c r="G1702" s="1" t="s">
        <v>790</v>
      </c>
      <c r="H1702" s="60">
        <v>4917.3599999999997</v>
      </c>
      <c r="I1702" s="228">
        <v>1032.6400000000001</v>
      </c>
      <c r="J1702" s="229"/>
      <c r="K1702" s="229"/>
      <c r="L1702" s="229">
        <f>SUM(ventas_b_mes11[[#This Row],[IMPORTE NETO]:[EXENTO]])</f>
        <v>5950</v>
      </c>
      <c r="M1702" s="55"/>
    </row>
    <row r="1703" spans="2:13" x14ac:dyDescent="0.3">
      <c r="B1703" s="223">
        <v>44853</v>
      </c>
      <c r="C1703" s="224">
        <v>6</v>
      </c>
      <c r="D1703" s="225">
        <v>11</v>
      </c>
      <c r="E1703" s="226">
        <v>29767</v>
      </c>
      <c r="F1703" s="227">
        <v>35561122</v>
      </c>
      <c r="G1703" s="1"/>
      <c r="H1703" s="60">
        <v>5022.7299999999996</v>
      </c>
      <c r="I1703" s="228">
        <v>1054.77</v>
      </c>
      <c r="J1703" s="229"/>
      <c r="K1703" s="229"/>
      <c r="L1703" s="229">
        <f>SUM(ventas_b_mes11[[#This Row],[IMPORTE NETO]:[EXENTO]])</f>
        <v>6077.5</v>
      </c>
      <c r="M1703" s="55"/>
    </row>
    <row r="1704" spans="2:13" x14ac:dyDescent="0.3">
      <c r="B1704" s="223">
        <v>44853</v>
      </c>
      <c r="C1704" s="224">
        <v>6</v>
      </c>
      <c r="D1704" s="225">
        <v>11</v>
      </c>
      <c r="E1704" s="226">
        <v>29768</v>
      </c>
      <c r="F1704" s="227">
        <v>39588432</v>
      </c>
      <c r="G1704" s="1" t="s">
        <v>267</v>
      </c>
      <c r="H1704" s="60">
        <v>247.93</v>
      </c>
      <c r="I1704" s="228">
        <v>52.07</v>
      </c>
      <c r="J1704" s="229"/>
      <c r="K1704" s="229"/>
      <c r="L1704" s="229">
        <f>SUM(ventas_b_mes11[[#This Row],[IMPORTE NETO]:[EXENTO]])</f>
        <v>300</v>
      </c>
      <c r="M1704" s="55"/>
    </row>
    <row r="1705" spans="2:13" x14ac:dyDescent="0.3">
      <c r="B1705" s="223">
        <v>44853</v>
      </c>
      <c r="C1705" s="224">
        <v>6</v>
      </c>
      <c r="D1705" s="225">
        <v>11</v>
      </c>
      <c r="E1705" s="226">
        <v>29769</v>
      </c>
      <c r="F1705" s="227">
        <v>26809011</v>
      </c>
      <c r="G1705" s="1" t="s">
        <v>786</v>
      </c>
      <c r="H1705" s="60">
        <v>4285.12</v>
      </c>
      <c r="I1705" s="228">
        <v>899.88</v>
      </c>
      <c r="J1705" s="229"/>
      <c r="K1705" s="229"/>
      <c r="L1705" s="229">
        <f>SUM(ventas_b_mes11[[#This Row],[IMPORTE NETO]:[EXENTO]])</f>
        <v>5185</v>
      </c>
      <c r="M1705" s="55"/>
    </row>
    <row r="1706" spans="2:13" x14ac:dyDescent="0.3">
      <c r="B1706" s="223">
        <v>44854</v>
      </c>
      <c r="C1706" s="224">
        <v>6</v>
      </c>
      <c r="D1706" s="225">
        <v>11</v>
      </c>
      <c r="E1706" s="226">
        <v>29770</v>
      </c>
      <c r="F1706" s="227">
        <v>1087698</v>
      </c>
      <c r="G1706" s="1" t="s">
        <v>839</v>
      </c>
      <c r="H1706" s="60">
        <v>6214.88</v>
      </c>
      <c r="I1706" s="228">
        <v>1305.1199999999999</v>
      </c>
      <c r="J1706" s="229"/>
      <c r="K1706" s="229"/>
      <c r="L1706" s="229">
        <f>SUM(ventas_b_mes11[[#This Row],[IMPORTE NETO]:[EXENTO]])</f>
        <v>7520</v>
      </c>
      <c r="M1706" s="55"/>
    </row>
    <row r="1707" spans="2:13" x14ac:dyDescent="0.3">
      <c r="B1707" s="223">
        <v>44854</v>
      </c>
      <c r="C1707" s="224">
        <v>6</v>
      </c>
      <c r="D1707" s="225">
        <v>11</v>
      </c>
      <c r="E1707" s="226">
        <v>29771</v>
      </c>
      <c r="F1707" s="227">
        <v>0</v>
      </c>
      <c r="G1707" s="1"/>
      <c r="H1707" s="60">
        <v>2603.31</v>
      </c>
      <c r="I1707" s="228">
        <v>546.69000000000005</v>
      </c>
      <c r="J1707" s="229"/>
      <c r="K1707" s="229"/>
      <c r="L1707" s="229">
        <f>SUM(ventas_b_mes11[[#This Row],[IMPORTE NETO]:[EXENTO]])</f>
        <v>3150</v>
      </c>
      <c r="M1707" s="55"/>
    </row>
    <row r="1708" spans="2:13" x14ac:dyDescent="0.3">
      <c r="B1708" s="223">
        <v>44854</v>
      </c>
      <c r="C1708" s="224">
        <v>6</v>
      </c>
      <c r="D1708" s="225">
        <v>11</v>
      </c>
      <c r="E1708" s="226">
        <v>29772</v>
      </c>
      <c r="F1708" s="227">
        <v>1245</v>
      </c>
      <c r="G1708" s="1"/>
      <c r="H1708" s="60">
        <v>5444.22</v>
      </c>
      <c r="I1708" s="228">
        <v>1143.29</v>
      </c>
      <c r="J1708" s="229"/>
      <c r="K1708" s="229"/>
      <c r="L1708" s="229">
        <f>SUM(ventas_b_mes11[[#This Row],[IMPORTE NETO]:[EXENTO]])</f>
        <v>6587.51</v>
      </c>
      <c r="M1708" s="55"/>
    </row>
    <row r="1709" spans="2:13" x14ac:dyDescent="0.3">
      <c r="B1709" s="223">
        <v>44854</v>
      </c>
      <c r="C1709" s="224">
        <v>6</v>
      </c>
      <c r="D1709" s="225">
        <v>11</v>
      </c>
      <c r="E1709" s="226">
        <v>29773</v>
      </c>
      <c r="F1709" s="227">
        <v>33746293</v>
      </c>
      <c r="G1709" s="1" t="s">
        <v>308</v>
      </c>
      <c r="H1709" s="60">
        <v>6427.69</v>
      </c>
      <c r="I1709" s="228">
        <v>1349.81</v>
      </c>
      <c r="J1709" s="229"/>
      <c r="K1709" s="229"/>
      <c r="L1709" s="229">
        <f>SUM(ventas_b_mes11[[#This Row],[IMPORTE NETO]:[EXENTO]])</f>
        <v>7777.5</v>
      </c>
      <c r="M1709" s="55"/>
    </row>
    <row r="1710" spans="2:13" x14ac:dyDescent="0.3">
      <c r="B1710" s="223">
        <v>44854</v>
      </c>
      <c r="C1710" s="224">
        <v>6</v>
      </c>
      <c r="D1710" s="225">
        <v>11</v>
      </c>
      <c r="E1710" s="226">
        <v>29774</v>
      </c>
      <c r="F1710" s="227">
        <v>41758742</v>
      </c>
      <c r="G1710" s="1" t="s">
        <v>719</v>
      </c>
      <c r="H1710" s="60">
        <v>227.27</v>
      </c>
      <c r="I1710" s="228">
        <v>47.73</v>
      </c>
      <c r="J1710" s="229"/>
      <c r="K1710" s="229"/>
      <c r="L1710" s="229">
        <f>SUM(ventas_b_mes11[[#This Row],[IMPORTE NETO]:[EXENTO]])</f>
        <v>275</v>
      </c>
      <c r="M1710" s="55"/>
    </row>
    <row r="1711" spans="2:13" x14ac:dyDescent="0.3">
      <c r="B1711" s="223">
        <v>44854</v>
      </c>
      <c r="C1711" s="224">
        <v>6</v>
      </c>
      <c r="D1711" s="225">
        <v>11</v>
      </c>
      <c r="E1711" s="226">
        <v>29775</v>
      </c>
      <c r="F1711" s="227">
        <v>12590156</v>
      </c>
      <c r="G1711" s="1" t="s">
        <v>835</v>
      </c>
      <c r="H1711" s="60">
        <v>5247.52</v>
      </c>
      <c r="I1711" s="228">
        <v>1101.98</v>
      </c>
      <c r="J1711" s="229"/>
      <c r="K1711" s="229"/>
      <c r="L1711" s="229">
        <f>SUM(ventas_b_mes11[[#This Row],[IMPORTE NETO]:[EXENTO]])</f>
        <v>6349.5</v>
      </c>
      <c r="M1711" s="55"/>
    </row>
    <row r="1712" spans="2:13" x14ac:dyDescent="0.3">
      <c r="B1712" s="223">
        <v>44854</v>
      </c>
      <c r="C1712" s="224">
        <v>6</v>
      </c>
      <c r="D1712" s="225">
        <v>11</v>
      </c>
      <c r="E1712" s="226">
        <v>29776</v>
      </c>
      <c r="F1712" s="227">
        <v>10924430</v>
      </c>
      <c r="G1712" s="1" t="s">
        <v>837</v>
      </c>
      <c r="H1712" s="60">
        <v>1561.98</v>
      </c>
      <c r="I1712" s="228">
        <v>328.02</v>
      </c>
      <c r="J1712" s="229"/>
      <c r="K1712" s="229"/>
      <c r="L1712" s="229">
        <f>SUM(ventas_b_mes11[[#This Row],[IMPORTE NETO]:[EXENTO]])</f>
        <v>1890</v>
      </c>
      <c r="M1712" s="55"/>
    </row>
    <row r="1713" spans="2:13" x14ac:dyDescent="0.3">
      <c r="B1713" s="223">
        <v>44854</v>
      </c>
      <c r="C1713" s="224">
        <v>6</v>
      </c>
      <c r="D1713" s="225">
        <v>11</v>
      </c>
      <c r="E1713" s="226">
        <v>29777</v>
      </c>
      <c r="F1713" s="227">
        <v>11389944</v>
      </c>
      <c r="G1713" s="1" t="s">
        <v>438</v>
      </c>
      <c r="H1713" s="60">
        <v>4039.26</v>
      </c>
      <c r="I1713" s="228">
        <v>848.24</v>
      </c>
      <c r="J1713" s="229"/>
      <c r="K1713" s="229"/>
      <c r="L1713" s="229">
        <f>SUM(ventas_b_mes11[[#This Row],[IMPORTE NETO]:[EXENTO]])</f>
        <v>4887.5</v>
      </c>
      <c r="M1713" s="55"/>
    </row>
    <row r="1714" spans="2:13" x14ac:dyDescent="0.3">
      <c r="B1714" s="223">
        <v>44854</v>
      </c>
      <c r="C1714" s="224">
        <v>6</v>
      </c>
      <c r="D1714" s="225">
        <v>11</v>
      </c>
      <c r="E1714" s="226">
        <v>29778</v>
      </c>
      <c r="F1714" s="227">
        <v>5109592</v>
      </c>
      <c r="G1714" s="1"/>
      <c r="H1714" s="60">
        <v>6708.69</v>
      </c>
      <c r="I1714" s="228">
        <v>1408.83</v>
      </c>
      <c r="J1714" s="229"/>
      <c r="K1714" s="229"/>
      <c r="L1714" s="229">
        <f>SUM(ventas_b_mes11[[#This Row],[IMPORTE NETO]:[EXENTO]])</f>
        <v>8117.5199999999995</v>
      </c>
      <c r="M1714" s="55"/>
    </row>
    <row r="1715" spans="2:13" x14ac:dyDescent="0.3">
      <c r="B1715" s="223">
        <v>44855</v>
      </c>
      <c r="C1715" s="224">
        <v>6</v>
      </c>
      <c r="D1715" s="225">
        <v>11</v>
      </c>
      <c r="E1715" s="226">
        <v>29779</v>
      </c>
      <c r="F1715" s="227">
        <v>94593014</v>
      </c>
      <c r="G1715" s="1" t="s">
        <v>874</v>
      </c>
      <c r="H1715" s="60">
        <v>336.98</v>
      </c>
      <c r="I1715" s="228">
        <v>70.77</v>
      </c>
      <c r="J1715" s="229"/>
      <c r="K1715" s="229"/>
      <c r="L1715" s="229">
        <f>SUM(ventas_b_mes11[[#This Row],[IMPORTE NETO]:[EXENTO]])</f>
        <v>407.75</v>
      </c>
      <c r="M1715" s="55"/>
    </row>
    <row r="1716" spans="2:13" x14ac:dyDescent="0.3">
      <c r="B1716" s="223">
        <v>44855</v>
      </c>
      <c r="C1716" s="224">
        <v>6</v>
      </c>
      <c r="D1716" s="225">
        <v>11</v>
      </c>
      <c r="E1716" s="226">
        <v>29780</v>
      </c>
      <c r="F1716" s="227">
        <v>94593014</v>
      </c>
      <c r="G1716" s="1" t="s">
        <v>874</v>
      </c>
      <c r="H1716" s="60">
        <v>7305.79</v>
      </c>
      <c r="I1716" s="228">
        <v>1534.21</v>
      </c>
      <c r="J1716" s="229"/>
      <c r="K1716" s="229"/>
      <c r="L1716" s="229">
        <f>SUM(ventas_b_mes11[[#This Row],[IMPORTE NETO]:[EXENTO]])</f>
        <v>8840</v>
      </c>
      <c r="M1716" s="55"/>
    </row>
    <row r="1717" spans="2:13" x14ac:dyDescent="0.3">
      <c r="B1717" s="223">
        <v>44855</v>
      </c>
      <c r="C1717" s="224">
        <v>6</v>
      </c>
      <c r="D1717" s="225">
        <v>11</v>
      </c>
      <c r="E1717" s="226">
        <v>29781</v>
      </c>
      <c r="F1717" s="227">
        <v>20802193</v>
      </c>
      <c r="G1717" s="1" t="s">
        <v>184</v>
      </c>
      <c r="H1717" s="60">
        <v>5303.72</v>
      </c>
      <c r="I1717" s="228">
        <v>1113.78</v>
      </c>
      <c r="J1717" s="229"/>
      <c r="K1717" s="229"/>
      <c r="L1717" s="229">
        <f>SUM(ventas_b_mes11[[#This Row],[IMPORTE NETO]:[EXENTO]])</f>
        <v>6417.5</v>
      </c>
      <c r="M1717" s="55"/>
    </row>
    <row r="1718" spans="2:13" x14ac:dyDescent="0.3">
      <c r="B1718" s="223">
        <v>44855</v>
      </c>
      <c r="C1718" s="224">
        <v>6</v>
      </c>
      <c r="D1718" s="225">
        <v>11</v>
      </c>
      <c r="E1718" s="226">
        <v>29782</v>
      </c>
      <c r="F1718" s="227">
        <v>16398689</v>
      </c>
      <c r="G1718" s="1" t="s">
        <v>861</v>
      </c>
      <c r="H1718" s="60">
        <v>9268.59</v>
      </c>
      <c r="I1718" s="228">
        <v>1946.4</v>
      </c>
      <c r="J1718" s="229"/>
      <c r="K1718" s="229"/>
      <c r="L1718" s="229">
        <f>SUM(ventas_b_mes11[[#This Row],[IMPORTE NETO]:[EXENTO]])</f>
        <v>11214.99</v>
      </c>
      <c r="M1718" s="55"/>
    </row>
    <row r="1719" spans="2:13" x14ac:dyDescent="0.3">
      <c r="B1719" s="223">
        <v>44855</v>
      </c>
      <c r="C1719" s="224">
        <v>6</v>
      </c>
      <c r="D1719" s="225">
        <v>11</v>
      </c>
      <c r="E1719" s="226">
        <v>29783</v>
      </c>
      <c r="F1719" s="227">
        <v>0</v>
      </c>
      <c r="G1719" s="1"/>
      <c r="H1719" s="60">
        <v>2008.27</v>
      </c>
      <c r="I1719" s="228">
        <v>421.74</v>
      </c>
      <c r="J1719" s="229"/>
      <c r="K1719" s="229"/>
      <c r="L1719" s="229">
        <f>SUM(ventas_b_mes11[[#This Row],[IMPORTE NETO]:[EXENTO]])</f>
        <v>2430.0100000000002</v>
      </c>
      <c r="M1719" s="55"/>
    </row>
    <row r="1720" spans="2:13" x14ac:dyDescent="0.3">
      <c r="B1720" s="223">
        <v>44855</v>
      </c>
      <c r="C1720" s="224">
        <v>6</v>
      </c>
      <c r="D1720" s="225">
        <v>11</v>
      </c>
      <c r="E1720" s="226">
        <v>29784</v>
      </c>
      <c r="F1720" s="227">
        <v>18573238</v>
      </c>
      <c r="G1720" s="1" t="s">
        <v>633</v>
      </c>
      <c r="H1720" s="60">
        <v>9723.14</v>
      </c>
      <c r="I1720" s="228">
        <v>2041.86</v>
      </c>
      <c r="J1720" s="229"/>
      <c r="K1720" s="229"/>
      <c r="L1720" s="229">
        <f>SUM(ventas_b_mes11[[#This Row],[IMPORTE NETO]:[EXENTO]])</f>
        <v>11765</v>
      </c>
      <c r="M1720" s="55"/>
    </row>
    <row r="1721" spans="2:13" x14ac:dyDescent="0.3">
      <c r="B1721" s="223">
        <v>44855</v>
      </c>
      <c r="C1721" s="224">
        <v>6</v>
      </c>
      <c r="D1721" s="225">
        <v>11</v>
      </c>
      <c r="E1721" s="226">
        <v>29785</v>
      </c>
      <c r="F1721" s="227">
        <v>92854939</v>
      </c>
      <c r="G1721" s="1" t="s">
        <v>878</v>
      </c>
      <c r="H1721" s="60">
        <v>1762.81</v>
      </c>
      <c r="I1721" s="228">
        <v>370.19</v>
      </c>
      <c r="J1721" s="229"/>
      <c r="K1721" s="229"/>
      <c r="L1721" s="229">
        <f>SUM(ventas_b_mes11[[#This Row],[IMPORTE NETO]:[EXENTO]])</f>
        <v>2133</v>
      </c>
      <c r="M1721" s="55"/>
    </row>
    <row r="1722" spans="2:13" x14ac:dyDescent="0.3">
      <c r="B1722" s="223">
        <v>44855</v>
      </c>
      <c r="C1722" s="224">
        <v>6</v>
      </c>
      <c r="D1722" s="225">
        <v>11</v>
      </c>
      <c r="E1722" s="226">
        <v>29786</v>
      </c>
      <c r="F1722" s="227">
        <v>34513098</v>
      </c>
      <c r="G1722" s="1" t="s">
        <v>277</v>
      </c>
      <c r="H1722" s="60">
        <v>3793.39</v>
      </c>
      <c r="I1722" s="228">
        <v>796.61</v>
      </c>
      <c r="J1722" s="229"/>
      <c r="K1722" s="229"/>
      <c r="L1722" s="229">
        <f>SUM(ventas_b_mes11[[#This Row],[IMPORTE NETO]:[EXENTO]])</f>
        <v>4590</v>
      </c>
      <c r="M1722" s="55"/>
    </row>
    <row r="1723" spans="2:13" x14ac:dyDescent="0.3">
      <c r="B1723" s="223">
        <v>44855</v>
      </c>
      <c r="C1723" s="224">
        <v>6</v>
      </c>
      <c r="D1723" s="225">
        <v>11</v>
      </c>
      <c r="E1723" s="226">
        <v>29787</v>
      </c>
      <c r="F1723" s="227">
        <v>0</v>
      </c>
      <c r="G1723" s="1"/>
      <c r="H1723" s="60">
        <v>2066.12</v>
      </c>
      <c r="I1723" s="228">
        <v>433.88</v>
      </c>
      <c r="J1723" s="229"/>
      <c r="K1723" s="229"/>
      <c r="L1723" s="229">
        <f>SUM(ventas_b_mes11[[#This Row],[IMPORTE NETO]:[EXENTO]])</f>
        <v>2500</v>
      </c>
      <c r="M1723" s="55"/>
    </row>
    <row r="1724" spans="2:13" x14ac:dyDescent="0.3">
      <c r="B1724" s="223">
        <v>44855</v>
      </c>
      <c r="C1724" s="224">
        <v>6</v>
      </c>
      <c r="D1724" s="225">
        <v>11</v>
      </c>
      <c r="E1724" s="226">
        <v>29788</v>
      </c>
      <c r="F1724" s="227">
        <v>92309677</v>
      </c>
      <c r="G1724" s="1" t="s">
        <v>882</v>
      </c>
      <c r="H1724" s="60">
        <v>5128.09</v>
      </c>
      <c r="I1724" s="228">
        <v>1076.9000000000001</v>
      </c>
      <c r="J1724" s="229"/>
      <c r="K1724" s="229"/>
      <c r="L1724" s="229">
        <f>SUM(ventas_b_mes11[[#This Row],[IMPORTE NETO]:[EXENTO]])</f>
        <v>6204.99</v>
      </c>
      <c r="M1724" s="55"/>
    </row>
    <row r="1725" spans="2:13" x14ac:dyDescent="0.3">
      <c r="B1725" s="223">
        <v>44855</v>
      </c>
      <c r="C1725" s="224">
        <v>6</v>
      </c>
      <c r="D1725" s="225">
        <v>11</v>
      </c>
      <c r="E1725" s="226">
        <v>29789</v>
      </c>
      <c r="F1725" s="227">
        <v>21476196</v>
      </c>
      <c r="G1725" s="1" t="s">
        <v>233</v>
      </c>
      <c r="H1725" s="60">
        <v>3161.16</v>
      </c>
      <c r="I1725" s="228">
        <v>663.84</v>
      </c>
      <c r="J1725" s="229"/>
      <c r="K1725" s="229"/>
      <c r="L1725" s="229">
        <f>SUM(ventas_b_mes11[[#This Row],[IMPORTE NETO]:[EXENTO]])</f>
        <v>3825</v>
      </c>
      <c r="M1725" s="55"/>
    </row>
    <row r="1726" spans="2:13" x14ac:dyDescent="0.3">
      <c r="B1726" s="223">
        <v>44856</v>
      </c>
      <c r="C1726" s="224">
        <v>6</v>
      </c>
      <c r="D1726" s="225">
        <v>11</v>
      </c>
      <c r="E1726" s="226">
        <v>29790</v>
      </c>
      <c r="F1726" s="227">
        <v>40391297</v>
      </c>
      <c r="G1726" s="1" t="s">
        <v>371</v>
      </c>
      <c r="H1726" s="60">
        <v>28722.639999999999</v>
      </c>
      <c r="I1726" s="228">
        <v>6031.76</v>
      </c>
      <c r="J1726" s="229"/>
      <c r="K1726" s="229"/>
      <c r="L1726" s="229">
        <f>SUM(ventas_b_mes11[[#This Row],[IMPORTE NETO]:[EXENTO]])</f>
        <v>34754.400000000001</v>
      </c>
      <c r="M1726" s="55"/>
    </row>
    <row r="1727" spans="2:13" x14ac:dyDescent="0.3">
      <c r="B1727" s="223">
        <v>44856</v>
      </c>
      <c r="C1727" s="224">
        <v>6</v>
      </c>
      <c r="D1727" s="225">
        <v>11</v>
      </c>
      <c r="E1727" s="226">
        <v>29791</v>
      </c>
      <c r="F1727" s="227">
        <v>40391297</v>
      </c>
      <c r="G1727" s="1" t="s">
        <v>371</v>
      </c>
      <c r="H1727" s="60">
        <v>8956.61</v>
      </c>
      <c r="I1727" s="228">
        <v>1880.89</v>
      </c>
      <c r="J1727" s="229"/>
      <c r="K1727" s="229"/>
      <c r="L1727" s="229">
        <f>SUM(ventas_b_mes11[[#This Row],[IMPORTE NETO]:[EXENTO]])</f>
        <v>10837.5</v>
      </c>
      <c r="M1727" s="55"/>
    </row>
    <row r="1728" spans="2:13" x14ac:dyDescent="0.3">
      <c r="B1728" s="223">
        <v>44856</v>
      </c>
      <c r="C1728" s="224">
        <v>6</v>
      </c>
      <c r="D1728" s="225">
        <v>11</v>
      </c>
      <c r="E1728" s="226">
        <v>29792</v>
      </c>
      <c r="F1728" s="227">
        <v>40391297</v>
      </c>
      <c r="G1728" s="1" t="s">
        <v>371</v>
      </c>
      <c r="H1728" s="60">
        <v>760.33</v>
      </c>
      <c r="I1728" s="228">
        <v>159.66999999999999</v>
      </c>
      <c r="J1728" s="229"/>
      <c r="K1728" s="229"/>
      <c r="L1728" s="229">
        <f>SUM(ventas_b_mes11[[#This Row],[IMPORTE NETO]:[EXENTO]])</f>
        <v>920</v>
      </c>
      <c r="M1728" s="55"/>
    </row>
    <row r="1729" spans="2:13" x14ac:dyDescent="0.3">
      <c r="B1729" s="223">
        <v>44856</v>
      </c>
      <c r="C1729" s="224">
        <v>6</v>
      </c>
      <c r="D1729" s="225">
        <v>11</v>
      </c>
      <c r="E1729" s="226">
        <v>29793</v>
      </c>
      <c r="F1729" s="227">
        <v>95512434</v>
      </c>
      <c r="G1729" s="1" t="s">
        <v>710</v>
      </c>
      <c r="H1729" s="60">
        <v>1024.79</v>
      </c>
      <c r="I1729" s="228">
        <v>215.21</v>
      </c>
      <c r="J1729" s="229"/>
      <c r="K1729" s="229"/>
      <c r="L1729" s="229">
        <f>SUM(ventas_b_mes11[[#This Row],[IMPORTE NETO]:[EXENTO]])</f>
        <v>1240</v>
      </c>
      <c r="M1729" s="55"/>
    </row>
    <row r="1730" spans="2:13" x14ac:dyDescent="0.3">
      <c r="B1730" s="223">
        <v>44856</v>
      </c>
      <c r="C1730" s="224">
        <v>6</v>
      </c>
      <c r="D1730" s="225">
        <v>11</v>
      </c>
      <c r="E1730" s="226">
        <v>29794</v>
      </c>
      <c r="F1730" s="227">
        <v>38702762</v>
      </c>
      <c r="G1730" s="1" t="s">
        <v>889</v>
      </c>
      <c r="H1730" s="60">
        <v>1369.83</v>
      </c>
      <c r="I1730" s="228">
        <v>287.67</v>
      </c>
      <c r="J1730" s="229"/>
      <c r="K1730" s="229"/>
      <c r="L1730" s="229">
        <f>SUM(ventas_b_mes11[[#This Row],[IMPORTE NETO]:[EXENTO]])</f>
        <v>1657.5</v>
      </c>
      <c r="M1730" s="55"/>
    </row>
    <row r="1731" spans="2:13" x14ac:dyDescent="0.3">
      <c r="B1731" s="223">
        <v>44856</v>
      </c>
      <c r="C1731" s="224">
        <v>6</v>
      </c>
      <c r="D1731" s="225">
        <v>11</v>
      </c>
      <c r="E1731" s="226">
        <v>29795</v>
      </c>
      <c r="F1731" s="227">
        <v>38702762</v>
      </c>
      <c r="G1731" s="1" t="s">
        <v>889</v>
      </c>
      <c r="H1731" s="60">
        <v>31283.06</v>
      </c>
      <c r="I1731" s="228">
        <v>6569.44</v>
      </c>
      <c r="J1731" s="229"/>
      <c r="K1731" s="229"/>
      <c r="L1731" s="229">
        <f>SUM(ventas_b_mes11[[#This Row],[IMPORTE NETO]:[EXENTO]])</f>
        <v>37852.5</v>
      </c>
      <c r="M1731" s="55"/>
    </row>
    <row r="1732" spans="2:13" x14ac:dyDescent="0.3">
      <c r="B1732" s="223">
        <v>44856</v>
      </c>
      <c r="C1732" s="224">
        <v>6</v>
      </c>
      <c r="D1732" s="225">
        <v>11</v>
      </c>
      <c r="E1732" s="226">
        <v>29796</v>
      </c>
      <c r="F1732" s="227">
        <v>95962559</v>
      </c>
      <c r="G1732" s="1" t="s">
        <v>385</v>
      </c>
      <c r="H1732" s="60">
        <v>272.73</v>
      </c>
      <c r="I1732" s="228">
        <v>57.27</v>
      </c>
      <c r="J1732" s="229"/>
      <c r="K1732" s="229"/>
      <c r="L1732" s="229">
        <f>SUM(ventas_b_mes11[[#This Row],[IMPORTE NETO]:[EXENTO]])</f>
        <v>330</v>
      </c>
      <c r="M1732" s="55"/>
    </row>
    <row r="1733" spans="2:13" x14ac:dyDescent="0.3">
      <c r="B1733" s="223">
        <v>44856</v>
      </c>
      <c r="C1733" s="224">
        <v>6</v>
      </c>
      <c r="D1733" s="225">
        <v>11</v>
      </c>
      <c r="E1733" s="226">
        <v>29797</v>
      </c>
      <c r="F1733" s="227">
        <v>95512434</v>
      </c>
      <c r="G1733" s="1" t="s">
        <v>710</v>
      </c>
      <c r="H1733" s="60">
        <v>4545.45</v>
      </c>
      <c r="I1733" s="228">
        <v>954.55</v>
      </c>
      <c r="J1733" s="229"/>
      <c r="K1733" s="229"/>
      <c r="L1733" s="229">
        <f>SUM(ventas_b_mes11[[#This Row],[IMPORTE NETO]:[EXENTO]])</f>
        <v>5500</v>
      </c>
      <c r="M1733" s="55"/>
    </row>
    <row r="1734" spans="2:13" x14ac:dyDescent="0.3">
      <c r="B1734" s="223">
        <v>44856</v>
      </c>
      <c r="C1734" s="224">
        <v>6</v>
      </c>
      <c r="D1734" s="225">
        <v>11</v>
      </c>
      <c r="E1734" s="226">
        <v>29798</v>
      </c>
      <c r="F1734" s="227">
        <v>20108486</v>
      </c>
      <c r="G1734" s="1" t="s">
        <v>895</v>
      </c>
      <c r="H1734" s="60">
        <v>2066.12</v>
      </c>
      <c r="I1734" s="228">
        <v>433.88</v>
      </c>
      <c r="J1734" s="229"/>
      <c r="K1734" s="229"/>
      <c r="L1734" s="229">
        <f>SUM(ventas_b_mes11[[#This Row],[IMPORTE NETO]:[EXENTO]])</f>
        <v>2500</v>
      </c>
      <c r="M1734" s="55"/>
    </row>
    <row r="1735" spans="2:13" x14ac:dyDescent="0.3">
      <c r="B1735" s="223">
        <v>44856</v>
      </c>
      <c r="C1735" s="224">
        <v>6</v>
      </c>
      <c r="D1735" s="225">
        <v>11</v>
      </c>
      <c r="E1735" s="226">
        <v>29799</v>
      </c>
      <c r="F1735" s="227">
        <v>46074487</v>
      </c>
      <c r="G1735" s="1" t="s">
        <v>305</v>
      </c>
      <c r="H1735" s="60">
        <v>4958.68</v>
      </c>
      <c r="I1735" s="228">
        <v>1041.32</v>
      </c>
      <c r="J1735" s="229"/>
      <c r="K1735" s="229"/>
      <c r="L1735" s="229">
        <f>SUM(ventas_b_mes11[[#This Row],[IMPORTE NETO]:[EXENTO]])</f>
        <v>6000</v>
      </c>
      <c r="M1735" s="55"/>
    </row>
    <row r="1736" spans="2:13" x14ac:dyDescent="0.3">
      <c r="B1736" s="223">
        <v>44856</v>
      </c>
      <c r="C1736" s="224">
        <v>6</v>
      </c>
      <c r="D1736" s="225">
        <v>11</v>
      </c>
      <c r="E1736" s="226">
        <v>29800</v>
      </c>
      <c r="F1736" s="227">
        <v>14952566</v>
      </c>
      <c r="G1736" s="1" t="s">
        <v>309</v>
      </c>
      <c r="H1736" s="60">
        <v>5900.83</v>
      </c>
      <c r="I1736" s="228">
        <v>1239.17</v>
      </c>
      <c r="J1736" s="229"/>
      <c r="K1736" s="229"/>
      <c r="L1736" s="229">
        <f>SUM(ventas_b_mes11[[#This Row],[IMPORTE NETO]:[EXENTO]])</f>
        <v>7140</v>
      </c>
      <c r="M1736" s="55"/>
    </row>
    <row r="1737" spans="2:13" x14ac:dyDescent="0.3">
      <c r="B1737" s="223">
        <v>44856</v>
      </c>
      <c r="C1737" s="224">
        <v>6</v>
      </c>
      <c r="D1737" s="225">
        <v>11</v>
      </c>
      <c r="E1737" s="226">
        <v>29801</v>
      </c>
      <c r="F1737" s="227">
        <v>14783988</v>
      </c>
      <c r="G1737" s="1" t="s">
        <v>776</v>
      </c>
      <c r="H1737" s="60">
        <v>17554.96</v>
      </c>
      <c r="I1737" s="228">
        <v>3686.54</v>
      </c>
      <c r="J1737" s="229"/>
      <c r="K1737" s="229"/>
      <c r="L1737" s="229">
        <f>SUM(ventas_b_mes11[[#This Row],[IMPORTE NETO]:[EXENTO]])</f>
        <v>21241.5</v>
      </c>
      <c r="M1737" s="55"/>
    </row>
    <row r="1738" spans="2:13" x14ac:dyDescent="0.3">
      <c r="B1738" s="223">
        <v>44856</v>
      </c>
      <c r="C1738" s="224">
        <v>6</v>
      </c>
      <c r="D1738" s="225">
        <v>11</v>
      </c>
      <c r="E1738" s="226">
        <v>29802</v>
      </c>
      <c r="F1738" s="227">
        <v>95713574</v>
      </c>
      <c r="G1738" s="1" t="s">
        <v>886</v>
      </c>
      <c r="H1738" s="60">
        <v>4545.45</v>
      </c>
      <c r="I1738" s="228">
        <v>954.55</v>
      </c>
      <c r="J1738" s="229"/>
      <c r="K1738" s="229"/>
      <c r="L1738" s="229">
        <f>SUM(ventas_b_mes11[[#This Row],[IMPORTE NETO]:[EXENTO]])</f>
        <v>5500</v>
      </c>
      <c r="M1738" s="55"/>
    </row>
    <row r="1739" spans="2:13" x14ac:dyDescent="0.3">
      <c r="B1739" s="223">
        <v>44856</v>
      </c>
      <c r="C1739" s="224">
        <v>6</v>
      </c>
      <c r="D1739" s="225">
        <v>11</v>
      </c>
      <c r="E1739" s="226">
        <v>29803</v>
      </c>
      <c r="F1739" s="227">
        <v>95713574</v>
      </c>
      <c r="G1739" s="1" t="s">
        <v>886</v>
      </c>
      <c r="H1739" s="60">
        <v>2978.51</v>
      </c>
      <c r="I1739" s="228">
        <v>625.49</v>
      </c>
      <c r="J1739" s="229"/>
      <c r="K1739" s="229"/>
      <c r="L1739" s="229">
        <f>SUM(ventas_b_mes11[[#This Row],[IMPORTE NETO]:[EXENTO]])</f>
        <v>3604</v>
      </c>
      <c r="M1739" s="55"/>
    </row>
    <row r="1740" spans="2:13" x14ac:dyDescent="0.3">
      <c r="B1740" s="223">
        <v>44856</v>
      </c>
      <c r="C1740" s="224">
        <v>6</v>
      </c>
      <c r="D1740" s="225">
        <v>11</v>
      </c>
      <c r="E1740" s="226">
        <v>29804</v>
      </c>
      <c r="F1740" s="227">
        <v>35460555</v>
      </c>
      <c r="G1740" s="1" t="s">
        <v>695</v>
      </c>
      <c r="H1740" s="60">
        <v>1483.47</v>
      </c>
      <c r="I1740" s="228">
        <v>311.52999999999997</v>
      </c>
      <c r="J1740" s="229"/>
      <c r="K1740" s="229"/>
      <c r="L1740" s="229">
        <f>SUM(ventas_b_mes11[[#This Row],[IMPORTE NETO]:[EXENTO]])</f>
        <v>1795</v>
      </c>
      <c r="M1740" s="55"/>
    </row>
    <row r="1741" spans="2:13" x14ac:dyDescent="0.3">
      <c r="B1741" s="223">
        <v>44856</v>
      </c>
      <c r="C1741" s="224">
        <v>6</v>
      </c>
      <c r="D1741" s="225">
        <v>11</v>
      </c>
      <c r="E1741" s="226">
        <v>29805</v>
      </c>
      <c r="F1741" s="227">
        <v>24923510059</v>
      </c>
      <c r="G1741" s="1" t="s">
        <v>897</v>
      </c>
      <c r="H1741" s="60">
        <v>6160.75</v>
      </c>
      <c r="I1741" s="228">
        <v>1293.76</v>
      </c>
      <c r="J1741" s="229"/>
      <c r="K1741" s="229"/>
      <c r="L1741" s="229">
        <f>SUM(ventas_b_mes11[[#This Row],[IMPORTE NETO]:[EXENTO]])</f>
        <v>7454.51</v>
      </c>
      <c r="M1741" s="55"/>
    </row>
    <row r="1742" spans="2:13" x14ac:dyDescent="0.3">
      <c r="B1742" s="223">
        <v>44856</v>
      </c>
      <c r="C1742" s="224">
        <v>6</v>
      </c>
      <c r="D1742" s="225">
        <v>11</v>
      </c>
      <c r="E1742" s="226">
        <v>29806</v>
      </c>
      <c r="F1742" s="227">
        <v>92708396</v>
      </c>
      <c r="G1742" s="1" t="s">
        <v>378</v>
      </c>
      <c r="H1742" s="60">
        <v>10578.1</v>
      </c>
      <c r="I1742" s="228">
        <v>2221.4</v>
      </c>
      <c r="J1742" s="229"/>
      <c r="K1742" s="229"/>
      <c r="L1742" s="229">
        <f>SUM(ventas_b_mes11[[#This Row],[IMPORTE NETO]:[EXENTO]])</f>
        <v>12799.5</v>
      </c>
      <c r="M1742" s="55"/>
    </row>
    <row r="1743" spans="2:13" x14ac:dyDescent="0.3">
      <c r="B1743" s="223">
        <v>44856</v>
      </c>
      <c r="C1743" s="224">
        <v>6</v>
      </c>
      <c r="D1743" s="225">
        <v>11</v>
      </c>
      <c r="E1743" s="226">
        <v>29807</v>
      </c>
      <c r="F1743" s="227">
        <v>92708396</v>
      </c>
      <c r="G1743" s="1" t="s">
        <v>378</v>
      </c>
      <c r="H1743" s="60">
        <v>1123.22</v>
      </c>
      <c r="I1743" s="228">
        <v>235.88</v>
      </c>
      <c r="J1743" s="229"/>
      <c r="K1743" s="229"/>
      <c r="L1743" s="229">
        <f>SUM(ventas_b_mes11[[#This Row],[IMPORTE NETO]:[EXENTO]])</f>
        <v>1359.1</v>
      </c>
      <c r="M1743" s="55"/>
    </row>
    <row r="1744" spans="2:13" x14ac:dyDescent="0.3">
      <c r="B1744" s="223">
        <v>44856</v>
      </c>
      <c r="C1744" s="224">
        <v>6</v>
      </c>
      <c r="D1744" s="225">
        <v>11</v>
      </c>
      <c r="E1744" s="226">
        <v>29808</v>
      </c>
      <c r="F1744" s="227">
        <v>95962559</v>
      </c>
      <c r="G1744" s="1" t="s">
        <v>385</v>
      </c>
      <c r="H1744" s="60">
        <v>3266.53</v>
      </c>
      <c r="I1744" s="228">
        <v>685.97</v>
      </c>
      <c r="J1744" s="229"/>
      <c r="K1744" s="229"/>
      <c r="L1744" s="229">
        <f>SUM(ventas_b_mes11[[#This Row],[IMPORTE NETO]:[EXENTO]])</f>
        <v>3952.5</v>
      </c>
      <c r="M1744" s="55"/>
    </row>
    <row r="1745" spans="2:13" x14ac:dyDescent="0.3">
      <c r="B1745" s="223">
        <v>44856</v>
      </c>
      <c r="C1745" s="224">
        <v>6</v>
      </c>
      <c r="D1745" s="225">
        <v>11</v>
      </c>
      <c r="E1745" s="226">
        <v>29809</v>
      </c>
      <c r="F1745" s="227">
        <v>21649880</v>
      </c>
      <c r="G1745" s="1" t="s">
        <v>900</v>
      </c>
      <c r="H1745" s="60">
        <v>7353.31</v>
      </c>
      <c r="I1745" s="228">
        <v>1544.19</v>
      </c>
      <c r="J1745" s="229"/>
      <c r="K1745" s="229"/>
      <c r="L1745" s="229">
        <f>SUM(ventas_b_mes11[[#This Row],[IMPORTE NETO]:[EXENTO]])</f>
        <v>8897.5</v>
      </c>
      <c r="M1745" s="55"/>
    </row>
    <row r="1746" spans="2:13" x14ac:dyDescent="0.3">
      <c r="B1746" s="223">
        <v>44856</v>
      </c>
      <c r="C1746" s="224">
        <v>6</v>
      </c>
      <c r="D1746" s="225">
        <v>11</v>
      </c>
      <c r="E1746" s="226">
        <v>29810</v>
      </c>
      <c r="F1746" s="227">
        <v>92708396</v>
      </c>
      <c r="G1746" s="1" t="s">
        <v>378</v>
      </c>
      <c r="H1746" s="60">
        <v>11983.5</v>
      </c>
      <c r="I1746" s="228">
        <v>2516.54</v>
      </c>
      <c r="J1746" s="229"/>
      <c r="K1746" s="229"/>
      <c r="L1746" s="229">
        <f>SUM(ventas_b_mes11[[#This Row],[IMPORTE NETO]:[EXENTO]])</f>
        <v>14500.04</v>
      </c>
      <c r="M1746" s="55"/>
    </row>
    <row r="1747" spans="2:13" x14ac:dyDescent="0.3">
      <c r="B1747" s="223">
        <v>44858</v>
      </c>
      <c r="C1747" s="224">
        <v>6</v>
      </c>
      <c r="D1747" s="225">
        <v>11</v>
      </c>
      <c r="E1747" s="226">
        <v>29811</v>
      </c>
      <c r="F1747" s="227">
        <v>22709320</v>
      </c>
      <c r="G1747" s="1" t="s">
        <v>199</v>
      </c>
      <c r="H1747" s="60">
        <v>10326.44</v>
      </c>
      <c r="I1747" s="228">
        <v>2168.5500000000002</v>
      </c>
      <c r="J1747" s="229"/>
      <c r="K1747" s="229"/>
      <c r="L1747" s="229">
        <f>SUM(ventas_b_mes11[[#This Row],[IMPORTE NETO]:[EXENTO]])</f>
        <v>12494.990000000002</v>
      </c>
      <c r="M1747" s="55"/>
    </row>
    <row r="1748" spans="2:13" x14ac:dyDescent="0.3">
      <c r="B1748" s="223">
        <v>44858</v>
      </c>
      <c r="C1748" s="224">
        <v>6</v>
      </c>
      <c r="D1748" s="225">
        <v>11</v>
      </c>
      <c r="E1748" s="226">
        <v>29812</v>
      </c>
      <c r="F1748" s="227">
        <v>16919860</v>
      </c>
      <c r="G1748" s="1" t="s">
        <v>902</v>
      </c>
      <c r="H1748" s="60">
        <v>4958.68</v>
      </c>
      <c r="I1748" s="228">
        <v>1041.32</v>
      </c>
      <c r="J1748" s="229"/>
      <c r="K1748" s="229"/>
      <c r="L1748" s="229">
        <f>SUM(ventas_b_mes11[[#This Row],[IMPORTE NETO]:[EXENTO]])</f>
        <v>6000</v>
      </c>
      <c r="M1748" s="55"/>
    </row>
    <row r="1749" spans="2:13" x14ac:dyDescent="0.3">
      <c r="B1749" s="223">
        <v>44858</v>
      </c>
      <c r="C1749" s="224">
        <v>6</v>
      </c>
      <c r="D1749" s="225">
        <v>11</v>
      </c>
      <c r="E1749" s="226">
        <v>29813</v>
      </c>
      <c r="F1749" s="227">
        <v>16919860</v>
      </c>
      <c r="G1749" s="1" t="s">
        <v>902</v>
      </c>
      <c r="H1749" s="60">
        <v>4958.68</v>
      </c>
      <c r="I1749" s="228">
        <v>1041.32</v>
      </c>
      <c r="J1749" s="229"/>
      <c r="K1749" s="229"/>
      <c r="L1749" s="229">
        <f>SUM(ventas_b_mes11[[#This Row],[IMPORTE NETO]:[EXENTO]])</f>
        <v>6000</v>
      </c>
      <c r="M1749" s="55"/>
    </row>
    <row r="1750" spans="2:13" x14ac:dyDescent="0.3">
      <c r="B1750" s="223">
        <v>44858</v>
      </c>
      <c r="C1750" s="224">
        <v>6</v>
      </c>
      <c r="D1750" s="225">
        <v>11</v>
      </c>
      <c r="E1750" s="226">
        <v>29814</v>
      </c>
      <c r="F1750" s="227">
        <v>10478965</v>
      </c>
      <c r="G1750" s="1" t="s">
        <v>788</v>
      </c>
      <c r="H1750" s="60">
        <v>4713.6400000000003</v>
      </c>
      <c r="I1750" s="228">
        <v>989.87</v>
      </c>
      <c r="J1750" s="229"/>
      <c r="K1750" s="229"/>
      <c r="L1750" s="229">
        <f>SUM(ventas_b_mes11[[#This Row],[IMPORTE NETO]:[EXENTO]])</f>
        <v>5703.51</v>
      </c>
      <c r="M1750" s="55"/>
    </row>
    <row r="1751" spans="2:13" x14ac:dyDescent="0.3">
      <c r="B1751" s="223">
        <v>44858</v>
      </c>
      <c r="C1751" s="224">
        <v>6</v>
      </c>
      <c r="D1751" s="225">
        <v>11</v>
      </c>
      <c r="E1751" s="226">
        <v>29815</v>
      </c>
      <c r="F1751" s="227">
        <v>6401601</v>
      </c>
      <c r="G1751" s="1"/>
      <c r="H1751" s="60">
        <v>464.69</v>
      </c>
      <c r="I1751" s="228">
        <v>97.59</v>
      </c>
      <c r="J1751" s="229"/>
      <c r="K1751" s="229"/>
      <c r="L1751" s="229">
        <f>SUM(ventas_b_mes11[[#This Row],[IMPORTE NETO]:[EXENTO]])</f>
        <v>562.28</v>
      </c>
      <c r="M1751" s="55"/>
    </row>
    <row r="1752" spans="2:13" x14ac:dyDescent="0.3">
      <c r="B1752" s="223">
        <v>44858</v>
      </c>
      <c r="C1752" s="224">
        <v>6</v>
      </c>
      <c r="D1752" s="225">
        <v>11</v>
      </c>
      <c r="E1752" s="226">
        <v>29816</v>
      </c>
      <c r="F1752" s="227">
        <v>6401601</v>
      </c>
      <c r="G1752" s="1"/>
      <c r="H1752" s="60">
        <v>6638.44</v>
      </c>
      <c r="I1752" s="228">
        <v>1394.07</v>
      </c>
      <c r="J1752" s="229"/>
      <c r="K1752" s="229"/>
      <c r="L1752" s="229">
        <f>SUM(ventas_b_mes11[[#This Row],[IMPORTE NETO]:[EXENTO]])</f>
        <v>8032.5099999999993</v>
      </c>
      <c r="M1752" s="55"/>
    </row>
    <row r="1753" spans="2:13" x14ac:dyDescent="0.3">
      <c r="B1753" s="223">
        <v>44858</v>
      </c>
      <c r="C1753" s="224">
        <v>6</v>
      </c>
      <c r="D1753" s="225">
        <v>11</v>
      </c>
      <c r="E1753" s="226">
        <v>29817</v>
      </c>
      <c r="F1753" s="227">
        <v>6401601</v>
      </c>
      <c r="G1753" s="1"/>
      <c r="H1753" s="60">
        <v>3057.85</v>
      </c>
      <c r="I1753" s="228">
        <v>642.15</v>
      </c>
      <c r="J1753" s="229"/>
      <c r="K1753" s="229"/>
      <c r="L1753" s="229">
        <f>SUM(ventas_b_mes11[[#This Row],[IMPORTE NETO]:[EXENTO]])</f>
        <v>3700</v>
      </c>
      <c r="M1753" s="55"/>
    </row>
    <row r="1754" spans="2:13" x14ac:dyDescent="0.3">
      <c r="B1754" s="223">
        <v>44858</v>
      </c>
      <c r="C1754" s="224">
        <v>6</v>
      </c>
      <c r="D1754" s="225">
        <v>11</v>
      </c>
      <c r="E1754" s="226">
        <v>29818</v>
      </c>
      <c r="F1754" s="227">
        <v>96015159</v>
      </c>
      <c r="G1754" s="1" t="s">
        <v>191</v>
      </c>
      <c r="H1754" s="60">
        <v>869.42</v>
      </c>
      <c r="I1754" s="228">
        <v>182.58</v>
      </c>
      <c r="J1754" s="229"/>
      <c r="K1754" s="229"/>
      <c r="L1754" s="229">
        <f>SUM(ventas_b_mes11[[#This Row],[IMPORTE NETO]:[EXENTO]])</f>
        <v>1052</v>
      </c>
      <c r="M1754" s="55"/>
    </row>
    <row r="1755" spans="2:13" x14ac:dyDescent="0.3">
      <c r="B1755" s="223">
        <v>44858</v>
      </c>
      <c r="C1755" s="224">
        <v>6</v>
      </c>
      <c r="D1755" s="225">
        <v>11</v>
      </c>
      <c r="E1755" s="226">
        <v>29819</v>
      </c>
      <c r="F1755" s="227">
        <v>33560878</v>
      </c>
      <c r="G1755" s="1" t="s">
        <v>315</v>
      </c>
      <c r="H1755" s="60">
        <v>7200.41</v>
      </c>
      <c r="I1755" s="228">
        <v>1512.09</v>
      </c>
      <c r="J1755" s="229"/>
      <c r="K1755" s="229"/>
      <c r="L1755" s="229">
        <f>SUM(ventas_b_mes11[[#This Row],[IMPORTE NETO]:[EXENTO]])</f>
        <v>8712.5</v>
      </c>
      <c r="M1755" s="55"/>
    </row>
    <row r="1756" spans="2:13" x14ac:dyDescent="0.3">
      <c r="B1756" s="223">
        <v>44858</v>
      </c>
      <c r="C1756" s="224">
        <v>6</v>
      </c>
      <c r="D1756" s="225">
        <v>11</v>
      </c>
      <c r="E1756" s="226">
        <v>29820</v>
      </c>
      <c r="F1756" s="227">
        <v>0</v>
      </c>
      <c r="G1756" s="1"/>
      <c r="H1756" s="60">
        <v>2066.12</v>
      </c>
      <c r="I1756" s="228">
        <v>433.88</v>
      </c>
      <c r="J1756" s="229"/>
      <c r="K1756" s="229"/>
      <c r="L1756" s="229">
        <f>SUM(ventas_b_mes11[[#This Row],[IMPORTE NETO]:[EXENTO]])</f>
        <v>2500</v>
      </c>
      <c r="M1756" s="55"/>
    </row>
    <row r="1757" spans="2:13" x14ac:dyDescent="0.3">
      <c r="B1757" s="223">
        <v>44858</v>
      </c>
      <c r="C1757" s="224">
        <v>6</v>
      </c>
      <c r="D1757" s="225">
        <v>11</v>
      </c>
      <c r="E1757" s="226">
        <v>29821</v>
      </c>
      <c r="F1757" s="227">
        <v>0</v>
      </c>
      <c r="G1757" s="1"/>
      <c r="H1757" s="60">
        <v>2066.12</v>
      </c>
      <c r="I1757" s="228">
        <v>433.88</v>
      </c>
      <c r="J1757" s="229"/>
      <c r="K1757" s="229"/>
      <c r="L1757" s="229">
        <f>SUM(ventas_b_mes11[[#This Row],[IMPORTE NETO]:[EXENTO]])</f>
        <v>2500</v>
      </c>
      <c r="M1757" s="55"/>
    </row>
    <row r="1758" spans="2:13" x14ac:dyDescent="0.3">
      <c r="B1758" s="223">
        <v>44858</v>
      </c>
      <c r="C1758" s="224">
        <v>6</v>
      </c>
      <c r="D1758" s="225">
        <v>11</v>
      </c>
      <c r="E1758" s="226">
        <v>29822</v>
      </c>
      <c r="F1758" s="227">
        <v>6436196</v>
      </c>
      <c r="G1758" s="1" t="s">
        <v>157</v>
      </c>
      <c r="H1758" s="60">
        <v>1115.7</v>
      </c>
      <c r="I1758" s="228">
        <v>234.3</v>
      </c>
      <c r="J1758" s="229"/>
      <c r="K1758" s="229"/>
      <c r="L1758" s="229">
        <f>SUM(ventas_b_mes11[[#This Row],[IMPORTE NETO]:[EXENTO]])</f>
        <v>1350</v>
      </c>
      <c r="M1758" s="55"/>
    </row>
    <row r="1759" spans="2:13" x14ac:dyDescent="0.3">
      <c r="B1759" s="223">
        <v>44858</v>
      </c>
      <c r="C1759" s="224">
        <v>6</v>
      </c>
      <c r="D1759" s="225">
        <v>11</v>
      </c>
      <c r="E1759" s="226">
        <v>29823</v>
      </c>
      <c r="F1759" s="227">
        <v>16232863</v>
      </c>
      <c r="G1759" s="1" t="s">
        <v>375</v>
      </c>
      <c r="H1759" s="60">
        <v>29433.97</v>
      </c>
      <c r="I1759" s="228">
        <v>6181.13</v>
      </c>
      <c r="J1759" s="229"/>
      <c r="K1759" s="229"/>
      <c r="L1759" s="229">
        <f>SUM(ventas_b_mes11[[#This Row],[IMPORTE NETO]:[EXENTO]])</f>
        <v>35615.1</v>
      </c>
      <c r="M1759" s="55"/>
    </row>
    <row r="1760" spans="2:13" x14ac:dyDescent="0.3">
      <c r="B1760" s="223">
        <v>44858</v>
      </c>
      <c r="C1760" s="224">
        <v>6</v>
      </c>
      <c r="D1760" s="225">
        <v>11</v>
      </c>
      <c r="E1760" s="226">
        <v>29824</v>
      </c>
      <c r="F1760" s="227">
        <v>22633975</v>
      </c>
      <c r="G1760" s="1" t="s">
        <v>697</v>
      </c>
      <c r="H1760" s="60">
        <v>6343.4</v>
      </c>
      <c r="I1760" s="228">
        <v>1332.11</v>
      </c>
      <c r="J1760" s="229"/>
      <c r="K1760" s="229"/>
      <c r="L1760" s="229">
        <f>SUM(ventas_b_mes11[[#This Row],[IMPORTE NETO]:[EXENTO]])</f>
        <v>7675.5099999999993</v>
      </c>
      <c r="M1760" s="55"/>
    </row>
    <row r="1761" spans="2:13" x14ac:dyDescent="0.3">
      <c r="B1761" s="223">
        <v>44858</v>
      </c>
      <c r="C1761" s="224">
        <v>6</v>
      </c>
      <c r="D1761" s="225">
        <v>11</v>
      </c>
      <c r="E1761" s="226">
        <v>29825</v>
      </c>
      <c r="F1761" s="227">
        <v>18905338</v>
      </c>
      <c r="G1761" s="1" t="s">
        <v>662</v>
      </c>
      <c r="H1761" s="60">
        <v>3442.15</v>
      </c>
      <c r="I1761" s="228">
        <v>722.85</v>
      </c>
      <c r="J1761" s="229"/>
      <c r="K1761" s="229"/>
      <c r="L1761" s="229">
        <f>SUM(ventas_b_mes11[[#This Row],[IMPORTE NETO]:[EXENTO]])</f>
        <v>4165</v>
      </c>
      <c r="M1761" s="55"/>
    </row>
    <row r="1762" spans="2:13" x14ac:dyDescent="0.3">
      <c r="B1762" s="223">
        <v>44858</v>
      </c>
      <c r="C1762" s="224">
        <v>6</v>
      </c>
      <c r="D1762" s="225">
        <v>11</v>
      </c>
      <c r="E1762" s="226">
        <v>29826</v>
      </c>
      <c r="F1762" s="227">
        <v>18537191</v>
      </c>
      <c r="G1762" s="1" t="s">
        <v>913</v>
      </c>
      <c r="H1762" s="60">
        <v>25301.43</v>
      </c>
      <c r="I1762" s="228">
        <v>5313.3</v>
      </c>
      <c r="J1762" s="229"/>
      <c r="K1762" s="229"/>
      <c r="L1762" s="229">
        <f>SUM(ventas_b_mes11[[#This Row],[IMPORTE NETO]:[EXENTO]])</f>
        <v>30614.73</v>
      </c>
      <c r="M1762" s="55"/>
    </row>
    <row r="1763" spans="2:13" x14ac:dyDescent="0.3">
      <c r="B1763" s="223">
        <v>44858</v>
      </c>
      <c r="C1763" s="224">
        <v>6</v>
      </c>
      <c r="D1763" s="225">
        <v>11</v>
      </c>
      <c r="E1763" s="226">
        <v>29827</v>
      </c>
      <c r="F1763" s="227">
        <v>17856747</v>
      </c>
      <c r="G1763" s="1" t="s">
        <v>908</v>
      </c>
      <c r="H1763" s="60">
        <v>4676.46</v>
      </c>
      <c r="I1763" s="228">
        <v>982.06</v>
      </c>
      <c r="J1763" s="229"/>
      <c r="K1763" s="229"/>
      <c r="L1763" s="229">
        <f>SUM(ventas_b_mes11[[#This Row],[IMPORTE NETO]:[EXENTO]])</f>
        <v>5658.52</v>
      </c>
      <c r="M1763" s="55"/>
    </row>
    <row r="1764" spans="2:13" x14ac:dyDescent="0.3">
      <c r="B1764" s="223">
        <v>44858</v>
      </c>
      <c r="C1764" s="224">
        <v>6</v>
      </c>
      <c r="D1764" s="225">
        <v>11</v>
      </c>
      <c r="E1764" s="226">
        <v>29828</v>
      </c>
      <c r="F1764" s="227">
        <v>24796584</v>
      </c>
      <c r="G1764" s="1" t="s">
        <v>909</v>
      </c>
      <c r="H1764" s="60">
        <v>3504.13</v>
      </c>
      <c r="I1764" s="228">
        <v>735.87</v>
      </c>
      <c r="J1764" s="229"/>
      <c r="K1764" s="229"/>
      <c r="L1764" s="229">
        <f>SUM(ventas_b_mes11[[#This Row],[IMPORTE NETO]:[EXENTO]])</f>
        <v>4240</v>
      </c>
      <c r="M1764" s="55"/>
    </row>
    <row r="1765" spans="2:13" x14ac:dyDescent="0.3">
      <c r="B1765" s="223">
        <v>44858</v>
      </c>
      <c r="C1765" s="224">
        <v>6</v>
      </c>
      <c r="D1765" s="225">
        <v>11</v>
      </c>
      <c r="E1765" s="226">
        <v>29829</v>
      </c>
      <c r="F1765" s="227">
        <v>23103065</v>
      </c>
      <c r="G1765" s="1" t="s">
        <v>825</v>
      </c>
      <c r="H1765" s="60">
        <v>6561.16</v>
      </c>
      <c r="I1765" s="228">
        <v>1377.84</v>
      </c>
      <c r="J1765" s="229"/>
      <c r="K1765" s="229"/>
      <c r="L1765" s="229">
        <f>SUM(ventas_b_mes11[[#This Row],[IMPORTE NETO]:[EXENTO]])</f>
        <v>7939</v>
      </c>
      <c r="M1765" s="55"/>
    </row>
    <row r="1766" spans="2:13" x14ac:dyDescent="0.3">
      <c r="B1766" s="223">
        <v>44858</v>
      </c>
      <c r="C1766" s="224">
        <v>6</v>
      </c>
      <c r="D1766" s="225">
        <v>11</v>
      </c>
      <c r="E1766" s="226">
        <v>29830</v>
      </c>
      <c r="F1766" s="227">
        <v>17363693</v>
      </c>
      <c r="G1766" s="1" t="s">
        <v>771</v>
      </c>
      <c r="H1766" s="60">
        <v>8324.3799999999992</v>
      </c>
      <c r="I1766" s="228">
        <v>1748.12</v>
      </c>
      <c r="J1766" s="229"/>
      <c r="K1766" s="229"/>
      <c r="L1766" s="229">
        <f>SUM(ventas_b_mes11[[#This Row],[IMPORTE NETO]:[EXENTO]])</f>
        <v>10072.5</v>
      </c>
      <c r="M1766" s="55"/>
    </row>
    <row r="1767" spans="2:13" x14ac:dyDescent="0.3">
      <c r="B1767" s="223">
        <v>44858</v>
      </c>
      <c r="C1767" s="224">
        <v>6</v>
      </c>
      <c r="D1767" s="225">
        <v>11</v>
      </c>
      <c r="E1767" s="226">
        <v>29831</v>
      </c>
      <c r="F1767" s="227">
        <v>0</v>
      </c>
      <c r="G1767" s="1"/>
      <c r="H1767" s="60">
        <v>1227.27</v>
      </c>
      <c r="I1767" s="228">
        <v>257.73</v>
      </c>
      <c r="J1767" s="229"/>
      <c r="K1767" s="229"/>
      <c r="L1767" s="229">
        <f>SUM(ventas_b_mes11[[#This Row],[IMPORTE NETO]:[EXENTO]])</f>
        <v>1485</v>
      </c>
      <c r="M1767" s="55"/>
    </row>
    <row r="1768" spans="2:13" x14ac:dyDescent="0.3">
      <c r="B1768" s="223">
        <v>44858</v>
      </c>
      <c r="C1768" s="224">
        <v>6</v>
      </c>
      <c r="D1768" s="225">
        <v>11</v>
      </c>
      <c r="E1768" s="226">
        <v>29832</v>
      </c>
      <c r="F1768" s="227">
        <v>0</v>
      </c>
      <c r="G1768" s="1"/>
      <c r="H1768" s="60">
        <v>1561.98</v>
      </c>
      <c r="I1768" s="228">
        <v>328.02</v>
      </c>
      <c r="J1768" s="229"/>
      <c r="K1768" s="229"/>
      <c r="L1768" s="229">
        <f>SUM(ventas_b_mes11[[#This Row],[IMPORTE NETO]:[EXENTO]])</f>
        <v>1890</v>
      </c>
      <c r="M1768" s="55"/>
    </row>
    <row r="1769" spans="2:13" x14ac:dyDescent="0.3">
      <c r="B1769" s="223">
        <v>44858</v>
      </c>
      <c r="C1769" s="224">
        <v>6</v>
      </c>
      <c r="D1769" s="225">
        <v>11</v>
      </c>
      <c r="E1769" s="226">
        <v>29833</v>
      </c>
      <c r="F1769" s="227">
        <v>20694555</v>
      </c>
      <c r="G1769" s="1" t="s">
        <v>936</v>
      </c>
      <c r="H1769" s="60">
        <v>8233.06</v>
      </c>
      <c r="I1769" s="228">
        <v>1728.94</v>
      </c>
      <c r="J1769" s="229"/>
      <c r="K1769" s="229"/>
      <c r="L1769" s="229">
        <f>SUM(ventas_b_mes11[[#This Row],[IMPORTE NETO]:[EXENTO]])</f>
        <v>9962</v>
      </c>
      <c r="M1769" s="55"/>
    </row>
    <row r="1770" spans="2:13" x14ac:dyDescent="0.3">
      <c r="B1770" s="223">
        <v>44858</v>
      </c>
      <c r="C1770" s="224">
        <v>6</v>
      </c>
      <c r="D1770" s="225">
        <v>11</v>
      </c>
      <c r="E1770" s="226">
        <v>29834</v>
      </c>
      <c r="F1770" s="227">
        <v>28147987</v>
      </c>
      <c r="G1770" s="1" t="s">
        <v>217</v>
      </c>
      <c r="H1770" s="60">
        <v>1450.41</v>
      </c>
      <c r="I1770" s="228">
        <v>304.58999999999997</v>
      </c>
      <c r="J1770" s="229"/>
      <c r="K1770" s="229"/>
      <c r="L1770" s="229">
        <f>SUM(ventas_b_mes11[[#This Row],[IMPORTE NETO]:[EXENTO]])</f>
        <v>1755</v>
      </c>
      <c r="M1770" s="55"/>
    </row>
    <row r="1771" spans="2:13" x14ac:dyDescent="0.3">
      <c r="B1771" s="223">
        <v>44858</v>
      </c>
      <c r="C1771" s="224">
        <v>6</v>
      </c>
      <c r="D1771" s="225">
        <v>11</v>
      </c>
      <c r="E1771" s="226">
        <v>29835</v>
      </c>
      <c r="F1771" s="227">
        <v>6702111</v>
      </c>
      <c r="G1771" s="1" t="s">
        <v>933</v>
      </c>
      <c r="H1771" s="60">
        <v>4684.5</v>
      </c>
      <c r="I1771" s="228">
        <v>983.75</v>
      </c>
      <c r="J1771" s="229"/>
      <c r="K1771" s="229"/>
      <c r="L1771" s="229">
        <f>SUM(ventas_b_mes11[[#This Row],[IMPORTE NETO]:[EXENTO]])</f>
        <v>5668.25</v>
      </c>
      <c r="M1771" s="55"/>
    </row>
    <row r="1772" spans="2:13" x14ac:dyDescent="0.3">
      <c r="B1772" s="223">
        <v>44858</v>
      </c>
      <c r="C1772" s="224">
        <v>6</v>
      </c>
      <c r="D1772" s="225">
        <v>11</v>
      </c>
      <c r="E1772" s="226">
        <v>29836</v>
      </c>
      <c r="F1772" s="227">
        <v>6547302</v>
      </c>
      <c r="G1772" s="1" t="s">
        <v>929</v>
      </c>
      <c r="H1772" s="60">
        <v>5022.7299999999996</v>
      </c>
      <c r="I1772" s="228">
        <v>1054.77</v>
      </c>
      <c r="J1772" s="229"/>
      <c r="K1772" s="229"/>
      <c r="L1772" s="229">
        <f>SUM(ventas_b_mes11[[#This Row],[IMPORTE NETO]:[EXENTO]])</f>
        <v>6077.5</v>
      </c>
      <c r="M1772" s="55"/>
    </row>
    <row r="1773" spans="2:13" x14ac:dyDescent="0.3">
      <c r="B1773" s="223">
        <v>44858</v>
      </c>
      <c r="C1773" s="224">
        <v>6</v>
      </c>
      <c r="D1773" s="225">
        <v>11</v>
      </c>
      <c r="E1773" s="226">
        <v>29837</v>
      </c>
      <c r="F1773" s="227">
        <v>10547896</v>
      </c>
      <c r="G1773" s="1" t="s">
        <v>914</v>
      </c>
      <c r="H1773" s="60">
        <v>4245.45</v>
      </c>
      <c r="I1773" s="228">
        <v>891.55</v>
      </c>
      <c r="J1773" s="229"/>
      <c r="K1773" s="229"/>
      <c r="L1773" s="229">
        <f>SUM(ventas_b_mes11[[#This Row],[IMPORTE NETO]:[EXENTO]])</f>
        <v>5137</v>
      </c>
      <c r="M1773" s="55"/>
    </row>
    <row r="1774" spans="2:13" x14ac:dyDescent="0.3">
      <c r="B1774" s="223">
        <v>44858</v>
      </c>
      <c r="C1774" s="224">
        <v>6</v>
      </c>
      <c r="D1774" s="225">
        <v>11</v>
      </c>
      <c r="E1774" s="226">
        <v>29838</v>
      </c>
      <c r="F1774" s="227">
        <v>20404157</v>
      </c>
      <c r="G1774" s="1" t="s">
        <v>948</v>
      </c>
      <c r="H1774" s="60">
        <v>9321.9</v>
      </c>
      <c r="I1774" s="228">
        <v>1957.6</v>
      </c>
      <c r="J1774" s="229"/>
      <c r="K1774" s="229"/>
      <c r="L1774" s="229">
        <f>SUM(ventas_b_mes11[[#This Row],[IMPORTE NETO]:[EXENTO]])</f>
        <v>11279.5</v>
      </c>
      <c r="M1774" s="55"/>
    </row>
    <row r="1775" spans="2:13" x14ac:dyDescent="0.3">
      <c r="B1775" s="223">
        <v>44858</v>
      </c>
      <c r="C1775" s="224">
        <v>6</v>
      </c>
      <c r="D1775" s="225">
        <v>11</v>
      </c>
      <c r="E1775" s="226">
        <v>29839</v>
      </c>
      <c r="F1775" s="227">
        <v>16028397</v>
      </c>
      <c r="G1775" s="1" t="s">
        <v>923</v>
      </c>
      <c r="H1775" s="60">
        <v>4499.59</v>
      </c>
      <c r="I1775" s="228">
        <v>944.91</v>
      </c>
      <c r="J1775" s="229"/>
      <c r="K1775" s="229"/>
      <c r="L1775" s="229">
        <f>SUM(ventas_b_mes11[[#This Row],[IMPORTE NETO]:[EXENTO]])</f>
        <v>5444.5</v>
      </c>
      <c r="M1775" s="55"/>
    </row>
    <row r="1776" spans="2:13" x14ac:dyDescent="0.3">
      <c r="B1776" s="223">
        <v>44858</v>
      </c>
      <c r="C1776" s="224">
        <v>6</v>
      </c>
      <c r="D1776" s="225">
        <v>11</v>
      </c>
      <c r="E1776" s="226">
        <v>29840</v>
      </c>
      <c r="F1776" s="227">
        <v>16028397</v>
      </c>
      <c r="G1776" s="1" t="s">
        <v>923</v>
      </c>
      <c r="H1776" s="60">
        <v>4132.2299999999996</v>
      </c>
      <c r="I1776" s="228">
        <v>867.77</v>
      </c>
      <c r="J1776" s="229"/>
      <c r="K1776" s="229"/>
      <c r="L1776" s="229">
        <f>SUM(ventas_b_mes11[[#This Row],[IMPORTE NETO]:[EXENTO]])</f>
        <v>5000</v>
      </c>
      <c r="M1776" s="55"/>
    </row>
    <row r="1777" spans="2:13" x14ac:dyDescent="0.3">
      <c r="B1777" s="223">
        <v>44858</v>
      </c>
      <c r="C1777" s="224">
        <v>6</v>
      </c>
      <c r="D1777" s="225">
        <v>11</v>
      </c>
      <c r="E1777" s="226">
        <v>29841</v>
      </c>
      <c r="F1777" s="227">
        <v>11389103</v>
      </c>
      <c r="G1777" s="1" t="s">
        <v>943</v>
      </c>
      <c r="H1777" s="60">
        <v>4882.2299999999996</v>
      </c>
      <c r="I1777" s="228">
        <v>1025.27</v>
      </c>
      <c r="J1777" s="229"/>
      <c r="K1777" s="229"/>
      <c r="L1777" s="229">
        <f>SUM(ventas_b_mes11[[#This Row],[IMPORTE NETO]:[EXENTO]])</f>
        <v>5907.5</v>
      </c>
      <c r="M1777" s="55"/>
    </row>
    <row r="1778" spans="2:13" x14ac:dyDescent="0.3">
      <c r="B1778" s="223">
        <v>44858</v>
      </c>
      <c r="C1778" s="224">
        <v>6</v>
      </c>
      <c r="D1778" s="225">
        <v>11</v>
      </c>
      <c r="E1778" s="226">
        <v>29842</v>
      </c>
      <c r="F1778" s="227">
        <v>10478963</v>
      </c>
      <c r="G1778" s="1"/>
      <c r="H1778" s="60">
        <v>6132.23</v>
      </c>
      <c r="I1778" s="228">
        <v>1287.77</v>
      </c>
      <c r="J1778" s="229"/>
      <c r="K1778" s="229"/>
      <c r="L1778" s="229">
        <f>SUM(ventas_b_mes11[[#This Row],[IMPORTE NETO]:[EXENTO]])</f>
        <v>7420</v>
      </c>
      <c r="M1778" s="55"/>
    </row>
    <row r="1779" spans="2:13" x14ac:dyDescent="0.3">
      <c r="B1779" s="223">
        <v>44858</v>
      </c>
      <c r="C1779" s="224">
        <v>6</v>
      </c>
      <c r="D1779" s="225">
        <v>11</v>
      </c>
      <c r="E1779" s="226">
        <v>29843</v>
      </c>
      <c r="F1779" s="227">
        <v>16236202</v>
      </c>
      <c r="G1779" s="1"/>
      <c r="H1779" s="60">
        <v>2066.12</v>
      </c>
      <c r="I1779" s="228">
        <v>433.88</v>
      </c>
      <c r="J1779" s="229"/>
      <c r="K1779" s="229"/>
      <c r="L1779" s="229">
        <f>SUM(ventas_b_mes11[[#This Row],[IMPORTE NETO]:[EXENTO]])</f>
        <v>2500</v>
      </c>
      <c r="M1779" s="55"/>
    </row>
    <row r="1780" spans="2:13" x14ac:dyDescent="0.3">
      <c r="B1780" s="223">
        <v>44858</v>
      </c>
      <c r="C1780" s="224">
        <v>6</v>
      </c>
      <c r="D1780" s="225">
        <v>11</v>
      </c>
      <c r="E1780" s="226">
        <v>29844</v>
      </c>
      <c r="F1780" s="227">
        <v>31541337</v>
      </c>
      <c r="G1780" s="1" t="s">
        <v>746</v>
      </c>
      <c r="H1780" s="60">
        <v>471.07</v>
      </c>
      <c r="I1780" s="228">
        <v>98.93</v>
      </c>
      <c r="J1780" s="229"/>
      <c r="K1780" s="229"/>
      <c r="L1780" s="229">
        <f>SUM(ventas_b_mes11[[#This Row],[IMPORTE NETO]:[EXENTO]])</f>
        <v>570</v>
      </c>
      <c r="M1780" s="55"/>
    </row>
    <row r="1781" spans="2:13" x14ac:dyDescent="0.3">
      <c r="B1781" s="223">
        <v>44858</v>
      </c>
      <c r="C1781" s="224">
        <v>6</v>
      </c>
      <c r="D1781" s="225">
        <v>11</v>
      </c>
      <c r="E1781" s="226">
        <v>29845</v>
      </c>
      <c r="F1781" s="227">
        <v>32531343</v>
      </c>
      <c r="G1781" s="1" t="s">
        <v>743</v>
      </c>
      <c r="H1781" s="60">
        <v>2993.39</v>
      </c>
      <c r="I1781" s="228">
        <v>628.61</v>
      </c>
      <c r="J1781" s="229"/>
      <c r="K1781" s="229"/>
      <c r="L1781" s="229">
        <f>SUM(ventas_b_mes11[[#This Row],[IMPORTE NETO]:[EXENTO]])</f>
        <v>3622</v>
      </c>
      <c r="M1781" s="55"/>
    </row>
    <row r="1782" spans="2:13" x14ac:dyDescent="0.3">
      <c r="B1782" s="223">
        <v>44859</v>
      </c>
      <c r="C1782" s="224">
        <v>6</v>
      </c>
      <c r="D1782" s="225">
        <v>11</v>
      </c>
      <c r="E1782" s="226">
        <v>29846</v>
      </c>
      <c r="F1782" s="227">
        <v>124</v>
      </c>
      <c r="G1782" s="1"/>
      <c r="H1782" s="60">
        <v>4088.43</v>
      </c>
      <c r="I1782" s="228">
        <v>858.57</v>
      </c>
      <c r="J1782" s="229"/>
      <c r="K1782" s="229"/>
      <c r="L1782" s="229">
        <f>SUM(ventas_b_mes11[[#This Row],[IMPORTE NETO]:[EXENTO]])</f>
        <v>4947</v>
      </c>
      <c r="M1782" s="55"/>
    </row>
    <row r="1783" spans="2:13" x14ac:dyDescent="0.3">
      <c r="B1783" s="223">
        <v>44859</v>
      </c>
      <c r="C1783" s="224">
        <v>6</v>
      </c>
      <c r="D1783" s="225">
        <v>11</v>
      </c>
      <c r="E1783" s="226">
        <v>29847</v>
      </c>
      <c r="F1783" s="227">
        <v>17856747</v>
      </c>
      <c r="G1783" s="1" t="s">
        <v>908</v>
      </c>
      <c r="H1783" s="60">
        <v>44041.32</v>
      </c>
      <c r="I1783" s="228">
        <v>9248.68</v>
      </c>
      <c r="J1783" s="229"/>
      <c r="K1783" s="229"/>
      <c r="L1783" s="229">
        <f>SUM(ventas_b_mes11[[#This Row],[IMPORTE NETO]:[EXENTO]])</f>
        <v>53290</v>
      </c>
      <c r="M1783" s="55"/>
    </row>
    <row r="1784" spans="2:13" x14ac:dyDescent="0.3">
      <c r="B1784" s="223">
        <v>44859</v>
      </c>
      <c r="C1784" s="224">
        <v>6</v>
      </c>
      <c r="D1784" s="225">
        <v>11</v>
      </c>
      <c r="E1784" s="226">
        <v>29848</v>
      </c>
      <c r="F1784" s="227">
        <v>12560898</v>
      </c>
      <c r="G1784" s="1" t="s">
        <v>953</v>
      </c>
      <c r="H1784" s="60">
        <v>9479.33</v>
      </c>
      <c r="I1784" s="228">
        <v>1990.66</v>
      </c>
      <c r="J1784" s="229"/>
      <c r="K1784" s="229"/>
      <c r="L1784" s="229">
        <f>SUM(ventas_b_mes11[[#This Row],[IMPORTE NETO]:[EXENTO]])</f>
        <v>11469.99</v>
      </c>
      <c r="M1784" s="55"/>
    </row>
    <row r="1785" spans="2:13" x14ac:dyDescent="0.3">
      <c r="B1785" s="223">
        <v>44859</v>
      </c>
      <c r="C1785" s="224">
        <v>6</v>
      </c>
      <c r="D1785" s="225">
        <v>11</v>
      </c>
      <c r="E1785" s="226">
        <v>29849</v>
      </c>
      <c r="F1785" s="227">
        <v>12544</v>
      </c>
      <c r="G1785" s="1"/>
      <c r="H1785" s="60">
        <v>4545.45</v>
      </c>
      <c r="I1785" s="228">
        <v>954.55</v>
      </c>
      <c r="J1785" s="229"/>
      <c r="K1785" s="229"/>
      <c r="L1785" s="229">
        <f>SUM(ventas_b_mes11[[#This Row],[IMPORTE NETO]:[EXENTO]])</f>
        <v>5500</v>
      </c>
      <c r="M1785" s="55"/>
    </row>
    <row r="1786" spans="2:13" x14ac:dyDescent="0.3">
      <c r="B1786" s="223">
        <v>44859</v>
      </c>
      <c r="C1786" s="224">
        <v>6</v>
      </c>
      <c r="D1786" s="225">
        <v>11</v>
      </c>
      <c r="E1786" s="226">
        <v>29850</v>
      </c>
      <c r="F1786" s="227">
        <v>14406592</v>
      </c>
      <c r="G1786" s="1"/>
      <c r="H1786" s="60">
        <v>8243.81</v>
      </c>
      <c r="I1786" s="228">
        <v>1731.2</v>
      </c>
      <c r="J1786" s="229"/>
      <c r="K1786" s="229"/>
      <c r="L1786" s="229">
        <f>SUM(ventas_b_mes11[[#This Row],[IMPORTE NETO]:[EXENTO]])</f>
        <v>9975.01</v>
      </c>
      <c r="M1786" s="55"/>
    </row>
    <row r="1787" spans="2:13" x14ac:dyDescent="0.3">
      <c r="B1787" s="223">
        <v>44859</v>
      </c>
      <c r="C1787" s="224">
        <v>6</v>
      </c>
      <c r="D1787" s="225">
        <v>11</v>
      </c>
      <c r="E1787" s="226">
        <v>29851</v>
      </c>
      <c r="F1787" s="227">
        <v>13147846</v>
      </c>
      <c r="G1787" s="1" t="s">
        <v>684</v>
      </c>
      <c r="H1787" s="60">
        <v>4421.4799999999996</v>
      </c>
      <c r="I1787" s="228">
        <v>928.51</v>
      </c>
      <c r="J1787" s="229"/>
      <c r="K1787" s="229"/>
      <c r="L1787" s="229">
        <f>SUM(ventas_b_mes11[[#This Row],[IMPORTE NETO]:[EXENTO]])</f>
        <v>5349.99</v>
      </c>
      <c r="M1787" s="55"/>
    </row>
    <row r="1788" spans="2:13" x14ac:dyDescent="0.3">
      <c r="B1788" s="223">
        <v>44859</v>
      </c>
      <c r="C1788" s="224">
        <v>6</v>
      </c>
      <c r="D1788" s="225">
        <v>11</v>
      </c>
      <c r="E1788" s="226">
        <v>29852</v>
      </c>
      <c r="F1788" s="227">
        <v>21649880</v>
      </c>
      <c r="G1788" s="1" t="s">
        <v>900</v>
      </c>
      <c r="H1788" s="60">
        <v>4545.45</v>
      </c>
      <c r="I1788" s="228">
        <v>954.55</v>
      </c>
      <c r="J1788" s="229"/>
      <c r="K1788" s="229"/>
      <c r="L1788" s="229">
        <f>SUM(ventas_b_mes11[[#This Row],[IMPORTE NETO]:[EXENTO]])</f>
        <v>5500</v>
      </c>
      <c r="M1788" s="55"/>
    </row>
    <row r="1789" spans="2:13" x14ac:dyDescent="0.3">
      <c r="B1789" s="223">
        <v>44859</v>
      </c>
      <c r="C1789" s="224">
        <v>6</v>
      </c>
      <c r="D1789" s="225">
        <v>11</v>
      </c>
      <c r="E1789" s="226">
        <v>29853</v>
      </c>
      <c r="F1789" s="227">
        <v>19017457</v>
      </c>
      <c r="G1789" s="1" t="s">
        <v>591</v>
      </c>
      <c r="H1789" s="60">
        <v>2892.56</v>
      </c>
      <c r="I1789" s="228">
        <v>607.44000000000005</v>
      </c>
      <c r="J1789" s="229"/>
      <c r="K1789" s="229"/>
      <c r="L1789" s="229">
        <f>SUM(ventas_b_mes11[[#This Row],[IMPORTE NETO]:[EXENTO]])</f>
        <v>3500</v>
      </c>
      <c r="M1789" s="55"/>
    </row>
    <row r="1790" spans="2:13" x14ac:dyDescent="0.3">
      <c r="B1790" s="223">
        <v>44859</v>
      </c>
      <c r="C1790" s="224">
        <v>6</v>
      </c>
      <c r="D1790" s="225">
        <v>11</v>
      </c>
      <c r="E1790" s="226">
        <v>29854</v>
      </c>
      <c r="F1790" s="227">
        <v>1254</v>
      </c>
      <c r="G1790" s="1"/>
      <c r="H1790" s="60">
        <v>5226.45</v>
      </c>
      <c r="I1790" s="228">
        <v>1097.55</v>
      </c>
      <c r="J1790" s="229"/>
      <c r="K1790" s="229"/>
      <c r="L1790" s="229">
        <f>SUM(ventas_b_mes11[[#This Row],[IMPORTE NETO]:[EXENTO]])</f>
        <v>6324</v>
      </c>
      <c r="M1790" s="55"/>
    </row>
    <row r="1791" spans="2:13" x14ac:dyDescent="0.3">
      <c r="B1791" s="223">
        <v>44859</v>
      </c>
      <c r="C1791" s="224">
        <v>6</v>
      </c>
      <c r="D1791" s="225">
        <v>11</v>
      </c>
      <c r="E1791" s="226">
        <v>29855</v>
      </c>
      <c r="F1791" s="227">
        <v>33587963</v>
      </c>
      <c r="G1791" s="1"/>
      <c r="H1791" s="60">
        <v>10747.93</v>
      </c>
      <c r="I1791" s="228">
        <v>2257.0700000000002</v>
      </c>
      <c r="J1791" s="229"/>
      <c r="K1791" s="229"/>
      <c r="L1791" s="229">
        <f>SUM(ventas_b_mes11[[#This Row],[IMPORTE NETO]:[EXENTO]])</f>
        <v>13005</v>
      </c>
      <c r="M1791" s="55"/>
    </row>
    <row r="1792" spans="2:13" x14ac:dyDescent="0.3">
      <c r="B1792" s="223">
        <v>44859</v>
      </c>
      <c r="C1792" s="224">
        <v>6</v>
      </c>
      <c r="D1792" s="225">
        <v>11</v>
      </c>
      <c r="E1792" s="226">
        <v>29856</v>
      </c>
      <c r="F1792" s="227">
        <v>10478963</v>
      </c>
      <c r="G1792" s="1"/>
      <c r="H1792" s="60">
        <v>4495.8599999999997</v>
      </c>
      <c r="I1792" s="228">
        <v>944.13</v>
      </c>
      <c r="J1792" s="229"/>
      <c r="K1792" s="229"/>
      <c r="L1792" s="229">
        <f>SUM(ventas_b_mes11[[#This Row],[IMPORTE NETO]:[EXENTO]])</f>
        <v>5439.99</v>
      </c>
      <c r="M1792" s="55"/>
    </row>
    <row r="1793" spans="2:13" x14ac:dyDescent="0.3">
      <c r="B1793" s="223">
        <v>44859</v>
      </c>
      <c r="C1793" s="224">
        <v>6</v>
      </c>
      <c r="D1793" s="225">
        <v>11</v>
      </c>
      <c r="E1793" s="226">
        <v>29857</v>
      </c>
      <c r="F1793" s="227">
        <v>6526838</v>
      </c>
      <c r="G1793" s="1"/>
      <c r="H1793" s="60">
        <v>5479.34</v>
      </c>
      <c r="I1793" s="228">
        <v>1150.6600000000001</v>
      </c>
      <c r="J1793" s="229"/>
      <c r="K1793" s="229"/>
      <c r="L1793" s="229">
        <f>SUM(ventas_b_mes11[[#This Row],[IMPORTE NETO]:[EXENTO]])</f>
        <v>6630</v>
      </c>
      <c r="M1793" s="55"/>
    </row>
    <row r="1794" spans="2:13" x14ac:dyDescent="0.3">
      <c r="B1794" s="223">
        <v>44859</v>
      </c>
      <c r="C1794" s="224">
        <v>6</v>
      </c>
      <c r="D1794" s="225">
        <v>11</v>
      </c>
      <c r="E1794" s="226">
        <v>29858</v>
      </c>
      <c r="F1794" s="227">
        <v>30631503280</v>
      </c>
      <c r="G1794" s="1" t="s">
        <v>957</v>
      </c>
      <c r="H1794" s="60">
        <v>10150.83</v>
      </c>
      <c r="I1794" s="228">
        <v>2131.67</v>
      </c>
      <c r="J1794" s="229"/>
      <c r="K1794" s="229"/>
      <c r="L1794" s="229">
        <f>SUM(ventas_b_mes11[[#This Row],[IMPORTE NETO]:[EXENTO]])</f>
        <v>12282.5</v>
      </c>
      <c r="M1794" s="55"/>
    </row>
    <row r="1795" spans="2:13" x14ac:dyDescent="0.3">
      <c r="B1795" s="223" t="s">
        <v>114</v>
      </c>
      <c r="C1795" s="224">
        <v>6</v>
      </c>
      <c r="D1795" s="225">
        <v>11</v>
      </c>
      <c r="E1795" s="226">
        <v>29859</v>
      </c>
      <c r="F1795" s="227">
        <v>39348401</v>
      </c>
      <c r="G1795" s="1" t="s">
        <v>702</v>
      </c>
      <c r="H1795" s="60">
        <v>5233.4799999999996</v>
      </c>
      <c r="I1795" s="228">
        <v>1099.03</v>
      </c>
      <c r="J1795" s="229"/>
      <c r="K1795" s="229"/>
      <c r="L1795" s="229">
        <f>SUM(ventas_b_mes11[[#This Row],[IMPORTE NETO]:[EXENTO]])</f>
        <v>6332.5099999999993</v>
      </c>
      <c r="M1795" s="55"/>
    </row>
    <row r="1796" spans="2:13" x14ac:dyDescent="0.3">
      <c r="B1796" s="223" t="s">
        <v>114</v>
      </c>
      <c r="C1796" s="224">
        <v>6</v>
      </c>
      <c r="D1796" s="225">
        <v>11</v>
      </c>
      <c r="E1796" s="226">
        <v>29860</v>
      </c>
      <c r="F1796" s="227">
        <v>12276336</v>
      </c>
      <c r="G1796" s="1" t="s">
        <v>966</v>
      </c>
      <c r="H1796" s="60">
        <v>1239.67</v>
      </c>
      <c r="I1796" s="228">
        <v>260.33</v>
      </c>
      <c r="J1796" s="229"/>
      <c r="K1796" s="229"/>
      <c r="L1796" s="229">
        <f>SUM(ventas_b_mes11[[#This Row],[IMPORTE NETO]:[EXENTO]])</f>
        <v>1500</v>
      </c>
      <c r="M1796" s="55"/>
    </row>
    <row r="1797" spans="2:13" x14ac:dyDescent="0.3">
      <c r="B1797" s="223">
        <v>44859</v>
      </c>
      <c r="C1797" s="224">
        <v>6</v>
      </c>
      <c r="D1797" s="225">
        <v>11</v>
      </c>
      <c r="E1797" s="226">
        <v>29861</v>
      </c>
      <c r="F1797" s="227">
        <v>6436196</v>
      </c>
      <c r="G1797" s="1" t="s">
        <v>157</v>
      </c>
      <c r="H1797" s="60">
        <v>4165.29</v>
      </c>
      <c r="I1797" s="228">
        <v>874.71</v>
      </c>
      <c r="J1797" s="229"/>
      <c r="K1797" s="229"/>
      <c r="L1797" s="229">
        <f>SUM(ventas_b_mes11[[#This Row],[IMPORTE NETO]:[EXENTO]])</f>
        <v>5040</v>
      </c>
      <c r="M1797" s="55"/>
    </row>
    <row r="1798" spans="2:13" x14ac:dyDescent="0.3">
      <c r="B1798" s="223">
        <v>44859</v>
      </c>
      <c r="C1798" s="224">
        <v>6</v>
      </c>
      <c r="D1798" s="225">
        <v>11</v>
      </c>
      <c r="E1798" s="226">
        <v>29862</v>
      </c>
      <c r="F1798" s="227">
        <v>10321475</v>
      </c>
      <c r="G1798" s="1" t="s">
        <v>949</v>
      </c>
      <c r="H1798" s="60">
        <v>12131.81</v>
      </c>
      <c r="I1798" s="228">
        <v>2547.6799999999998</v>
      </c>
      <c r="J1798" s="229"/>
      <c r="K1798" s="229"/>
      <c r="L1798" s="229">
        <f>SUM(ventas_b_mes11[[#This Row],[IMPORTE NETO]:[EXENTO]])</f>
        <v>14679.49</v>
      </c>
      <c r="M1798" s="55"/>
    </row>
    <row r="1799" spans="2:13" x14ac:dyDescent="0.3">
      <c r="B1799" s="223">
        <v>44860</v>
      </c>
      <c r="C1799" s="224">
        <v>6</v>
      </c>
      <c r="D1799" s="225">
        <v>11</v>
      </c>
      <c r="E1799" s="226">
        <v>29863</v>
      </c>
      <c r="F1799" s="227">
        <v>24007742</v>
      </c>
      <c r="G1799" s="1" t="s">
        <v>172</v>
      </c>
      <c r="H1799" s="60">
        <v>4545.45</v>
      </c>
      <c r="I1799" s="228">
        <v>954.55</v>
      </c>
      <c r="J1799" s="229"/>
      <c r="K1799" s="229"/>
      <c r="L1799" s="229">
        <f>SUM(ventas_b_mes11[[#This Row],[IMPORTE NETO]:[EXENTO]])</f>
        <v>5500</v>
      </c>
      <c r="M1799" s="55"/>
    </row>
    <row r="1800" spans="2:13" x14ac:dyDescent="0.3">
      <c r="B1800" s="223">
        <v>44860</v>
      </c>
      <c r="C1800" s="224">
        <v>6</v>
      </c>
      <c r="D1800" s="225">
        <v>11</v>
      </c>
      <c r="E1800" s="226">
        <v>29864</v>
      </c>
      <c r="F1800" s="227">
        <v>39588432</v>
      </c>
      <c r="G1800" s="1" t="s">
        <v>267</v>
      </c>
      <c r="H1800" s="60">
        <v>4545.45</v>
      </c>
      <c r="I1800" s="228">
        <v>954.55</v>
      </c>
      <c r="J1800" s="229"/>
      <c r="K1800" s="229"/>
      <c r="L1800" s="229">
        <f>SUM(ventas_b_mes11[[#This Row],[IMPORTE NETO]:[EXENTO]])</f>
        <v>5500</v>
      </c>
      <c r="M1800" s="55"/>
    </row>
    <row r="1801" spans="2:13" x14ac:dyDescent="0.3">
      <c r="B1801" s="223">
        <v>44860</v>
      </c>
      <c r="C1801" s="224">
        <v>6</v>
      </c>
      <c r="D1801" s="225">
        <v>11</v>
      </c>
      <c r="E1801" s="226">
        <v>29865</v>
      </c>
      <c r="F1801" s="227">
        <v>12590156</v>
      </c>
      <c r="G1801" s="1" t="s">
        <v>835</v>
      </c>
      <c r="H1801" s="60">
        <v>3516.53</v>
      </c>
      <c r="I1801" s="228">
        <v>738.47</v>
      </c>
      <c r="J1801" s="229"/>
      <c r="K1801" s="229"/>
      <c r="L1801" s="229">
        <f>SUM(ventas_b_mes11[[#This Row],[IMPORTE NETO]:[EXENTO]])</f>
        <v>4255</v>
      </c>
      <c r="M1801" s="55"/>
    </row>
    <row r="1802" spans="2:13" x14ac:dyDescent="0.3">
      <c r="B1802" s="223">
        <v>44860</v>
      </c>
      <c r="C1802" s="224">
        <v>6</v>
      </c>
      <c r="D1802" s="225">
        <v>11</v>
      </c>
      <c r="E1802" s="226">
        <v>29866</v>
      </c>
      <c r="F1802" s="227">
        <v>0</v>
      </c>
      <c r="G1802" s="1"/>
      <c r="H1802" s="60">
        <v>2714.88</v>
      </c>
      <c r="I1802" s="228">
        <v>570.12</v>
      </c>
      <c r="J1802" s="229"/>
      <c r="K1802" s="229"/>
      <c r="L1802" s="229">
        <f>SUM(ventas_b_mes11[[#This Row],[IMPORTE NETO]:[EXENTO]])</f>
        <v>3285</v>
      </c>
      <c r="M1802" s="55"/>
    </row>
    <row r="1803" spans="2:13" x14ac:dyDescent="0.3">
      <c r="B1803" s="223">
        <v>44860</v>
      </c>
      <c r="C1803" s="224">
        <v>6</v>
      </c>
      <c r="D1803" s="225">
        <v>11</v>
      </c>
      <c r="E1803" s="226">
        <v>29867</v>
      </c>
      <c r="F1803" s="227">
        <v>12668390</v>
      </c>
      <c r="G1803" s="1" t="s">
        <v>997</v>
      </c>
      <c r="H1803" s="60">
        <v>15460.34</v>
      </c>
      <c r="I1803" s="228">
        <v>3246.67</v>
      </c>
      <c r="J1803" s="229"/>
      <c r="K1803" s="229"/>
      <c r="L1803" s="229">
        <f>SUM(ventas_b_mes11[[#This Row],[IMPORTE NETO]:[EXENTO]])</f>
        <v>18707.010000000002</v>
      </c>
      <c r="M1803" s="55"/>
    </row>
    <row r="1804" spans="2:13" x14ac:dyDescent="0.3">
      <c r="B1804" s="223">
        <v>44860</v>
      </c>
      <c r="C1804" s="224">
        <v>6</v>
      </c>
      <c r="D1804" s="225">
        <v>11</v>
      </c>
      <c r="E1804" s="226">
        <v>29868</v>
      </c>
      <c r="F1804" s="227">
        <v>24963011</v>
      </c>
      <c r="G1804" s="1"/>
      <c r="H1804" s="60">
        <v>4790.91</v>
      </c>
      <c r="I1804" s="228">
        <v>1006.09</v>
      </c>
      <c r="J1804" s="229"/>
      <c r="K1804" s="229"/>
      <c r="L1804" s="229">
        <f>SUM(ventas_b_mes11[[#This Row],[IMPORTE NETO]:[EXENTO]])</f>
        <v>5797</v>
      </c>
      <c r="M1804" s="55"/>
    </row>
    <row r="1805" spans="2:13" x14ac:dyDescent="0.3">
      <c r="B1805" s="223">
        <v>44860</v>
      </c>
      <c r="C1805" s="224">
        <v>6</v>
      </c>
      <c r="D1805" s="225">
        <v>11</v>
      </c>
      <c r="E1805" s="226">
        <v>29869</v>
      </c>
      <c r="F1805" s="227">
        <v>18601321</v>
      </c>
      <c r="G1805" s="1" t="s">
        <v>974</v>
      </c>
      <c r="H1805" s="60">
        <v>7516.53</v>
      </c>
      <c r="I1805" s="228">
        <v>1578.47</v>
      </c>
      <c r="J1805" s="229"/>
      <c r="K1805" s="229"/>
      <c r="L1805" s="229">
        <f>SUM(ventas_b_mes11[[#This Row],[IMPORTE NETO]:[EXENTO]])</f>
        <v>9095</v>
      </c>
      <c r="M1805" s="55"/>
    </row>
    <row r="1806" spans="2:13" x14ac:dyDescent="0.3">
      <c r="B1806" s="223">
        <v>44860</v>
      </c>
      <c r="C1806" s="224">
        <v>6</v>
      </c>
      <c r="D1806" s="225">
        <v>11</v>
      </c>
      <c r="E1806" s="226">
        <v>29870</v>
      </c>
      <c r="F1806" s="227">
        <v>0</v>
      </c>
      <c r="G1806" s="1"/>
      <c r="H1806" s="60">
        <v>2008.27</v>
      </c>
      <c r="I1806" s="228">
        <v>421.74</v>
      </c>
      <c r="J1806" s="229"/>
      <c r="K1806" s="229"/>
      <c r="L1806" s="229">
        <f>SUM(ventas_b_mes11[[#This Row],[IMPORTE NETO]:[EXENTO]])</f>
        <v>2430.0100000000002</v>
      </c>
      <c r="M1806" s="55"/>
    </row>
    <row r="1807" spans="2:13" x14ac:dyDescent="0.3">
      <c r="B1807" s="223">
        <v>44860</v>
      </c>
      <c r="C1807" s="224">
        <v>6</v>
      </c>
      <c r="D1807" s="225">
        <v>11</v>
      </c>
      <c r="E1807" s="226">
        <v>29871</v>
      </c>
      <c r="F1807" s="227">
        <v>32636583</v>
      </c>
      <c r="G1807" s="1" t="s">
        <v>1025</v>
      </c>
      <c r="H1807" s="60">
        <v>3652.89</v>
      </c>
      <c r="I1807" s="228">
        <v>767.11</v>
      </c>
      <c r="J1807" s="229"/>
      <c r="K1807" s="229"/>
      <c r="L1807" s="229">
        <f>SUM(ventas_b_mes11[[#This Row],[IMPORTE NETO]:[EXENTO]])</f>
        <v>4420</v>
      </c>
      <c r="M1807" s="55"/>
    </row>
    <row r="1808" spans="2:13" x14ac:dyDescent="0.3">
      <c r="B1808" s="223">
        <v>44860</v>
      </c>
      <c r="C1808" s="224">
        <v>6</v>
      </c>
      <c r="D1808" s="225">
        <v>11</v>
      </c>
      <c r="E1808" s="226">
        <v>29872</v>
      </c>
      <c r="F1808" s="227">
        <v>17318093</v>
      </c>
      <c r="G1808" s="1" t="s">
        <v>993</v>
      </c>
      <c r="H1808" s="60">
        <v>5233.47</v>
      </c>
      <c r="I1808" s="228">
        <v>1099.03</v>
      </c>
      <c r="J1808" s="229"/>
      <c r="K1808" s="229"/>
      <c r="L1808" s="229">
        <f>SUM(ventas_b_mes11[[#This Row],[IMPORTE NETO]:[EXENTO]])</f>
        <v>6332.5</v>
      </c>
      <c r="M1808" s="55"/>
    </row>
    <row r="1809" spans="2:13" x14ac:dyDescent="0.3">
      <c r="B1809" s="223">
        <v>44860</v>
      </c>
      <c r="C1809" s="224">
        <v>6</v>
      </c>
      <c r="D1809" s="225">
        <v>11</v>
      </c>
      <c r="E1809" s="226">
        <v>29873</v>
      </c>
      <c r="F1809" s="227">
        <v>17318093</v>
      </c>
      <c r="G1809" s="1" t="s">
        <v>993</v>
      </c>
      <c r="H1809" s="60">
        <v>10985.16</v>
      </c>
      <c r="I1809" s="228">
        <v>2306.88</v>
      </c>
      <c r="J1809" s="229"/>
      <c r="K1809" s="229"/>
      <c r="L1809" s="229">
        <f>SUM(ventas_b_mes11[[#This Row],[IMPORTE NETO]:[EXENTO]])</f>
        <v>13292.04</v>
      </c>
      <c r="M1809" s="55"/>
    </row>
    <row r="1810" spans="2:13" x14ac:dyDescent="0.3">
      <c r="B1810" s="223">
        <v>44860</v>
      </c>
      <c r="C1810" s="224">
        <v>6</v>
      </c>
      <c r="D1810" s="225">
        <v>11</v>
      </c>
      <c r="E1810" s="226">
        <v>29874</v>
      </c>
      <c r="F1810" s="227">
        <v>18573238</v>
      </c>
      <c r="G1810" s="1" t="s">
        <v>633</v>
      </c>
      <c r="H1810" s="60">
        <v>3666.94</v>
      </c>
      <c r="I1810" s="228">
        <v>770.06</v>
      </c>
      <c r="J1810" s="229"/>
      <c r="K1810" s="229"/>
      <c r="L1810" s="229">
        <f>SUM(ventas_b_mes11[[#This Row],[IMPORTE NETO]:[EXENTO]])</f>
        <v>4437</v>
      </c>
      <c r="M1810" s="55"/>
    </row>
    <row r="1811" spans="2:13" x14ac:dyDescent="0.3">
      <c r="B1811" s="223">
        <v>44860</v>
      </c>
      <c r="C1811" s="224">
        <v>6</v>
      </c>
      <c r="D1811" s="225">
        <v>11</v>
      </c>
      <c r="E1811" s="226">
        <v>29875</v>
      </c>
      <c r="F1811" s="227">
        <v>18573238</v>
      </c>
      <c r="G1811" s="1" t="s">
        <v>633</v>
      </c>
      <c r="H1811" s="60">
        <v>3019.83</v>
      </c>
      <c r="I1811" s="228">
        <v>634.16999999999996</v>
      </c>
      <c r="J1811" s="229"/>
      <c r="K1811" s="229"/>
      <c r="L1811" s="229">
        <f>SUM(ventas_b_mes11[[#This Row],[IMPORTE NETO]:[EXENTO]])</f>
        <v>3654</v>
      </c>
      <c r="M1811" s="55"/>
    </row>
    <row r="1812" spans="2:13" x14ac:dyDescent="0.3">
      <c r="B1812" s="223">
        <v>44860</v>
      </c>
      <c r="C1812" s="224">
        <v>6</v>
      </c>
      <c r="D1812" s="225">
        <v>11</v>
      </c>
      <c r="E1812" s="226">
        <v>29876</v>
      </c>
      <c r="F1812" s="227">
        <v>28147987</v>
      </c>
      <c r="G1812" s="1" t="s">
        <v>217</v>
      </c>
      <c r="H1812" s="60">
        <v>1446.28</v>
      </c>
      <c r="I1812" s="228">
        <v>303.72000000000003</v>
      </c>
      <c r="J1812" s="229"/>
      <c r="K1812" s="229"/>
      <c r="L1812" s="229">
        <f>SUM(ventas_b_mes11[[#This Row],[IMPORTE NETO]:[EXENTO]])</f>
        <v>1750</v>
      </c>
      <c r="M1812" s="55"/>
    </row>
    <row r="1813" spans="2:13" x14ac:dyDescent="0.3">
      <c r="B1813" s="223">
        <v>44860</v>
      </c>
      <c r="C1813" s="224">
        <v>6</v>
      </c>
      <c r="D1813" s="225">
        <v>11</v>
      </c>
      <c r="E1813" s="226">
        <v>29877</v>
      </c>
      <c r="F1813" s="227">
        <v>35990168</v>
      </c>
      <c r="G1813" s="1" t="s">
        <v>354</v>
      </c>
      <c r="H1813" s="60">
        <v>1954.55</v>
      </c>
      <c r="I1813" s="228">
        <v>410.45</v>
      </c>
      <c r="J1813" s="229"/>
      <c r="K1813" s="229"/>
      <c r="L1813" s="229">
        <f>SUM(ventas_b_mes11[[#This Row],[IMPORTE NETO]:[EXENTO]])</f>
        <v>2365</v>
      </c>
      <c r="M1813" s="55"/>
    </row>
    <row r="1814" spans="2:13" x14ac:dyDescent="0.3">
      <c r="B1814" s="223">
        <v>44860</v>
      </c>
      <c r="C1814" s="224">
        <v>6</v>
      </c>
      <c r="D1814" s="225">
        <v>11</v>
      </c>
      <c r="E1814" s="226">
        <v>29878</v>
      </c>
      <c r="F1814" s="227">
        <v>0</v>
      </c>
      <c r="G1814" s="1"/>
      <c r="H1814" s="60">
        <v>2892.56</v>
      </c>
      <c r="I1814" s="228">
        <v>607.44000000000005</v>
      </c>
      <c r="J1814" s="229"/>
      <c r="K1814" s="229"/>
      <c r="L1814" s="229">
        <f>SUM(ventas_b_mes11[[#This Row],[IMPORTE NETO]:[EXENTO]])</f>
        <v>3500</v>
      </c>
      <c r="M1814" s="55"/>
    </row>
    <row r="1815" spans="2:13" x14ac:dyDescent="0.3">
      <c r="B1815" s="223">
        <v>44860</v>
      </c>
      <c r="C1815" s="224">
        <v>6</v>
      </c>
      <c r="D1815" s="225">
        <v>11</v>
      </c>
      <c r="E1815" s="226">
        <v>29879</v>
      </c>
      <c r="F1815" s="227">
        <v>0</v>
      </c>
      <c r="G1815" s="1"/>
      <c r="H1815" s="60">
        <v>351.24</v>
      </c>
      <c r="I1815" s="228">
        <v>73.760000000000005</v>
      </c>
      <c r="J1815" s="229"/>
      <c r="K1815" s="229"/>
      <c r="L1815" s="229">
        <f>SUM(ventas_b_mes11[[#This Row],[IMPORTE NETO]:[EXENTO]])</f>
        <v>425</v>
      </c>
      <c r="M1815" s="55"/>
    </row>
    <row r="1816" spans="2:13" x14ac:dyDescent="0.3">
      <c r="B1816" s="223">
        <v>44860</v>
      </c>
      <c r="C1816" s="224">
        <v>6</v>
      </c>
      <c r="D1816" s="225">
        <v>11</v>
      </c>
      <c r="E1816" s="226">
        <v>29880</v>
      </c>
      <c r="F1816" s="227">
        <v>20227197</v>
      </c>
      <c r="G1816" s="1" t="s">
        <v>991</v>
      </c>
      <c r="H1816" s="60">
        <v>7095.04</v>
      </c>
      <c r="I1816" s="228">
        <v>1489.96</v>
      </c>
      <c r="J1816" s="229"/>
      <c r="K1816" s="229"/>
      <c r="L1816" s="229">
        <f>SUM(ventas_b_mes11[[#This Row],[IMPORTE NETO]:[EXENTO]])</f>
        <v>8585</v>
      </c>
      <c r="M1816" s="55"/>
    </row>
    <row r="1817" spans="2:13" x14ac:dyDescent="0.3">
      <c r="B1817" s="223">
        <v>44860</v>
      </c>
      <c r="C1817" s="224">
        <v>6</v>
      </c>
      <c r="D1817" s="225">
        <v>11</v>
      </c>
      <c r="E1817" s="226">
        <v>29881</v>
      </c>
      <c r="F1817" s="227">
        <v>14340921</v>
      </c>
      <c r="G1817" s="1" t="s">
        <v>611</v>
      </c>
      <c r="H1817" s="60">
        <v>2008.27</v>
      </c>
      <c r="I1817" s="228">
        <v>421.74</v>
      </c>
      <c r="J1817" s="229"/>
      <c r="K1817" s="229"/>
      <c r="L1817" s="229">
        <f>SUM(ventas_b_mes11[[#This Row],[IMPORTE NETO]:[EXENTO]])</f>
        <v>2430.0100000000002</v>
      </c>
      <c r="M1817" s="55"/>
    </row>
    <row r="1818" spans="2:13" x14ac:dyDescent="0.3">
      <c r="B1818" s="223">
        <v>44860</v>
      </c>
      <c r="C1818" s="224">
        <v>6</v>
      </c>
      <c r="D1818" s="225">
        <v>11</v>
      </c>
      <c r="E1818" s="226">
        <v>29882</v>
      </c>
      <c r="F1818" s="227">
        <v>0</v>
      </c>
      <c r="G1818" s="1"/>
      <c r="H1818" s="60">
        <v>4088.43</v>
      </c>
      <c r="I1818" s="228">
        <v>858.57</v>
      </c>
      <c r="J1818" s="229"/>
      <c r="K1818" s="229"/>
      <c r="L1818" s="229">
        <f>SUM(ventas_b_mes11[[#This Row],[IMPORTE NETO]:[EXENTO]])</f>
        <v>4947</v>
      </c>
      <c r="M1818" s="55"/>
    </row>
    <row r="1819" spans="2:13" x14ac:dyDescent="0.3">
      <c r="B1819" s="223">
        <v>44860</v>
      </c>
      <c r="C1819" s="224">
        <v>6</v>
      </c>
      <c r="D1819" s="225">
        <v>11</v>
      </c>
      <c r="E1819" s="226">
        <v>29883</v>
      </c>
      <c r="F1819" s="227">
        <v>10478963</v>
      </c>
      <c r="G1819" s="1"/>
      <c r="H1819" s="60">
        <v>11007.85</v>
      </c>
      <c r="I1819" s="228">
        <v>2311.65</v>
      </c>
      <c r="J1819" s="229"/>
      <c r="K1819" s="229"/>
      <c r="L1819" s="229">
        <f>SUM(ventas_b_mes11[[#This Row],[IMPORTE NETO]:[EXENTO]])</f>
        <v>13319.5</v>
      </c>
      <c r="M1819" s="55"/>
    </row>
    <row r="1820" spans="2:13" x14ac:dyDescent="0.3">
      <c r="B1820" s="223">
        <v>44860</v>
      </c>
      <c r="C1820" s="224">
        <v>6</v>
      </c>
      <c r="D1820" s="225">
        <v>11</v>
      </c>
      <c r="E1820" s="226">
        <v>29884</v>
      </c>
      <c r="F1820" s="227">
        <v>30734021</v>
      </c>
      <c r="G1820" s="1" t="s">
        <v>286</v>
      </c>
      <c r="H1820" s="60">
        <v>7544.63</v>
      </c>
      <c r="I1820" s="228">
        <v>1584.37</v>
      </c>
      <c r="J1820" s="229"/>
      <c r="K1820" s="229"/>
      <c r="L1820" s="229">
        <f>SUM(ventas_b_mes11[[#This Row],[IMPORTE NETO]:[EXENTO]])</f>
        <v>9129</v>
      </c>
      <c r="M1820" s="55"/>
    </row>
    <row r="1821" spans="2:13" x14ac:dyDescent="0.3">
      <c r="B1821" s="223">
        <v>44861</v>
      </c>
      <c r="C1821" s="224">
        <v>6</v>
      </c>
      <c r="D1821" s="225">
        <v>11</v>
      </c>
      <c r="E1821" s="226">
        <v>29885</v>
      </c>
      <c r="F1821" s="227">
        <v>39588432</v>
      </c>
      <c r="G1821" s="1" t="s">
        <v>267</v>
      </c>
      <c r="H1821" s="60">
        <v>582.64</v>
      </c>
      <c r="I1821" s="228">
        <v>122.36</v>
      </c>
      <c r="J1821" s="229"/>
      <c r="K1821" s="229"/>
      <c r="L1821" s="229">
        <f>SUM(ventas_b_mes11[[#This Row],[IMPORTE NETO]:[EXENTO]])</f>
        <v>705</v>
      </c>
      <c r="M1821" s="55"/>
    </row>
    <row r="1822" spans="2:13" x14ac:dyDescent="0.3">
      <c r="B1822" s="223">
        <v>44861</v>
      </c>
      <c r="C1822" s="224">
        <v>6</v>
      </c>
      <c r="D1822" s="225">
        <v>11</v>
      </c>
      <c r="E1822" s="226">
        <v>29886</v>
      </c>
      <c r="F1822" s="227">
        <v>26548987</v>
      </c>
      <c r="G1822" s="1"/>
      <c r="H1822" s="60">
        <v>3477.27</v>
      </c>
      <c r="I1822" s="228">
        <v>730.23</v>
      </c>
      <c r="J1822" s="229"/>
      <c r="K1822" s="229"/>
      <c r="L1822" s="229">
        <f>SUM(ventas_b_mes11[[#This Row],[IMPORTE NETO]:[EXENTO]])</f>
        <v>4207.5</v>
      </c>
      <c r="M1822" s="55"/>
    </row>
    <row r="1823" spans="2:13" x14ac:dyDescent="0.3">
      <c r="B1823" s="223">
        <v>44861</v>
      </c>
      <c r="C1823" s="224">
        <v>6</v>
      </c>
      <c r="D1823" s="225">
        <v>11</v>
      </c>
      <c r="E1823" s="226">
        <v>29887</v>
      </c>
      <c r="F1823" s="227">
        <v>30734021</v>
      </c>
      <c r="G1823" s="1" t="s">
        <v>286</v>
      </c>
      <c r="H1823" s="60">
        <v>3305.79</v>
      </c>
      <c r="I1823" s="228">
        <v>694.21</v>
      </c>
      <c r="J1823" s="229"/>
      <c r="K1823" s="229"/>
      <c r="L1823" s="229">
        <f>SUM(ventas_b_mes11[[#This Row],[IMPORTE NETO]:[EXENTO]])</f>
        <v>4000</v>
      </c>
      <c r="M1823" s="55"/>
    </row>
    <row r="1824" spans="2:13" x14ac:dyDescent="0.3">
      <c r="B1824" s="223">
        <v>44861</v>
      </c>
      <c r="C1824" s="224">
        <v>6</v>
      </c>
      <c r="D1824" s="225">
        <v>11</v>
      </c>
      <c r="E1824" s="226">
        <v>29888</v>
      </c>
      <c r="F1824" s="227">
        <v>94622772</v>
      </c>
      <c r="G1824" s="1"/>
      <c r="H1824" s="60">
        <v>7130.17</v>
      </c>
      <c r="I1824" s="228">
        <v>1497.33</v>
      </c>
      <c r="J1824" s="229"/>
      <c r="K1824" s="229"/>
      <c r="L1824" s="229">
        <f>SUM(ventas_b_mes11[[#This Row],[IMPORTE NETO]:[EXENTO]])</f>
        <v>8627.5</v>
      </c>
      <c r="M1824" s="55"/>
    </row>
    <row r="1825" spans="2:13" x14ac:dyDescent="0.3">
      <c r="B1825" s="223">
        <v>44861</v>
      </c>
      <c r="C1825" s="224">
        <v>6</v>
      </c>
      <c r="D1825" s="225">
        <v>11</v>
      </c>
      <c r="E1825" s="226">
        <v>29889</v>
      </c>
      <c r="F1825" s="227">
        <v>35990168</v>
      </c>
      <c r="G1825" s="1" t="s">
        <v>354</v>
      </c>
      <c r="H1825" s="60">
        <v>6280.99</v>
      </c>
      <c r="I1825" s="228">
        <v>1319.01</v>
      </c>
      <c r="J1825" s="229"/>
      <c r="K1825" s="229"/>
      <c r="L1825" s="229">
        <f>SUM(ventas_b_mes11[[#This Row],[IMPORTE NETO]:[EXENTO]])</f>
        <v>7600</v>
      </c>
      <c r="M1825" s="55"/>
    </row>
    <row r="1826" spans="2:13" x14ac:dyDescent="0.3">
      <c r="B1826" s="223">
        <v>44861</v>
      </c>
      <c r="C1826" s="224">
        <v>6</v>
      </c>
      <c r="D1826" s="225">
        <v>11</v>
      </c>
      <c r="E1826" s="226">
        <v>29890</v>
      </c>
      <c r="F1826" s="227">
        <v>20802193</v>
      </c>
      <c r="G1826" s="1" t="s">
        <v>184</v>
      </c>
      <c r="H1826" s="60">
        <v>8092.57</v>
      </c>
      <c r="I1826" s="228">
        <v>1699.44</v>
      </c>
      <c r="J1826" s="229"/>
      <c r="K1826" s="229"/>
      <c r="L1826" s="229">
        <f>SUM(ventas_b_mes11[[#This Row],[IMPORTE NETO]:[EXENTO]])</f>
        <v>9792.01</v>
      </c>
      <c r="M1826" s="55"/>
    </row>
    <row r="1827" spans="2:13" x14ac:dyDescent="0.3">
      <c r="B1827" s="223">
        <v>44861</v>
      </c>
      <c r="C1827" s="224">
        <v>6</v>
      </c>
      <c r="D1827" s="225">
        <v>11</v>
      </c>
      <c r="E1827" s="226">
        <v>29891</v>
      </c>
      <c r="F1827" s="227">
        <v>26809011</v>
      </c>
      <c r="G1827" s="1" t="s">
        <v>786</v>
      </c>
      <c r="H1827" s="60">
        <v>3407.02</v>
      </c>
      <c r="I1827" s="228">
        <v>715.48</v>
      </c>
      <c r="J1827" s="229"/>
      <c r="K1827" s="229"/>
      <c r="L1827" s="229">
        <f>SUM(ventas_b_mes11[[#This Row],[IMPORTE NETO]:[EXENTO]])</f>
        <v>4122.5</v>
      </c>
      <c r="M1827" s="55"/>
    </row>
    <row r="1828" spans="2:13" x14ac:dyDescent="0.3">
      <c r="B1828" s="223">
        <v>44861</v>
      </c>
      <c r="C1828" s="224">
        <v>6</v>
      </c>
      <c r="D1828" s="225">
        <v>11</v>
      </c>
      <c r="E1828" s="226">
        <v>29892</v>
      </c>
      <c r="F1828" s="227">
        <v>28378051</v>
      </c>
      <c r="G1828" s="1" t="s">
        <v>262</v>
      </c>
      <c r="H1828" s="60">
        <v>17779.75</v>
      </c>
      <c r="I1828" s="228">
        <v>3733.75</v>
      </c>
      <c r="J1828" s="229"/>
      <c r="K1828" s="229"/>
      <c r="L1828" s="229">
        <f>SUM(ventas_b_mes11[[#This Row],[IMPORTE NETO]:[EXENTO]])</f>
        <v>21513.5</v>
      </c>
      <c r="M1828" s="55"/>
    </row>
    <row r="1829" spans="2:13" x14ac:dyDescent="0.3">
      <c r="B1829" s="223">
        <v>44861</v>
      </c>
      <c r="C1829" s="224">
        <v>6</v>
      </c>
      <c r="D1829" s="225">
        <v>11</v>
      </c>
      <c r="E1829" s="226">
        <v>29893</v>
      </c>
      <c r="F1829" s="227">
        <v>22447773</v>
      </c>
      <c r="G1829" s="1"/>
      <c r="H1829" s="60">
        <v>4580.17</v>
      </c>
      <c r="I1829" s="228">
        <v>961.83</v>
      </c>
      <c r="J1829" s="229"/>
      <c r="K1829" s="229"/>
      <c r="L1829" s="229">
        <f>SUM(ventas_b_mes11[[#This Row],[IMPORTE NETO]:[EXENTO]])</f>
        <v>5542</v>
      </c>
      <c r="M1829" s="55"/>
    </row>
    <row r="1830" spans="2:13" x14ac:dyDescent="0.3">
      <c r="B1830" s="223">
        <v>44861</v>
      </c>
      <c r="C1830" s="224">
        <v>6</v>
      </c>
      <c r="D1830" s="225">
        <v>11</v>
      </c>
      <c r="E1830" s="226">
        <v>29894</v>
      </c>
      <c r="F1830" s="227">
        <v>28378051</v>
      </c>
      <c r="G1830" s="1" t="s">
        <v>262</v>
      </c>
      <c r="H1830" s="60">
        <v>2247.9299999999998</v>
      </c>
      <c r="I1830" s="228">
        <v>472.07</v>
      </c>
      <c r="J1830" s="229"/>
      <c r="K1830" s="229"/>
      <c r="L1830" s="229">
        <f>SUM(ventas_b_mes11[[#This Row],[IMPORTE NETO]:[EXENTO]])</f>
        <v>2720</v>
      </c>
      <c r="M1830" s="55"/>
    </row>
    <row r="1831" spans="2:13" x14ac:dyDescent="0.3">
      <c r="B1831" s="223">
        <v>44861</v>
      </c>
      <c r="C1831" s="224">
        <v>6</v>
      </c>
      <c r="D1831" s="225">
        <v>11</v>
      </c>
      <c r="E1831" s="226">
        <v>29895</v>
      </c>
      <c r="F1831" s="227">
        <v>24019403</v>
      </c>
      <c r="G1831" s="1" t="s">
        <v>1030</v>
      </c>
      <c r="H1831" s="60">
        <v>9792.56</v>
      </c>
      <c r="I1831" s="228">
        <v>2056.44</v>
      </c>
      <c r="J1831" s="229"/>
      <c r="K1831" s="229"/>
      <c r="L1831" s="229">
        <f>SUM(ventas_b_mes11[[#This Row],[IMPORTE NETO]:[EXENTO]])</f>
        <v>11849</v>
      </c>
      <c r="M1831" s="55"/>
    </row>
    <row r="1832" spans="2:13" x14ac:dyDescent="0.3">
      <c r="B1832" s="223">
        <v>44861</v>
      </c>
      <c r="C1832" s="224">
        <v>6</v>
      </c>
      <c r="D1832" s="225">
        <v>11</v>
      </c>
      <c r="E1832" s="226">
        <v>29896</v>
      </c>
      <c r="F1832" s="227">
        <v>12690846</v>
      </c>
      <c r="G1832" s="1" t="s">
        <v>1047</v>
      </c>
      <c r="H1832" s="60">
        <v>8268.18</v>
      </c>
      <c r="I1832" s="228">
        <v>1736.32</v>
      </c>
      <c r="J1832" s="229"/>
      <c r="K1832" s="229"/>
      <c r="L1832" s="229">
        <f>SUM(ventas_b_mes11[[#This Row],[IMPORTE NETO]:[EXENTO]])</f>
        <v>10004.5</v>
      </c>
      <c r="M1832" s="55"/>
    </row>
    <row r="1833" spans="2:13" x14ac:dyDescent="0.3">
      <c r="B1833" s="223">
        <v>44861</v>
      </c>
      <c r="C1833" s="224">
        <v>6</v>
      </c>
      <c r="D1833" s="225">
        <v>11</v>
      </c>
      <c r="E1833" s="226">
        <v>29897</v>
      </c>
      <c r="F1833" s="227">
        <v>26577947</v>
      </c>
      <c r="G1833" s="1" t="s">
        <v>1034</v>
      </c>
      <c r="H1833" s="60">
        <v>2493.8000000000002</v>
      </c>
      <c r="I1833" s="228">
        <v>523.70000000000005</v>
      </c>
      <c r="J1833" s="229"/>
      <c r="K1833" s="229"/>
      <c r="L1833" s="229">
        <f>SUM(ventas_b_mes11[[#This Row],[IMPORTE NETO]:[EXENTO]])</f>
        <v>3017.5</v>
      </c>
      <c r="M1833" s="55"/>
    </row>
    <row r="1834" spans="2:13" x14ac:dyDescent="0.3">
      <c r="B1834" s="223">
        <v>44861</v>
      </c>
      <c r="C1834" s="224">
        <v>6</v>
      </c>
      <c r="D1834" s="225">
        <v>11</v>
      </c>
      <c r="E1834" s="226">
        <v>29898</v>
      </c>
      <c r="F1834" s="227">
        <v>26577947</v>
      </c>
      <c r="G1834" s="1" t="s">
        <v>1034</v>
      </c>
      <c r="H1834" s="60">
        <v>6476.86</v>
      </c>
      <c r="I1834" s="228">
        <v>1360.14</v>
      </c>
      <c r="J1834" s="229"/>
      <c r="K1834" s="229"/>
      <c r="L1834" s="229">
        <f>SUM(ventas_b_mes11[[#This Row],[IMPORTE NETO]:[EXENTO]])</f>
        <v>7837</v>
      </c>
      <c r="M1834" s="55"/>
    </row>
    <row r="1835" spans="2:13" x14ac:dyDescent="0.3">
      <c r="B1835" s="223">
        <v>44861</v>
      </c>
      <c r="C1835" s="224">
        <v>6</v>
      </c>
      <c r="D1835" s="225">
        <v>11</v>
      </c>
      <c r="E1835" s="226">
        <v>29899</v>
      </c>
      <c r="F1835" s="227">
        <v>12668390</v>
      </c>
      <c r="G1835" s="1" t="s">
        <v>997</v>
      </c>
      <c r="H1835" s="60">
        <v>7460.33</v>
      </c>
      <c r="I1835" s="228">
        <v>1566.67</v>
      </c>
      <c r="J1835" s="229"/>
      <c r="K1835" s="229"/>
      <c r="L1835" s="229">
        <f>SUM(ventas_b_mes11[[#This Row],[IMPORTE NETO]:[EXENTO]])</f>
        <v>9027</v>
      </c>
      <c r="M1835" s="55"/>
    </row>
    <row r="1836" spans="2:13" x14ac:dyDescent="0.3">
      <c r="B1836" s="223">
        <v>44861</v>
      </c>
      <c r="C1836" s="224">
        <v>6</v>
      </c>
      <c r="D1836" s="225">
        <v>11</v>
      </c>
      <c r="E1836" s="226">
        <v>29900</v>
      </c>
      <c r="F1836" s="227">
        <v>20547965</v>
      </c>
      <c r="G1836" s="1" t="s">
        <v>1052</v>
      </c>
      <c r="H1836" s="60">
        <v>2528.9299999999998</v>
      </c>
      <c r="I1836" s="228">
        <v>531.07000000000005</v>
      </c>
      <c r="J1836" s="229"/>
      <c r="K1836" s="229"/>
      <c r="L1836" s="229">
        <f>SUM(ventas_b_mes11[[#This Row],[IMPORTE NETO]:[EXENTO]])</f>
        <v>3060</v>
      </c>
      <c r="M1836" s="55"/>
    </row>
    <row r="1837" spans="2:13" x14ac:dyDescent="0.3">
      <c r="B1837" s="223">
        <v>44861</v>
      </c>
      <c r="C1837" s="224">
        <v>6</v>
      </c>
      <c r="D1837" s="225">
        <v>11</v>
      </c>
      <c r="E1837" s="226">
        <v>29901</v>
      </c>
      <c r="F1837" s="227">
        <v>12690846</v>
      </c>
      <c r="G1837" s="1" t="s">
        <v>1047</v>
      </c>
      <c r="H1837" s="60">
        <v>1747.93</v>
      </c>
      <c r="I1837" s="228">
        <v>367.07</v>
      </c>
      <c r="J1837" s="229"/>
      <c r="K1837" s="229"/>
      <c r="L1837" s="229">
        <f>SUM(ventas_b_mes11[[#This Row],[IMPORTE NETO]:[EXENTO]])</f>
        <v>2115</v>
      </c>
      <c r="M1837" s="55"/>
    </row>
    <row r="1838" spans="2:13" x14ac:dyDescent="0.3">
      <c r="B1838" s="223">
        <v>44861</v>
      </c>
      <c r="C1838" s="224">
        <v>6</v>
      </c>
      <c r="D1838" s="225">
        <v>11</v>
      </c>
      <c r="E1838" s="226">
        <v>29902</v>
      </c>
      <c r="F1838" s="227">
        <v>17318093</v>
      </c>
      <c r="G1838" s="1" t="s">
        <v>993</v>
      </c>
      <c r="H1838" s="60">
        <v>1840.5</v>
      </c>
      <c r="I1838" s="228">
        <v>386.5</v>
      </c>
      <c r="J1838" s="229"/>
      <c r="K1838" s="229"/>
      <c r="L1838" s="229">
        <f>SUM(ventas_b_mes11[[#This Row],[IMPORTE NETO]:[EXENTO]])</f>
        <v>2227</v>
      </c>
      <c r="M1838" s="55"/>
    </row>
    <row r="1839" spans="2:13" x14ac:dyDescent="0.3">
      <c r="B1839" s="223">
        <v>44861</v>
      </c>
      <c r="C1839" s="224">
        <v>6</v>
      </c>
      <c r="D1839" s="225">
        <v>11</v>
      </c>
      <c r="E1839" s="226">
        <v>29903</v>
      </c>
      <c r="F1839" s="227">
        <v>17318093</v>
      </c>
      <c r="G1839" s="1" t="s">
        <v>993</v>
      </c>
      <c r="H1839" s="60">
        <v>5233.47</v>
      </c>
      <c r="I1839" s="228">
        <v>1099.03</v>
      </c>
      <c r="J1839" s="229"/>
      <c r="K1839" s="229"/>
      <c r="L1839" s="229">
        <f>SUM(ventas_b_mes11[[#This Row],[IMPORTE NETO]:[EXENTO]])</f>
        <v>6332.5</v>
      </c>
      <c r="M1839" s="55"/>
    </row>
    <row r="1840" spans="2:13" x14ac:dyDescent="0.3">
      <c r="B1840" s="223">
        <v>44861</v>
      </c>
      <c r="C1840" s="224">
        <v>6</v>
      </c>
      <c r="D1840" s="225">
        <v>11</v>
      </c>
      <c r="E1840" s="226">
        <v>29904</v>
      </c>
      <c r="F1840" s="227">
        <v>28131560</v>
      </c>
      <c r="G1840" s="1" t="s">
        <v>1049</v>
      </c>
      <c r="H1840" s="60">
        <v>3460.74</v>
      </c>
      <c r="I1840" s="228">
        <v>726.76</v>
      </c>
      <c r="J1840" s="229"/>
      <c r="K1840" s="229"/>
      <c r="L1840" s="229">
        <f>SUM(ventas_b_mes11[[#This Row],[IMPORTE NETO]:[EXENTO]])</f>
        <v>4187.5</v>
      </c>
      <c r="M1840" s="55"/>
    </row>
    <row r="1841" spans="2:13" x14ac:dyDescent="0.3">
      <c r="B1841" s="223">
        <v>44861</v>
      </c>
      <c r="C1841" s="224">
        <v>6</v>
      </c>
      <c r="D1841" s="225">
        <v>11</v>
      </c>
      <c r="E1841" s="226">
        <v>29905</v>
      </c>
      <c r="F1841" s="227">
        <v>17473545</v>
      </c>
      <c r="G1841" s="1" t="s">
        <v>1051</v>
      </c>
      <c r="H1841" s="60">
        <v>8338.43</v>
      </c>
      <c r="I1841" s="228">
        <v>1751.07</v>
      </c>
      <c r="J1841" s="229"/>
      <c r="K1841" s="229"/>
      <c r="L1841" s="229">
        <f>SUM(ventas_b_mes11[[#This Row],[IMPORTE NETO]:[EXENTO]])</f>
        <v>10089.5</v>
      </c>
      <c r="M1841" s="55"/>
    </row>
    <row r="1842" spans="2:13" x14ac:dyDescent="0.3">
      <c r="B1842" s="223">
        <v>44862</v>
      </c>
      <c r="C1842" s="224">
        <v>6</v>
      </c>
      <c r="D1842" s="225">
        <v>11</v>
      </c>
      <c r="E1842" s="226">
        <v>29906</v>
      </c>
      <c r="F1842" s="227">
        <v>0</v>
      </c>
      <c r="G1842" s="1"/>
      <c r="H1842" s="60">
        <v>4088.43</v>
      </c>
      <c r="I1842" s="228">
        <v>858.57</v>
      </c>
      <c r="J1842" s="229"/>
      <c r="K1842" s="229"/>
      <c r="L1842" s="229">
        <f>SUM(ventas_b_mes11[[#This Row],[IMPORTE NETO]:[EXENTO]])</f>
        <v>4947</v>
      </c>
      <c r="M1842" s="55"/>
    </row>
    <row r="1843" spans="2:13" x14ac:dyDescent="0.3">
      <c r="B1843" s="223">
        <v>44862</v>
      </c>
      <c r="C1843" s="224">
        <v>6</v>
      </c>
      <c r="D1843" s="225">
        <v>11</v>
      </c>
      <c r="E1843" s="226">
        <v>29907</v>
      </c>
      <c r="F1843" s="227">
        <v>10924430</v>
      </c>
      <c r="G1843" s="1" t="s">
        <v>837</v>
      </c>
      <c r="H1843" s="60">
        <v>1561.98</v>
      </c>
      <c r="I1843" s="228">
        <v>328.02</v>
      </c>
      <c r="J1843" s="229"/>
      <c r="K1843" s="229"/>
      <c r="L1843" s="229">
        <f>SUM(ventas_b_mes11[[#This Row],[IMPORTE NETO]:[EXENTO]])</f>
        <v>1890</v>
      </c>
      <c r="M1843" s="55"/>
    </row>
    <row r="1844" spans="2:13" x14ac:dyDescent="0.3">
      <c r="B1844" s="223">
        <v>44862</v>
      </c>
      <c r="C1844" s="224">
        <v>6</v>
      </c>
      <c r="D1844" s="225">
        <v>11</v>
      </c>
      <c r="E1844" s="226">
        <v>29908</v>
      </c>
      <c r="F1844" s="227">
        <v>17197819</v>
      </c>
      <c r="G1844" s="1" t="s">
        <v>1081</v>
      </c>
      <c r="H1844" s="60">
        <v>5206.6099999999997</v>
      </c>
      <c r="I1844" s="228">
        <v>1093.3900000000001</v>
      </c>
      <c r="J1844" s="229"/>
      <c r="K1844" s="229"/>
      <c r="L1844" s="229">
        <f>SUM(ventas_b_mes11[[#This Row],[IMPORTE NETO]:[EXENTO]])</f>
        <v>6300</v>
      </c>
      <c r="M1844" s="55"/>
    </row>
    <row r="1845" spans="2:13" x14ac:dyDescent="0.3">
      <c r="B1845" s="223">
        <v>44862</v>
      </c>
      <c r="C1845" s="224">
        <v>6</v>
      </c>
      <c r="D1845" s="225">
        <v>11</v>
      </c>
      <c r="E1845" s="226">
        <v>29909</v>
      </c>
      <c r="F1845" s="227">
        <v>33560878</v>
      </c>
      <c r="G1845" s="1" t="s">
        <v>315</v>
      </c>
      <c r="H1845" s="60">
        <v>9504.5499999999993</v>
      </c>
      <c r="I1845" s="228">
        <v>1995.95</v>
      </c>
      <c r="J1845" s="229"/>
      <c r="K1845" s="229"/>
      <c r="L1845" s="229">
        <f>SUM(ventas_b_mes11[[#This Row],[IMPORTE NETO]:[EXENTO]])</f>
        <v>11500.5</v>
      </c>
      <c r="M1845" s="55"/>
    </row>
    <row r="1846" spans="2:13" x14ac:dyDescent="0.3">
      <c r="B1846" s="223">
        <v>44862</v>
      </c>
      <c r="C1846" s="224">
        <v>6</v>
      </c>
      <c r="D1846" s="225">
        <v>11</v>
      </c>
      <c r="E1846" s="226">
        <v>29910</v>
      </c>
      <c r="F1846" s="227">
        <v>26809011</v>
      </c>
      <c r="G1846" s="1" t="s">
        <v>786</v>
      </c>
      <c r="H1846" s="60">
        <v>983.48</v>
      </c>
      <c r="I1846" s="228">
        <v>206.53</v>
      </c>
      <c r="J1846" s="229"/>
      <c r="K1846" s="229"/>
      <c r="L1846" s="229">
        <f>SUM(ventas_b_mes11[[#This Row],[IMPORTE NETO]:[EXENTO]])</f>
        <v>1190.01</v>
      </c>
      <c r="M1846" s="55"/>
    </row>
    <row r="1847" spans="2:13" x14ac:dyDescent="0.3">
      <c r="B1847" s="223">
        <v>44862</v>
      </c>
      <c r="C1847" s="224">
        <v>6</v>
      </c>
      <c r="D1847" s="225">
        <v>11</v>
      </c>
      <c r="E1847" s="226">
        <v>29911</v>
      </c>
      <c r="F1847" s="227">
        <v>20576063</v>
      </c>
      <c r="G1847" s="1" t="s">
        <v>201</v>
      </c>
      <c r="H1847" s="60">
        <v>10200</v>
      </c>
      <c r="I1847" s="228">
        <v>2142</v>
      </c>
      <c r="J1847" s="229"/>
      <c r="K1847" s="229"/>
      <c r="L1847" s="229">
        <f>SUM(ventas_b_mes11[[#This Row],[IMPORTE NETO]:[EXENTO]])</f>
        <v>12342</v>
      </c>
      <c r="M1847" s="55"/>
    </row>
    <row r="1848" spans="2:13" x14ac:dyDescent="0.3">
      <c r="B1848" s="223">
        <v>44862</v>
      </c>
      <c r="C1848" s="224">
        <v>6</v>
      </c>
      <c r="D1848" s="225">
        <v>11</v>
      </c>
      <c r="E1848" s="226">
        <v>29912</v>
      </c>
      <c r="F1848" s="227">
        <v>0</v>
      </c>
      <c r="G1848" s="1"/>
      <c r="H1848" s="60">
        <v>1735.54</v>
      </c>
      <c r="I1848" s="228">
        <v>364.46</v>
      </c>
      <c r="J1848" s="229"/>
      <c r="K1848" s="229"/>
      <c r="L1848" s="229">
        <f>SUM(ventas_b_mes11[[#This Row],[IMPORTE NETO]:[EXENTO]])</f>
        <v>2100</v>
      </c>
      <c r="M1848" s="55"/>
    </row>
    <row r="1849" spans="2:13" x14ac:dyDescent="0.3">
      <c r="B1849" s="223">
        <v>44862</v>
      </c>
      <c r="C1849" s="224">
        <v>6</v>
      </c>
      <c r="D1849" s="225">
        <v>11</v>
      </c>
      <c r="E1849" s="226">
        <v>29913</v>
      </c>
      <c r="F1849" s="227">
        <v>20802193</v>
      </c>
      <c r="G1849" s="1" t="s">
        <v>184</v>
      </c>
      <c r="H1849" s="60">
        <v>2247.9299999999998</v>
      </c>
      <c r="I1849" s="228">
        <v>472.07</v>
      </c>
      <c r="J1849" s="229"/>
      <c r="K1849" s="229"/>
      <c r="L1849" s="229">
        <f>SUM(ventas_b_mes11[[#This Row],[IMPORTE NETO]:[EXENTO]])</f>
        <v>2720</v>
      </c>
      <c r="M1849" s="55"/>
    </row>
    <row r="1850" spans="2:13" x14ac:dyDescent="0.3">
      <c r="B1850" s="223">
        <v>44862</v>
      </c>
      <c r="C1850" s="224">
        <v>6</v>
      </c>
      <c r="D1850" s="225">
        <v>11</v>
      </c>
      <c r="E1850" s="226">
        <v>29914</v>
      </c>
      <c r="F1850" s="227">
        <v>28801817</v>
      </c>
      <c r="G1850" s="1" t="s">
        <v>1069</v>
      </c>
      <c r="H1850" s="60">
        <v>8185.96</v>
      </c>
      <c r="I1850" s="228">
        <v>1719.05</v>
      </c>
      <c r="J1850" s="229"/>
      <c r="K1850" s="229"/>
      <c r="L1850" s="229">
        <f>SUM(ventas_b_mes11[[#This Row],[IMPORTE NETO]:[EXENTO]])</f>
        <v>9905.01</v>
      </c>
      <c r="M1850" s="55"/>
    </row>
    <row r="1851" spans="2:13" x14ac:dyDescent="0.3">
      <c r="B1851" s="223">
        <v>44862</v>
      </c>
      <c r="C1851" s="224">
        <v>6</v>
      </c>
      <c r="D1851" s="225">
        <v>11</v>
      </c>
      <c r="E1851" s="226">
        <v>29915</v>
      </c>
      <c r="F1851" s="227">
        <v>6436196</v>
      </c>
      <c r="G1851" s="1" t="s">
        <v>157</v>
      </c>
      <c r="H1851" s="60">
        <v>4297.5200000000004</v>
      </c>
      <c r="I1851" s="228">
        <v>902.48</v>
      </c>
      <c r="J1851" s="229"/>
      <c r="K1851" s="229"/>
      <c r="L1851" s="229">
        <f>SUM(ventas_b_mes11[[#This Row],[IMPORTE NETO]:[EXENTO]])</f>
        <v>5200</v>
      </c>
      <c r="M1851" s="55"/>
    </row>
    <row r="1852" spans="2:13" x14ac:dyDescent="0.3">
      <c r="B1852" s="223">
        <v>44862</v>
      </c>
      <c r="C1852" s="224">
        <v>6</v>
      </c>
      <c r="D1852" s="225">
        <v>11</v>
      </c>
      <c r="E1852" s="226">
        <v>29916</v>
      </c>
      <c r="F1852" s="227">
        <v>124</v>
      </c>
      <c r="G1852" s="1"/>
      <c r="H1852" s="60">
        <v>4937.6000000000004</v>
      </c>
      <c r="I1852" s="228">
        <v>1036.9000000000001</v>
      </c>
      <c r="J1852" s="229"/>
      <c r="K1852" s="229"/>
      <c r="L1852" s="229">
        <f>SUM(ventas_b_mes11[[#This Row],[IMPORTE NETO]:[EXENTO]])</f>
        <v>5974.5</v>
      </c>
      <c r="M1852" s="55"/>
    </row>
    <row r="1853" spans="2:13" x14ac:dyDescent="0.3">
      <c r="B1853" s="223">
        <v>44862</v>
      </c>
      <c r="C1853" s="224">
        <v>6</v>
      </c>
      <c r="D1853" s="225">
        <v>11</v>
      </c>
      <c r="E1853" s="226">
        <v>29917</v>
      </c>
      <c r="F1853" s="227">
        <v>17110942</v>
      </c>
      <c r="G1853" s="1" t="s">
        <v>1067</v>
      </c>
      <c r="H1853" s="60">
        <v>4088.43</v>
      </c>
      <c r="I1853" s="228">
        <v>858.57</v>
      </c>
      <c r="J1853" s="229"/>
      <c r="K1853" s="229"/>
      <c r="L1853" s="229">
        <f>SUM(ventas_b_mes11[[#This Row],[IMPORTE NETO]:[EXENTO]])</f>
        <v>4947</v>
      </c>
      <c r="M1853" s="55"/>
    </row>
    <row r="1854" spans="2:13" x14ac:dyDescent="0.3">
      <c r="B1854" s="223">
        <v>44862</v>
      </c>
      <c r="C1854" s="224">
        <v>6</v>
      </c>
      <c r="D1854" s="225">
        <v>11</v>
      </c>
      <c r="E1854" s="226">
        <v>29918</v>
      </c>
      <c r="F1854" s="227">
        <v>6709425</v>
      </c>
      <c r="G1854" s="1"/>
      <c r="H1854" s="60">
        <v>5226.45</v>
      </c>
      <c r="I1854" s="228">
        <v>1097.55</v>
      </c>
      <c r="J1854" s="229"/>
      <c r="K1854" s="229"/>
      <c r="L1854" s="229">
        <f>SUM(ventas_b_mes11[[#This Row],[IMPORTE NETO]:[EXENTO]])</f>
        <v>6324</v>
      </c>
      <c r="M1854" s="55"/>
    </row>
    <row r="1855" spans="2:13" x14ac:dyDescent="0.3">
      <c r="B1855" s="223">
        <v>44862</v>
      </c>
      <c r="C1855" s="224">
        <v>6</v>
      </c>
      <c r="D1855" s="225">
        <v>11</v>
      </c>
      <c r="E1855" s="226">
        <v>29919</v>
      </c>
      <c r="F1855" s="227">
        <v>10874569</v>
      </c>
      <c r="G1855" s="1" t="s">
        <v>1085</v>
      </c>
      <c r="H1855" s="60">
        <v>11868.18</v>
      </c>
      <c r="I1855" s="228">
        <v>2492.3200000000002</v>
      </c>
      <c r="J1855" s="229"/>
      <c r="K1855" s="229"/>
      <c r="L1855" s="229">
        <f>SUM(ventas_b_mes11[[#This Row],[IMPORTE NETO]:[EXENTO]])</f>
        <v>14360.5</v>
      </c>
      <c r="M1855" s="55"/>
    </row>
    <row r="1856" spans="2:13" x14ac:dyDescent="0.3">
      <c r="B1856" s="223">
        <v>44862</v>
      </c>
      <c r="C1856" s="224">
        <v>6</v>
      </c>
      <c r="D1856" s="225">
        <v>11</v>
      </c>
      <c r="E1856" s="226">
        <v>29920</v>
      </c>
      <c r="F1856" s="227">
        <v>12560890</v>
      </c>
      <c r="G1856" s="1" t="s">
        <v>294</v>
      </c>
      <c r="H1856" s="60">
        <v>11740.63</v>
      </c>
      <c r="I1856" s="228">
        <v>2465.5300000000002</v>
      </c>
      <c r="J1856" s="229"/>
      <c r="K1856" s="229"/>
      <c r="L1856" s="229">
        <f>SUM(ventas_b_mes11[[#This Row],[IMPORTE NETO]:[EXENTO]])</f>
        <v>14206.16</v>
      </c>
      <c r="M1856" s="55"/>
    </row>
    <row r="1857" spans="2:13" x14ac:dyDescent="0.3">
      <c r="B1857" s="223">
        <v>44862</v>
      </c>
      <c r="C1857" s="224">
        <v>6</v>
      </c>
      <c r="D1857" s="225">
        <v>11</v>
      </c>
      <c r="E1857" s="226">
        <v>29921</v>
      </c>
      <c r="F1857" s="227">
        <v>18511148</v>
      </c>
      <c r="G1857" s="1" t="s">
        <v>1084</v>
      </c>
      <c r="H1857" s="60">
        <v>5971.07</v>
      </c>
      <c r="I1857" s="228">
        <v>1253.93</v>
      </c>
      <c r="J1857" s="229"/>
      <c r="K1857" s="229"/>
      <c r="L1857" s="229">
        <f>SUM(ventas_b_mes11[[#This Row],[IMPORTE NETO]:[EXENTO]])</f>
        <v>7225</v>
      </c>
      <c r="M1857" s="55"/>
    </row>
    <row r="1858" spans="2:13" x14ac:dyDescent="0.3">
      <c r="B1858" s="223">
        <v>44862</v>
      </c>
      <c r="C1858" s="224">
        <v>6</v>
      </c>
      <c r="D1858" s="225">
        <v>11</v>
      </c>
      <c r="E1858" s="226">
        <v>29922</v>
      </c>
      <c r="F1858" s="227">
        <v>32675593</v>
      </c>
      <c r="G1858" s="1" t="s">
        <v>1063</v>
      </c>
      <c r="H1858" s="60">
        <v>1004.13</v>
      </c>
      <c r="I1858" s="228">
        <v>210.87</v>
      </c>
      <c r="J1858" s="229"/>
      <c r="K1858" s="229"/>
      <c r="L1858" s="229">
        <f>SUM(ventas_b_mes11[[#This Row],[IMPORTE NETO]:[EXENTO]])</f>
        <v>1215</v>
      </c>
      <c r="M1858" s="55"/>
    </row>
    <row r="1859" spans="2:13" x14ac:dyDescent="0.3">
      <c r="B1859" s="223">
        <v>44863</v>
      </c>
      <c r="C1859" s="224">
        <v>6</v>
      </c>
      <c r="D1859" s="225">
        <v>11</v>
      </c>
      <c r="E1859" s="226">
        <v>29923</v>
      </c>
      <c r="F1859" s="227">
        <v>20576063</v>
      </c>
      <c r="G1859" s="1" t="s">
        <v>201</v>
      </c>
      <c r="H1859" s="60">
        <v>1524.38</v>
      </c>
      <c r="I1859" s="228">
        <v>320.12</v>
      </c>
      <c r="J1859" s="229"/>
      <c r="K1859" s="229"/>
      <c r="L1859" s="229">
        <f>SUM(ventas_b_mes11[[#This Row],[IMPORTE NETO]:[EXENTO]])</f>
        <v>1844.5</v>
      </c>
      <c r="M1859" s="55"/>
    </row>
    <row r="1860" spans="2:13" x14ac:dyDescent="0.3">
      <c r="B1860" s="223">
        <v>44863</v>
      </c>
      <c r="C1860" s="224">
        <v>6</v>
      </c>
      <c r="D1860" s="225">
        <v>11</v>
      </c>
      <c r="E1860" s="226">
        <v>29924</v>
      </c>
      <c r="F1860" s="227">
        <v>25983453</v>
      </c>
      <c r="G1860" s="1" t="s">
        <v>1089</v>
      </c>
      <c r="H1860" s="60">
        <v>4250</v>
      </c>
      <c r="I1860" s="228">
        <v>892.5</v>
      </c>
      <c r="J1860" s="229"/>
      <c r="K1860" s="229"/>
      <c r="L1860" s="229">
        <f>SUM(ventas_b_mes11[[#This Row],[IMPORTE NETO]:[EXENTO]])</f>
        <v>5142.5</v>
      </c>
      <c r="M1860" s="55"/>
    </row>
    <row r="1861" spans="2:13" x14ac:dyDescent="0.3">
      <c r="B1861" s="223">
        <v>44863</v>
      </c>
      <c r="C1861" s="224">
        <v>6</v>
      </c>
      <c r="D1861" s="225">
        <v>11</v>
      </c>
      <c r="E1861" s="226">
        <v>29925</v>
      </c>
      <c r="F1861" s="227">
        <v>95962559</v>
      </c>
      <c r="G1861" s="1" t="s">
        <v>385</v>
      </c>
      <c r="H1861" s="60">
        <v>6299.59</v>
      </c>
      <c r="I1861" s="228">
        <v>1322.91</v>
      </c>
      <c r="J1861" s="229"/>
      <c r="K1861" s="229"/>
      <c r="L1861" s="229">
        <f>SUM(ventas_b_mes11[[#This Row],[IMPORTE NETO]:[EXENTO]])</f>
        <v>7622.5</v>
      </c>
      <c r="M1861" s="55"/>
    </row>
    <row r="1862" spans="2:13" x14ac:dyDescent="0.3">
      <c r="B1862" s="223">
        <v>44863</v>
      </c>
      <c r="C1862" s="224">
        <v>6</v>
      </c>
      <c r="D1862" s="225">
        <v>11</v>
      </c>
      <c r="E1862" s="226">
        <v>29926</v>
      </c>
      <c r="F1862" s="227">
        <v>1254</v>
      </c>
      <c r="G1862" s="1"/>
      <c r="H1862" s="60">
        <v>7179.35</v>
      </c>
      <c r="I1862" s="228">
        <v>1507.66</v>
      </c>
      <c r="J1862" s="229"/>
      <c r="K1862" s="229"/>
      <c r="L1862" s="229">
        <f>SUM(ventas_b_mes11[[#This Row],[IMPORTE NETO]:[EXENTO]])</f>
        <v>8687.01</v>
      </c>
      <c r="M1862" s="55"/>
    </row>
    <row r="1863" spans="2:13" x14ac:dyDescent="0.3">
      <c r="B1863" s="223">
        <v>44863</v>
      </c>
      <c r="C1863" s="224">
        <v>6</v>
      </c>
      <c r="D1863" s="225">
        <v>11</v>
      </c>
      <c r="E1863" s="226">
        <v>29927</v>
      </c>
      <c r="F1863" s="227">
        <v>21476196</v>
      </c>
      <c r="G1863" s="1" t="s">
        <v>233</v>
      </c>
      <c r="H1863" s="60">
        <v>4285.12</v>
      </c>
      <c r="I1863" s="228">
        <v>899.88</v>
      </c>
      <c r="J1863" s="229"/>
      <c r="K1863" s="229"/>
      <c r="L1863" s="229">
        <f>SUM(ventas_b_mes11[[#This Row],[IMPORTE NETO]:[EXENTO]])</f>
        <v>5185</v>
      </c>
      <c r="M1863" s="55"/>
    </row>
    <row r="1864" spans="2:13" x14ac:dyDescent="0.3">
      <c r="B1864" s="223">
        <v>44863</v>
      </c>
      <c r="C1864" s="224">
        <v>6</v>
      </c>
      <c r="D1864" s="225">
        <v>11</v>
      </c>
      <c r="E1864" s="226">
        <v>29928</v>
      </c>
      <c r="F1864" s="227">
        <v>1254</v>
      </c>
      <c r="G1864" s="1"/>
      <c r="H1864" s="60">
        <v>1826.45</v>
      </c>
      <c r="I1864" s="228">
        <v>383.55</v>
      </c>
      <c r="J1864" s="229"/>
      <c r="K1864" s="229"/>
      <c r="L1864" s="229">
        <f>SUM(ventas_b_mes11[[#This Row],[IMPORTE NETO]:[EXENTO]])</f>
        <v>2210</v>
      </c>
      <c r="M1864" s="55"/>
    </row>
    <row r="1865" spans="2:13" x14ac:dyDescent="0.3">
      <c r="B1865" s="223">
        <v>44863</v>
      </c>
      <c r="C1865" s="224">
        <v>6</v>
      </c>
      <c r="D1865" s="225">
        <v>11</v>
      </c>
      <c r="E1865" s="226">
        <v>29929</v>
      </c>
      <c r="F1865" s="227">
        <v>13180226</v>
      </c>
      <c r="G1865" s="1" t="s">
        <v>1093</v>
      </c>
      <c r="H1865" s="60">
        <v>5935.95</v>
      </c>
      <c r="I1865" s="228">
        <v>1246.55</v>
      </c>
      <c r="J1865" s="229"/>
      <c r="K1865" s="229"/>
      <c r="L1865" s="229">
        <f>SUM(ventas_b_mes11[[#This Row],[IMPORTE NETO]:[EXENTO]])</f>
        <v>7182.5</v>
      </c>
      <c r="M1865" s="55"/>
    </row>
    <row r="1866" spans="2:13" x14ac:dyDescent="0.3">
      <c r="B1866" s="223">
        <v>44863</v>
      </c>
      <c r="C1866" s="224">
        <v>6</v>
      </c>
      <c r="D1866" s="225">
        <v>11</v>
      </c>
      <c r="E1866" s="226">
        <v>29930</v>
      </c>
      <c r="F1866" s="227">
        <v>29096491</v>
      </c>
      <c r="G1866" s="1" t="s">
        <v>1099</v>
      </c>
      <c r="H1866" s="60">
        <v>5226.45</v>
      </c>
      <c r="I1866" s="228">
        <v>1097.55</v>
      </c>
      <c r="J1866" s="229"/>
      <c r="K1866" s="229"/>
      <c r="L1866" s="229">
        <f>SUM(ventas_b_mes11[[#This Row],[IMPORTE NETO]:[EXENTO]])</f>
        <v>6324</v>
      </c>
      <c r="M1866" s="55"/>
    </row>
    <row r="1867" spans="2:13" x14ac:dyDescent="0.3">
      <c r="B1867" s="223">
        <v>44863</v>
      </c>
      <c r="C1867" s="224">
        <v>6</v>
      </c>
      <c r="D1867" s="225">
        <v>11</v>
      </c>
      <c r="E1867" s="226">
        <v>29931</v>
      </c>
      <c r="F1867" s="227">
        <v>6186333</v>
      </c>
      <c r="G1867" s="1"/>
      <c r="H1867" s="60">
        <v>1673.55</v>
      </c>
      <c r="I1867" s="228">
        <v>351.45</v>
      </c>
      <c r="J1867" s="229"/>
      <c r="K1867" s="229"/>
      <c r="L1867" s="229">
        <f>SUM(ventas_b_mes11[[#This Row],[IMPORTE NETO]:[EXENTO]])</f>
        <v>2025</v>
      </c>
      <c r="M1867" s="55"/>
    </row>
    <row r="1868" spans="2:13" x14ac:dyDescent="0.3">
      <c r="B1868" s="223">
        <v>44863</v>
      </c>
      <c r="C1868" s="224">
        <v>6</v>
      </c>
      <c r="D1868" s="225">
        <v>11</v>
      </c>
      <c r="E1868" s="226">
        <v>29932</v>
      </c>
      <c r="F1868" s="227">
        <v>21649880</v>
      </c>
      <c r="G1868" s="1" t="s">
        <v>900</v>
      </c>
      <c r="H1868" s="60">
        <v>7867.77</v>
      </c>
      <c r="I1868" s="228">
        <v>1652.23</v>
      </c>
      <c r="J1868" s="229"/>
      <c r="K1868" s="229"/>
      <c r="L1868" s="229">
        <f>SUM(ventas_b_mes11[[#This Row],[IMPORTE NETO]:[EXENTO]])</f>
        <v>9520</v>
      </c>
      <c r="M1868" s="55"/>
    </row>
    <row r="1869" spans="2:13" x14ac:dyDescent="0.3">
      <c r="B1869" s="223">
        <v>44863</v>
      </c>
      <c r="C1869" s="224">
        <v>6</v>
      </c>
      <c r="D1869" s="225">
        <v>11</v>
      </c>
      <c r="E1869" s="226">
        <v>29933</v>
      </c>
      <c r="F1869" s="227">
        <v>18696009</v>
      </c>
      <c r="G1869" s="1" t="s">
        <v>1086</v>
      </c>
      <c r="H1869" s="60">
        <v>6041.32</v>
      </c>
      <c r="I1869" s="228">
        <v>1268.68</v>
      </c>
      <c r="J1869" s="229"/>
      <c r="K1869" s="229"/>
      <c r="L1869" s="229">
        <f>SUM(ventas_b_mes11[[#This Row],[IMPORTE NETO]:[EXENTO]])</f>
        <v>7310</v>
      </c>
      <c r="M1869" s="55"/>
    </row>
    <row r="1870" spans="2:13" x14ac:dyDescent="0.3">
      <c r="B1870" s="223">
        <v>44863</v>
      </c>
      <c r="C1870" s="224">
        <v>6</v>
      </c>
      <c r="D1870" s="225">
        <v>11</v>
      </c>
      <c r="E1870" s="226">
        <v>29934</v>
      </c>
      <c r="F1870" s="227">
        <v>22988964</v>
      </c>
      <c r="G1870" s="1" t="s">
        <v>1097</v>
      </c>
      <c r="H1870" s="60">
        <v>18740.669999999998</v>
      </c>
      <c r="I1870" s="228">
        <v>3935.54</v>
      </c>
      <c r="J1870" s="229"/>
      <c r="K1870" s="229"/>
      <c r="L1870" s="229">
        <f>SUM(ventas_b_mes11[[#This Row],[IMPORTE NETO]:[EXENTO]])</f>
        <v>22676.21</v>
      </c>
      <c r="M1870" s="55"/>
    </row>
    <row r="1871" spans="2:13" x14ac:dyDescent="0.3">
      <c r="B1871" s="223">
        <v>44863</v>
      </c>
      <c r="C1871" s="224">
        <v>6</v>
      </c>
      <c r="D1871" s="225">
        <v>11</v>
      </c>
      <c r="E1871" s="226">
        <v>29935</v>
      </c>
      <c r="F1871" s="227">
        <v>95713574</v>
      </c>
      <c r="G1871" s="1" t="s">
        <v>886</v>
      </c>
      <c r="H1871" s="60">
        <v>1119.83</v>
      </c>
      <c r="I1871" s="228">
        <v>235.17</v>
      </c>
      <c r="J1871" s="229"/>
      <c r="K1871" s="229"/>
      <c r="L1871" s="229">
        <f>SUM(ventas_b_mes11[[#This Row],[IMPORTE NETO]:[EXENTO]])</f>
        <v>1355</v>
      </c>
      <c r="M1871" s="55"/>
    </row>
    <row r="1872" spans="2:13" x14ac:dyDescent="0.3">
      <c r="B1872" s="223">
        <v>44863</v>
      </c>
      <c r="C1872" s="224">
        <v>6</v>
      </c>
      <c r="D1872" s="225">
        <v>11</v>
      </c>
      <c r="E1872" s="226">
        <v>29936</v>
      </c>
      <c r="F1872" s="227">
        <v>23770322</v>
      </c>
      <c r="G1872" s="1" t="s">
        <v>301</v>
      </c>
      <c r="H1872" s="60">
        <v>2845.04</v>
      </c>
      <c r="I1872" s="228">
        <v>597.46</v>
      </c>
      <c r="J1872" s="229"/>
      <c r="K1872" s="229"/>
      <c r="L1872" s="229">
        <f>SUM(ventas_b_mes11[[#This Row],[IMPORTE NETO]:[EXENTO]])</f>
        <v>3442.5</v>
      </c>
      <c r="M1872" s="55"/>
    </row>
    <row r="1873" spans="2:13" x14ac:dyDescent="0.3">
      <c r="B1873" s="223">
        <v>44863</v>
      </c>
      <c r="C1873" s="224">
        <v>6</v>
      </c>
      <c r="D1873" s="225">
        <v>11</v>
      </c>
      <c r="E1873" s="226">
        <v>29937</v>
      </c>
      <c r="F1873" s="227">
        <v>95729257</v>
      </c>
      <c r="G1873" s="1" t="s">
        <v>1100</v>
      </c>
      <c r="H1873" s="60">
        <v>2177.69</v>
      </c>
      <c r="I1873" s="228">
        <v>457.32</v>
      </c>
      <c r="J1873" s="229"/>
      <c r="K1873" s="229"/>
      <c r="L1873" s="229">
        <f>SUM(ventas_b_mes11[[#This Row],[IMPORTE NETO]:[EXENTO]])</f>
        <v>2635.01</v>
      </c>
      <c r="M1873" s="55"/>
    </row>
    <row r="1874" spans="2:13" x14ac:dyDescent="0.3">
      <c r="B1874" s="223">
        <v>44865</v>
      </c>
      <c r="C1874" s="224">
        <v>6</v>
      </c>
      <c r="D1874" s="225">
        <v>11</v>
      </c>
      <c r="E1874" s="226">
        <v>29938</v>
      </c>
      <c r="F1874" s="227">
        <v>96038650</v>
      </c>
      <c r="G1874" s="1" t="s">
        <v>1103</v>
      </c>
      <c r="H1874" s="60">
        <v>5212.3999999999996</v>
      </c>
      <c r="I1874" s="228">
        <v>1094.5999999999999</v>
      </c>
      <c r="J1874" s="229"/>
      <c r="K1874" s="229"/>
      <c r="L1874" s="229">
        <f>SUM(ventas_b_mes11[[#This Row],[IMPORTE NETO]:[EXENTO]])</f>
        <v>6307</v>
      </c>
      <c r="M1874" s="55"/>
    </row>
    <row r="1875" spans="2:13" x14ac:dyDescent="0.3">
      <c r="B1875" s="223">
        <v>44865</v>
      </c>
      <c r="C1875" s="224">
        <v>6</v>
      </c>
      <c r="D1875" s="225">
        <v>11</v>
      </c>
      <c r="E1875" s="226">
        <v>29939</v>
      </c>
      <c r="F1875" s="227">
        <v>32874693</v>
      </c>
      <c r="G1875" s="1" t="s">
        <v>1119</v>
      </c>
      <c r="H1875" s="60">
        <v>6041.32</v>
      </c>
      <c r="I1875" s="228">
        <v>1268.68</v>
      </c>
      <c r="J1875" s="229"/>
      <c r="K1875" s="229"/>
      <c r="L1875" s="229">
        <f>SUM(ventas_b_mes11[[#This Row],[IMPORTE NETO]:[EXENTO]])</f>
        <v>7310</v>
      </c>
      <c r="M1875" s="55"/>
    </row>
    <row r="1876" spans="2:13" x14ac:dyDescent="0.3">
      <c r="B1876" s="223">
        <v>44865</v>
      </c>
      <c r="C1876" s="224">
        <v>6</v>
      </c>
      <c r="D1876" s="225">
        <v>11</v>
      </c>
      <c r="E1876" s="226">
        <v>29940</v>
      </c>
      <c r="F1876" s="227">
        <v>11384123</v>
      </c>
      <c r="G1876" s="1" t="s">
        <v>210</v>
      </c>
      <c r="H1876" s="60">
        <v>10687.61</v>
      </c>
      <c r="I1876" s="228">
        <v>2244.4</v>
      </c>
      <c r="J1876" s="229"/>
      <c r="K1876" s="229"/>
      <c r="L1876" s="229">
        <f>SUM(ventas_b_mes11[[#This Row],[IMPORTE NETO]:[EXENTO]])</f>
        <v>12932.01</v>
      </c>
      <c r="M1876" s="55"/>
    </row>
    <row r="1877" spans="2:13" x14ac:dyDescent="0.3">
      <c r="B1877" s="223">
        <v>44865</v>
      </c>
      <c r="C1877" s="224">
        <v>6</v>
      </c>
      <c r="D1877" s="225">
        <v>11</v>
      </c>
      <c r="E1877" s="226">
        <v>29941</v>
      </c>
      <c r="F1877" s="227">
        <v>14111222</v>
      </c>
      <c r="G1877" s="1" t="s">
        <v>1117</v>
      </c>
      <c r="H1877" s="60">
        <v>2776.86</v>
      </c>
      <c r="I1877" s="228">
        <v>583.14</v>
      </c>
      <c r="J1877" s="229"/>
      <c r="K1877" s="229"/>
      <c r="L1877" s="229">
        <f>SUM(ventas_b_mes11[[#This Row],[IMPORTE NETO]:[EXENTO]])</f>
        <v>3360</v>
      </c>
      <c r="M1877" s="55"/>
    </row>
    <row r="1878" spans="2:13" x14ac:dyDescent="0.3">
      <c r="B1878" s="223">
        <v>44865</v>
      </c>
      <c r="C1878" s="224">
        <v>6</v>
      </c>
      <c r="D1878" s="225">
        <v>11</v>
      </c>
      <c r="E1878" s="226">
        <v>29942</v>
      </c>
      <c r="F1878" s="227">
        <v>36401278</v>
      </c>
      <c r="G1878" s="1"/>
      <c r="H1878" s="60">
        <v>2367.77</v>
      </c>
      <c r="I1878" s="228">
        <v>497.23</v>
      </c>
      <c r="J1878" s="229"/>
      <c r="K1878" s="229"/>
      <c r="L1878" s="229">
        <f>SUM(ventas_b_mes11[[#This Row],[IMPORTE NETO]:[EXENTO]])</f>
        <v>2865</v>
      </c>
      <c r="M1878" s="55"/>
    </row>
    <row r="1879" spans="2:13" x14ac:dyDescent="0.3">
      <c r="B1879" s="223">
        <v>44865</v>
      </c>
      <c r="C1879" s="224">
        <v>6</v>
      </c>
      <c r="D1879" s="225">
        <v>11</v>
      </c>
      <c r="E1879" s="226">
        <v>29943</v>
      </c>
      <c r="F1879" s="227">
        <v>37099801</v>
      </c>
      <c r="G1879" s="1" t="s">
        <v>1104</v>
      </c>
      <c r="H1879" s="60">
        <v>4673.55</v>
      </c>
      <c r="I1879" s="228">
        <v>981.45</v>
      </c>
      <c r="J1879" s="229"/>
      <c r="K1879" s="229"/>
      <c r="L1879" s="229">
        <f>SUM(ventas_b_mes11[[#This Row],[IMPORTE NETO]:[EXENTO]])</f>
        <v>5655</v>
      </c>
      <c r="M1879" s="55"/>
    </row>
    <row r="1880" spans="2:13" x14ac:dyDescent="0.3">
      <c r="B1880" s="223">
        <v>44865</v>
      </c>
      <c r="C1880" s="224">
        <v>6</v>
      </c>
      <c r="D1880" s="225">
        <v>11</v>
      </c>
      <c r="E1880" s="226">
        <v>29944</v>
      </c>
      <c r="F1880" s="227">
        <v>17363693</v>
      </c>
      <c r="G1880" s="1" t="s">
        <v>771</v>
      </c>
      <c r="H1880" s="60">
        <v>7942.15</v>
      </c>
      <c r="I1880" s="228">
        <v>1667.85</v>
      </c>
      <c r="J1880" s="229"/>
      <c r="K1880" s="229"/>
      <c r="L1880" s="229">
        <f>SUM(ventas_b_mes11[[#This Row],[IMPORTE NETO]:[EXENTO]])</f>
        <v>9610</v>
      </c>
      <c r="M1880" s="55"/>
    </row>
    <row r="1881" spans="2:13" x14ac:dyDescent="0.3">
      <c r="B1881" s="223">
        <v>44865</v>
      </c>
      <c r="C1881" s="224">
        <v>6</v>
      </c>
      <c r="D1881" s="225">
        <v>11</v>
      </c>
      <c r="E1881" s="226">
        <v>29945</v>
      </c>
      <c r="F1881" s="227">
        <v>1254</v>
      </c>
      <c r="G1881" s="1"/>
      <c r="H1881" s="60">
        <v>14218.17</v>
      </c>
      <c r="I1881" s="228">
        <v>2985.81</v>
      </c>
      <c r="J1881" s="229"/>
      <c r="K1881" s="229"/>
      <c r="L1881" s="229">
        <f>SUM(ventas_b_mes11[[#This Row],[IMPORTE NETO]:[EXENTO]])</f>
        <v>17203.98</v>
      </c>
      <c r="M1881" s="55"/>
    </row>
    <row r="1882" spans="2:13" x14ac:dyDescent="0.3">
      <c r="B1882" s="223">
        <v>44865</v>
      </c>
      <c r="C1882" s="224">
        <v>6</v>
      </c>
      <c r="D1882" s="225">
        <v>11</v>
      </c>
      <c r="E1882" s="226">
        <v>29946</v>
      </c>
      <c r="F1882" s="227">
        <v>11389103</v>
      </c>
      <c r="G1882" s="1" t="s">
        <v>943</v>
      </c>
      <c r="H1882" s="60">
        <v>3464.46</v>
      </c>
      <c r="I1882" s="228">
        <v>727.54</v>
      </c>
      <c r="J1882" s="229"/>
      <c r="K1882" s="229"/>
      <c r="L1882" s="229">
        <f>SUM(ventas_b_mes11[[#This Row],[IMPORTE NETO]:[EXENTO]])</f>
        <v>4192</v>
      </c>
      <c r="M1882" s="55"/>
    </row>
    <row r="1883" spans="2:13" x14ac:dyDescent="0.3">
      <c r="B1883" s="223">
        <v>44865</v>
      </c>
      <c r="C1883" s="224">
        <v>6</v>
      </c>
      <c r="D1883" s="225">
        <v>11</v>
      </c>
      <c r="E1883" s="226">
        <v>29947</v>
      </c>
      <c r="F1883" s="227">
        <v>12276336</v>
      </c>
      <c r="G1883" s="1" t="s">
        <v>966</v>
      </c>
      <c r="H1883" s="60">
        <v>1785.12</v>
      </c>
      <c r="I1883" s="228">
        <v>374.88</v>
      </c>
      <c r="J1883" s="229"/>
      <c r="K1883" s="229"/>
      <c r="L1883" s="229">
        <f>SUM(ventas_b_mes11[[#This Row],[IMPORTE NETO]:[EXENTO]])</f>
        <v>2160</v>
      </c>
      <c r="M1883" s="55"/>
    </row>
    <row r="1884" spans="2:13" x14ac:dyDescent="0.3">
      <c r="B1884" s="223">
        <v>44865</v>
      </c>
      <c r="C1884" s="224">
        <v>6</v>
      </c>
      <c r="D1884" s="225">
        <v>11</v>
      </c>
      <c r="E1884" s="226">
        <v>29948</v>
      </c>
      <c r="F1884" s="227">
        <v>6436196</v>
      </c>
      <c r="G1884" s="1" t="s">
        <v>157</v>
      </c>
      <c r="H1884" s="60">
        <v>1900.83</v>
      </c>
      <c r="I1884" s="228">
        <v>399.17</v>
      </c>
      <c r="J1884" s="229"/>
      <c r="K1884" s="229"/>
      <c r="L1884" s="229">
        <f>SUM(ventas_b_mes11[[#This Row],[IMPORTE NETO]:[EXENTO]])</f>
        <v>2300</v>
      </c>
      <c r="M1884" s="55"/>
    </row>
    <row r="1885" spans="2:13" x14ac:dyDescent="0.3">
      <c r="B1885" s="223">
        <v>44865</v>
      </c>
      <c r="C1885" s="224">
        <v>6</v>
      </c>
      <c r="D1885" s="225">
        <v>11</v>
      </c>
      <c r="E1885" s="226">
        <v>29949</v>
      </c>
      <c r="F1885" s="227">
        <v>36401278</v>
      </c>
      <c r="G1885" s="1"/>
      <c r="H1885" s="60">
        <v>2367.77</v>
      </c>
      <c r="I1885" s="228">
        <v>497.23</v>
      </c>
      <c r="J1885" s="229"/>
      <c r="K1885" s="229"/>
      <c r="L1885" s="229">
        <f>SUM(ventas_b_mes11[[#This Row],[IMPORTE NETO]:[EXENTO]])</f>
        <v>2865</v>
      </c>
      <c r="M1885" s="55"/>
    </row>
    <row r="1886" spans="2:13" x14ac:dyDescent="0.3">
      <c r="B1886" s="223">
        <v>44865</v>
      </c>
      <c r="C1886" s="224">
        <v>6</v>
      </c>
      <c r="D1886" s="225">
        <v>11</v>
      </c>
      <c r="E1886" s="226">
        <v>29950</v>
      </c>
      <c r="F1886" s="227">
        <v>23138405</v>
      </c>
      <c r="G1886" s="1" t="s">
        <v>316</v>
      </c>
      <c r="H1886" s="60">
        <v>1388.43</v>
      </c>
      <c r="I1886" s="228">
        <v>291.57</v>
      </c>
      <c r="J1886" s="229"/>
      <c r="K1886" s="229"/>
      <c r="L1886" s="229">
        <f>SUM(ventas_b_mes11[[#This Row],[IMPORTE NETO]:[EXENTO]])</f>
        <v>1680</v>
      </c>
      <c r="M1886" s="55"/>
    </row>
    <row r="1887" spans="2:13" x14ac:dyDescent="0.3">
      <c r="B1887" s="301">
        <v>44835</v>
      </c>
      <c r="C1887" s="248">
        <v>6</v>
      </c>
      <c r="D1887" s="304">
        <v>10</v>
      </c>
      <c r="E1887" s="249">
        <v>42570</v>
      </c>
      <c r="F1887" s="227" t="s">
        <v>120</v>
      </c>
      <c r="G1887" s="1" t="s">
        <v>129</v>
      </c>
      <c r="H1887" s="60">
        <v>6102.48</v>
      </c>
      <c r="I1887" s="60">
        <v>1281.52</v>
      </c>
      <c r="J1887" s="60"/>
      <c r="K1887" s="60"/>
      <c r="L1887" s="60">
        <f>SUM(ventas_b_mes11[[#This Row],[IMPORTE NETO]:[EXENTO]])</f>
        <v>7384</v>
      </c>
      <c r="M1887" s="55"/>
    </row>
    <row r="1888" spans="2:13" x14ac:dyDescent="0.3">
      <c r="B1888" s="223">
        <v>44835</v>
      </c>
      <c r="C1888" s="248">
        <v>6</v>
      </c>
      <c r="D1888" s="225">
        <v>10</v>
      </c>
      <c r="E1888" s="226">
        <v>42571</v>
      </c>
      <c r="F1888" s="227">
        <v>16450773</v>
      </c>
      <c r="G1888" s="1" t="s">
        <v>132</v>
      </c>
      <c r="H1888" s="60">
        <v>2214.88</v>
      </c>
      <c r="I1888" s="228">
        <v>465.12</v>
      </c>
      <c r="J1888" s="229"/>
      <c r="K1888" s="229"/>
      <c r="L1888" s="229">
        <f>SUM(ventas_b_mes11[[#This Row],[IMPORTE NETO]:[EXENTO]])</f>
        <v>2680</v>
      </c>
      <c r="M1888" s="55"/>
    </row>
    <row r="1889" spans="2:13" x14ac:dyDescent="0.3">
      <c r="B1889" s="223">
        <v>44835</v>
      </c>
      <c r="C1889" s="248">
        <v>6</v>
      </c>
      <c r="D1889" s="225">
        <v>10</v>
      </c>
      <c r="E1889" s="226">
        <v>42572</v>
      </c>
      <c r="F1889" s="227">
        <v>34454281</v>
      </c>
      <c r="G1889" s="1" t="s">
        <v>151</v>
      </c>
      <c r="H1889" s="60">
        <v>5752.07</v>
      </c>
      <c r="I1889" s="228">
        <v>1207.93</v>
      </c>
      <c r="J1889" s="229"/>
      <c r="K1889" s="229"/>
      <c r="L1889" s="229">
        <f>SUM(ventas_b_mes11[[#This Row],[IMPORTE NETO]:[EXENTO]])</f>
        <v>6960</v>
      </c>
      <c r="M1889" s="55"/>
    </row>
    <row r="1890" spans="2:13" x14ac:dyDescent="0.3">
      <c r="B1890" s="223">
        <v>44835</v>
      </c>
      <c r="C1890" s="248">
        <v>6</v>
      </c>
      <c r="D1890" s="225">
        <v>10</v>
      </c>
      <c r="E1890" s="226">
        <v>42573</v>
      </c>
      <c r="F1890" s="227">
        <v>29945819</v>
      </c>
      <c r="G1890" s="1"/>
      <c r="H1890" s="60">
        <v>6462.81</v>
      </c>
      <c r="I1890" s="228">
        <v>1357.19</v>
      </c>
      <c r="J1890" s="229"/>
      <c r="K1890" s="229"/>
      <c r="L1890" s="229">
        <f>SUM(ventas_b_mes11[[#This Row],[IMPORTE NETO]:[EXENTO]])</f>
        <v>7820</v>
      </c>
      <c r="M1890" s="55"/>
    </row>
    <row r="1891" spans="2:13" x14ac:dyDescent="0.3">
      <c r="B1891" s="223">
        <v>44835</v>
      </c>
      <c r="C1891" s="248">
        <v>6</v>
      </c>
      <c r="D1891" s="225">
        <v>10</v>
      </c>
      <c r="E1891" s="226">
        <v>42574</v>
      </c>
      <c r="F1891" s="227">
        <v>20349477</v>
      </c>
      <c r="G1891" s="1" t="s">
        <v>133</v>
      </c>
      <c r="H1891" s="60">
        <v>5181.82</v>
      </c>
      <c r="I1891" s="228">
        <v>1088.18</v>
      </c>
      <c r="J1891" s="229"/>
      <c r="K1891" s="229"/>
      <c r="L1891" s="229">
        <f>SUM(ventas_b_mes11[[#This Row],[IMPORTE NETO]:[EXENTO]])</f>
        <v>6270</v>
      </c>
      <c r="M1891" s="55"/>
    </row>
    <row r="1892" spans="2:13" x14ac:dyDescent="0.3">
      <c r="B1892" s="223">
        <v>44835</v>
      </c>
      <c r="C1892" s="248">
        <v>6</v>
      </c>
      <c r="D1892" s="225">
        <v>10</v>
      </c>
      <c r="E1892" s="226">
        <v>42575</v>
      </c>
      <c r="F1892" s="227">
        <v>20007416</v>
      </c>
      <c r="G1892" s="1" t="s">
        <v>152</v>
      </c>
      <c r="H1892" s="60">
        <v>13227.27</v>
      </c>
      <c r="I1892" s="228">
        <v>2777.73</v>
      </c>
      <c r="J1892" s="229"/>
      <c r="K1892" s="229"/>
      <c r="L1892" s="229">
        <f>SUM(ventas_b_mes11[[#This Row],[IMPORTE NETO]:[EXENTO]])</f>
        <v>16005</v>
      </c>
      <c r="M1892" s="55"/>
    </row>
    <row r="1893" spans="2:13" x14ac:dyDescent="0.3">
      <c r="B1893" s="223">
        <v>44835</v>
      </c>
      <c r="C1893" s="248">
        <v>6</v>
      </c>
      <c r="D1893" s="225">
        <v>10</v>
      </c>
      <c r="E1893" s="226">
        <v>42576</v>
      </c>
      <c r="F1893" s="227">
        <v>24636456</v>
      </c>
      <c r="G1893" s="1" t="s">
        <v>150</v>
      </c>
      <c r="H1893" s="60">
        <v>6565.29</v>
      </c>
      <c r="I1893" s="228">
        <v>1378.71</v>
      </c>
      <c r="J1893" s="229"/>
      <c r="K1893" s="229"/>
      <c r="L1893" s="229">
        <f>SUM(ventas_b_mes11[[#This Row],[IMPORTE NETO]:[EXENTO]])</f>
        <v>7944</v>
      </c>
      <c r="M1893" s="55"/>
    </row>
    <row r="1894" spans="2:13" x14ac:dyDescent="0.3">
      <c r="B1894" s="223">
        <v>44835</v>
      </c>
      <c r="C1894" s="248">
        <v>6</v>
      </c>
      <c r="D1894" s="225">
        <v>10</v>
      </c>
      <c r="E1894" s="226">
        <v>42577</v>
      </c>
      <c r="F1894" s="227">
        <v>92654748</v>
      </c>
      <c r="G1894" s="1" t="s">
        <v>138</v>
      </c>
      <c r="H1894" s="60">
        <v>55355.37</v>
      </c>
      <c r="I1894" s="228">
        <v>11624.63</v>
      </c>
      <c r="J1894" s="229"/>
      <c r="K1894" s="229"/>
      <c r="L1894" s="229">
        <f>SUM(ventas_b_mes11[[#This Row],[IMPORTE NETO]:[EXENTO]])</f>
        <v>66980</v>
      </c>
      <c r="M1894" s="55"/>
    </row>
    <row r="1895" spans="2:13" x14ac:dyDescent="0.3">
      <c r="B1895" s="223">
        <v>44835</v>
      </c>
      <c r="C1895" s="248">
        <v>6</v>
      </c>
      <c r="D1895" s="225">
        <v>10</v>
      </c>
      <c r="E1895" s="226">
        <v>42578</v>
      </c>
      <c r="F1895" s="227">
        <v>93614580</v>
      </c>
      <c r="G1895" s="1" t="s">
        <v>148</v>
      </c>
      <c r="H1895" s="60">
        <v>9851.24</v>
      </c>
      <c r="I1895" s="228">
        <v>2068.7600000000002</v>
      </c>
      <c r="J1895" s="229"/>
      <c r="K1895" s="229"/>
      <c r="L1895" s="229">
        <f>SUM(ventas_b_mes11[[#This Row],[IMPORTE NETO]:[EXENTO]])</f>
        <v>11920</v>
      </c>
      <c r="M1895" s="55"/>
    </row>
    <row r="1896" spans="2:13" x14ac:dyDescent="0.3">
      <c r="B1896" s="223">
        <v>44835</v>
      </c>
      <c r="C1896" s="248">
        <v>6</v>
      </c>
      <c r="D1896" s="225">
        <v>10</v>
      </c>
      <c r="E1896" s="226">
        <v>42579</v>
      </c>
      <c r="F1896" s="227">
        <v>93614580</v>
      </c>
      <c r="G1896" s="1" t="s">
        <v>148</v>
      </c>
      <c r="H1896" s="60">
        <v>5619.83</v>
      </c>
      <c r="I1896" s="228">
        <v>1180.17</v>
      </c>
      <c r="J1896" s="229"/>
      <c r="K1896" s="229"/>
      <c r="L1896" s="229">
        <f>SUM(ventas_b_mes11[[#This Row],[IMPORTE NETO]:[EXENTO]])</f>
        <v>6800</v>
      </c>
      <c r="M1896" s="55"/>
    </row>
    <row r="1897" spans="2:13" x14ac:dyDescent="0.3">
      <c r="B1897" s="223">
        <v>44835</v>
      </c>
      <c r="C1897" s="248">
        <v>6</v>
      </c>
      <c r="D1897" s="225">
        <v>10</v>
      </c>
      <c r="E1897" s="226">
        <v>42580</v>
      </c>
      <c r="F1897" s="227">
        <v>34454281</v>
      </c>
      <c r="G1897" s="1" t="s">
        <v>151</v>
      </c>
      <c r="H1897" s="60">
        <v>3933.88</v>
      </c>
      <c r="I1897" s="228">
        <v>826.12</v>
      </c>
      <c r="J1897" s="229"/>
      <c r="K1897" s="229"/>
      <c r="L1897" s="229">
        <f>SUM(ventas_b_mes11[[#This Row],[IMPORTE NETO]:[EXENTO]])</f>
        <v>4760</v>
      </c>
      <c r="M1897" s="55"/>
    </row>
    <row r="1898" spans="2:13" x14ac:dyDescent="0.3">
      <c r="B1898" s="223">
        <v>44835</v>
      </c>
      <c r="C1898" s="248">
        <v>6</v>
      </c>
      <c r="D1898" s="225">
        <v>10</v>
      </c>
      <c r="E1898" s="226">
        <v>42581</v>
      </c>
      <c r="F1898" s="227">
        <v>29945819</v>
      </c>
      <c r="G1898" s="1"/>
      <c r="H1898" s="60">
        <v>1289.26</v>
      </c>
      <c r="I1898" s="228">
        <v>270.74</v>
      </c>
      <c r="J1898" s="229"/>
      <c r="K1898" s="229"/>
      <c r="L1898" s="229">
        <f>SUM(ventas_b_mes11[[#This Row],[IMPORTE NETO]:[EXENTO]])</f>
        <v>1560</v>
      </c>
      <c r="M1898" s="55"/>
    </row>
    <row r="1899" spans="2:13" x14ac:dyDescent="0.3">
      <c r="B1899" s="223">
        <v>44835</v>
      </c>
      <c r="C1899" s="248">
        <v>6</v>
      </c>
      <c r="D1899" s="225">
        <v>10</v>
      </c>
      <c r="E1899" s="226">
        <v>42582</v>
      </c>
      <c r="F1899" s="227">
        <v>38625937</v>
      </c>
      <c r="G1899" s="1" t="s">
        <v>144</v>
      </c>
      <c r="H1899" s="60">
        <v>1454.55</v>
      </c>
      <c r="I1899" s="228">
        <v>305.45</v>
      </c>
      <c r="J1899" s="229"/>
      <c r="K1899" s="229"/>
      <c r="L1899" s="229">
        <f>SUM(ventas_b_mes11[[#This Row],[IMPORTE NETO]:[EXENTO]])</f>
        <v>1760</v>
      </c>
      <c r="M1899" s="55"/>
    </row>
    <row r="1900" spans="2:13" x14ac:dyDescent="0.3">
      <c r="B1900" s="223">
        <v>44835</v>
      </c>
      <c r="C1900" s="248">
        <v>6</v>
      </c>
      <c r="D1900" s="225">
        <v>10</v>
      </c>
      <c r="E1900" s="226">
        <v>42583</v>
      </c>
      <c r="F1900" s="227">
        <v>35361741</v>
      </c>
      <c r="G1900" s="1" t="s">
        <v>145</v>
      </c>
      <c r="H1900" s="60">
        <v>11173.55</v>
      </c>
      <c r="I1900" s="228">
        <v>2346.4499999999998</v>
      </c>
      <c r="J1900" s="229"/>
      <c r="K1900" s="229"/>
      <c r="L1900" s="229">
        <f>SUM(ventas_b_mes11[[#This Row],[IMPORTE NETO]:[EXENTO]])</f>
        <v>13520</v>
      </c>
      <c r="M1900" s="55"/>
    </row>
    <row r="1901" spans="2:13" x14ac:dyDescent="0.3">
      <c r="B1901" s="223">
        <v>44835</v>
      </c>
      <c r="C1901" s="248">
        <v>6</v>
      </c>
      <c r="D1901" s="225">
        <v>10</v>
      </c>
      <c r="E1901" s="226">
        <v>42584</v>
      </c>
      <c r="F1901" s="227">
        <v>27169386647</v>
      </c>
      <c r="G1901" s="1"/>
      <c r="H1901" s="60">
        <v>13520.66</v>
      </c>
      <c r="I1901" s="228">
        <v>2839.34</v>
      </c>
      <c r="J1901" s="229"/>
      <c r="K1901" s="229"/>
      <c r="L1901" s="229">
        <f>SUM(ventas_b_mes11[[#This Row],[IMPORTE NETO]:[EXENTO]])</f>
        <v>16360</v>
      </c>
      <c r="M1901" s="55"/>
    </row>
    <row r="1902" spans="2:13" x14ac:dyDescent="0.3">
      <c r="B1902" s="223">
        <v>44837</v>
      </c>
      <c r="C1902" s="224">
        <v>6</v>
      </c>
      <c r="D1902" s="225">
        <v>10</v>
      </c>
      <c r="E1902" s="226">
        <v>42585</v>
      </c>
      <c r="F1902" s="227">
        <v>17618988</v>
      </c>
      <c r="G1902" s="1"/>
      <c r="H1902" s="60">
        <v>4545.45</v>
      </c>
      <c r="I1902" s="228">
        <v>954.55</v>
      </c>
      <c r="J1902" s="229"/>
      <c r="K1902" s="229"/>
      <c r="L1902" s="229">
        <f>SUM(ventas_b_mes11[[#This Row],[IMPORTE NETO]:[EXENTO]])</f>
        <v>5500</v>
      </c>
      <c r="M1902" s="55"/>
    </row>
    <row r="1903" spans="2:13" x14ac:dyDescent="0.3">
      <c r="B1903" s="223">
        <v>44837</v>
      </c>
      <c r="C1903" s="224">
        <v>6</v>
      </c>
      <c r="D1903" s="225">
        <v>10</v>
      </c>
      <c r="E1903" s="226">
        <v>42586</v>
      </c>
      <c r="F1903" s="227">
        <v>216549697</v>
      </c>
      <c r="G1903" s="1"/>
      <c r="H1903" s="60">
        <v>29915.7</v>
      </c>
      <c r="I1903" s="228">
        <v>6282.3</v>
      </c>
      <c r="J1903" s="229"/>
      <c r="K1903" s="229"/>
      <c r="L1903" s="229">
        <f>SUM(ventas_b_mes11[[#This Row],[IMPORTE NETO]:[EXENTO]])</f>
        <v>36198</v>
      </c>
      <c r="M1903" s="55"/>
    </row>
    <row r="1904" spans="2:13" x14ac:dyDescent="0.3">
      <c r="B1904" s="223">
        <v>44837</v>
      </c>
      <c r="C1904" s="224">
        <v>6</v>
      </c>
      <c r="D1904" s="225">
        <v>10</v>
      </c>
      <c r="E1904" s="226">
        <v>42587</v>
      </c>
      <c r="F1904" s="227">
        <v>92344179</v>
      </c>
      <c r="G1904" s="1" t="s">
        <v>173</v>
      </c>
      <c r="H1904" s="60">
        <v>3719.01</v>
      </c>
      <c r="I1904" s="228">
        <v>780.99</v>
      </c>
      <c r="J1904" s="229"/>
      <c r="K1904" s="229"/>
      <c r="L1904" s="229">
        <f>SUM(ventas_b_mes11[[#This Row],[IMPORTE NETO]:[EXENTO]])</f>
        <v>4500</v>
      </c>
      <c r="M1904" s="55"/>
    </row>
    <row r="1905" spans="2:13" x14ac:dyDescent="0.3">
      <c r="B1905" s="223">
        <v>44837</v>
      </c>
      <c r="C1905" s="224">
        <v>6</v>
      </c>
      <c r="D1905" s="225">
        <v>10</v>
      </c>
      <c r="E1905" s="226">
        <v>42588</v>
      </c>
      <c r="F1905" s="227">
        <v>23207936324</v>
      </c>
      <c r="G1905" s="1" t="s">
        <v>192</v>
      </c>
      <c r="H1905" s="60">
        <v>58082.64</v>
      </c>
      <c r="I1905" s="228">
        <v>12197.36</v>
      </c>
      <c r="J1905" s="229"/>
      <c r="K1905" s="229"/>
      <c r="L1905" s="229">
        <f>SUM(ventas_b_mes11[[#This Row],[IMPORTE NETO]:[EXENTO]])</f>
        <v>70280</v>
      </c>
      <c r="M1905" s="55"/>
    </row>
    <row r="1906" spans="2:13" x14ac:dyDescent="0.3">
      <c r="B1906" s="223">
        <v>44837</v>
      </c>
      <c r="C1906" s="224">
        <v>6</v>
      </c>
      <c r="D1906" s="225">
        <v>10</v>
      </c>
      <c r="E1906" s="226">
        <v>42589</v>
      </c>
      <c r="F1906" s="227">
        <v>123456</v>
      </c>
      <c r="G1906" s="1"/>
      <c r="H1906" s="60">
        <v>5743.8</v>
      </c>
      <c r="I1906" s="228">
        <v>1206.2</v>
      </c>
      <c r="J1906" s="229"/>
      <c r="K1906" s="229"/>
      <c r="L1906" s="229">
        <f>SUM(ventas_b_mes11[[#This Row],[IMPORTE NETO]:[EXENTO]])</f>
        <v>6950</v>
      </c>
      <c r="M1906" s="55"/>
    </row>
    <row r="1907" spans="2:13" x14ac:dyDescent="0.3">
      <c r="B1907" s="223">
        <v>44837</v>
      </c>
      <c r="C1907" s="248">
        <v>6</v>
      </c>
      <c r="D1907" s="225">
        <v>10</v>
      </c>
      <c r="E1907" s="226">
        <v>42590</v>
      </c>
      <c r="F1907" s="227">
        <v>12975912</v>
      </c>
      <c r="G1907" s="1" t="s">
        <v>153</v>
      </c>
      <c r="H1907" s="60">
        <v>1586.78</v>
      </c>
      <c r="I1907" s="228">
        <v>333.22</v>
      </c>
      <c r="J1907" s="229"/>
      <c r="K1907" s="229"/>
      <c r="L1907" s="229">
        <f>SUM(ventas_b_mes11[[#This Row],[IMPORTE NETO]:[EXENTO]])</f>
        <v>1920</v>
      </c>
      <c r="M1907" s="55"/>
    </row>
    <row r="1908" spans="2:13" x14ac:dyDescent="0.3">
      <c r="B1908" s="223">
        <v>44837</v>
      </c>
      <c r="C1908" s="224">
        <v>6</v>
      </c>
      <c r="D1908" s="225">
        <v>10</v>
      </c>
      <c r="E1908" s="226">
        <v>42591</v>
      </c>
      <c r="F1908" s="227">
        <v>18211637</v>
      </c>
      <c r="G1908" s="1" t="s">
        <v>194</v>
      </c>
      <c r="H1908" s="60">
        <v>950.41</v>
      </c>
      <c r="I1908" s="228">
        <v>199.59</v>
      </c>
      <c r="J1908" s="229"/>
      <c r="K1908" s="229"/>
      <c r="L1908" s="229">
        <f>SUM(ventas_b_mes11[[#This Row],[IMPORTE NETO]:[EXENTO]])</f>
        <v>1150</v>
      </c>
      <c r="M1908" s="55"/>
    </row>
    <row r="1909" spans="2:13" x14ac:dyDescent="0.3">
      <c r="B1909" s="223">
        <v>44837</v>
      </c>
      <c r="C1909" s="224">
        <v>6</v>
      </c>
      <c r="D1909" s="225">
        <v>10</v>
      </c>
      <c r="E1909" s="226">
        <v>42592</v>
      </c>
      <c r="F1909" s="227">
        <v>33373122</v>
      </c>
      <c r="G1909" s="1" t="s">
        <v>187</v>
      </c>
      <c r="H1909" s="60">
        <v>2322.31</v>
      </c>
      <c r="I1909" s="228">
        <v>487.69</v>
      </c>
      <c r="J1909" s="229"/>
      <c r="K1909" s="229"/>
      <c r="L1909" s="229">
        <f>SUM(ventas_b_mes11[[#This Row],[IMPORTE NETO]:[EXENTO]])</f>
        <v>2810</v>
      </c>
      <c r="M1909" s="55"/>
    </row>
    <row r="1910" spans="2:13" x14ac:dyDescent="0.3">
      <c r="B1910" s="223">
        <v>44837</v>
      </c>
      <c r="C1910" s="224">
        <v>6</v>
      </c>
      <c r="D1910" s="225">
        <v>10</v>
      </c>
      <c r="E1910" s="226">
        <v>42593</v>
      </c>
      <c r="F1910" s="227">
        <v>95938560</v>
      </c>
      <c r="G1910" s="1" t="s">
        <v>171</v>
      </c>
      <c r="H1910" s="60">
        <v>4545.45</v>
      </c>
      <c r="I1910" s="228">
        <v>954.55</v>
      </c>
      <c r="J1910" s="229"/>
      <c r="K1910" s="229"/>
      <c r="L1910" s="229">
        <f>SUM(ventas_b_mes11[[#This Row],[IMPORTE NETO]:[EXENTO]])</f>
        <v>5500</v>
      </c>
      <c r="M1910" s="55"/>
    </row>
    <row r="1911" spans="2:13" x14ac:dyDescent="0.3">
      <c r="B1911" s="223">
        <v>44837</v>
      </c>
      <c r="C1911" s="224">
        <v>6</v>
      </c>
      <c r="D1911" s="225">
        <v>10</v>
      </c>
      <c r="E1911" s="226">
        <v>42594</v>
      </c>
      <c r="F1911" s="227">
        <v>94054778</v>
      </c>
      <c r="G1911" s="1" t="s">
        <v>170</v>
      </c>
      <c r="H1911" s="60">
        <v>3396.69</v>
      </c>
      <c r="I1911" s="228">
        <v>713.31</v>
      </c>
      <c r="J1911" s="229"/>
      <c r="K1911" s="229"/>
      <c r="L1911" s="229">
        <f>SUM(ventas_b_mes11[[#This Row],[IMPORTE NETO]:[EXENTO]])</f>
        <v>4110</v>
      </c>
      <c r="M1911" s="55"/>
    </row>
    <row r="1912" spans="2:13" x14ac:dyDescent="0.3">
      <c r="B1912" s="223">
        <v>44838</v>
      </c>
      <c r="C1912" s="224">
        <v>6</v>
      </c>
      <c r="D1912" s="225">
        <v>10</v>
      </c>
      <c r="E1912" s="226">
        <v>42595</v>
      </c>
      <c r="F1912" s="227">
        <v>26200300</v>
      </c>
      <c r="G1912" s="1" t="s">
        <v>212</v>
      </c>
      <c r="H1912" s="60">
        <v>7260.33</v>
      </c>
      <c r="I1912" s="228">
        <v>1524.67</v>
      </c>
      <c r="J1912" s="229"/>
      <c r="K1912" s="229"/>
      <c r="L1912" s="229">
        <f>SUM(ventas_b_mes11[[#This Row],[IMPORTE NETO]:[EXENTO]])</f>
        <v>8785</v>
      </c>
      <c r="M1912" s="55"/>
    </row>
    <row r="1913" spans="2:13" x14ac:dyDescent="0.3">
      <c r="B1913" s="223">
        <v>44838</v>
      </c>
      <c r="C1913" s="224">
        <v>6</v>
      </c>
      <c r="D1913" s="225">
        <v>10</v>
      </c>
      <c r="E1913" s="226">
        <v>42596</v>
      </c>
      <c r="F1913" s="227">
        <v>13776090</v>
      </c>
      <c r="G1913" s="1" t="s">
        <v>223</v>
      </c>
      <c r="H1913" s="60">
        <v>9603.31</v>
      </c>
      <c r="I1913" s="228">
        <v>2016.69</v>
      </c>
      <c r="J1913" s="229"/>
      <c r="K1913" s="229"/>
      <c r="L1913" s="229">
        <f>SUM(ventas_b_mes11[[#This Row],[IMPORTE NETO]:[EXENTO]])</f>
        <v>11620</v>
      </c>
      <c r="M1913" s="55"/>
    </row>
    <row r="1914" spans="2:13" x14ac:dyDescent="0.3">
      <c r="B1914" s="223">
        <v>44838</v>
      </c>
      <c r="C1914" s="224">
        <v>6</v>
      </c>
      <c r="D1914" s="225">
        <v>10</v>
      </c>
      <c r="E1914" s="226">
        <v>42597</v>
      </c>
      <c r="F1914" s="227">
        <v>31905023</v>
      </c>
      <c r="G1914" s="1" t="s">
        <v>260</v>
      </c>
      <c r="H1914" s="60">
        <v>22889.26</v>
      </c>
      <c r="I1914" s="228">
        <v>4806.74</v>
      </c>
      <c r="J1914" s="229"/>
      <c r="K1914" s="229"/>
      <c r="L1914" s="229">
        <f>SUM(ventas_b_mes11[[#This Row],[IMPORTE NETO]:[EXENTO]])</f>
        <v>27696</v>
      </c>
      <c r="M1914" s="55"/>
    </row>
    <row r="1915" spans="2:13" x14ac:dyDescent="0.3">
      <c r="B1915" s="223">
        <v>44838</v>
      </c>
      <c r="C1915" s="224">
        <v>6</v>
      </c>
      <c r="D1915" s="225">
        <v>10</v>
      </c>
      <c r="E1915" s="226">
        <v>42598</v>
      </c>
      <c r="F1915" s="227">
        <v>27289788722</v>
      </c>
      <c r="G1915" s="1" t="s">
        <v>206</v>
      </c>
      <c r="H1915" s="60">
        <v>51462.93</v>
      </c>
      <c r="I1915" s="228">
        <v>10807.22</v>
      </c>
      <c r="J1915" s="229"/>
      <c r="K1915" s="229"/>
      <c r="L1915" s="229">
        <f>SUM(ventas_b_mes11[[#This Row],[IMPORTE NETO]:[EXENTO]])</f>
        <v>62270.15</v>
      </c>
      <c r="M1915" s="55"/>
    </row>
    <row r="1916" spans="2:13" x14ac:dyDescent="0.3">
      <c r="B1916" s="223">
        <v>44838</v>
      </c>
      <c r="C1916" s="224">
        <v>6</v>
      </c>
      <c r="D1916" s="225">
        <v>10</v>
      </c>
      <c r="E1916" s="226">
        <v>42599</v>
      </c>
      <c r="F1916" s="227">
        <v>27289788722</v>
      </c>
      <c r="G1916" s="1" t="s">
        <v>206</v>
      </c>
      <c r="H1916" s="60">
        <v>31258.22</v>
      </c>
      <c r="I1916" s="228">
        <v>6564.23</v>
      </c>
      <c r="J1916" s="229"/>
      <c r="K1916" s="229"/>
      <c r="L1916" s="229">
        <f>SUM(ventas_b_mes11[[#This Row],[IMPORTE NETO]:[EXENTO]])</f>
        <v>37822.449999999997</v>
      </c>
      <c r="M1916" s="55"/>
    </row>
    <row r="1917" spans="2:13" x14ac:dyDescent="0.3">
      <c r="B1917" s="223">
        <v>44838</v>
      </c>
      <c r="C1917" s="224">
        <v>6</v>
      </c>
      <c r="D1917" s="225">
        <v>10</v>
      </c>
      <c r="E1917" s="226">
        <v>42600</v>
      </c>
      <c r="F1917" s="227">
        <v>27289788722</v>
      </c>
      <c r="G1917" s="1" t="s">
        <v>206</v>
      </c>
      <c r="H1917" s="60">
        <v>29515.47</v>
      </c>
      <c r="I1917" s="228">
        <v>6198.25</v>
      </c>
      <c r="J1917" s="229"/>
      <c r="K1917" s="229"/>
      <c r="L1917" s="229">
        <f>SUM(ventas_b_mes11[[#This Row],[IMPORTE NETO]:[EXENTO]])</f>
        <v>35713.72</v>
      </c>
      <c r="M1917" s="55"/>
    </row>
    <row r="1918" spans="2:13" x14ac:dyDescent="0.3">
      <c r="B1918" s="223">
        <v>44838</v>
      </c>
      <c r="C1918" s="224">
        <v>6</v>
      </c>
      <c r="D1918" s="225">
        <v>10</v>
      </c>
      <c r="E1918" s="226">
        <v>42601</v>
      </c>
      <c r="F1918" s="227">
        <v>27302842790</v>
      </c>
      <c r="G1918" s="1" t="s">
        <v>224</v>
      </c>
      <c r="H1918" s="60">
        <v>26391.94</v>
      </c>
      <c r="I1918" s="228">
        <v>5542.31</v>
      </c>
      <c r="J1918" s="229"/>
      <c r="K1918" s="229"/>
      <c r="L1918" s="229">
        <f>SUM(ventas_b_mes11[[#This Row],[IMPORTE NETO]:[EXENTO]])</f>
        <v>31934.25</v>
      </c>
      <c r="M1918" s="55"/>
    </row>
    <row r="1919" spans="2:13" x14ac:dyDescent="0.3">
      <c r="B1919" s="223">
        <v>44838</v>
      </c>
      <c r="C1919" s="224">
        <v>6</v>
      </c>
      <c r="D1919" s="225">
        <v>10</v>
      </c>
      <c r="E1919" s="226">
        <v>42602</v>
      </c>
      <c r="F1919" s="227">
        <v>27302842790</v>
      </c>
      <c r="G1919" s="1" t="s">
        <v>224</v>
      </c>
      <c r="H1919" s="60">
        <v>17805.37</v>
      </c>
      <c r="I1919" s="228">
        <v>3739.13</v>
      </c>
      <c r="J1919" s="229"/>
      <c r="K1919" s="229"/>
      <c r="L1919" s="229">
        <f>SUM(ventas_b_mes11[[#This Row],[IMPORTE NETO]:[EXENTO]])</f>
        <v>21544.5</v>
      </c>
      <c r="M1919" s="55"/>
    </row>
    <row r="1920" spans="2:13" x14ac:dyDescent="0.3">
      <c r="B1920" s="223">
        <v>44838</v>
      </c>
      <c r="C1920" s="224">
        <v>6</v>
      </c>
      <c r="D1920" s="225">
        <v>10</v>
      </c>
      <c r="E1920" s="226">
        <v>42603</v>
      </c>
      <c r="F1920" s="227">
        <v>27302842790</v>
      </c>
      <c r="G1920" s="1" t="s">
        <v>224</v>
      </c>
      <c r="H1920" s="60">
        <v>30475.41</v>
      </c>
      <c r="I1920" s="228">
        <v>6399.84</v>
      </c>
      <c r="J1920" s="229"/>
      <c r="K1920" s="229"/>
      <c r="L1920" s="229">
        <f>SUM(ventas_b_mes11[[#This Row],[IMPORTE NETO]:[EXENTO]])</f>
        <v>36875.25</v>
      </c>
      <c r="M1920" s="55"/>
    </row>
    <row r="1921" spans="2:13" x14ac:dyDescent="0.3">
      <c r="B1921" s="223">
        <v>44838</v>
      </c>
      <c r="C1921" s="224">
        <v>6</v>
      </c>
      <c r="D1921" s="225">
        <v>10</v>
      </c>
      <c r="E1921" s="226">
        <v>42604</v>
      </c>
      <c r="F1921" s="227">
        <v>27302842790</v>
      </c>
      <c r="G1921" s="1" t="s">
        <v>224</v>
      </c>
      <c r="H1921" s="60">
        <v>14934.92</v>
      </c>
      <c r="I1921" s="228">
        <v>3136.33</v>
      </c>
      <c r="J1921" s="229"/>
      <c r="K1921" s="229"/>
      <c r="L1921" s="229">
        <f>SUM(ventas_b_mes11[[#This Row],[IMPORTE NETO]:[EXENTO]])</f>
        <v>18071.25</v>
      </c>
      <c r="M1921" s="55"/>
    </row>
    <row r="1922" spans="2:13" x14ac:dyDescent="0.3">
      <c r="B1922" s="223">
        <v>44838</v>
      </c>
      <c r="C1922" s="224">
        <v>6</v>
      </c>
      <c r="D1922" s="225">
        <v>10</v>
      </c>
      <c r="E1922" s="226">
        <v>42605</v>
      </c>
      <c r="F1922" s="227">
        <v>23560453</v>
      </c>
      <c r="G1922" s="1" t="s">
        <v>259</v>
      </c>
      <c r="H1922" s="60">
        <v>7768.6</v>
      </c>
      <c r="I1922" s="228">
        <v>1631.4</v>
      </c>
      <c r="J1922" s="229"/>
      <c r="K1922" s="229"/>
      <c r="L1922" s="229">
        <f>SUM(ventas_b_mes11[[#This Row],[IMPORTE NETO]:[EXENTO]])</f>
        <v>9400</v>
      </c>
      <c r="M1922" s="55"/>
    </row>
    <row r="1923" spans="2:13" x14ac:dyDescent="0.3">
      <c r="B1923" s="223">
        <v>44838</v>
      </c>
      <c r="C1923" s="224">
        <v>6</v>
      </c>
      <c r="D1923" s="225">
        <v>10</v>
      </c>
      <c r="E1923" s="226">
        <v>42606</v>
      </c>
      <c r="F1923" s="227">
        <v>93456621</v>
      </c>
      <c r="G1923" s="1" t="s">
        <v>250</v>
      </c>
      <c r="H1923" s="60">
        <v>9880.17</v>
      </c>
      <c r="I1923" s="228">
        <v>2074.83</v>
      </c>
      <c r="J1923" s="229"/>
      <c r="K1923" s="229"/>
      <c r="L1923" s="229">
        <f>SUM(ventas_b_mes11[[#This Row],[IMPORTE NETO]:[EXENTO]])</f>
        <v>11955</v>
      </c>
      <c r="M1923" s="55"/>
    </row>
    <row r="1924" spans="2:13" x14ac:dyDescent="0.3">
      <c r="B1924" s="223">
        <v>44838</v>
      </c>
      <c r="C1924" s="224">
        <v>6</v>
      </c>
      <c r="D1924" s="225">
        <v>10</v>
      </c>
      <c r="E1924" s="226">
        <v>42607</v>
      </c>
      <c r="F1924" s="227">
        <v>2082354388</v>
      </c>
      <c r="G1924" s="1"/>
      <c r="H1924" s="60">
        <v>1363.64</v>
      </c>
      <c r="I1924" s="228">
        <v>286.36</v>
      </c>
      <c r="J1924" s="229"/>
      <c r="K1924" s="229"/>
      <c r="L1924" s="229">
        <f>SUM(ventas_b_mes11[[#This Row],[IMPORTE NETO]:[EXENTO]])</f>
        <v>1650</v>
      </c>
      <c r="M1924" s="55"/>
    </row>
    <row r="1925" spans="2:13" x14ac:dyDescent="0.3">
      <c r="B1925" s="223">
        <v>44838</v>
      </c>
      <c r="C1925" s="224">
        <v>6</v>
      </c>
      <c r="D1925" s="225">
        <v>10</v>
      </c>
      <c r="E1925" s="226">
        <v>42608</v>
      </c>
      <c r="F1925" s="227">
        <v>25912917</v>
      </c>
      <c r="G1925" s="1" t="s">
        <v>265</v>
      </c>
      <c r="H1925" s="60">
        <v>4132.2299999999996</v>
      </c>
      <c r="I1925" s="228">
        <v>867.77</v>
      </c>
      <c r="J1925" s="229"/>
      <c r="K1925" s="229"/>
      <c r="L1925" s="229">
        <f>SUM(ventas_b_mes11[[#This Row],[IMPORTE NETO]:[EXENTO]])</f>
        <v>5000</v>
      </c>
      <c r="M1925" s="55"/>
    </row>
    <row r="1926" spans="2:13" x14ac:dyDescent="0.3">
      <c r="B1926" s="223">
        <v>44838</v>
      </c>
      <c r="C1926" s="224">
        <v>6</v>
      </c>
      <c r="D1926" s="225">
        <v>10</v>
      </c>
      <c r="E1926" s="226">
        <v>42609</v>
      </c>
      <c r="F1926" s="227">
        <v>16950810</v>
      </c>
      <c r="G1926" s="1" t="s">
        <v>248</v>
      </c>
      <c r="H1926" s="60">
        <v>280.99</v>
      </c>
      <c r="I1926" s="228">
        <v>59.01</v>
      </c>
      <c r="J1926" s="229"/>
      <c r="K1926" s="229"/>
      <c r="L1926" s="229">
        <f>SUM(ventas_b_mes11[[#This Row],[IMPORTE NETO]:[EXENTO]])</f>
        <v>340</v>
      </c>
      <c r="M1926" s="55"/>
    </row>
    <row r="1927" spans="2:13" x14ac:dyDescent="0.3">
      <c r="B1927" s="223">
        <v>44838</v>
      </c>
      <c r="C1927" s="224">
        <v>6</v>
      </c>
      <c r="D1927" s="225">
        <v>10</v>
      </c>
      <c r="E1927" s="226">
        <v>42610</v>
      </c>
      <c r="F1927" s="227">
        <v>27602253</v>
      </c>
      <c r="G1927" s="1" t="s">
        <v>207</v>
      </c>
      <c r="H1927" s="60">
        <v>11629.75</v>
      </c>
      <c r="I1927" s="228">
        <v>2442.25</v>
      </c>
      <c r="J1927" s="229"/>
      <c r="K1927" s="229"/>
      <c r="L1927" s="229">
        <f>SUM(ventas_b_mes11[[#This Row],[IMPORTE NETO]:[EXENTO]])</f>
        <v>14072</v>
      </c>
      <c r="M1927" s="55"/>
    </row>
    <row r="1928" spans="2:13" x14ac:dyDescent="0.3">
      <c r="B1928" s="223">
        <v>44838</v>
      </c>
      <c r="C1928" s="224">
        <v>6</v>
      </c>
      <c r="D1928" s="225">
        <v>10</v>
      </c>
      <c r="E1928" s="226">
        <v>42611</v>
      </c>
      <c r="F1928" s="227">
        <v>24881046</v>
      </c>
      <c r="G1928" s="1" t="s">
        <v>203</v>
      </c>
      <c r="H1928" s="60">
        <v>4958.68</v>
      </c>
      <c r="I1928" s="228">
        <v>1041.32</v>
      </c>
      <c r="J1928" s="229"/>
      <c r="K1928" s="229"/>
      <c r="L1928" s="229">
        <f>SUM(ventas_b_mes11[[#This Row],[IMPORTE NETO]:[EXENTO]])</f>
        <v>6000</v>
      </c>
      <c r="M1928" s="55"/>
    </row>
    <row r="1929" spans="2:13" x14ac:dyDescent="0.3">
      <c r="B1929" s="223">
        <v>44838</v>
      </c>
      <c r="C1929" s="224">
        <v>6</v>
      </c>
      <c r="D1929" s="225">
        <v>10</v>
      </c>
      <c r="E1929" s="226">
        <v>42612</v>
      </c>
      <c r="F1929" s="227">
        <v>18597462</v>
      </c>
      <c r="G1929" s="1" t="s">
        <v>243</v>
      </c>
      <c r="H1929" s="60">
        <v>6239.67</v>
      </c>
      <c r="I1929" s="228">
        <v>1310.33</v>
      </c>
      <c r="J1929" s="229"/>
      <c r="K1929" s="229"/>
      <c r="L1929" s="229">
        <f>SUM(ventas_b_mes11[[#This Row],[IMPORTE NETO]:[EXENTO]])</f>
        <v>7550</v>
      </c>
      <c r="M1929" s="55"/>
    </row>
    <row r="1930" spans="2:13" x14ac:dyDescent="0.3">
      <c r="B1930" s="223">
        <v>44838</v>
      </c>
      <c r="C1930" s="224">
        <v>6</v>
      </c>
      <c r="D1930" s="225">
        <v>10</v>
      </c>
      <c r="E1930" s="226">
        <v>42613</v>
      </c>
      <c r="F1930" s="227">
        <v>92466781</v>
      </c>
      <c r="G1930" s="1" t="s">
        <v>221</v>
      </c>
      <c r="H1930" s="60">
        <v>11008.26</v>
      </c>
      <c r="I1930" s="228">
        <v>2311.7399999999998</v>
      </c>
      <c r="J1930" s="229"/>
      <c r="K1930" s="229"/>
      <c r="L1930" s="229">
        <f>SUM(ventas_b_mes11[[#This Row],[IMPORTE NETO]:[EXENTO]])</f>
        <v>13320</v>
      </c>
      <c r="M1930" s="55"/>
    </row>
    <row r="1931" spans="2:13" x14ac:dyDescent="0.3">
      <c r="B1931" s="223">
        <v>44838</v>
      </c>
      <c r="C1931" s="224">
        <v>6</v>
      </c>
      <c r="D1931" s="225">
        <v>10</v>
      </c>
      <c r="E1931" s="226">
        <v>42614</v>
      </c>
      <c r="F1931" s="227">
        <v>27230340213</v>
      </c>
      <c r="G1931" s="1" t="s">
        <v>220</v>
      </c>
      <c r="H1931" s="60">
        <v>65754.710000000006</v>
      </c>
      <c r="I1931" s="228">
        <v>13808.49</v>
      </c>
      <c r="J1931" s="229"/>
      <c r="K1931" s="229"/>
      <c r="L1931" s="229">
        <f>SUM(ventas_b_mes11[[#This Row],[IMPORTE NETO]:[EXENTO]])</f>
        <v>79563.200000000012</v>
      </c>
      <c r="M1931" s="55"/>
    </row>
    <row r="1932" spans="2:13" x14ac:dyDescent="0.3">
      <c r="B1932" s="223">
        <v>44838</v>
      </c>
      <c r="C1932" s="224">
        <v>6</v>
      </c>
      <c r="D1932" s="225">
        <v>10</v>
      </c>
      <c r="E1932" s="226">
        <v>42615</v>
      </c>
      <c r="F1932" s="227">
        <v>27271107434</v>
      </c>
      <c r="G1932" s="1" t="s">
        <v>232</v>
      </c>
      <c r="H1932" s="60">
        <v>30008.59</v>
      </c>
      <c r="I1932" s="228">
        <v>6301.8</v>
      </c>
      <c r="J1932" s="229"/>
      <c r="K1932" s="229"/>
      <c r="L1932" s="229">
        <f>SUM(ventas_b_mes11[[#This Row],[IMPORTE NETO]:[EXENTO]])</f>
        <v>36310.39</v>
      </c>
      <c r="M1932" s="55"/>
    </row>
    <row r="1933" spans="2:13" x14ac:dyDescent="0.3">
      <c r="B1933" s="223">
        <v>44838</v>
      </c>
      <c r="C1933" s="224">
        <v>6</v>
      </c>
      <c r="D1933" s="225">
        <v>10</v>
      </c>
      <c r="E1933" s="226">
        <v>42616</v>
      </c>
      <c r="F1933" s="227">
        <v>27200979872</v>
      </c>
      <c r="G1933" s="1" t="s">
        <v>235</v>
      </c>
      <c r="H1933" s="60">
        <v>41217.269999999997</v>
      </c>
      <c r="I1933" s="228">
        <v>8655.6299999999992</v>
      </c>
      <c r="J1933" s="229"/>
      <c r="K1933" s="229"/>
      <c r="L1933" s="229">
        <f>SUM(ventas_b_mes11[[#This Row],[IMPORTE NETO]:[EXENTO]])</f>
        <v>49872.899999999994</v>
      </c>
      <c r="M1933" s="55"/>
    </row>
    <row r="1934" spans="2:13" x14ac:dyDescent="0.3">
      <c r="B1934" s="223">
        <v>44838</v>
      </c>
      <c r="C1934" s="224">
        <v>6</v>
      </c>
      <c r="D1934" s="225">
        <v>10</v>
      </c>
      <c r="E1934" s="226">
        <v>42617</v>
      </c>
      <c r="F1934" s="227">
        <v>32736876</v>
      </c>
      <c r="G1934" s="1" t="s">
        <v>213</v>
      </c>
      <c r="H1934" s="60">
        <v>4380.17</v>
      </c>
      <c r="I1934" s="228">
        <v>919.84</v>
      </c>
      <c r="J1934" s="229"/>
      <c r="K1934" s="229"/>
      <c r="L1934" s="229">
        <f>SUM(ventas_b_mes11[[#This Row],[IMPORTE NETO]:[EXENTO]])</f>
        <v>5300.01</v>
      </c>
      <c r="M1934" s="55"/>
    </row>
    <row r="1935" spans="2:13" x14ac:dyDescent="0.3">
      <c r="B1935" s="223">
        <v>44838</v>
      </c>
      <c r="C1935" s="224">
        <v>6</v>
      </c>
      <c r="D1935" s="225">
        <v>10</v>
      </c>
      <c r="E1935" s="226">
        <v>42618</v>
      </c>
      <c r="F1935" s="227">
        <v>95993633</v>
      </c>
      <c r="G1935" s="1" t="s">
        <v>242</v>
      </c>
      <c r="H1935" s="60">
        <v>8747.93</v>
      </c>
      <c r="I1935" s="228">
        <v>1837.07</v>
      </c>
      <c r="J1935" s="229"/>
      <c r="K1935" s="229"/>
      <c r="L1935" s="229">
        <f>SUM(ventas_b_mes11[[#This Row],[IMPORTE NETO]:[EXENTO]])</f>
        <v>10585</v>
      </c>
      <c r="M1935" s="55"/>
    </row>
    <row r="1936" spans="2:13" x14ac:dyDescent="0.3">
      <c r="B1936" s="223">
        <v>44838</v>
      </c>
      <c r="C1936" s="224">
        <v>6</v>
      </c>
      <c r="D1936" s="225">
        <v>10</v>
      </c>
      <c r="E1936" s="226">
        <v>42619</v>
      </c>
      <c r="F1936" s="227">
        <v>27302842790</v>
      </c>
      <c r="G1936" s="1" t="s">
        <v>224</v>
      </c>
      <c r="H1936" s="60">
        <v>3034.71</v>
      </c>
      <c r="I1936" s="228">
        <v>637.29</v>
      </c>
      <c r="J1936" s="229"/>
      <c r="K1936" s="229"/>
      <c r="L1936" s="229">
        <f>SUM(ventas_b_mes11[[#This Row],[IMPORTE NETO]:[EXENTO]])</f>
        <v>3672</v>
      </c>
      <c r="M1936" s="55"/>
    </row>
    <row r="1937" spans="2:13" x14ac:dyDescent="0.3">
      <c r="B1937" s="223">
        <v>44838</v>
      </c>
      <c r="C1937" s="224">
        <v>6</v>
      </c>
      <c r="D1937" s="225">
        <v>10</v>
      </c>
      <c r="E1937" s="226">
        <v>42620</v>
      </c>
      <c r="F1937" s="227">
        <v>27289788722</v>
      </c>
      <c r="G1937" s="1" t="s">
        <v>206</v>
      </c>
      <c r="H1937" s="60">
        <v>1719.67</v>
      </c>
      <c r="I1937" s="228">
        <v>361.13</v>
      </c>
      <c r="J1937" s="229"/>
      <c r="K1937" s="229"/>
      <c r="L1937" s="229">
        <f>SUM(ventas_b_mes11[[#This Row],[IMPORTE NETO]:[EXENTO]])</f>
        <v>2080.8000000000002</v>
      </c>
      <c r="M1937" s="55"/>
    </row>
    <row r="1938" spans="2:13" x14ac:dyDescent="0.3">
      <c r="B1938" s="223">
        <v>44838</v>
      </c>
      <c r="C1938" s="224">
        <v>6</v>
      </c>
      <c r="D1938" s="225">
        <v>10</v>
      </c>
      <c r="E1938" s="226">
        <v>42621</v>
      </c>
      <c r="F1938" s="227">
        <v>20206152</v>
      </c>
      <c r="G1938" s="1" t="s">
        <v>230</v>
      </c>
      <c r="H1938" s="60">
        <v>3553.72</v>
      </c>
      <c r="I1938" s="228">
        <v>746.28</v>
      </c>
      <c r="J1938" s="229"/>
      <c r="K1938" s="229"/>
      <c r="L1938" s="229">
        <f>SUM(ventas_b_mes11[[#This Row],[IMPORTE NETO]:[EXENTO]])</f>
        <v>4300</v>
      </c>
      <c r="M1938" s="55"/>
    </row>
    <row r="1939" spans="2:13" x14ac:dyDescent="0.3">
      <c r="B1939" s="223">
        <v>44838</v>
      </c>
      <c r="C1939" s="224">
        <v>6</v>
      </c>
      <c r="D1939" s="225">
        <v>10</v>
      </c>
      <c r="E1939" s="226">
        <v>42622</v>
      </c>
      <c r="F1939" s="227">
        <v>18597462</v>
      </c>
      <c r="G1939" s="1" t="s">
        <v>243</v>
      </c>
      <c r="H1939" s="60">
        <v>1157.03</v>
      </c>
      <c r="I1939" s="228">
        <v>242.98</v>
      </c>
      <c r="J1939" s="229"/>
      <c r="K1939" s="229"/>
      <c r="L1939" s="229">
        <f>SUM(ventas_b_mes11[[#This Row],[IMPORTE NETO]:[EXENTO]])</f>
        <v>1400.01</v>
      </c>
      <c r="M1939" s="55"/>
    </row>
    <row r="1940" spans="2:13" x14ac:dyDescent="0.3">
      <c r="B1940" s="223">
        <v>44838</v>
      </c>
      <c r="C1940" s="224">
        <v>6</v>
      </c>
      <c r="D1940" s="225">
        <v>10</v>
      </c>
      <c r="E1940" s="226">
        <v>42623</v>
      </c>
      <c r="F1940" s="227">
        <v>10030288</v>
      </c>
      <c r="G1940" s="1" t="s">
        <v>254</v>
      </c>
      <c r="H1940" s="60">
        <v>3471.07</v>
      </c>
      <c r="I1940" s="228">
        <v>728.93</v>
      </c>
      <c r="J1940" s="229"/>
      <c r="K1940" s="229"/>
      <c r="L1940" s="229">
        <f>SUM(ventas_b_mes11[[#This Row],[IMPORTE NETO]:[EXENTO]])</f>
        <v>4200</v>
      </c>
      <c r="M1940" s="55"/>
    </row>
    <row r="1941" spans="2:13" x14ac:dyDescent="0.3">
      <c r="B1941" s="223">
        <v>44838</v>
      </c>
      <c r="C1941" s="224">
        <v>6</v>
      </c>
      <c r="D1941" s="225">
        <v>10</v>
      </c>
      <c r="E1941" s="226">
        <v>42624</v>
      </c>
      <c r="F1941" s="227">
        <v>21819847</v>
      </c>
      <c r="G1941" s="1" t="s">
        <v>263</v>
      </c>
      <c r="H1941" s="60">
        <v>11132.22</v>
      </c>
      <c r="I1941" s="228">
        <v>2337.77</v>
      </c>
      <c r="J1941" s="229"/>
      <c r="K1941" s="229"/>
      <c r="L1941" s="229">
        <f>SUM(ventas_b_mes11[[#This Row],[IMPORTE NETO]:[EXENTO]])</f>
        <v>13469.99</v>
      </c>
      <c r="M1941" s="55"/>
    </row>
    <row r="1942" spans="2:13" x14ac:dyDescent="0.3">
      <c r="B1942" s="223">
        <v>44839</v>
      </c>
      <c r="C1942" s="224">
        <v>6</v>
      </c>
      <c r="D1942" s="225">
        <v>10</v>
      </c>
      <c r="E1942" s="226">
        <v>42625</v>
      </c>
      <c r="F1942" s="227">
        <v>95983694</v>
      </c>
      <c r="G1942" s="1" t="s">
        <v>270</v>
      </c>
      <c r="H1942" s="60">
        <v>3099.17</v>
      </c>
      <c r="I1942" s="228">
        <v>650.82000000000005</v>
      </c>
      <c r="J1942" s="229"/>
      <c r="K1942" s="229"/>
      <c r="L1942" s="229">
        <f>SUM(ventas_b_mes11[[#This Row],[IMPORTE NETO]:[EXENTO]])</f>
        <v>3749.9900000000002</v>
      </c>
      <c r="M1942" s="55"/>
    </row>
    <row r="1943" spans="2:13" x14ac:dyDescent="0.3">
      <c r="B1943" s="223">
        <v>44839</v>
      </c>
      <c r="C1943" s="224">
        <v>6</v>
      </c>
      <c r="D1943" s="225">
        <v>10</v>
      </c>
      <c r="E1943" s="226">
        <v>42626</v>
      </c>
      <c r="F1943" s="227">
        <v>12345687</v>
      </c>
      <c r="G1943" s="1" t="s">
        <v>302</v>
      </c>
      <c r="H1943" s="60">
        <v>2066.12</v>
      </c>
      <c r="I1943" s="228">
        <v>433.88</v>
      </c>
      <c r="J1943" s="229"/>
      <c r="K1943" s="229"/>
      <c r="L1943" s="229">
        <f>SUM(ventas_b_mes11[[#This Row],[IMPORTE NETO]:[EXENTO]])</f>
        <v>2500</v>
      </c>
      <c r="M1943" s="55"/>
    </row>
    <row r="1944" spans="2:13" x14ac:dyDescent="0.3">
      <c r="B1944" s="223">
        <v>44839</v>
      </c>
      <c r="C1944" s="224">
        <v>6</v>
      </c>
      <c r="D1944" s="225">
        <v>10</v>
      </c>
      <c r="E1944" s="226">
        <v>42627</v>
      </c>
      <c r="F1944" s="227">
        <v>24485654</v>
      </c>
      <c r="G1944" s="1" t="s">
        <v>289</v>
      </c>
      <c r="H1944" s="60">
        <v>1239.67</v>
      </c>
      <c r="I1944" s="228">
        <v>260.33</v>
      </c>
      <c r="J1944" s="229"/>
      <c r="K1944" s="229"/>
      <c r="L1944" s="229">
        <f>SUM(ventas_b_mes11[[#This Row],[IMPORTE NETO]:[EXENTO]])</f>
        <v>1500</v>
      </c>
      <c r="M1944" s="55"/>
    </row>
    <row r="1945" spans="2:13" x14ac:dyDescent="0.3">
      <c r="B1945" s="223">
        <v>44839</v>
      </c>
      <c r="C1945" s="224">
        <v>6</v>
      </c>
      <c r="D1945" s="225">
        <v>10</v>
      </c>
      <c r="E1945" s="226">
        <v>42628</v>
      </c>
      <c r="F1945" s="227">
        <v>38895216</v>
      </c>
      <c r="G1945" s="1" t="s">
        <v>274</v>
      </c>
      <c r="H1945" s="60">
        <v>4958.68</v>
      </c>
      <c r="I1945" s="228">
        <v>1041.32</v>
      </c>
      <c r="J1945" s="229"/>
      <c r="K1945" s="229"/>
      <c r="L1945" s="229">
        <f>SUM(ventas_b_mes11[[#This Row],[IMPORTE NETO]:[EXENTO]])</f>
        <v>6000</v>
      </c>
      <c r="M1945" s="55"/>
    </row>
    <row r="1946" spans="2:13" x14ac:dyDescent="0.3">
      <c r="B1946" s="223">
        <v>44839</v>
      </c>
      <c r="C1946" s="224">
        <v>6</v>
      </c>
      <c r="D1946" s="225">
        <v>10</v>
      </c>
      <c r="E1946" s="226">
        <v>42629</v>
      </c>
      <c r="F1946" s="227">
        <v>38895216</v>
      </c>
      <c r="G1946" s="1" t="s">
        <v>274</v>
      </c>
      <c r="H1946" s="60">
        <v>4958.68</v>
      </c>
      <c r="I1946" s="228">
        <v>1041.32</v>
      </c>
      <c r="J1946" s="229"/>
      <c r="K1946" s="229"/>
      <c r="L1946" s="229">
        <f>SUM(ventas_b_mes11[[#This Row],[IMPORTE NETO]:[EXENTO]])</f>
        <v>6000</v>
      </c>
      <c r="M1946" s="55"/>
    </row>
    <row r="1947" spans="2:13" x14ac:dyDescent="0.3">
      <c r="B1947" s="223">
        <v>44839</v>
      </c>
      <c r="C1947" s="224">
        <v>6</v>
      </c>
      <c r="D1947" s="225">
        <v>10</v>
      </c>
      <c r="E1947" s="226">
        <v>42630</v>
      </c>
      <c r="F1947" s="227">
        <v>38839819</v>
      </c>
      <c r="G1947" s="1"/>
      <c r="H1947" s="60">
        <v>4545.45</v>
      </c>
      <c r="I1947" s="228">
        <v>954.55</v>
      </c>
      <c r="J1947" s="229"/>
      <c r="K1947" s="229"/>
      <c r="L1947" s="229">
        <f>SUM(ventas_b_mes11[[#This Row],[IMPORTE NETO]:[EXENTO]])</f>
        <v>5500</v>
      </c>
      <c r="M1947" s="55"/>
    </row>
    <row r="1948" spans="2:13" x14ac:dyDescent="0.3">
      <c r="B1948" s="223">
        <v>44839</v>
      </c>
      <c r="C1948" s="224">
        <v>6</v>
      </c>
      <c r="D1948" s="225">
        <v>10</v>
      </c>
      <c r="E1948" s="226">
        <v>42631</v>
      </c>
      <c r="F1948" s="227">
        <v>93933329</v>
      </c>
      <c r="G1948" s="1" t="s">
        <v>269</v>
      </c>
      <c r="H1948" s="60">
        <v>7685.95</v>
      </c>
      <c r="I1948" s="228">
        <v>1614.05</v>
      </c>
      <c r="J1948" s="229"/>
      <c r="K1948" s="229"/>
      <c r="L1948" s="229">
        <f>SUM(ventas_b_mes11[[#This Row],[IMPORTE NETO]:[EXENTO]])</f>
        <v>9300</v>
      </c>
      <c r="M1948" s="55"/>
    </row>
    <row r="1949" spans="2:13" x14ac:dyDescent="0.3">
      <c r="B1949" s="223">
        <v>44839</v>
      </c>
      <c r="C1949" s="224">
        <v>6</v>
      </c>
      <c r="D1949" s="225">
        <v>10</v>
      </c>
      <c r="E1949" s="226">
        <v>42632</v>
      </c>
      <c r="F1949" s="227">
        <v>29332286</v>
      </c>
      <c r="G1949" s="1" t="s">
        <v>278</v>
      </c>
      <c r="H1949" s="60">
        <v>802.98</v>
      </c>
      <c r="I1949" s="228">
        <v>168.62</v>
      </c>
      <c r="J1949" s="229"/>
      <c r="K1949" s="229"/>
      <c r="L1949" s="229">
        <f>SUM(ventas_b_mes11[[#This Row],[IMPORTE NETO]:[EXENTO]])</f>
        <v>971.6</v>
      </c>
      <c r="M1949" s="55"/>
    </row>
    <row r="1950" spans="2:13" x14ac:dyDescent="0.3">
      <c r="B1950" s="223" t="s">
        <v>102</v>
      </c>
      <c r="C1950" s="224">
        <v>6</v>
      </c>
      <c r="D1950" s="225">
        <v>10</v>
      </c>
      <c r="E1950" s="226">
        <v>42633</v>
      </c>
      <c r="F1950" s="227">
        <v>29332286</v>
      </c>
      <c r="G1950" s="1" t="s">
        <v>278</v>
      </c>
      <c r="H1950" s="60">
        <v>11471.07</v>
      </c>
      <c r="I1950" s="228">
        <v>2408.9299999999998</v>
      </c>
      <c r="J1950" s="229"/>
      <c r="K1950" s="229"/>
      <c r="L1950" s="229">
        <f>SUM(ventas_b_mes11[[#This Row],[IMPORTE NETO]:[EXENTO]])</f>
        <v>13880</v>
      </c>
      <c r="M1950" s="55"/>
    </row>
    <row r="1951" spans="2:13" x14ac:dyDescent="0.3">
      <c r="B1951" s="223">
        <v>44839</v>
      </c>
      <c r="C1951" s="224">
        <v>6</v>
      </c>
      <c r="D1951" s="225">
        <v>10</v>
      </c>
      <c r="E1951" s="226">
        <v>42634</v>
      </c>
      <c r="F1951" s="227">
        <v>29332286</v>
      </c>
      <c r="G1951" s="1" t="s">
        <v>278</v>
      </c>
      <c r="H1951" s="60">
        <v>1053.72</v>
      </c>
      <c r="I1951" s="228">
        <v>221.28</v>
      </c>
      <c r="J1951" s="229"/>
      <c r="K1951" s="229"/>
      <c r="L1951" s="229">
        <f>SUM(ventas_b_mes11[[#This Row],[IMPORTE NETO]:[EXENTO]])</f>
        <v>1275</v>
      </c>
      <c r="M1951" s="55"/>
    </row>
    <row r="1952" spans="2:13" x14ac:dyDescent="0.3">
      <c r="B1952" s="223">
        <v>44839</v>
      </c>
      <c r="C1952" s="224">
        <v>6</v>
      </c>
      <c r="D1952" s="225">
        <v>10</v>
      </c>
      <c r="E1952" s="226">
        <v>42635</v>
      </c>
      <c r="F1952" s="227">
        <v>94126365</v>
      </c>
      <c r="G1952" s="1"/>
      <c r="H1952" s="60">
        <v>61951.65</v>
      </c>
      <c r="I1952" s="228">
        <v>13009.85</v>
      </c>
      <c r="J1952" s="229"/>
      <c r="K1952" s="229"/>
      <c r="L1952" s="229">
        <f>SUM(ventas_b_mes11[[#This Row],[IMPORTE NETO]:[EXENTO]])</f>
        <v>74961.5</v>
      </c>
      <c r="M1952" s="55"/>
    </row>
    <row r="1953" spans="2:13" x14ac:dyDescent="0.3">
      <c r="B1953" s="223">
        <v>44839</v>
      </c>
      <c r="C1953" s="224">
        <v>6</v>
      </c>
      <c r="D1953" s="225">
        <v>10</v>
      </c>
      <c r="E1953" s="226">
        <v>42636</v>
      </c>
      <c r="F1953" s="227">
        <v>94126365</v>
      </c>
      <c r="G1953" s="1"/>
      <c r="H1953" s="60">
        <v>11496.07</v>
      </c>
      <c r="I1953" s="228">
        <v>2414.1799999999998</v>
      </c>
      <c r="J1953" s="229"/>
      <c r="K1953" s="229"/>
      <c r="L1953" s="229">
        <f>SUM(ventas_b_mes11[[#This Row],[IMPORTE NETO]:[EXENTO]])</f>
        <v>13910.25</v>
      </c>
      <c r="M1953" s="55"/>
    </row>
    <row r="1954" spans="2:13" x14ac:dyDescent="0.3">
      <c r="B1954" s="223">
        <v>44839</v>
      </c>
      <c r="C1954" s="224">
        <v>6</v>
      </c>
      <c r="D1954" s="225">
        <v>10</v>
      </c>
      <c r="E1954" s="226">
        <v>42637</v>
      </c>
      <c r="F1954" s="227">
        <v>94126365</v>
      </c>
      <c r="G1954" s="1"/>
      <c r="H1954" s="60">
        <v>30516.53</v>
      </c>
      <c r="I1954" s="228">
        <v>6408.47</v>
      </c>
      <c r="J1954" s="229"/>
      <c r="K1954" s="229"/>
      <c r="L1954" s="229">
        <f>SUM(ventas_b_mes11[[#This Row],[IMPORTE NETO]:[EXENTO]])</f>
        <v>36925</v>
      </c>
      <c r="M1954" s="55"/>
    </row>
    <row r="1955" spans="2:13" x14ac:dyDescent="0.3">
      <c r="B1955" s="223">
        <v>44839</v>
      </c>
      <c r="C1955" s="224">
        <v>6</v>
      </c>
      <c r="D1955" s="225">
        <v>10</v>
      </c>
      <c r="E1955" s="226">
        <v>42638</v>
      </c>
      <c r="F1955" s="227">
        <v>27271107434</v>
      </c>
      <c r="G1955" s="1" t="s">
        <v>232</v>
      </c>
      <c r="H1955" s="60">
        <v>34447.599999999999</v>
      </c>
      <c r="I1955" s="228">
        <v>7234</v>
      </c>
      <c r="J1955" s="229"/>
      <c r="K1955" s="229"/>
      <c r="L1955" s="229">
        <f>SUM(ventas_b_mes11[[#This Row],[IMPORTE NETO]:[EXENTO]])</f>
        <v>41681.599999999999</v>
      </c>
      <c r="M1955" s="55"/>
    </row>
    <row r="1956" spans="2:13" x14ac:dyDescent="0.3">
      <c r="B1956" s="223">
        <v>44839</v>
      </c>
      <c r="C1956" s="224">
        <v>6</v>
      </c>
      <c r="D1956" s="225">
        <v>10</v>
      </c>
      <c r="E1956" s="226">
        <v>42639</v>
      </c>
      <c r="F1956" s="227">
        <v>0</v>
      </c>
      <c r="G1956" s="1"/>
      <c r="H1956" s="60">
        <v>2008.26</v>
      </c>
      <c r="I1956" s="228">
        <v>421.74</v>
      </c>
      <c r="J1956" s="229"/>
      <c r="K1956" s="229"/>
      <c r="L1956" s="229">
        <f>SUM(ventas_b_mes11[[#This Row],[IMPORTE NETO]:[EXENTO]])</f>
        <v>2430</v>
      </c>
      <c r="M1956" s="55"/>
    </row>
    <row r="1957" spans="2:13" x14ac:dyDescent="0.3">
      <c r="B1957" s="223">
        <v>44839</v>
      </c>
      <c r="C1957" s="224">
        <v>6</v>
      </c>
      <c r="D1957" s="225">
        <v>10</v>
      </c>
      <c r="E1957" s="226">
        <v>42640</v>
      </c>
      <c r="F1957" s="227">
        <v>20007416</v>
      </c>
      <c r="G1957" s="1" t="s">
        <v>152</v>
      </c>
      <c r="H1957" s="60">
        <v>4958.68</v>
      </c>
      <c r="I1957" s="228">
        <v>1041.32</v>
      </c>
      <c r="J1957" s="229"/>
      <c r="K1957" s="229"/>
      <c r="L1957" s="229">
        <f>SUM(ventas_b_mes11[[#This Row],[IMPORTE NETO]:[EXENTO]])</f>
        <v>6000</v>
      </c>
      <c r="M1957" s="55"/>
    </row>
    <row r="1958" spans="2:13" x14ac:dyDescent="0.3">
      <c r="B1958" s="223">
        <v>44839</v>
      </c>
      <c r="C1958" s="224">
        <v>6</v>
      </c>
      <c r="D1958" s="225">
        <v>10</v>
      </c>
      <c r="E1958" s="226">
        <v>42641</v>
      </c>
      <c r="F1958" s="227">
        <v>27280955391</v>
      </c>
      <c r="G1958" s="1"/>
      <c r="H1958" s="60">
        <v>39847.440000000002</v>
      </c>
      <c r="I1958" s="228">
        <v>8367.9599999999991</v>
      </c>
      <c r="J1958" s="229"/>
      <c r="K1958" s="229"/>
      <c r="L1958" s="229">
        <f>SUM(ventas_b_mes11[[#This Row],[IMPORTE NETO]:[EXENTO]])</f>
        <v>48215.4</v>
      </c>
      <c r="M1958" s="55"/>
    </row>
    <row r="1959" spans="2:13" x14ac:dyDescent="0.3">
      <c r="B1959" s="223">
        <v>44839</v>
      </c>
      <c r="C1959" s="224">
        <v>6</v>
      </c>
      <c r="D1959" s="225">
        <v>10</v>
      </c>
      <c r="E1959" s="226">
        <v>42642</v>
      </c>
      <c r="F1959" s="227">
        <v>27280955391</v>
      </c>
      <c r="G1959" s="1"/>
      <c r="H1959" s="60">
        <v>18323.18</v>
      </c>
      <c r="I1959" s="228">
        <v>3847.87</v>
      </c>
      <c r="J1959" s="229"/>
      <c r="K1959" s="229"/>
      <c r="L1959" s="229">
        <f>SUM(ventas_b_mes11[[#This Row],[IMPORTE NETO]:[EXENTO]])</f>
        <v>22171.05</v>
      </c>
      <c r="M1959" s="55"/>
    </row>
    <row r="1960" spans="2:13" x14ac:dyDescent="0.3">
      <c r="B1960" s="223">
        <v>44839</v>
      </c>
      <c r="C1960" s="224">
        <v>6</v>
      </c>
      <c r="D1960" s="225">
        <v>10</v>
      </c>
      <c r="E1960" s="226">
        <v>42643</v>
      </c>
      <c r="F1960" s="227">
        <v>16532481</v>
      </c>
      <c r="G1960" s="1" t="s">
        <v>295</v>
      </c>
      <c r="H1960" s="60">
        <v>1553.72</v>
      </c>
      <c r="I1960" s="228">
        <v>326.27999999999997</v>
      </c>
      <c r="J1960" s="229"/>
      <c r="K1960" s="229"/>
      <c r="L1960" s="229">
        <f>SUM(ventas_b_mes11[[#This Row],[IMPORTE NETO]:[EXENTO]])</f>
        <v>1880</v>
      </c>
      <c r="M1960" s="55"/>
    </row>
    <row r="1961" spans="2:13" x14ac:dyDescent="0.3">
      <c r="B1961" s="223">
        <v>44839</v>
      </c>
      <c r="C1961" s="224">
        <v>6</v>
      </c>
      <c r="D1961" s="225">
        <v>10</v>
      </c>
      <c r="E1961" s="226">
        <v>42644</v>
      </c>
      <c r="F1961" s="227">
        <v>16532481</v>
      </c>
      <c r="G1961" s="1" t="s">
        <v>295</v>
      </c>
      <c r="H1961" s="60">
        <v>17494.21</v>
      </c>
      <c r="I1961" s="228">
        <v>3673.79</v>
      </c>
      <c r="J1961" s="229"/>
      <c r="K1961" s="229"/>
      <c r="L1961" s="229">
        <f>SUM(ventas_b_mes11[[#This Row],[IMPORTE NETO]:[EXENTO]])</f>
        <v>21168</v>
      </c>
      <c r="M1961" s="55"/>
    </row>
    <row r="1962" spans="2:13" x14ac:dyDescent="0.3">
      <c r="B1962" s="223">
        <v>44839</v>
      </c>
      <c r="C1962" s="224">
        <v>6</v>
      </c>
      <c r="D1962" s="225">
        <v>10</v>
      </c>
      <c r="E1962" s="226">
        <v>42645</v>
      </c>
      <c r="F1962" s="227">
        <v>23293619</v>
      </c>
      <c r="G1962" s="1" t="s">
        <v>314</v>
      </c>
      <c r="H1962" s="60">
        <v>1528.93</v>
      </c>
      <c r="I1962" s="228">
        <v>321.08</v>
      </c>
      <c r="J1962" s="229"/>
      <c r="K1962" s="229"/>
      <c r="L1962" s="229">
        <f>SUM(ventas_b_mes11[[#This Row],[IMPORTE NETO]:[EXENTO]])</f>
        <v>1850.01</v>
      </c>
      <c r="M1962" s="55"/>
    </row>
    <row r="1963" spans="2:13" x14ac:dyDescent="0.3">
      <c r="B1963" s="223">
        <v>44840</v>
      </c>
      <c r="C1963" s="224">
        <v>6</v>
      </c>
      <c r="D1963" s="225">
        <v>10</v>
      </c>
      <c r="E1963" s="226">
        <v>42646</v>
      </c>
      <c r="F1963" s="227">
        <v>27220670878</v>
      </c>
      <c r="G1963" s="1" t="s">
        <v>347</v>
      </c>
      <c r="H1963" s="60">
        <v>41707.769999999997</v>
      </c>
      <c r="I1963" s="228">
        <v>8758.6299999999992</v>
      </c>
      <c r="J1963" s="229"/>
      <c r="K1963" s="229"/>
      <c r="L1963" s="229">
        <f>SUM(ventas_b_mes11[[#This Row],[IMPORTE NETO]:[EXENTO]])</f>
        <v>50466.399999999994</v>
      </c>
      <c r="M1963" s="55"/>
    </row>
    <row r="1964" spans="2:13" x14ac:dyDescent="0.3">
      <c r="B1964" s="223">
        <v>44840</v>
      </c>
      <c r="C1964" s="224">
        <v>6</v>
      </c>
      <c r="D1964" s="225">
        <v>10</v>
      </c>
      <c r="E1964" s="226">
        <v>42647</v>
      </c>
      <c r="F1964" s="227">
        <v>24348286699</v>
      </c>
      <c r="G1964" s="1" t="s">
        <v>346</v>
      </c>
      <c r="H1964" s="60">
        <v>107734.21</v>
      </c>
      <c r="I1964" s="228">
        <v>22624.19</v>
      </c>
      <c r="J1964" s="229"/>
      <c r="K1964" s="229"/>
      <c r="L1964" s="229">
        <f>SUM(ventas_b_mes11[[#This Row],[IMPORTE NETO]:[EXENTO]])</f>
        <v>130358.40000000001</v>
      </c>
      <c r="M1964" s="55"/>
    </row>
    <row r="1965" spans="2:13" x14ac:dyDescent="0.3">
      <c r="B1965" s="223">
        <v>44840</v>
      </c>
      <c r="C1965" s="224">
        <v>6</v>
      </c>
      <c r="D1965" s="225">
        <v>10</v>
      </c>
      <c r="E1965" s="226">
        <v>42648</v>
      </c>
      <c r="F1965" s="227">
        <v>13776090</v>
      </c>
      <c r="G1965" s="1" t="s">
        <v>223</v>
      </c>
      <c r="H1965" s="60">
        <v>1537.19</v>
      </c>
      <c r="I1965" s="228">
        <v>322.81</v>
      </c>
      <c r="J1965" s="229"/>
      <c r="K1965" s="229"/>
      <c r="L1965" s="229">
        <f>SUM(ventas_b_mes11[[#This Row],[IMPORTE NETO]:[EXENTO]])</f>
        <v>1860</v>
      </c>
      <c r="M1965" s="55"/>
    </row>
    <row r="1966" spans="2:13" x14ac:dyDescent="0.3">
      <c r="B1966" s="223">
        <v>44840</v>
      </c>
      <c r="C1966" s="224">
        <v>6</v>
      </c>
      <c r="D1966" s="225">
        <v>10</v>
      </c>
      <c r="E1966" s="226">
        <v>42649</v>
      </c>
      <c r="F1966" s="227">
        <v>30712238190</v>
      </c>
      <c r="G1966" s="1" t="s">
        <v>343</v>
      </c>
      <c r="H1966" s="60">
        <v>8518.8799999999992</v>
      </c>
      <c r="I1966" s="228">
        <v>1788.96</v>
      </c>
      <c r="J1966" s="229"/>
      <c r="K1966" s="229"/>
      <c r="L1966" s="229">
        <f>SUM(ventas_b_mes11[[#This Row],[IMPORTE NETO]:[EXENTO]])</f>
        <v>10307.84</v>
      </c>
      <c r="M1966" s="55"/>
    </row>
    <row r="1967" spans="2:13" x14ac:dyDescent="0.3">
      <c r="B1967" s="223">
        <v>44840</v>
      </c>
      <c r="C1967" s="224">
        <v>6</v>
      </c>
      <c r="D1967" s="225">
        <v>10</v>
      </c>
      <c r="E1967" s="226">
        <v>42650</v>
      </c>
      <c r="F1967" s="227">
        <v>14922040</v>
      </c>
      <c r="G1967" s="1" t="s">
        <v>340</v>
      </c>
      <c r="H1967" s="60">
        <v>6991.73</v>
      </c>
      <c r="I1967" s="228">
        <v>1468.26</v>
      </c>
      <c r="J1967" s="229"/>
      <c r="K1967" s="229"/>
      <c r="L1967" s="229">
        <f>SUM(ventas_b_mes11[[#This Row],[IMPORTE NETO]:[EXENTO]])</f>
        <v>8459.99</v>
      </c>
      <c r="M1967" s="55"/>
    </row>
    <row r="1968" spans="2:13" x14ac:dyDescent="0.3">
      <c r="B1968" s="223">
        <v>44840</v>
      </c>
      <c r="C1968" s="224">
        <v>6</v>
      </c>
      <c r="D1968" s="225">
        <v>10</v>
      </c>
      <c r="E1968" s="226">
        <v>42651</v>
      </c>
      <c r="F1968" s="227">
        <v>20832455</v>
      </c>
      <c r="G1968" s="1" t="s">
        <v>329</v>
      </c>
      <c r="H1968" s="60">
        <v>4958.68</v>
      </c>
      <c r="I1968" s="228">
        <v>1041.32</v>
      </c>
      <c r="J1968" s="229"/>
      <c r="K1968" s="229"/>
      <c r="L1968" s="229">
        <f>SUM(ventas_b_mes11[[#This Row],[IMPORTE NETO]:[EXENTO]])</f>
        <v>6000</v>
      </c>
      <c r="M1968" s="55"/>
    </row>
    <row r="1969" spans="2:13" x14ac:dyDescent="0.3">
      <c r="B1969" s="223">
        <v>44840</v>
      </c>
      <c r="C1969" s="224">
        <v>6</v>
      </c>
      <c r="D1969" s="225">
        <v>10</v>
      </c>
      <c r="E1969" s="226">
        <v>42652</v>
      </c>
      <c r="F1969" s="227">
        <v>18456256</v>
      </c>
      <c r="G1969" s="1" t="s">
        <v>331</v>
      </c>
      <c r="H1969" s="60">
        <v>4628.1000000000004</v>
      </c>
      <c r="I1969" s="228">
        <v>971.9</v>
      </c>
      <c r="J1969" s="229"/>
      <c r="K1969" s="229"/>
      <c r="L1969" s="229">
        <f>SUM(ventas_b_mes11[[#This Row],[IMPORTE NETO]:[EXENTO]])</f>
        <v>5600</v>
      </c>
      <c r="M1969" s="55"/>
    </row>
    <row r="1970" spans="2:13" x14ac:dyDescent="0.3">
      <c r="B1970" s="223">
        <v>44840</v>
      </c>
      <c r="C1970" s="224">
        <v>6</v>
      </c>
      <c r="D1970" s="225">
        <v>10</v>
      </c>
      <c r="E1970" s="226">
        <v>42653</v>
      </c>
      <c r="F1970" s="227">
        <v>20832455</v>
      </c>
      <c r="G1970" s="1" t="s">
        <v>329</v>
      </c>
      <c r="H1970" s="60">
        <v>4958.68</v>
      </c>
      <c r="I1970" s="228">
        <v>1041.32</v>
      </c>
      <c r="J1970" s="229"/>
      <c r="K1970" s="229"/>
      <c r="L1970" s="229">
        <f>SUM(ventas_b_mes11[[#This Row],[IMPORTE NETO]:[EXENTO]])</f>
        <v>6000</v>
      </c>
      <c r="M1970" s="55"/>
    </row>
    <row r="1971" spans="2:13" x14ac:dyDescent="0.3">
      <c r="B1971" s="223">
        <v>44840</v>
      </c>
      <c r="C1971" s="224">
        <v>6</v>
      </c>
      <c r="D1971" s="225">
        <v>10</v>
      </c>
      <c r="E1971" s="226">
        <v>42654</v>
      </c>
      <c r="F1971" s="227">
        <v>25483256</v>
      </c>
      <c r="G1971" s="1" t="s">
        <v>330</v>
      </c>
      <c r="H1971" s="60">
        <v>5727.26</v>
      </c>
      <c r="I1971" s="228">
        <v>1202.73</v>
      </c>
      <c r="J1971" s="229"/>
      <c r="K1971" s="229"/>
      <c r="L1971" s="229">
        <f>SUM(ventas_b_mes11[[#This Row],[IMPORTE NETO]:[EXENTO]])</f>
        <v>6929.99</v>
      </c>
      <c r="M1971" s="55"/>
    </row>
    <row r="1972" spans="2:13" x14ac:dyDescent="0.3">
      <c r="B1972" s="223">
        <v>44840</v>
      </c>
      <c r="C1972" s="224">
        <v>6</v>
      </c>
      <c r="D1972" s="225">
        <v>10</v>
      </c>
      <c r="E1972" s="226">
        <v>42655</v>
      </c>
      <c r="F1972" s="227">
        <v>0</v>
      </c>
      <c r="G1972" s="1"/>
      <c r="H1972" s="60">
        <v>1322.31</v>
      </c>
      <c r="I1972" s="228">
        <v>277.69</v>
      </c>
      <c r="J1972" s="229"/>
      <c r="K1972" s="229"/>
      <c r="L1972" s="229">
        <f>SUM(ventas_b_mes11[[#This Row],[IMPORTE NETO]:[EXENTO]])</f>
        <v>1600</v>
      </c>
      <c r="M1972" s="55"/>
    </row>
    <row r="1973" spans="2:13" x14ac:dyDescent="0.3">
      <c r="B1973" s="223">
        <v>44840</v>
      </c>
      <c r="C1973" s="224">
        <v>6</v>
      </c>
      <c r="D1973" s="225">
        <v>10</v>
      </c>
      <c r="E1973" s="226">
        <v>42656</v>
      </c>
      <c r="F1973" s="227">
        <v>20832455</v>
      </c>
      <c r="G1973" s="1" t="s">
        <v>329</v>
      </c>
      <c r="H1973" s="60">
        <v>4958.68</v>
      </c>
      <c r="I1973" s="228">
        <v>1041.32</v>
      </c>
      <c r="J1973" s="229"/>
      <c r="K1973" s="229"/>
      <c r="L1973" s="229">
        <f>SUM(ventas_b_mes11[[#This Row],[IMPORTE NETO]:[EXENTO]])</f>
        <v>6000</v>
      </c>
      <c r="M1973" s="55"/>
    </row>
    <row r="1974" spans="2:13" x14ac:dyDescent="0.3">
      <c r="B1974" s="223">
        <v>44840</v>
      </c>
      <c r="C1974" s="224">
        <v>6</v>
      </c>
      <c r="D1974" s="225">
        <v>10</v>
      </c>
      <c r="E1974" s="226">
        <v>42657</v>
      </c>
      <c r="F1974" s="227">
        <v>33457811</v>
      </c>
      <c r="G1974" s="1" t="s">
        <v>332</v>
      </c>
      <c r="H1974" s="60">
        <v>4770.24</v>
      </c>
      <c r="I1974" s="228">
        <v>1001.75</v>
      </c>
      <c r="J1974" s="229"/>
      <c r="K1974" s="229"/>
      <c r="L1974" s="229">
        <f>SUM(ventas_b_mes11[[#This Row],[IMPORTE NETO]:[EXENTO]])</f>
        <v>5771.99</v>
      </c>
      <c r="M1974" s="55"/>
    </row>
    <row r="1975" spans="2:13" x14ac:dyDescent="0.3">
      <c r="B1975" s="223">
        <v>44840</v>
      </c>
      <c r="C1975" s="224">
        <v>6</v>
      </c>
      <c r="D1975" s="225">
        <v>10</v>
      </c>
      <c r="E1975" s="226">
        <v>42658</v>
      </c>
      <c r="F1975" s="227">
        <v>0</v>
      </c>
      <c r="G1975" s="1"/>
      <c r="H1975" s="60">
        <v>1305.79</v>
      </c>
      <c r="I1975" s="228">
        <v>274.22000000000003</v>
      </c>
      <c r="J1975" s="229"/>
      <c r="K1975" s="229"/>
      <c r="L1975" s="229">
        <f>SUM(ventas_b_mes11[[#This Row],[IMPORTE NETO]:[EXENTO]])</f>
        <v>1580.01</v>
      </c>
      <c r="M1975" s="55"/>
    </row>
    <row r="1976" spans="2:13" x14ac:dyDescent="0.3">
      <c r="B1976" s="223">
        <v>44840</v>
      </c>
      <c r="C1976" s="224">
        <v>6</v>
      </c>
      <c r="D1976" s="225">
        <v>10</v>
      </c>
      <c r="E1976" s="226">
        <v>42659</v>
      </c>
      <c r="F1976" s="227">
        <v>28478156</v>
      </c>
      <c r="G1976" s="1" t="s">
        <v>356</v>
      </c>
      <c r="H1976" s="60">
        <v>7033.06</v>
      </c>
      <c r="I1976" s="228">
        <v>1476.94</v>
      </c>
      <c r="J1976" s="229"/>
      <c r="K1976" s="229"/>
      <c r="L1976" s="229">
        <f>SUM(ventas_b_mes11[[#This Row],[IMPORTE NETO]:[EXENTO]])</f>
        <v>8510</v>
      </c>
      <c r="M1976" s="55"/>
    </row>
    <row r="1977" spans="2:13" x14ac:dyDescent="0.3">
      <c r="B1977" s="223">
        <v>44840</v>
      </c>
      <c r="C1977" s="224">
        <v>6</v>
      </c>
      <c r="D1977" s="225">
        <v>10</v>
      </c>
      <c r="E1977" s="226">
        <v>42660</v>
      </c>
      <c r="F1977" s="227">
        <v>19852147</v>
      </c>
      <c r="G1977" s="1"/>
      <c r="H1977" s="60">
        <v>13917.36</v>
      </c>
      <c r="I1977" s="228">
        <v>2922.64</v>
      </c>
      <c r="J1977" s="229"/>
      <c r="K1977" s="229"/>
      <c r="L1977" s="229">
        <f>SUM(ventas_b_mes11[[#This Row],[IMPORTE NETO]:[EXENTO]])</f>
        <v>16840</v>
      </c>
      <c r="M1977" s="55"/>
    </row>
    <row r="1978" spans="2:13" x14ac:dyDescent="0.3">
      <c r="B1978" s="223">
        <v>44840</v>
      </c>
      <c r="C1978" s="224">
        <v>6</v>
      </c>
      <c r="D1978" s="225">
        <v>10</v>
      </c>
      <c r="E1978" s="226">
        <v>42661</v>
      </c>
      <c r="F1978" s="227">
        <v>0</v>
      </c>
      <c r="G1978" s="1"/>
      <c r="H1978" s="60">
        <v>3639.5</v>
      </c>
      <c r="I1978" s="228">
        <v>764.3</v>
      </c>
      <c r="J1978" s="229"/>
      <c r="K1978" s="229"/>
      <c r="L1978" s="229">
        <f>SUM(ventas_b_mes11[[#This Row],[IMPORTE NETO]:[EXENTO]])</f>
        <v>4403.8</v>
      </c>
      <c r="M1978" s="55"/>
    </row>
    <row r="1979" spans="2:13" x14ac:dyDescent="0.3">
      <c r="B1979" s="223">
        <v>44840</v>
      </c>
      <c r="C1979" s="224">
        <v>6</v>
      </c>
      <c r="D1979" s="225">
        <v>10</v>
      </c>
      <c r="E1979" s="226">
        <v>42662</v>
      </c>
      <c r="F1979" s="227">
        <v>26159483</v>
      </c>
      <c r="G1979" s="1" t="s">
        <v>355</v>
      </c>
      <c r="H1979" s="60">
        <v>10264.469999999999</v>
      </c>
      <c r="I1979" s="228">
        <v>2155.54</v>
      </c>
      <c r="J1979" s="229"/>
      <c r="K1979" s="229"/>
      <c r="L1979" s="229">
        <f>SUM(ventas_b_mes11[[#This Row],[IMPORTE NETO]:[EXENTO]])</f>
        <v>12420.009999999998</v>
      </c>
      <c r="M1979" s="55"/>
    </row>
    <row r="1980" spans="2:13" x14ac:dyDescent="0.3">
      <c r="B1980" s="223">
        <v>44840</v>
      </c>
      <c r="C1980" s="224">
        <v>6</v>
      </c>
      <c r="D1980" s="225">
        <v>10</v>
      </c>
      <c r="E1980" s="226">
        <v>42663</v>
      </c>
      <c r="F1980" s="227">
        <v>31853742</v>
      </c>
      <c r="G1980" s="1" t="s">
        <v>348</v>
      </c>
      <c r="H1980" s="60">
        <v>12793.39</v>
      </c>
      <c r="I1980" s="228">
        <v>2686.61</v>
      </c>
      <c r="J1980" s="229"/>
      <c r="K1980" s="229"/>
      <c r="L1980" s="229">
        <f>SUM(ventas_b_mes11[[#This Row],[IMPORTE NETO]:[EXENTO]])</f>
        <v>15480</v>
      </c>
      <c r="M1980" s="55"/>
    </row>
    <row r="1981" spans="2:13" x14ac:dyDescent="0.3">
      <c r="B1981" s="223">
        <v>44840</v>
      </c>
      <c r="C1981" s="224">
        <v>6</v>
      </c>
      <c r="D1981" s="225">
        <v>10</v>
      </c>
      <c r="E1981" s="226">
        <v>42664</v>
      </c>
      <c r="F1981" s="227">
        <v>0</v>
      </c>
      <c r="G1981" s="1"/>
      <c r="H1981" s="60">
        <v>4123.9799999999996</v>
      </c>
      <c r="I1981" s="228">
        <v>866.03</v>
      </c>
      <c r="J1981" s="229"/>
      <c r="K1981" s="229"/>
      <c r="L1981" s="229">
        <f>SUM(ventas_b_mes11[[#This Row],[IMPORTE NETO]:[EXENTO]])</f>
        <v>4990.0099999999993</v>
      </c>
      <c r="M1981" s="55"/>
    </row>
    <row r="1982" spans="2:13" x14ac:dyDescent="0.3">
      <c r="B1982" s="223">
        <v>44840</v>
      </c>
      <c r="C1982" s="224">
        <v>6</v>
      </c>
      <c r="D1982" s="225">
        <v>10</v>
      </c>
      <c r="E1982" s="226">
        <v>42665</v>
      </c>
      <c r="F1982" s="227">
        <v>0</v>
      </c>
      <c r="G1982" s="1"/>
      <c r="H1982" s="60">
        <v>1223.1400000000001</v>
      </c>
      <c r="I1982" s="228">
        <v>256.86</v>
      </c>
      <c r="J1982" s="229"/>
      <c r="K1982" s="229"/>
      <c r="L1982" s="229">
        <f>SUM(ventas_b_mes11[[#This Row],[IMPORTE NETO]:[EXENTO]])</f>
        <v>1480</v>
      </c>
      <c r="M1982" s="55"/>
    </row>
    <row r="1983" spans="2:13" x14ac:dyDescent="0.3">
      <c r="B1983" s="223">
        <v>44840</v>
      </c>
      <c r="C1983" s="224">
        <v>6</v>
      </c>
      <c r="D1983" s="225">
        <v>10</v>
      </c>
      <c r="E1983" s="226">
        <v>42666</v>
      </c>
      <c r="F1983" s="227">
        <v>0</v>
      </c>
      <c r="G1983" s="1"/>
      <c r="H1983" s="60">
        <v>2231.4</v>
      </c>
      <c r="I1983" s="228">
        <v>468.6</v>
      </c>
      <c r="J1983" s="229"/>
      <c r="K1983" s="229"/>
      <c r="L1983" s="229">
        <f>SUM(ventas_b_mes11[[#This Row],[IMPORTE NETO]:[EXENTO]])</f>
        <v>2700</v>
      </c>
      <c r="M1983" s="55"/>
    </row>
    <row r="1984" spans="2:13" x14ac:dyDescent="0.3">
      <c r="B1984" s="223">
        <v>44840</v>
      </c>
      <c r="C1984" s="224">
        <v>6</v>
      </c>
      <c r="D1984" s="225">
        <v>10</v>
      </c>
      <c r="E1984" s="226">
        <v>42667</v>
      </c>
      <c r="F1984" s="227">
        <v>18641475</v>
      </c>
      <c r="G1984" s="1" t="s">
        <v>320</v>
      </c>
      <c r="H1984" s="60">
        <v>6942.14</v>
      </c>
      <c r="I1984" s="228">
        <v>1457.85</v>
      </c>
      <c r="J1984" s="229"/>
      <c r="K1984" s="229"/>
      <c r="L1984" s="229">
        <f>SUM(ventas_b_mes11[[#This Row],[IMPORTE NETO]:[EXENTO]])</f>
        <v>8399.99</v>
      </c>
      <c r="M1984" s="55"/>
    </row>
    <row r="1985" spans="2:13" x14ac:dyDescent="0.3">
      <c r="B1985" s="223">
        <v>44840</v>
      </c>
      <c r="C1985" s="224">
        <v>6</v>
      </c>
      <c r="D1985" s="225">
        <v>10</v>
      </c>
      <c r="E1985" s="226">
        <v>42668</v>
      </c>
      <c r="F1985" s="227">
        <v>28783284</v>
      </c>
      <c r="G1985" s="1" t="s">
        <v>334</v>
      </c>
      <c r="H1985" s="60">
        <v>4958.68</v>
      </c>
      <c r="I1985" s="228">
        <v>1041.32</v>
      </c>
      <c r="J1985" s="229"/>
      <c r="K1985" s="229"/>
      <c r="L1985" s="229">
        <f>SUM(ventas_b_mes11[[#This Row],[IMPORTE NETO]:[EXENTO]])</f>
        <v>6000</v>
      </c>
      <c r="M1985" s="55"/>
    </row>
    <row r="1986" spans="2:13" x14ac:dyDescent="0.3">
      <c r="B1986" s="223">
        <v>44840</v>
      </c>
      <c r="C1986" s="224">
        <v>6</v>
      </c>
      <c r="D1986" s="225">
        <v>10</v>
      </c>
      <c r="E1986" s="226">
        <v>42669</v>
      </c>
      <c r="F1986" s="227">
        <v>0</v>
      </c>
      <c r="G1986" s="1"/>
      <c r="H1986" s="60">
        <v>3826.45</v>
      </c>
      <c r="I1986" s="228">
        <v>803.55</v>
      </c>
      <c r="J1986" s="229"/>
      <c r="K1986" s="229"/>
      <c r="L1986" s="229">
        <f>SUM(ventas_b_mes11[[#This Row],[IMPORTE NETO]:[EXENTO]])</f>
        <v>4630</v>
      </c>
      <c r="M1986" s="55"/>
    </row>
    <row r="1987" spans="2:13" x14ac:dyDescent="0.3">
      <c r="B1987" s="223">
        <v>44840</v>
      </c>
      <c r="C1987" s="224">
        <v>6</v>
      </c>
      <c r="D1987" s="225">
        <v>10</v>
      </c>
      <c r="E1987" s="226">
        <v>42670</v>
      </c>
      <c r="F1987" s="227">
        <v>23250453</v>
      </c>
      <c r="G1987" s="1" t="s">
        <v>344</v>
      </c>
      <c r="H1987" s="60">
        <v>4795.87</v>
      </c>
      <c r="I1987" s="228">
        <v>1007.13</v>
      </c>
      <c r="J1987" s="229"/>
      <c r="K1987" s="229"/>
      <c r="L1987" s="229">
        <f>SUM(ventas_b_mes11[[#This Row],[IMPORTE NETO]:[EXENTO]])</f>
        <v>5803</v>
      </c>
      <c r="M1987" s="55"/>
    </row>
    <row r="1988" spans="2:13" x14ac:dyDescent="0.3">
      <c r="B1988" s="223">
        <v>44840</v>
      </c>
      <c r="C1988" s="224">
        <v>6</v>
      </c>
      <c r="D1988" s="225">
        <v>10</v>
      </c>
      <c r="E1988" s="226">
        <v>42671</v>
      </c>
      <c r="F1988" s="227">
        <v>20745879</v>
      </c>
      <c r="G1988" s="1" t="s">
        <v>363</v>
      </c>
      <c r="H1988" s="60">
        <v>6479.34</v>
      </c>
      <c r="I1988" s="228">
        <v>1360.66</v>
      </c>
      <c r="J1988" s="229"/>
      <c r="K1988" s="229"/>
      <c r="L1988" s="229">
        <f>SUM(ventas_b_mes11[[#This Row],[IMPORTE NETO]:[EXENTO]])</f>
        <v>7840</v>
      </c>
      <c r="M1988" s="55"/>
    </row>
    <row r="1989" spans="2:13" x14ac:dyDescent="0.3">
      <c r="B1989" s="223">
        <v>44840</v>
      </c>
      <c r="C1989" s="224">
        <v>6</v>
      </c>
      <c r="D1989" s="225">
        <v>10</v>
      </c>
      <c r="E1989" s="226">
        <v>42672</v>
      </c>
      <c r="F1989" s="227">
        <v>26317347</v>
      </c>
      <c r="G1989" s="1" t="s">
        <v>364</v>
      </c>
      <c r="H1989" s="60">
        <v>3828.1</v>
      </c>
      <c r="I1989" s="228">
        <v>803.9</v>
      </c>
      <c r="J1989" s="229"/>
      <c r="K1989" s="229"/>
      <c r="L1989" s="229">
        <f>SUM(ventas_b_mes11[[#This Row],[IMPORTE NETO]:[EXENTO]])</f>
        <v>4632</v>
      </c>
      <c r="M1989" s="55"/>
    </row>
    <row r="1990" spans="2:13" x14ac:dyDescent="0.3">
      <c r="B1990" s="223">
        <v>44840</v>
      </c>
      <c r="C1990" s="224">
        <v>6</v>
      </c>
      <c r="D1990" s="225">
        <v>10</v>
      </c>
      <c r="E1990" s="226">
        <v>42673</v>
      </c>
      <c r="F1990" s="227">
        <v>0</v>
      </c>
      <c r="G1990" s="1"/>
      <c r="H1990" s="60">
        <v>3702.48</v>
      </c>
      <c r="I1990" s="228">
        <v>777.52</v>
      </c>
      <c r="J1990" s="229"/>
      <c r="K1990" s="229"/>
      <c r="L1990" s="229">
        <f>SUM(ventas_b_mes11[[#This Row],[IMPORTE NETO]:[EXENTO]])</f>
        <v>4480</v>
      </c>
      <c r="M1990" s="55"/>
    </row>
    <row r="1991" spans="2:13" x14ac:dyDescent="0.3">
      <c r="B1991" s="223">
        <v>44840</v>
      </c>
      <c r="C1991" s="224">
        <v>6</v>
      </c>
      <c r="D1991" s="225">
        <v>10</v>
      </c>
      <c r="E1991" s="226">
        <v>42674</v>
      </c>
      <c r="F1991" s="227">
        <v>18590873</v>
      </c>
      <c r="G1991" s="1" t="s">
        <v>319</v>
      </c>
      <c r="H1991" s="60">
        <v>909.09</v>
      </c>
      <c r="I1991" s="228">
        <v>190.91</v>
      </c>
      <c r="J1991" s="229"/>
      <c r="K1991" s="229"/>
      <c r="L1991" s="229">
        <f>SUM(ventas_b_mes11[[#This Row],[IMPORTE NETO]:[EXENTO]])</f>
        <v>1100</v>
      </c>
      <c r="M1991" s="55"/>
    </row>
    <row r="1992" spans="2:13" x14ac:dyDescent="0.3">
      <c r="B1992" s="223">
        <v>44842</v>
      </c>
      <c r="C1992" s="224">
        <v>6</v>
      </c>
      <c r="D1992" s="225">
        <v>10</v>
      </c>
      <c r="E1992" s="226">
        <v>42675</v>
      </c>
      <c r="F1992" s="227">
        <v>38625937</v>
      </c>
      <c r="G1992" s="1" t="s">
        <v>144</v>
      </c>
      <c r="H1992" s="60">
        <v>1239.67</v>
      </c>
      <c r="I1992" s="228">
        <v>260.33</v>
      </c>
      <c r="J1992" s="229"/>
      <c r="K1992" s="229"/>
      <c r="L1992" s="229">
        <f>SUM(ventas_b_mes11[[#This Row],[IMPORTE NETO]:[EXENTO]])</f>
        <v>1500</v>
      </c>
      <c r="M1992" s="55"/>
    </row>
    <row r="1993" spans="2:13" x14ac:dyDescent="0.3">
      <c r="B1993" s="223">
        <v>44842</v>
      </c>
      <c r="C1993" s="224">
        <v>6</v>
      </c>
      <c r="D1993" s="225">
        <v>10</v>
      </c>
      <c r="E1993" s="226">
        <v>42676</v>
      </c>
      <c r="F1993" s="227">
        <v>32736876</v>
      </c>
      <c r="G1993" s="1" t="s">
        <v>213</v>
      </c>
      <c r="H1993" s="60">
        <v>4438.0200000000004</v>
      </c>
      <c r="I1993" s="228">
        <v>931.98</v>
      </c>
      <c r="J1993" s="229"/>
      <c r="K1993" s="229"/>
      <c r="L1993" s="229">
        <f>SUM(ventas_b_mes11[[#This Row],[IMPORTE NETO]:[EXENTO]])</f>
        <v>5370</v>
      </c>
      <c r="M1993" s="55"/>
    </row>
    <row r="1994" spans="2:13" x14ac:dyDescent="0.3">
      <c r="B1994" s="223">
        <v>44842</v>
      </c>
      <c r="C1994" s="224">
        <v>6</v>
      </c>
      <c r="D1994" s="225">
        <v>10</v>
      </c>
      <c r="E1994" s="226">
        <v>42677</v>
      </c>
      <c r="F1994" s="227">
        <v>25978968</v>
      </c>
      <c r="G1994" s="1" t="s">
        <v>394</v>
      </c>
      <c r="H1994" s="60">
        <v>280.99</v>
      </c>
      <c r="I1994" s="228">
        <v>59.01</v>
      </c>
      <c r="J1994" s="229"/>
      <c r="K1994" s="229"/>
      <c r="L1994" s="229">
        <f>SUM(ventas_b_mes11[[#This Row],[IMPORTE NETO]:[EXENTO]])</f>
        <v>340</v>
      </c>
      <c r="M1994" s="55"/>
    </row>
    <row r="1995" spans="2:13" x14ac:dyDescent="0.3">
      <c r="B1995" s="223">
        <v>44842</v>
      </c>
      <c r="C1995" s="224">
        <v>6</v>
      </c>
      <c r="D1995" s="225">
        <v>10</v>
      </c>
      <c r="E1995" s="226">
        <v>42678</v>
      </c>
      <c r="F1995" s="227">
        <v>25978968</v>
      </c>
      <c r="G1995" s="1" t="s">
        <v>394</v>
      </c>
      <c r="H1995" s="60">
        <v>12561.98</v>
      </c>
      <c r="I1995" s="228">
        <v>2638.02</v>
      </c>
      <c r="J1995" s="229"/>
      <c r="K1995" s="229"/>
      <c r="L1995" s="229">
        <f>SUM(ventas_b_mes11[[#This Row],[IMPORTE NETO]:[EXENTO]])</f>
        <v>15200</v>
      </c>
      <c r="M1995" s="55"/>
    </row>
    <row r="1996" spans="2:13" x14ac:dyDescent="0.3">
      <c r="B1996" s="223">
        <v>44842</v>
      </c>
      <c r="C1996" s="224">
        <v>6</v>
      </c>
      <c r="D1996" s="225">
        <v>10</v>
      </c>
      <c r="E1996" s="226">
        <v>42679</v>
      </c>
      <c r="F1996" s="227">
        <v>12345669</v>
      </c>
      <c r="G1996" s="1" t="s">
        <v>373</v>
      </c>
      <c r="H1996" s="60">
        <v>438.77</v>
      </c>
      <c r="I1996" s="228">
        <v>92.14</v>
      </c>
      <c r="J1996" s="229"/>
      <c r="K1996" s="229"/>
      <c r="L1996" s="229">
        <f>SUM(ventas_b_mes11[[#This Row],[IMPORTE NETO]:[EXENTO]])</f>
        <v>530.91</v>
      </c>
      <c r="M1996" s="55"/>
    </row>
    <row r="1997" spans="2:13" x14ac:dyDescent="0.3">
      <c r="B1997" s="223">
        <v>44842</v>
      </c>
      <c r="C1997" s="224">
        <v>6</v>
      </c>
      <c r="D1997" s="225">
        <v>10</v>
      </c>
      <c r="E1997" s="226">
        <v>42680</v>
      </c>
      <c r="F1997" s="227">
        <v>30712238190</v>
      </c>
      <c r="G1997" s="1" t="s">
        <v>343</v>
      </c>
      <c r="H1997" s="60">
        <v>16719.02</v>
      </c>
      <c r="I1997" s="228">
        <v>3511</v>
      </c>
      <c r="J1997" s="229"/>
      <c r="K1997" s="229"/>
      <c r="L1997" s="229">
        <f>SUM(ventas_b_mes11[[#This Row],[IMPORTE NETO]:[EXENTO]])</f>
        <v>20230.02</v>
      </c>
      <c r="M1997" s="55"/>
    </row>
    <row r="1998" spans="2:13" x14ac:dyDescent="0.3">
      <c r="B1998" s="223">
        <v>44842</v>
      </c>
      <c r="C1998" s="224">
        <v>6</v>
      </c>
      <c r="D1998" s="225">
        <v>10</v>
      </c>
      <c r="E1998" s="226">
        <v>42681</v>
      </c>
      <c r="F1998" s="227">
        <v>39321330</v>
      </c>
      <c r="G1998" s="1" t="s">
        <v>393</v>
      </c>
      <c r="H1998" s="60">
        <v>4958.68</v>
      </c>
      <c r="I1998" s="228">
        <v>1041.32</v>
      </c>
      <c r="J1998" s="229"/>
      <c r="K1998" s="229"/>
      <c r="L1998" s="229">
        <f>SUM(ventas_b_mes11[[#This Row],[IMPORTE NETO]:[EXENTO]])</f>
        <v>6000</v>
      </c>
      <c r="M1998" s="55"/>
    </row>
    <row r="1999" spans="2:13" x14ac:dyDescent="0.3">
      <c r="B1999" s="223">
        <v>44842</v>
      </c>
      <c r="C1999" s="224">
        <v>6</v>
      </c>
      <c r="D1999" s="225">
        <v>10</v>
      </c>
      <c r="E1999" s="226">
        <v>42682</v>
      </c>
      <c r="F1999" s="227">
        <v>12953716</v>
      </c>
      <c r="G1999" s="1" t="s">
        <v>383</v>
      </c>
      <c r="H1999" s="60">
        <v>1021.47</v>
      </c>
      <c r="I1999" s="228">
        <v>214.51</v>
      </c>
      <c r="J1999" s="229"/>
      <c r="K1999" s="229"/>
      <c r="L1999" s="229">
        <f>SUM(ventas_b_mes11[[#This Row],[IMPORTE NETO]:[EXENTO]])</f>
        <v>1235.98</v>
      </c>
      <c r="M1999" s="55"/>
    </row>
    <row r="2000" spans="2:13" x14ac:dyDescent="0.3">
      <c r="B2000" s="223">
        <v>44842</v>
      </c>
      <c r="C2000" s="224">
        <v>6</v>
      </c>
      <c r="D2000" s="225">
        <v>10</v>
      </c>
      <c r="E2000" s="226">
        <v>42683</v>
      </c>
      <c r="F2000" s="227">
        <v>35969790</v>
      </c>
      <c r="G2000" s="1" t="s">
        <v>376</v>
      </c>
      <c r="H2000" s="60">
        <v>929.75</v>
      </c>
      <c r="I2000" s="228">
        <v>195.25</v>
      </c>
      <c r="J2000" s="229"/>
      <c r="K2000" s="229"/>
      <c r="L2000" s="229">
        <f>SUM(ventas_b_mes11[[#This Row],[IMPORTE NETO]:[EXENTO]])</f>
        <v>1125</v>
      </c>
      <c r="M2000" s="55"/>
    </row>
    <row r="2001" spans="2:13" x14ac:dyDescent="0.3">
      <c r="B2001" s="223">
        <v>44842</v>
      </c>
      <c r="C2001" s="224">
        <v>6</v>
      </c>
      <c r="D2001" s="225">
        <v>10</v>
      </c>
      <c r="E2001" s="226">
        <v>42684</v>
      </c>
      <c r="F2001" s="227">
        <v>34454281</v>
      </c>
      <c r="G2001" s="1" t="s">
        <v>151</v>
      </c>
      <c r="H2001" s="60">
        <v>1041.33</v>
      </c>
      <c r="I2001" s="228">
        <v>218.68</v>
      </c>
      <c r="J2001" s="229"/>
      <c r="K2001" s="229"/>
      <c r="L2001" s="229">
        <f>SUM(ventas_b_mes11[[#This Row],[IMPORTE NETO]:[EXENTO]])</f>
        <v>1260.01</v>
      </c>
      <c r="M2001" s="55"/>
    </row>
    <row r="2002" spans="2:13" x14ac:dyDescent="0.3">
      <c r="B2002" s="223">
        <v>44845</v>
      </c>
      <c r="C2002" s="224">
        <v>6</v>
      </c>
      <c r="D2002" s="225">
        <v>10</v>
      </c>
      <c r="E2002" s="226">
        <v>42685</v>
      </c>
      <c r="F2002" s="227">
        <v>13776090</v>
      </c>
      <c r="G2002" s="1" t="s">
        <v>223</v>
      </c>
      <c r="H2002" s="60">
        <v>1264.46</v>
      </c>
      <c r="I2002" s="228">
        <v>265.54000000000002</v>
      </c>
      <c r="J2002" s="229"/>
      <c r="K2002" s="229"/>
      <c r="L2002" s="229">
        <f>SUM(ventas_b_mes11[[#This Row],[IMPORTE NETO]:[EXENTO]])</f>
        <v>1530</v>
      </c>
      <c r="M2002" s="55"/>
    </row>
    <row r="2003" spans="2:13" x14ac:dyDescent="0.3">
      <c r="B2003" s="223" t="s">
        <v>109</v>
      </c>
      <c r="C2003" s="224">
        <v>6</v>
      </c>
      <c r="D2003" s="225">
        <v>10</v>
      </c>
      <c r="E2003" s="226">
        <v>42686</v>
      </c>
      <c r="F2003" s="227">
        <v>28382261</v>
      </c>
      <c r="G2003" s="1" t="s">
        <v>395</v>
      </c>
      <c r="H2003" s="60">
        <v>9818.18</v>
      </c>
      <c r="I2003" s="228">
        <v>2061.8200000000002</v>
      </c>
      <c r="J2003" s="229"/>
      <c r="K2003" s="229"/>
      <c r="L2003" s="229">
        <f>SUM(ventas_b_mes11[[#This Row],[IMPORTE NETO]:[EXENTO]])</f>
        <v>11880</v>
      </c>
      <c r="M2003" s="55"/>
    </row>
    <row r="2004" spans="2:13" x14ac:dyDescent="0.3">
      <c r="B2004" s="223">
        <v>44845</v>
      </c>
      <c r="C2004" s="224">
        <v>6</v>
      </c>
      <c r="D2004" s="225">
        <v>10</v>
      </c>
      <c r="E2004" s="226">
        <v>42687</v>
      </c>
      <c r="F2004" s="227">
        <v>17881248</v>
      </c>
      <c r="G2004" s="1" t="s">
        <v>480</v>
      </c>
      <c r="H2004" s="60">
        <v>2181.83</v>
      </c>
      <c r="I2004" s="228">
        <v>458.18</v>
      </c>
      <c r="J2004" s="229"/>
      <c r="K2004" s="229"/>
      <c r="L2004" s="229">
        <f>SUM(ventas_b_mes11[[#This Row],[IMPORTE NETO]:[EXENTO]])</f>
        <v>2640.0099999999998</v>
      </c>
      <c r="M2004" s="55"/>
    </row>
    <row r="2005" spans="2:13" x14ac:dyDescent="0.3">
      <c r="B2005" s="223">
        <v>44845</v>
      </c>
      <c r="C2005" s="224">
        <v>6</v>
      </c>
      <c r="D2005" s="225">
        <v>10</v>
      </c>
      <c r="E2005" s="226">
        <v>42688</v>
      </c>
      <c r="F2005" s="227">
        <v>28382261</v>
      </c>
      <c r="G2005" s="1" t="s">
        <v>395</v>
      </c>
      <c r="H2005" s="60">
        <v>2115.6999999999998</v>
      </c>
      <c r="I2005" s="228">
        <v>444.3</v>
      </c>
      <c r="J2005" s="229"/>
      <c r="K2005" s="229"/>
      <c r="L2005" s="229">
        <f>SUM(ventas_b_mes11[[#This Row],[IMPORTE NETO]:[EXENTO]])</f>
        <v>2560</v>
      </c>
      <c r="M2005" s="55"/>
    </row>
    <row r="2006" spans="2:13" x14ac:dyDescent="0.3">
      <c r="B2006" s="223">
        <v>44845</v>
      </c>
      <c r="C2006" s="224">
        <v>6</v>
      </c>
      <c r="D2006" s="225">
        <v>10</v>
      </c>
      <c r="E2006" s="226">
        <v>42689</v>
      </c>
      <c r="F2006" s="227">
        <v>28783284</v>
      </c>
      <c r="G2006" s="1" t="s">
        <v>334</v>
      </c>
      <c r="H2006" s="60">
        <v>4958.68</v>
      </c>
      <c r="I2006" s="228">
        <v>1041.32</v>
      </c>
      <c r="J2006" s="229"/>
      <c r="K2006" s="229"/>
      <c r="L2006" s="229">
        <f>SUM(ventas_b_mes11[[#This Row],[IMPORTE NETO]:[EXENTO]])</f>
        <v>6000</v>
      </c>
      <c r="M2006" s="55"/>
    </row>
    <row r="2007" spans="2:13" x14ac:dyDescent="0.3">
      <c r="B2007" s="223" t="s">
        <v>109</v>
      </c>
      <c r="C2007" s="224">
        <v>6</v>
      </c>
      <c r="D2007" s="225">
        <v>10</v>
      </c>
      <c r="E2007" s="226">
        <v>42690</v>
      </c>
      <c r="F2007" s="227">
        <v>34999032089</v>
      </c>
      <c r="G2007" s="1" t="s">
        <v>568</v>
      </c>
      <c r="H2007" s="60">
        <v>4958.68</v>
      </c>
      <c r="I2007" s="228">
        <v>1041.32</v>
      </c>
      <c r="J2007" s="229"/>
      <c r="K2007" s="229"/>
      <c r="L2007" s="229">
        <f>SUM(ventas_b_mes11[[#This Row],[IMPORTE NETO]:[EXENTO]])</f>
        <v>6000</v>
      </c>
      <c r="M2007" s="55"/>
    </row>
    <row r="2008" spans="2:13" x14ac:dyDescent="0.3">
      <c r="B2008" s="223">
        <v>44845</v>
      </c>
      <c r="C2008" s="224">
        <v>6</v>
      </c>
      <c r="D2008" s="225">
        <v>10</v>
      </c>
      <c r="E2008" s="226">
        <v>42691</v>
      </c>
      <c r="F2008" s="227">
        <v>44266582</v>
      </c>
      <c r="G2008" s="1" t="s">
        <v>519</v>
      </c>
      <c r="H2008" s="60">
        <v>4958.68</v>
      </c>
      <c r="I2008" s="228">
        <v>1041.32</v>
      </c>
      <c r="J2008" s="229"/>
      <c r="K2008" s="229"/>
      <c r="L2008" s="229">
        <f>SUM(ventas_b_mes11[[#This Row],[IMPORTE NETO]:[EXENTO]])</f>
        <v>6000</v>
      </c>
      <c r="M2008" s="55"/>
    </row>
    <row r="2009" spans="2:13" x14ac:dyDescent="0.3">
      <c r="B2009" s="223" t="s">
        <v>109</v>
      </c>
      <c r="C2009" s="224">
        <v>6</v>
      </c>
      <c r="D2009" s="225">
        <v>10</v>
      </c>
      <c r="E2009" s="226">
        <v>42692</v>
      </c>
      <c r="F2009" s="227">
        <v>13776090</v>
      </c>
      <c r="G2009" s="1" t="s">
        <v>223</v>
      </c>
      <c r="H2009" s="60">
        <v>892.56</v>
      </c>
      <c r="I2009" s="228">
        <v>187.44</v>
      </c>
      <c r="J2009" s="229"/>
      <c r="K2009" s="229"/>
      <c r="L2009" s="229">
        <f>SUM(ventas_b_mes11[[#This Row],[IMPORTE NETO]:[EXENTO]])</f>
        <v>1080</v>
      </c>
      <c r="M2009" s="55"/>
    </row>
    <row r="2010" spans="2:13" x14ac:dyDescent="0.3">
      <c r="B2010" s="223" t="s">
        <v>109</v>
      </c>
      <c r="C2010" s="224">
        <v>6</v>
      </c>
      <c r="D2010" s="225">
        <v>10</v>
      </c>
      <c r="E2010" s="226">
        <v>42693</v>
      </c>
      <c r="F2010" s="227">
        <v>12991800</v>
      </c>
      <c r="G2010" s="1" t="s">
        <v>440</v>
      </c>
      <c r="H2010" s="60">
        <v>5157.0200000000004</v>
      </c>
      <c r="I2010" s="228">
        <v>1082.98</v>
      </c>
      <c r="J2010" s="229"/>
      <c r="K2010" s="229"/>
      <c r="L2010" s="229">
        <f>SUM(ventas_b_mes11[[#This Row],[IMPORTE NETO]:[EXENTO]])</f>
        <v>6240</v>
      </c>
      <c r="M2010" s="55"/>
    </row>
    <row r="2011" spans="2:13" x14ac:dyDescent="0.3">
      <c r="B2011" s="223">
        <v>44845</v>
      </c>
      <c r="C2011" s="224">
        <v>6</v>
      </c>
      <c r="D2011" s="225">
        <v>10</v>
      </c>
      <c r="E2011" s="226">
        <v>42694</v>
      </c>
      <c r="F2011" s="227">
        <v>0</v>
      </c>
      <c r="G2011" s="1"/>
      <c r="H2011" s="60">
        <v>1256.2</v>
      </c>
      <c r="I2011" s="228">
        <v>263.8</v>
      </c>
      <c r="J2011" s="229"/>
      <c r="K2011" s="229"/>
      <c r="L2011" s="229">
        <f>SUM(ventas_b_mes11[[#This Row],[IMPORTE NETO]:[EXENTO]])</f>
        <v>1520</v>
      </c>
      <c r="M2011" s="55"/>
    </row>
    <row r="2012" spans="2:13" x14ac:dyDescent="0.3">
      <c r="B2012" s="223">
        <v>44845</v>
      </c>
      <c r="C2012" s="224">
        <v>6</v>
      </c>
      <c r="D2012" s="225">
        <v>10</v>
      </c>
      <c r="E2012" s="226">
        <v>42695</v>
      </c>
      <c r="F2012" s="227">
        <v>0</v>
      </c>
      <c r="G2012" s="1"/>
      <c r="H2012" s="60">
        <v>2082.64</v>
      </c>
      <c r="I2012" s="228">
        <v>437.36</v>
      </c>
      <c r="J2012" s="229"/>
      <c r="K2012" s="229"/>
      <c r="L2012" s="229">
        <f>SUM(ventas_b_mes11[[#This Row],[IMPORTE NETO]:[EXENTO]])</f>
        <v>2520</v>
      </c>
      <c r="M2012" s="55"/>
    </row>
    <row r="2013" spans="2:13" x14ac:dyDescent="0.3">
      <c r="B2013" s="223">
        <v>44845</v>
      </c>
      <c r="C2013" s="224">
        <v>6</v>
      </c>
      <c r="D2013" s="225">
        <v>10</v>
      </c>
      <c r="E2013" s="226">
        <v>42696</v>
      </c>
      <c r="F2013" s="227">
        <v>38497343</v>
      </c>
      <c r="G2013" s="1" t="s">
        <v>484</v>
      </c>
      <c r="H2013" s="60">
        <v>4504.13</v>
      </c>
      <c r="I2013" s="228">
        <v>945.87</v>
      </c>
      <c r="J2013" s="229"/>
      <c r="K2013" s="229"/>
      <c r="L2013" s="229">
        <f>SUM(ventas_b_mes11[[#This Row],[IMPORTE NETO]:[EXENTO]])</f>
        <v>5450</v>
      </c>
      <c r="M2013" s="55"/>
    </row>
    <row r="2014" spans="2:13" x14ac:dyDescent="0.3">
      <c r="B2014" s="223">
        <v>44845</v>
      </c>
      <c r="C2014" s="224">
        <v>6</v>
      </c>
      <c r="D2014" s="225">
        <v>10</v>
      </c>
      <c r="E2014" s="226">
        <v>42697</v>
      </c>
      <c r="F2014" s="227">
        <v>34837345</v>
      </c>
      <c r="G2014" s="1" t="s">
        <v>481</v>
      </c>
      <c r="H2014" s="60">
        <v>4272.7299999999996</v>
      </c>
      <c r="I2014" s="228">
        <v>897.27</v>
      </c>
      <c r="J2014" s="229"/>
      <c r="K2014" s="229"/>
      <c r="L2014" s="229">
        <f>SUM(ventas_b_mes11[[#This Row],[IMPORTE NETO]:[EXENTO]])</f>
        <v>5170</v>
      </c>
      <c r="M2014" s="55"/>
    </row>
    <row r="2015" spans="2:13" x14ac:dyDescent="0.3">
      <c r="B2015" s="223">
        <v>44845</v>
      </c>
      <c r="C2015" s="224">
        <v>6</v>
      </c>
      <c r="D2015" s="225">
        <v>10</v>
      </c>
      <c r="E2015" s="226">
        <v>42698</v>
      </c>
      <c r="F2015" s="227">
        <v>23277110</v>
      </c>
      <c r="G2015" s="1" t="s">
        <v>482</v>
      </c>
      <c r="H2015" s="60">
        <v>9876.0300000000007</v>
      </c>
      <c r="I2015" s="228">
        <v>2073.9699999999998</v>
      </c>
      <c r="J2015" s="229"/>
      <c r="K2015" s="229"/>
      <c r="L2015" s="229">
        <f>SUM(ventas_b_mes11[[#This Row],[IMPORTE NETO]:[EXENTO]])</f>
        <v>11950</v>
      </c>
      <c r="M2015" s="55"/>
    </row>
    <row r="2016" spans="2:13" x14ac:dyDescent="0.3">
      <c r="B2016" s="223">
        <v>44845</v>
      </c>
      <c r="C2016" s="224">
        <v>6</v>
      </c>
      <c r="D2016" s="225">
        <v>10</v>
      </c>
      <c r="E2016" s="226">
        <v>42699</v>
      </c>
      <c r="F2016" s="227">
        <v>27602253</v>
      </c>
      <c r="G2016" s="1" t="s">
        <v>207</v>
      </c>
      <c r="H2016" s="60">
        <v>2194.21</v>
      </c>
      <c r="I2016" s="228">
        <v>460.79</v>
      </c>
      <c r="J2016" s="229"/>
      <c r="K2016" s="229"/>
      <c r="L2016" s="229">
        <f>SUM(ventas_b_mes11[[#This Row],[IMPORTE NETO]:[EXENTO]])</f>
        <v>2655</v>
      </c>
      <c r="M2016" s="55"/>
    </row>
    <row r="2017" spans="2:13" x14ac:dyDescent="0.3">
      <c r="B2017" s="223">
        <v>44845</v>
      </c>
      <c r="C2017" s="224">
        <v>6</v>
      </c>
      <c r="D2017" s="225">
        <v>10</v>
      </c>
      <c r="E2017" s="226">
        <v>42700</v>
      </c>
      <c r="F2017" s="227">
        <v>22828203</v>
      </c>
      <c r="G2017" s="1" t="s">
        <v>451</v>
      </c>
      <c r="H2017" s="60">
        <v>5735.54</v>
      </c>
      <c r="I2017" s="228">
        <v>1204.46</v>
      </c>
      <c r="J2017" s="229"/>
      <c r="K2017" s="229"/>
      <c r="L2017" s="229">
        <f>SUM(ventas_b_mes11[[#This Row],[IMPORTE NETO]:[EXENTO]])</f>
        <v>6940</v>
      </c>
      <c r="M2017" s="55"/>
    </row>
    <row r="2018" spans="2:13" x14ac:dyDescent="0.3">
      <c r="B2018" s="223" t="s">
        <v>109</v>
      </c>
      <c r="C2018" s="224">
        <v>6</v>
      </c>
      <c r="D2018" s="225">
        <v>10</v>
      </c>
      <c r="E2018" s="226">
        <v>42701</v>
      </c>
      <c r="F2018" s="227">
        <v>0</v>
      </c>
      <c r="G2018" s="1"/>
      <c r="H2018" s="60">
        <v>2305.79</v>
      </c>
      <c r="I2018" s="228">
        <v>484.21</v>
      </c>
      <c r="J2018" s="229"/>
      <c r="K2018" s="229"/>
      <c r="L2018" s="229">
        <f>SUM(ventas_b_mes11[[#This Row],[IMPORTE NETO]:[EXENTO]])</f>
        <v>2790</v>
      </c>
      <c r="M2018" s="55"/>
    </row>
    <row r="2019" spans="2:13" x14ac:dyDescent="0.3">
      <c r="B2019" s="223" t="s">
        <v>109</v>
      </c>
      <c r="C2019" s="224">
        <v>6</v>
      </c>
      <c r="D2019" s="225">
        <v>10</v>
      </c>
      <c r="E2019" s="226">
        <v>42702</v>
      </c>
      <c r="F2019" s="227">
        <v>0</v>
      </c>
      <c r="G2019" s="1"/>
      <c r="H2019" s="60">
        <v>3214.88</v>
      </c>
      <c r="I2019" s="228">
        <v>675.12</v>
      </c>
      <c r="J2019" s="229"/>
      <c r="K2019" s="229"/>
      <c r="L2019" s="229">
        <f>SUM(ventas_b_mes11[[#This Row],[IMPORTE NETO]:[EXENTO]])</f>
        <v>3890</v>
      </c>
      <c r="M2019" s="55"/>
    </row>
    <row r="2020" spans="2:13" x14ac:dyDescent="0.3">
      <c r="B2020" s="223" t="s">
        <v>109</v>
      </c>
      <c r="C2020" s="224">
        <v>6</v>
      </c>
      <c r="D2020" s="225">
        <v>10</v>
      </c>
      <c r="E2020" s="226">
        <v>42703</v>
      </c>
      <c r="F2020" s="227">
        <v>0</v>
      </c>
      <c r="G2020" s="1"/>
      <c r="H2020" s="60">
        <v>2752.07</v>
      </c>
      <c r="I2020" s="228">
        <v>577.92999999999995</v>
      </c>
      <c r="J2020" s="229"/>
      <c r="K2020" s="229"/>
      <c r="L2020" s="229">
        <f>SUM(ventas_b_mes11[[#This Row],[IMPORTE NETO]:[EXENTO]])</f>
        <v>3330</v>
      </c>
      <c r="M2020" s="55"/>
    </row>
    <row r="2021" spans="2:13" x14ac:dyDescent="0.3">
      <c r="B2021" s="223" t="s">
        <v>109</v>
      </c>
      <c r="C2021" s="224">
        <v>6</v>
      </c>
      <c r="D2021" s="225">
        <v>10</v>
      </c>
      <c r="E2021" s="226">
        <v>42704</v>
      </c>
      <c r="F2021" s="227">
        <v>24933620</v>
      </c>
      <c r="G2021" s="1" t="s">
        <v>555</v>
      </c>
      <c r="H2021" s="60">
        <v>4578.51</v>
      </c>
      <c r="I2021" s="228">
        <v>961.49</v>
      </c>
      <c r="J2021" s="229"/>
      <c r="K2021" s="229"/>
      <c r="L2021" s="229">
        <f>SUM(ventas_b_mes11[[#This Row],[IMPORTE NETO]:[EXENTO]])</f>
        <v>5540</v>
      </c>
      <c r="M2021" s="55"/>
    </row>
    <row r="2022" spans="2:13" x14ac:dyDescent="0.3">
      <c r="B2022" s="223" t="s">
        <v>109</v>
      </c>
      <c r="C2022" s="224">
        <v>6</v>
      </c>
      <c r="D2022" s="225">
        <v>10</v>
      </c>
      <c r="E2022" s="226">
        <v>42705</v>
      </c>
      <c r="F2022" s="227">
        <v>0</v>
      </c>
      <c r="G2022" s="1"/>
      <c r="H2022" s="60">
        <v>2752.07</v>
      </c>
      <c r="I2022" s="228">
        <v>577.92999999999995</v>
      </c>
      <c r="J2022" s="229"/>
      <c r="K2022" s="229"/>
      <c r="L2022" s="229">
        <f>SUM(ventas_b_mes11[[#This Row],[IMPORTE NETO]:[EXENTO]])</f>
        <v>3330</v>
      </c>
      <c r="M2022" s="55"/>
    </row>
    <row r="2023" spans="2:13" x14ac:dyDescent="0.3">
      <c r="B2023" s="223" t="s">
        <v>109</v>
      </c>
      <c r="C2023" s="224">
        <v>6</v>
      </c>
      <c r="D2023" s="225">
        <v>10</v>
      </c>
      <c r="E2023" s="226">
        <v>42706</v>
      </c>
      <c r="F2023" s="227">
        <v>20423269</v>
      </c>
      <c r="G2023" s="1" t="s">
        <v>556</v>
      </c>
      <c r="H2023" s="60">
        <v>6314.04</v>
      </c>
      <c r="I2023" s="228">
        <v>1325.95</v>
      </c>
      <c r="J2023" s="229"/>
      <c r="K2023" s="229"/>
      <c r="L2023" s="229">
        <f>SUM(ventas_b_mes11[[#This Row],[IMPORTE NETO]:[EXENTO]])</f>
        <v>7639.99</v>
      </c>
      <c r="M2023" s="55"/>
    </row>
    <row r="2024" spans="2:13" x14ac:dyDescent="0.3">
      <c r="B2024" s="223">
        <v>44845</v>
      </c>
      <c r="C2024" s="224">
        <v>6</v>
      </c>
      <c r="D2024" s="225">
        <v>10</v>
      </c>
      <c r="E2024" s="226">
        <v>42707</v>
      </c>
      <c r="F2024" s="227">
        <v>0</v>
      </c>
      <c r="G2024" s="1"/>
      <c r="H2024" s="60">
        <v>1818.18</v>
      </c>
      <c r="I2024" s="228">
        <v>381.82</v>
      </c>
      <c r="J2024" s="229"/>
      <c r="K2024" s="229"/>
      <c r="L2024" s="229">
        <f>SUM(ventas_b_mes11[[#This Row],[IMPORTE NETO]:[EXENTO]])</f>
        <v>2200</v>
      </c>
      <c r="M2024" s="55"/>
    </row>
    <row r="2025" spans="2:13" x14ac:dyDescent="0.3">
      <c r="B2025" s="223">
        <v>44845</v>
      </c>
      <c r="C2025" s="224">
        <v>6</v>
      </c>
      <c r="D2025" s="225">
        <v>10</v>
      </c>
      <c r="E2025" s="226">
        <v>42708</v>
      </c>
      <c r="F2025" s="227">
        <v>0</v>
      </c>
      <c r="G2025" s="1"/>
      <c r="H2025" s="60">
        <v>2917.35</v>
      </c>
      <c r="I2025" s="228">
        <v>612.64</v>
      </c>
      <c r="J2025" s="229"/>
      <c r="K2025" s="229"/>
      <c r="L2025" s="229">
        <f>SUM(ventas_b_mes11[[#This Row],[IMPORTE NETO]:[EXENTO]])</f>
        <v>3529.99</v>
      </c>
      <c r="M2025" s="55"/>
    </row>
    <row r="2026" spans="2:13" x14ac:dyDescent="0.3">
      <c r="B2026" s="223">
        <v>44845</v>
      </c>
      <c r="C2026" s="224">
        <v>6</v>
      </c>
      <c r="D2026" s="225">
        <v>10</v>
      </c>
      <c r="E2026" s="226">
        <v>42709</v>
      </c>
      <c r="F2026" s="227">
        <v>0</v>
      </c>
      <c r="G2026" s="1"/>
      <c r="H2026" s="60">
        <v>2900.83</v>
      </c>
      <c r="I2026" s="228">
        <v>609.17999999999995</v>
      </c>
      <c r="J2026" s="229"/>
      <c r="K2026" s="229"/>
      <c r="L2026" s="229">
        <f>SUM(ventas_b_mes11[[#This Row],[IMPORTE NETO]:[EXENTO]])</f>
        <v>3510.0099999999998</v>
      </c>
      <c r="M2026" s="55"/>
    </row>
    <row r="2027" spans="2:13" x14ac:dyDescent="0.3">
      <c r="B2027" s="223">
        <v>44845</v>
      </c>
      <c r="C2027" s="224">
        <v>6</v>
      </c>
      <c r="D2027" s="225">
        <v>10</v>
      </c>
      <c r="E2027" s="226">
        <v>42710</v>
      </c>
      <c r="F2027" s="227">
        <v>25859235</v>
      </c>
      <c r="G2027" s="1" t="s">
        <v>532</v>
      </c>
      <c r="H2027" s="60">
        <v>7223.14</v>
      </c>
      <c r="I2027" s="228">
        <v>1516.86</v>
      </c>
      <c r="J2027" s="229"/>
      <c r="K2027" s="229"/>
      <c r="L2027" s="229">
        <f>SUM(ventas_b_mes11[[#This Row],[IMPORTE NETO]:[EXENTO]])</f>
        <v>8740</v>
      </c>
      <c r="M2027" s="55"/>
    </row>
    <row r="2028" spans="2:13" x14ac:dyDescent="0.3">
      <c r="B2028" s="223">
        <v>44845</v>
      </c>
      <c r="C2028" s="224">
        <v>6</v>
      </c>
      <c r="D2028" s="225">
        <v>10</v>
      </c>
      <c r="E2028" s="226">
        <v>42711</v>
      </c>
      <c r="F2028" s="227">
        <v>14884363</v>
      </c>
      <c r="G2028" s="1" t="s">
        <v>533</v>
      </c>
      <c r="H2028" s="60">
        <v>8644.64</v>
      </c>
      <c r="I2028" s="228">
        <v>1815.37</v>
      </c>
      <c r="J2028" s="229"/>
      <c r="K2028" s="229"/>
      <c r="L2028" s="229">
        <f>SUM(ventas_b_mes11[[#This Row],[IMPORTE NETO]:[EXENTO]])</f>
        <v>10460.009999999998</v>
      </c>
      <c r="M2028" s="55"/>
    </row>
    <row r="2029" spans="2:13" x14ac:dyDescent="0.3">
      <c r="B2029" s="223">
        <v>44845</v>
      </c>
      <c r="C2029" s="224">
        <v>6</v>
      </c>
      <c r="D2029" s="225">
        <v>10</v>
      </c>
      <c r="E2029" s="226">
        <v>42712</v>
      </c>
      <c r="F2029" s="227">
        <v>0</v>
      </c>
      <c r="G2029" s="1"/>
      <c r="H2029" s="60">
        <v>1115.7</v>
      </c>
      <c r="I2029" s="228">
        <v>234.3</v>
      </c>
      <c r="J2029" s="229"/>
      <c r="K2029" s="229"/>
      <c r="L2029" s="229">
        <f>SUM(ventas_b_mes11[[#This Row],[IMPORTE NETO]:[EXENTO]])</f>
        <v>1350</v>
      </c>
      <c r="M2029" s="55"/>
    </row>
    <row r="2030" spans="2:13" x14ac:dyDescent="0.3">
      <c r="B2030" s="223">
        <v>44845</v>
      </c>
      <c r="C2030" s="224">
        <v>6</v>
      </c>
      <c r="D2030" s="225">
        <v>10</v>
      </c>
      <c r="E2030" s="226">
        <v>42713</v>
      </c>
      <c r="F2030" s="227">
        <v>17557364</v>
      </c>
      <c r="G2030" s="1" t="s">
        <v>534</v>
      </c>
      <c r="H2030" s="60">
        <v>5429.74</v>
      </c>
      <c r="I2030" s="228">
        <v>1140.24</v>
      </c>
      <c r="J2030" s="229"/>
      <c r="K2030" s="229"/>
      <c r="L2030" s="229">
        <f>SUM(ventas_b_mes11[[#This Row],[IMPORTE NETO]:[EXENTO]])</f>
        <v>6569.98</v>
      </c>
      <c r="M2030" s="55"/>
    </row>
    <row r="2031" spans="2:13" x14ac:dyDescent="0.3">
      <c r="B2031" s="223">
        <v>44845</v>
      </c>
      <c r="C2031" s="224">
        <v>6</v>
      </c>
      <c r="D2031" s="225">
        <v>10</v>
      </c>
      <c r="E2031" s="226">
        <v>42714</v>
      </c>
      <c r="F2031" s="227">
        <v>25661286</v>
      </c>
      <c r="G2031" s="1" t="s">
        <v>535</v>
      </c>
      <c r="H2031" s="60">
        <v>5975.21</v>
      </c>
      <c r="I2031" s="228">
        <v>1254.79</v>
      </c>
      <c r="J2031" s="229"/>
      <c r="K2031" s="229"/>
      <c r="L2031" s="229">
        <f>SUM(ventas_b_mes11[[#This Row],[IMPORTE NETO]:[EXENTO]])</f>
        <v>7230</v>
      </c>
      <c r="M2031" s="55"/>
    </row>
    <row r="2032" spans="2:13" x14ac:dyDescent="0.3">
      <c r="B2032" s="223">
        <v>44845</v>
      </c>
      <c r="C2032" s="224">
        <v>6</v>
      </c>
      <c r="D2032" s="225">
        <v>10</v>
      </c>
      <c r="E2032" s="226">
        <v>42715</v>
      </c>
      <c r="F2032" s="227">
        <v>17618988</v>
      </c>
      <c r="G2032" s="1"/>
      <c r="H2032" s="60">
        <v>2929.34</v>
      </c>
      <c r="I2032" s="228">
        <v>615.16</v>
      </c>
      <c r="J2032" s="229"/>
      <c r="K2032" s="229"/>
      <c r="L2032" s="229">
        <f>SUM(ventas_b_mes11[[#This Row],[IMPORTE NETO]:[EXENTO]])</f>
        <v>3544.5</v>
      </c>
      <c r="M2032" s="55"/>
    </row>
    <row r="2033" spans="2:13" x14ac:dyDescent="0.3">
      <c r="B2033" s="223">
        <v>44845</v>
      </c>
      <c r="C2033" s="224">
        <v>6</v>
      </c>
      <c r="D2033" s="225">
        <v>10</v>
      </c>
      <c r="E2033" s="226">
        <v>42716</v>
      </c>
      <c r="F2033" s="227">
        <v>0</v>
      </c>
      <c r="G2033" s="1"/>
      <c r="H2033" s="60">
        <v>1975.21</v>
      </c>
      <c r="I2033" s="228">
        <v>414.79</v>
      </c>
      <c r="J2033" s="229"/>
      <c r="K2033" s="229"/>
      <c r="L2033" s="229">
        <f>SUM(ventas_b_mes11[[#This Row],[IMPORTE NETO]:[EXENTO]])</f>
        <v>2390</v>
      </c>
      <c r="M2033" s="55"/>
    </row>
    <row r="2034" spans="2:13" x14ac:dyDescent="0.3">
      <c r="B2034" s="223">
        <v>44845</v>
      </c>
      <c r="C2034" s="224">
        <v>6</v>
      </c>
      <c r="D2034" s="225">
        <v>10</v>
      </c>
      <c r="E2034" s="226">
        <v>42717</v>
      </c>
      <c r="F2034" s="227">
        <v>10139335</v>
      </c>
      <c r="G2034" s="1" t="s">
        <v>426</v>
      </c>
      <c r="H2034" s="60">
        <v>4082.64</v>
      </c>
      <c r="I2034" s="228">
        <v>857.36</v>
      </c>
      <c r="J2034" s="229"/>
      <c r="K2034" s="229"/>
      <c r="L2034" s="229">
        <f>SUM(ventas_b_mes11[[#This Row],[IMPORTE NETO]:[EXENTO]])</f>
        <v>4940</v>
      </c>
      <c r="M2034" s="55"/>
    </row>
    <row r="2035" spans="2:13" x14ac:dyDescent="0.3">
      <c r="B2035" s="223">
        <v>44845</v>
      </c>
      <c r="C2035" s="224">
        <v>6</v>
      </c>
      <c r="D2035" s="225">
        <v>10</v>
      </c>
      <c r="E2035" s="226">
        <v>42718</v>
      </c>
      <c r="F2035" s="227">
        <v>29392946</v>
      </c>
      <c r="G2035" s="1"/>
      <c r="H2035" s="60">
        <v>4033.06</v>
      </c>
      <c r="I2035" s="228">
        <v>846.94</v>
      </c>
      <c r="J2035" s="229"/>
      <c r="K2035" s="229"/>
      <c r="L2035" s="229">
        <f>SUM(ventas_b_mes11[[#This Row],[IMPORTE NETO]:[EXENTO]])</f>
        <v>4880</v>
      </c>
      <c r="M2035" s="55"/>
    </row>
    <row r="2036" spans="2:13" x14ac:dyDescent="0.3">
      <c r="B2036" s="223">
        <v>44845</v>
      </c>
      <c r="C2036" s="224">
        <v>6</v>
      </c>
      <c r="D2036" s="225">
        <v>10</v>
      </c>
      <c r="E2036" s="226">
        <v>42719</v>
      </c>
      <c r="F2036" s="227">
        <v>0</v>
      </c>
      <c r="G2036" s="1"/>
      <c r="H2036" s="60">
        <v>3157.02</v>
      </c>
      <c r="I2036" s="228">
        <v>662.98</v>
      </c>
      <c r="J2036" s="229"/>
      <c r="K2036" s="229"/>
      <c r="L2036" s="229">
        <f>SUM(ventas_b_mes11[[#This Row],[IMPORTE NETO]:[EXENTO]])</f>
        <v>3820</v>
      </c>
      <c r="M2036" s="55"/>
    </row>
    <row r="2037" spans="2:13" x14ac:dyDescent="0.3">
      <c r="B2037" s="223">
        <v>44845</v>
      </c>
      <c r="C2037" s="224">
        <v>6</v>
      </c>
      <c r="D2037" s="225">
        <v>10</v>
      </c>
      <c r="E2037" s="226">
        <v>42720</v>
      </c>
      <c r="F2037" s="227">
        <v>12345678</v>
      </c>
      <c r="G2037" s="1"/>
      <c r="H2037" s="60">
        <v>2892.56</v>
      </c>
      <c r="I2037" s="228">
        <v>607.44000000000005</v>
      </c>
      <c r="J2037" s="229"/>
      <c r="K2037" s="229"/>
      <c r="L2037" s="229">
        <f>SUM(ventas_b_mes11[[#This Row],[IMPORTE NETO]:[EXENTO]])</f>
        <v>3500</v>
      </c>
      <c r="M2037" s="55"/>
    </row>
    <row r="2038" spans="2:13" x14ac:dyDescent="0.3">
      <c r="B2038" s="223">
        <v>44845</v>
      </c>
      <c r="C2038" s="224">
        <v>6</v>
      </c>
      <c r="D2038" s="225">
        <v>10</v>
      </c>
      <c r="E2038" s="226">
        <v>42721</v>
      </c>
      <c r="F2038" s="227">
        <v>0</v>
      </c>
      <c r="G2038" s="1"/>
      <c r="H2038" s="60">
        <v>3214.87</v>
      </c>
      <c r="I2038" s="228">
        <v>675.12</v>
      </c>
      <c r="J2038" s="229"/>
      <c r="K2038" s="229"/>
      <c r="L2038" s="229">
        <f>SUM(ventas_b_mes11[[#This Row],[IMPORTE NETO]:[EXENTO]])</f>
        <v>3889.99</v>
      </c>
      <c r="M2038" s="55"/>
    </row>
    <row r="2039" spans="2:13" x14ac:dyDescent="0.3">
      <c r="B2039" s="223">
        <v>44845</v>
      </c>
      <c r="C2039" s="224">
        <v>6</v>
      </c>
      <c r="D2039" s="225">
        <v>10</v>
      </c>
      <c r="E2039" s="226">
        <v>42722</v>
      </c>
      <c r="F2039" s="227">
        <v>0</v>
      </c>
      <c r="G2039" s="1"/>
      <c r="H2039" s="60">
        <v>3586.77</v>
      </c>
      <c r="I2039" s="228">
        <v>753.22</v>
      </c>
      <c r="J2039" s="229"/>
      <c r="K2039" s="229"/>
      <c r="L2039" s="229">
        <f>SUM(ventas_b_mes11[[#This Row],[IMPORTE NETO]:[EXENTO]])</f>
        <v>4339.99</v>
      </c>
      <c r="M2039" s="55"/>
    </row>
    <row r="2040" spans="2:13" x14ac:dyDescent="0.3">
      <c r="B2040" s="223">
        <v>44845</v>
      </c>
      <c r="C2040" s="224">
        <v>6</v>
      </c>
      <c r="D2040" s="225">
        <v>10</v>
      </c>
      <c r="E2040" s="226">
        <v>42723</v>
      </c>
      <c r="F2040" s="227">
        <v>0</v>
      </c>
      <c r="G2040" s="1"/>
      <c r="H2040" s="60">
        <v>2958.68</v>
      </c>
      <c r="I2040" s="228">
        <v>621.32000000000005</v>
      </c>
      <c r="J2040" s="229"/>
      <c r="K2040" s="229"/>
      <c r="L2040" s="229">
        <f>SUM(ventas_b_mes11[[#This Row],[IMPORTE NETO]:[EXENTO]])</f>
        <v>3580</v>
      </c>
      <c r="M2040" s="55"/>
    </row>
    <row r="2041" spans="2:13" x14ac:dyDescent="0.3">
      <c r="B2041" s="223">
        <v>44845</v>
      </c>
      <c r="C2041" s="224">
        <v>6</v>
      </c>
      <c r="D2041" s="225">
        <v>10</v>
      </c>
      <c r="E2041" s="226">
        <v>42724</v>
      </c>
      <c r="F2041" s="227">
        <v>29392946</v>
      </c>
      <c r="G2041" s="1"/>
      <c r="H2041" s="60">
        <v>4719</v>
      </c>
      <c r="I2041" s="228">
        <v>990.99</v>
      </c>
      <c r="J2041" s="229"/>
      <c r="K2041" s="229"/>
      <c r="L2041" s="229">
        <f>SUM(ventas_b_mes11[[#This Row],[IMPORTE NETO]:[EXENTO]])</f>
        <v>5709.99</v>
      </c>
      <c r="M2041" s="55"/>
    </row>
    <row r="2042" spans="2:13" x14ac:dyDescent="0.3">
      <c r="B2042" s="223">
        <v>44845</v>
      </c>
      <c r="C2042" s="224">
        <v>6</v>
      </c>
      <c r="D2042" s="225">
        <v>10</v>
      </c>
      <c r="E2042" s="226">
        <v>42725</v>
      </c>
      <c r="F2042" s="227">
        <v>6396317</v>
      </c>
      <c r="G2042" s="1"/>
      <c r="H2042" s="60">
        <v>2768.6</v>
      </c>
      <c r="I2042" s="228">
        <v>581.4</v>
      </c>
      <c r="J2042" s="229"/>
      <c r="K2042" s="229"/>
      <c r="L2042" s="229">
        <f>SUM(ventas_b_mes11[[#This Row],[IMPORTE NETO]:[EXENTO]])</f>
        <v>3350</v>
      </c>
      <c r="M2042" s="55"/>
    </row>
    <row r="2043" spans="2:13" x14ac:dyDescent="0.3">
      <c r="B2043" s="223">
        <v>44845</v>
      </c>
      <c r="C2043" s="224">
        <v>6</v>
      </c>
      <c r="D2043" s="225">
        <v>10</v>
      </c>
      <c r="E2043" s="226">
        <v>42726</v>
      </c>
      <c r="F2043" s="227">
        <v>0</v>
      </c>
      <c r="G2043" s="1"/>
      <c r="H2043" s="60">
        <v>2545.4499999999998</v>
      </c>
      <c r="I2043" s="228">
        <v>534.54999999999995</v>
      </c>
      <c r="J2043" s="229"/>
      <c r="K2043" s="229"/>
      <c r="L2043" s="229">
        <f>SUM(ventas_b_mes11[[#This Row],[IMPORTE NETO]:[EXENTO]])</f>
        <v>3080</v>
      </c>
      <c r="M2043" s="55"/>
    </row>
    <row r="2044" spans="2:13" x14ac:dyDescent="0.3">
      <c r="B2044" s="223">
        <v>44845</v>
      </c>
      <c r="C2044" s="224">
        <v>6</v>
      </c>
      <c r="D2044" s="225">
        <v>10</v>
      </c>
      <c r="E2044" s="226">
        <v>42727</v>
      </c>
      <c r="F2044" s="227">
        <v>0</v>
      </c>
      <c r="G2044" s="1"/>
      <c r="H2044" s="60">
        <v>1322.31</v>
      </c>
      <c r="I2044" s="228">
        <v>277.69</v>
      </c>
      <c r="J2044" s="229"/>
      <c r="K2044" s="229"/>
      <c r="L2044" s="229">
        <f>SUM(ventas_b_mes11[[#This Row],[IMPORTE NETO]:[EXENTO]])</f>
        <v>1600</v>
      </c>
      <c r="M2044" s="55"/>
    </row>
    <row r="2045" spans="2:13" x14ac:dyDescent="0.3">
      <c r="B2045" s="223">
        <v>44845</v>
      </c>
      <c r="C2045" s="224">
        <v>6</v>
      </c>
      <c r="D2045" s="225">
        <v>10</v>
      </c>
      <c r="E2045" s="226">
        <v>42728</v>
      </c>
      <c r="F2045" s="227">
        <v>0</v>
      </c>
      <c r="G2045" s="1"/>
      <c r="H2045" s="60">
        <v>3867.77</v>
      </c>
      <c r="I2045" s="228">
        <v>812.23</v>
      </c>
      <c r="J2045" s="229"/>
      <c r="K2045" s="229"/>
      <c r="L2045" s="229">
        <f>SUM(ventas_b_mes11[[#This Row],[IMPORTE NETO]:[EXENTO]])</f>
        <v>4680</v>
      </c>
      <c r="M2045" s="55"/>
    </row>
    <row r="2046" spans="2:13" x14ac:dyDescent="0.3">
      <c r="B2046" s="223">
        <v>44845</v>
      </c>
      <c r="C2046" s="224">
        <v>6</v>
      </c>
      <c r="D2046" s="225">
        <v>10</v>
      </c>
      <c r="E2046" s="226">
        <v>42729</v>
      </c>
      <c r="F2046" s="227">
        <v>44787776</v>
      </c>
      <c r="G2046" s="1" t="s">
        <v>449</v>
      </c>
      <c r="H2046" s="60">
        <v>1264.46</v>
      </c>
      <c r="I2046" s="228">
        <v>265.54000000000002</v>
      </c>
      <c r="J2046" s="229"/>
      <c r="K2046" s="229"/>
      <c r="L2046" s="229">
        <f>SUM(ventas_b_mes11[[#This Row],[IMPORTE NETO]:[EXENTO]])</f>
        <v>1530</v>
      </c>
      <c r="M2046" s="55"/>
    </row>
    <row r="2047" spans="2:13" x14ac:dyDescent="0.3">
      <c r="B2047" s="223">
        <v>44845</v>
      </c>
      <c r="C2047" s="224">
        <v>6</v>
      </c>
      <c r="D2047" s="225">
        <v>10</v>
      </c>
      <c r="E2047" s="226">
        <v>42730</v>
      </c>
      <c r="F2047" s="227">
        <v>22709320</v>
      </c>
      <c r="G2047" s="1" t="s">
        <v>199</v>
      </c>
      <c r="H2047" s="60">
        <v>7636.36</v>
      </c>
      <c r="I2047" s="228">
        <v>1603.64</v>
      </c>
      <c r="J2047" s="229"/>
      <c r="K2047" s="229"/>
      <c r="L2047" s="229">
        <f>SUM(ventas_b_mes11[[#This Row],[IMPORTE NETO]:[EXENTO]])</f>
        <v>9240</v>
      </c>
      <c r="M2047" s="55"/>
    </row>
    <row r="2048" spans="2:13" x14ac:dyDescent="0.3">
      <c r="B2048" s="223">
        <v>44845</v>
      </c>
      <c r="C2048" s="224">
        <v>6</v>
      </c>
      <c r="D2048" s="225">
        <v>10</v>
      </c>
      <c r="E2048" s="226">
        <v>42731</v>
      </c>
      <c r="F2048" s="227">
        <v>28493986</v>
      </c>
      <c r="G2048" s="1" t="s">
        <v>448</v>
      </c>
      <c r="H2048" s="60">
        <v>5727.26</v>
      </c>
      <c r="I2048" s="228">
        <v>1202.72</v>
      </c>
      <c r="J2048" s="229"/>
      <c r="K2048" s="229"/>
      <c r="L2048" s="229">
        <f>SUM(ventas_b_mes11[[#This Row],[IMPORTE NETO]:[EXENTO]])</f>
        <v>6929.9800000000005</v>
      </c>
      <c r="M2048" s="55"/>
    </row>
    <row r="2049" spans="2:13" x14ac:dyDescent="0.3">
      <c r="B2049" s="223">
        <v>44845</v>
      </c>
      <c r="C2049" s="224">
        <v>6</v>
      </c>
      <c r="D2049" s="225">
        <v>10</v>
      </c>
      <c r="E2049" s="226">
        <v>42732</v>
      </c>
      <c r="F2049" s="227">
        <v>0</v>
      </c>
      <c r="G2049" s="1"/>
      <c r="H2049" s="60">
        <v>619.83000000000004</v>
      </c>
      <c r="I2049" s="228">
        <v>130.16999999999999</v>
      </c>
      <c r="J2049" s="229"/>
      <c r="K2049" s="229"/>
      <c r="L2049" s="229">
        <f>SUM(ventas_b_mes11[[#This Row],[IMPORTE NETO]:[EXENTO]])</f>
        <v>750</v>
      </c>
      <c r="M2049" s="55"/>
    </row>
    <row r="2050" spans="2:13" x14ac:dyDescent="0.3">
      <c r="B2050" s="223">
        <v>44845</v>
      </c>
      <c r="C2050" s="224">
        <v>6</v>
      </c>
      <c r="D2050" s="225">
        <v>10</v>
      </c>
      <c r="E2050" s="226">
        <v>42733</v>
      </c>
      <c r="F2050" s="227">
        <v>0</v>
      </c>
      <c r="G2050" s="1"/>
      <c r="H2050" s="60">
        <v>1561.98</v>
      </c>
      <c r="I2050" s="228">
        <v>328.02</v>
      </c>
      <c r="J2050" s="229"/>
      <c r="K2050" s="229"/>
      <c r="L2050" s="229">
        <f>SUM(ventas_b_mes11[[#This Row],[IMPORTE NETO]:[EXENTO]])</f>
        <v>1890</v>
      </c>
      <c r="M2050" s="55"/>
    </row>
    <row r="2051" spans="2:13" x14ac:dyDescent="0.3">
      <c r="B2051" s="223">
        <v>44845</v>
      </c>
      <c r="C2051" s="224">
        <v>6</v>
      </c>
      <c r="D2051" s="225">
        <v>10</v>
      </c>
      <c r="E2051" s="226">
        <v>42734</v>
      </c>
      <c r="F2051" s="227">
        <v>26077507</v>
      </c>
      <c r="G2051" s="1" t="s">
        <v>422</v>
      </c>
      <c r="H2051" s="60">
        <v>6380.17</v>
      </c>
      <c r="I2051" s="228">
        <v>1339.83</v>
      </c>
      <c r="J2051" s="229"/>
      <c r="K2051" s="229"/>
      <c r="L2051" s="229">
        <f>SUM(ventas_b_mes11[[#This Row],[IMPORTE NETO]:[EXENTO]])</f>
        <v>7720</v>
      </c>
      <c r="M2051" s="55"/>
    </row>
    <row r="2052" spans="2:13" x14ac:dyDescent="0.3">
      <c r="B2052" s="223">
        <v>44845</v>
      </c>
      <c r="C2052" s="224">
        <v>6</v>
      </c>
      <c r="D2052" s="225">
        <v>10</v>
      </c>
      <c r="E2052" s="226">
        <v>42735</v>
      </c>
      <c r="F2052" s="227">
        <v>0</v>
      </c>
      <c r="G2052" s="1"/>
      <c r="H2052" s="60">
        <v>2958.68</v>
      </c>
      <c r="I2052" s="228">
        <v>621.32000000000005</v>
      </c>
      <c r="J2052" s="229"/>
      <c r="K2052" s="229"/>
      <c r="L2052" s="229">
        <f>SUM(ventas_b_mes11[[#This Row],[IMPORTE NETO]:[EXENTO]])</f>
        <v>3580</v>
      </c>
      <c r="M2052" s="55"/>
    </row>
    <row r="2053" spans="2:13" x14ac:dyDescent="0.3">
      <c r="B2053" s="223">
        <v>44845</v>
      </c>
      <c r="C2053" s="224">
        <v>6</v>
      </c>
      <c r="D2053" s="225">
        <v>10</v>
      </c>
      <c r="E2053" s="226">
        <v>42736</v>
      </c>
      <c r="F2053" s="227">
        <v>20621121</v>
      </c>
      <c r="G2053" s="1" t="s">
        <v>421</v>
      </c>
      <c r="H2053" s="60">
        <v>5537.19</v>
      </c>
      <c r="I2053" s="228">
        <v>1162.81</v>
      </c>
      <c r="J2053" s="229"/>
      <c r="K2053" s="229"/>
      <c r="L2053" s="229">
        <f>SUM(ventas_b_mes11[[#This Row],[IMPORTE NETO]:[EXENTO]])</f>
        <v>6700</v>
      </c>
      <c r="M2053" s="55"/>
    </row>
    <row r="2054" spans="2:13" x14ac:dyDescent="0.3">
      <c r="B2054" s="223">
        <v>44845</v>
      </c>
      <c r="C2054" s="224">
        <v>6</v>
      </c>
      <c r="D2054" s="225">
        <v>10</v>
      </c>
      <c r="E2054" s="226">
        <v>42737</v>
      </c>
      <c r="F2054" s="227">
        <v>10139335</v>
      </c>
      <c r="G2054" s="1" t="s">
        <v>426</v>
      </c>
      <c r="H2054" s="60">
        <v>17297.57</v>
      </c>
      <c r="I2054" s="228">
        <v>3632.49</v>
      </c>
      <c r="J2054" s="229"/>
      <c r="K2054" s="229"/>
      <c r="L2054" s="229">
        <f>SUM(ventas_b_mes11[[#This Row],[IMPORTE NETO]:[EXENTO]])</f>
        <v>20930.059999999998</v>
      </c>
      <c r="M2054" s="55"/>
    </row>
    <row r="2055" spans="2:13" x14ac:dyDescent="0.3">
      <c r="B2055" s="223">
        <v>44845</v>
      </c>
      <c r="C2055" s="224">
        <v>6</v>
      </c>
      <c r="D2055" s="225">
        <v>10</v>
      </c>
      <c r="E2055" s="226">
        <v>42738</v>
      </c>
      <c r="F2055" s="227">
        <v>31473750</v>
      </c>
      <c r="G2055" s="1" t="s">
        <v>427</v>
      </c>
      <c r="H2055" s="60">
        <v>5785.12</v>
      </c>
      <c r="I2055" s="228">
        <v>1214.8800000000001</v>
      </c>
      <c r="J2055" s="229"/>
      <c r="K2055" s="229"/>
      <c r="L2055" s="229">
        <f>SUM(ventas_b_mes11[[#This Row],[IMPORTE NETO]:[EXENTO]])</f>
        <v>7000</v>
      </c>
      <c r="M2055" s="55"/>
    </row>
    <row r="2056" spans="2:13" x14ac:dyDescent="0.3">
      <c r="B2056" s="223">
        <v>44845</v>
      </c>
      <c r="C2056" s="224">
        <v>6</v>
      </c>
      <c r="D2056" s="225">
        <v>10</v>
      </c>
      <c r="E2056" s="226">
        <v>42739</v>
      </c>
      <c r="F2056" s="227">
        <v>0</v>
      </c>
      <c r="G2056" s="1"/>
      <c r="H2056" s="60">
        <v>3123.97</v>
      </c>
      <c r="I2056" s="228">
        <v>656.03</v>
      </c>
      <c r="J2056" s="229"/>
      <c r="K2056" s="229"/>
      <c r="L2056" s="229">
        <f>SUM(ventas_b_mes11[[#This Row],[IMPORTE NETO]:[EXENTO]])</f>
        <v>3780</v>
      </c>
      <c r="M2056" s="55"/>
    </row>
    <row r="2057" spans="2:13" x14ac:dyDescent="0.3">
      <c r="B2057" s="223">
        <v>44845</v>
      </c>
      <c r="C2057" s="224">
        <v>6</v>
      </c>
      <c r="D2057" s="225">
        <v>10</v>
      </c>
      <c r="E2057" s="226">
        <v>42740</v>
      </c>
      <c r="F2057" s="227">
        <v>0</v>
      </c>
      <c r="G2057" s="1"/>
      <c r="H2057" s="60">
        <v>3123.97</v>
      </c>
      <c r="I2057" s="228">
        <v>656.03</v>
      </c>
      <c r="J2057" s="229"/>
      <c r="K2057" s="229"/>
      <c r="L2057" s="229">
        <f>SUM(ventas_b_mes11[[#This Row],[IMPORTE NETO]:[EXENTO]])</f>
        <v>3780</v>
      </c>
      <c r="M2057" s="55"/>
    </row>
    <row r="2058" spans="2:13" x14ac:dyDescent="0.3">
      <c r="B2058" s="223">
        <v>44845</v>
      </c>
      <c r="C2058" s="224">
        <v>6</v>
      </c>
      <c r="D2058" s="225">
        <v>10</v>
      </c>
      <c r="E2058" s="226">
        <v>42741</v>
      </c>
      <c r="F2058" s="227">
        <v>0</v>
      </c>
      <c r="G2058" s="1"/>
      <c r="H2058" s="60">
        <v>3834.72</v>
      </c>
      <c r="I2058" s="228">
        <v>805.29</v>
      </c>
      <c r="J2058" s="229"/>
      <c r="K2058" s="229"/>
      <c r="L2058" s="229">
        <f>SUM(ventas_b_mes11[[#This Row],[IMPORTE NETO]:[EXENTO]])</f>
        <v>4640.01</v>
      </c>
      <c r="M2058" s="55"/>
    </row>
    <row r="2059" spans="2:13" x14ac:dyDescent="0.3">
      <c r="B2059" s="223">
        <v>44845</v>
      </c>
      <c r="C2059" s="224">
        <v>6</v>
      </c>
      <c r="D2059" s="225">
        <v>10</v>
      </c>
      <c r="E2059" s="226">
        <v>42742</v>
      </c>
      <c r="F2059" s="227">
        <v>20515983</v>
      </c>
      <c r="G2059" s="1" t="s">
        <v>398</v>
      </c>
      <c r="H2059" s="60">
        <v>5876.03</v>
      </c>
      <c r="I2059" s="228">
        <v>1233.97</v>
      </c>
      <c r="J2059" s="229"/>
      <c r="K2059" s="229"/>
      <c r="L2059" s="229">
        <f>SUM(ventas_b_mes11[[#This Row],[IMPORTE NETO]:[EXENTO]])</f>
        <v>7110</v>
      </c>
      <c r="M2059" s="55"/>
    </row>
    <row r="2060" spans="2:13" x14ac:dyDescent="0.3">
      <c r="B2060" s="223">
        <v>44845</v>
      </c>
      <c r="C2060" s="224">
        <v>6</v>
      </c>
      <c r="D2060" s="225">
        <v>10</v>
      </c>
      <c r="E2060" s="226">
        <v>42743</v>
      </c>
      <c r="F2060" s="227">
        <v>24621578</v>
      </c>
      <c r="G2060" s="1" t="s">
        <v>397</v>
      </c>
      <c r="H2060" s="60">
        <v>11446.28</v>
      </c>
      <c r="I2060" s="228">
        <v>2403.7199999999998</v>
      </c>
      <c r="J2060" s="229"/>
      <c r="K2060" s="229"/>
      <c r="L2060" s="229">
        <f>SUM(ventas_b_mes11[[#This Row],[IMPORTE NETO]:[EXENTO]])</f>
        <v>13850</v>
      </c>
      <c r="M2060" s="55"/>
    </row>
    <row r="2061" spans="2:13" x14ac:dyDescent="0.3">
      <c r="B2061" s="223">
        <v>44845</v>
      </c>
      <c r="C2061" s="224">
        <v>6</v>
      </c>
      <c r="D2061" s="225">
        <v>10</v>
      </c>
      <c r="E2061" s="226">
        <v>42744</v>
      </c>
      <c r="F2061" s="227">
        <v>0</v>
      </c>
      <c r="G2061" s="1"/>
      <c r="H2061" s="60">
        <v>1785.12</v>
      </c>
      <c r="I2061" s="228">
        <v>374.88</v>
      </c>
      <c r="J2061" s="229"/>
      <c r="K2061" s="229"/>
      <c r="L2061" s="229">
        <f>SUM(ventas_b_mes11[[#This Row],[IMPORTE NETO]:[EXENTO]])</f>
        <v>2160</v>
      </c>
      <c r="M2061" s="55"/>
    </row>
    <row r="2062" spans="2:13" x14ac:dyDescent="0.3">
      <c r="B2062" s="223" t="s">
        <v>109</v>
      </c>
      <c r="C2062" s="224">
        <v>6</v>
      </c>
      <c r="D2062" s="225">
        <v>10</v>
      </c>
      <c r="E2062" s="226">
        <v>42745</v>
      </c>
      <c r="F2062" s="227">
        <v>0</v>
      </c>
      <c r="G2062" s="1"/>
      <c r="H2062" s="60">
        <v>3752.07</v>
      </c>
      <c r="I2062" s="228">
        <v>787.93</v>
      </c>
      <c r="J2062" s="229"/>
      <c r="K2062" s="229"/>
      <c r="L2062" s="229">
        <f>SUM(ventas_b_mes11[[#This Row],[IMPORTE NETO]:[EXENTO]])</f>
        <v>4540</v>
      </c>
      <c r="M2062" s="55"/>
    </row>
    <row r="2063" spans="2:13" x14ac:dyDescent="0.3">
      <c r="B2063" s="223" t="s">
        <v>109</v>
      </c>
      <c r="C2063" s="224">
        <v>6</v>
      </c>
      <c r="D2063" s="225">
        <v>10</v>
      </c>
      <c r="E2063" s="226">
        <v>42746</v>
      </c>
      <c r="F2063" s="227">
        <v>0</v>
      </c>
      <c r="G2063" s="1"/>
      <c r="H2063" s="60">
        <v>3834.72</v>
      </c>
      <c r="I2063" s="228">
        <v>805.29</v>
      </c>
      <c r="J2063" s="229"/>
      <c r="K2063" s="229"/>
      <c r="L2063" s="229">
        <f>SUM(ventas_b_mes11[[#This Row],[IMPORTE NETO]:[EXENTO]])</f>
        <v>4640.01</v>
      </c>
      <c r="M2063" s="55"/>
    </row>
    <row r="2064" spans="2:13" x14ac:dyDescent="0.3">
      <c r="B2064" s="223" t="s">
        <v>109</v>
      </c>
      <c r="C2064" s="224">
        <v>6</v>
      </c>
      <c r="D2064" s="225">
        <v>10</v>
      </c>
      <c r="E2064" s="226">
        <v>42747</v>
      </c>
      <c r="F2064" s="227">
        <v>10617400</v>
      </c>
      <c r="G2064" s="1" t="s">
        <v>570</v>
      </c>
      <c r="H2064" s="60">
        <v>7644.63</v>
      </c>
      <c r="I2064" s="228">
        <v>1605.37</v>
      </c>
      <c r="J2064" s="229"/>
      <c r="K2064" s="229"/>
      <c r="L2064" s="229">
        <f>SUM(ventas_b_mes11[[#This Row],[IMPORTE NETO]:[EXENTO]])</f>
        <v>9250</v>
      </c>
      <c r="M2064" s="55"/>
    </row>
    <row r="2065" spans="2:13" x14ac:dyDescent="0.3">
      <c r="B2065" s="223" t="s">
        <v>109</v>
      </c>
      <c r="C2065" s="224">
        <v>6</v>
      </c>
      <c r="D2065" s="225">
        <v>10</v>
      </c>
      <c r="E2065" s="226">
        <v>42748</v>
      </c>
      <c r="F2065" s="227">
        <v>0</v>
      </c>
      <c r="G2065" s="1"/>
      <c r="H2065" s="60">
        <v>2512.4</v>
      </c>
      <c r="I2065" s="228">
        <v>527.6</v>
      </c>
      <c r="J2065" s="229"/>
      <c r="K2065" s="229"/>
      <c r="L2065" s="229">
        <f>SUM(ventas_b_mes11[[#This Row],[IMPORTE NETO]:[EXENTO]])</f>
        <v>3040</v>
      </c>
      <c r="M2065" s="55"/>
    </row>
    <row r="2066" spans="2:13" x14ac:dyDescent="0.3">
      <c r="B2066" s="223" t="s">
        <v>109</v>
      </c>
      <c r="C2066" s="224">
        <v>6</v>
      </c>
      <c r="D2066" s="225">
        <v>10</v>
      </c>
      <c r="E2066" s="226">
        <v>42749</v>
      </c>
      <c r="F2066" s="227">
        <v>94284615</v>
      </c>
      <c r="G2066" s="1" t="s">
        <v>557</v>
      </c>
      <c r="H2066" s="60">
        <v>12070.25</v>
      </c>
      <c r="I2066" s="228">
        <v>2534.75</v>
      </c>
      <c r="J2066" s="229"/>
      <c r="K2066" s="229"/>
      <c r="L2066" s="229">
        <f>SUM(ventas_b_mes11[[#This Row],[IMPORTE NETO]:[EXENTO]])</f>
        <v>14605</v>
      </c>
      <c r="M2066" s="55"/>
    </row>
    <row r="2067" spans="2:13" x14ac:dyDescent="0.3">
      <c r="B2067" s="223" t="s">
        <v>109</v>
      </c>
      <c r="C2067" s="224">
        <v>6</v>
      </c>
      <c r="D2067" s="225">
        <v>10</v>
      </c>
      <c r="E2067" s="226">
        <v>42750</v>
      </c>
      <c r="F2067" s="227">
        <v>94284615</v>
      </c>
      <c r="G2067" s="1" t="s">
        <v>557</v>
      </c>
      <c r="H2067" s="60">
        <v>3553.72</v>
      </c>
      <c r="I2067" s="228">
        <v>746.28</v>
      </c>
      <c r="J2067" s="229"/>
      <c r="K2067" s="229"/>
      <c r="L2067" s="229">
        <f>SUM(ventas_b_mes11[[#This Row],[IMPORTE NETO]:[EXENTO]])</f>
        <v>4300</v>
      </c>
      <c r="M2067" s="55"/>
    </row>
    <row r="2068" spans="2:13" x14ac:dyDescent="0.3">
      <c r="B2068" s="223">
        <v>44845</v>
      </c>
      <c r="C2068" s="224">
        <v>6</v>
      </c>
      <c r="D2068" s="225">
        <v>10</v>
      </c>
      <c r="E2068" s="226">
        <v>42751</v>
      </c>
      <c r="F2068" s="227">
        <v>0</v>
      </c>
      <c r="G2068" s="1"/>
      <c r="H2068" s="60">
        <v>2082.64</v>
      </c>
      <c r="I2068" s="228">
        <v>437.35</v>
      </c>
      <c r="J2068" s="229"/>
      <c r="K2068" s="229"/>
      <c r="L2068" s="229">
        <f>SUM(ventas_b_mes11[[#This Row],[IMPORTE NETO]:[EXENTO]])</f>
        <v>2519.9899999999998</v>
      </c>
      <c r="M2068" s="55"/>
    </row>
    <row r="2069" spans="2:13" x14ac:dyDescent="0.3">
      <c r="B2069" s="223">
        <v>44845</v>
      </c>
      <c r="C2069" s="224">
        <v>6</v>
      </c>
      <c r="D2069" s="225">
        <v>10</v>
      </c>
      <c r="E2069" s="226">
        <v>42752</v>
      </c>
      <c r="F2069" s="227">
        <v>0</v>
      </c>
      <c r="G2069" s="1"/>
      <c r="H2069" s="60">
        <v>818.18</v>
      </c>
      <c r="I2069" s="228">
        <v>171.82</v>
      </c>
      <c r="J2069" s="229"/>
      <c r="K2069" s="229"/>
      <c r="L2069" s="229">
        <f>SUM(ventas_b_mes11[[#This Row],[IMPORTE NETO]:[EXENTO]])</f>
        <v>990</v>
      </c>
      <c r="M2069" s="55"/>
    </row>
    <row r="2070" spans="2:13" x14ac:dyDescent="0.3">
      <c r="B2070" s="223">
        <v>44845</v>
      </c>
      <c r="C2070" s="224">
        <v>6</v>
      </c>
      <c r="D2070" s="225">
        <v>10</v>
      </c>
      <c r="E2070" s="226">
        <v>42753</v>
      </c>
      <c r="F2070" s="227">
        <v>0</v>
      </c>
      <c r="G2070" s="1"/>
      <c r="H2070" s="60">
        <v>3900.83</v>
      </c>
      <c r="I2070" s="228">
        <v>819.17</v>
      </c>
      <c r="J2070" s="229"/>
      <c r="K2070" s="229"/>
      <c r="L2070" s="229">
        <f>SUM(ventas_b_mes11[[#This Row],[IMPORTE NETO]:[EXENTO]])</f>
        <v>4720</v>
      </c>
      <c r="M2070" s="55"/>
    </row>
    <row r="2071" spans="2:13" x14ac:dyDescent="0.3">
      <c r="B2071" s="223">
        <v>44845</v>
      </c>
      <c r="C2071" s="224">
        <v>6</v>
      </c>
      <c r="D2071" s="225">
        <v>10</v>
      </c>
      <c r="E2071" s="226">
        <v>42754</v>
      </c>
      <c r="F2071" s="227">
        <v>0</v>
      </c>
      <c r="G2071" s="1"/>
      <c r="H2071" s="60">
        <v>2942.15</v>
      </c>
      <c r="I2071" s="228">
        <v>617.85</v>
      </c>
      <c r="J2071" s="229"/>
      <c r="K2071" s="229"/>
      <c r="L2071" s="229">
        <f>SUM(ventas_b_mes11[[#This Row],[IMPORTE NETO]:[EXENTO]])</f>
        <v>3560</v>
      </c>
      <c r="M2071" s="55"/>
    </row>
    <row r="2072" spans="2:13" x14ac:dyDescent="0.3">
      <c r="B2072" s="223">
        <v>44845</v>
      </c>
      <c r="C2072" s="224">
        <v>6</v>
      </c>
      <c r="D2072" s="225">
        <v>10</v>
      </c>
      <c r="E2072" s="226">
        <v>42755</v>
      </c>
      <c r="F2072" s="227">
        <v>0</v>
      </c>
      <c r="G2072" s="1"/>
      <c r="H2072" s="60">
        <v>3524.79</v>
      </c>
      <c r="I2072" s="228">
        <v>740.21</v>
      </c>
      <c r="J2072" s="229"/>
      <c r="K2072" s="229"/>
      <c r="L2072" s="229">
        <f>SUM(ventas_b_mes11[[#This Row],[IMPORTE NETO]:[EXENTO]])</f>
        <v>4265</v>
      </c>
      <c r="M2072" s="55"/>
    </row>
    <row r="2073" spans="2:13" x14ac:dyDescent="0.3">
      <c r="B2073" s="223">
        <v>44845</v>
      </c>
      <c r="C2073" s="224">
        <v>6</v>
      </c>
      <c r="D2073" s="225">
        <v>10</v>
      </c>
      <c r="E2073" s="226">
        <v>42756</v>
      </c>
      <c r="F2073" s="227">
        <v>0</v>
      </c>
      <c r="G2073" s="1"/>
      <c r="H2073" s="60">
        <v>3834.72</v>
      </c>
      <c r="I2073" s="228">
        <v>805.29</v>
      </c>
      <c r="J2073" s="229"/>
      <c r="K2073" s="229"/>
      <c r="L2073" s="229">
        <f>SUM(ventas_b_mes11[[#This Row],[IMPORTE NETO]:[EXENTO]])</f>
        <v>4640.01</v>
      </c>
      <c r="M2073" s="55"/>
    </row>
    <row r="2074" spans="2:13" x14ac:dyDescent="0.3">
      <c r="B2074" s="223">
        <v>44845</v>
      </c>
      <c r="C2074" s="224">
        <v>6</v>
      </c>
      <c r="D2074" s="225">
        <v>10</v>
      </c>
      <c r="E2074" s="226">
        <v>42757</v>
      </c>
      <c r="F2074" s="227">
        <v>0</v>
      </c>
      <c r="G2074" s="1"/>
      <c r="H2074" s="60">
        <v>1206.6099999999999</v>
      </c>
      <c r="I2074" s="228">
        <v>253.39</v>
      </c>
      <c r="J2074" s="229"/>
      <c r="K2074" s="229"/>
      <c r="L2074" s="229">
        <f>SUM(ventas_b_mes11[[#This Row],[IMPORTE NETO]:[EXENTO]])</f>
        <v>1460</v>
      </c>
      <c r="M2074" s="55"/>
    </row>
    <row r="2075" spans="2:13" x14ac:dyDescent="0.3">
      <c r="B2075" s="223">
        <v>44845</v>
      </c>
      <c r="C2075" s="224">
        <v>6</v>
      </c>
      <c r="D2075" s="225">
        <v>10</v>
      </c>
      <c r="E2075" s="226">
        <v>42758</v>
      </c>
      <c r="F2075" s="227">
        <v>0</v>
      </c>
      <c r="G2075" s="1"/>
      <c r="H2075" s="60">
        <v>1115.7</v>
      </c>
      <c r="I2075" s="228">
        <v>234.3</v>
      </c>
      <c r="J2075" s="229"/>
      <c r="K2075" s="229"/>
      <c r="L2075" s="229">
        <f>SUM(ventas_b_mes11[[#This Row],[IMPORTE NETO]:[EXENTO]])</f>
        <v>1350</v>
      </c>
      <c r="M2075" s="55"/>
    </row>
    <row r="2076" spans="2:13" x14ac:dyDescent="0.3">
      <c r="B2076" s="223">
        <v>44845</v>
      </c>
      <c r="C2076" s="224">
        <v>6</v>
      </c>
      <c r="D2076" s="225">
        <v>10</v>
      </c>
      <c r="E2076" s="226">
        <v>42759</v>
      </c>
      <c r="F2076" s="227">
        <v>0</v>
      </c>
      <c r="G2076" s="1"/>
      <c r="H2076" s="60">
        <v>2768.6</v>
      </c>
      <c r="I2076" s="228">
        <v>581.4</v>
      </c>
      <c r="J2076" s="229"/>
      <c r="K2076" s="229"/>
      <c r="L2076" s="229">
        <f>SUM(ventas_b_mes11[[#This Row],[IMPORTE NETO]:[EXENTO]])</f>
        <v>3350</v>
      </c>
      <c r="M2076" s="55"/>
    </row>
    <row r="2077" spans="2:13" x14ac:dyDescent="0.3">
      <c r="B2077" s="223">
        <v>44845</v>
      </c>
      <c r="C2077" s="224">
        <v>6</v>
      </c>
      <c r="D2077" s="225">
        <v>10</v>
      </c>
      <c r="E2077" s="226">
        <v>42760</v>
      </c>
      <c r="F2077" s="227">
        <v>0</v>
      </c>
      <c r="G2077" s="1"/>
      <c r="H2077" s="60">
        <v>2768.6</v>
      </c>
      <c r="I2077" s="228">
        <v>581.4</v>
      </c>
      <c r="J2077" s="229"/>
      <c r="K2077" s="229"/>
      <c r="L2077" s="229">
        <f>SUM(ventas_b_mes11[[#This Row],[IMPORTE NETO]:[EXENTO]])</f>
        <v>3350</v>
      </c>
      <c r="M2077" s="55"/>
    </row>
    <row r="2078" spans="2:13" x14ac:dyDescent="0.3">
      <c r="B2078" s="223">
        <v>44845</v>
      </c>
      <c r="C2078" s="224">
        <v>6</v>
      </c>
      <c r="D2078" s="225">
        <v>10</v>
      </c>
      <c r="E2078" s="226">
        <v>42761</v>
      </c>
      <c r="F2078" s="227">
        <v>0</v>
      </c>
      <c r="G2078" s="1"/>
      <c r="H2078" s="60">
        <v>2768.6</v>
      </c>
      <c r="I2078" s="228">
        <v>581.4</v>
      </c>
      <c r="J2078" s="229"/>
      <c r="K2078" s="229"/>
      <c r="L2078" s="229">
        <f>SUM(ventas_b_mes11[[#This Row],[IMPORTE NETO]:[EXENTO]])</f>
        <v>3350</v>
      </c>
      <c r="M2078" s="55"/>
    </row>
    <row r="2079" spans="2:13" x14ac:dyDescent="0.3">
      <c r="B2079" s="223">
        <v>44845</v>
      </c>
      <c r="C2079" s="224">
        <v>6</v>
      </c>
      <c r="D2079" s="225">
        <v>10</v>
      </c>
      <c r="E2079" s="226">
        <v>42762</v>
      </c>
      <c r="F2079" s="227">
        <v>23210666</v>
      </c>
      <c r="G2079" s="1" t="s">
        <v>507</v>
      </c>
      <c r="H2079" s="60">
        <v>23223.16</v>
      </c>
      <c r="I2079" s="228">
        <v>4876.8599999999997</v>
      </c>
      <c r="J2079" s="229"/>
      <c r="K2079" s="229"/>
      <c r="L2079" s="229">
        <f>SUM(ventas_b_mes11[[#This Row],[IMPORTE NETO]:[EXENTO]])</f>
        <v>28100.02</v>
      </c>
      <c r="M2079" s="55"/>
    </row>
    <row r="2080" spans="2:13" x14ac:dyDescent="0.3">
      <c r="B2080" s="223">
        <v>44845</v>
      </c>
      <c r="C2080" s="224">
        <v>6</v>
      </c>
      <c r="D2080" s="225">
        <v>10</v>
      </c>
      <c r="E2080" s="226">
        <v>42763</v>
      </c>
      <c r="F2080" s="227">
        <v>0</v>
      </c>
      <c r="G2080" s="1"/>
      <c r="H2080" s="60">
        <v>1826.45</v>
      </c>
      <c r="I2080" s="228">
        <v>383.55</v>
      </c>
      <c r="J2080" s="229"/>
      <c r="K2080" s="229"/>
      <c r="L2080" s="229">
        <f>SUM(ventas_b_mes11[[#This Row],[IMPORTE NETO]:[EXENTO]])</f>
        <v>2210</v>
      </c>
      <c r="M2080" s="55"/>
    </row>
    <row r="2081" spans="2:13" x14ac:dyDescent="0.3">
      <c r="B2081" s="223">
        <v>44845</v>
      </c>
      <c r="C2081" s="224">
        <v>6</v>
      </c>
      <c r="D2081" s="225">
        <v>10</v>
      </c>
      <c r="E2081" s="226">
        <v>42764</v>
      </c>
      <c r="F2081" s="227">
        <v>0</v>
      </c>
      <c r="G2081" s="1"/>
      <c r="H2081" s="60">
        <v>2247.9299999999998</v>
      </c>
      <c r="I2081" s="228">
        <v>472.07</v>
      </c>
      <c r="J2081" s="229"/>
      <c r="K2081" s="229"/>
      <c r="L2081" s="229">
        <f>SUM(ventas_b_mes11[[#This Row],[IMPORTE NETO]:[EXENTO]])</f>
        <v>2720</v>
      </c>
      <c r="M2081" s="55"/>
    </row>
    <row r="2082" spans="2:13" x14ac:dyDescent="0.3">
      <c r="B2082" s="223">
        <v>44845</v>
      </c>
      <c r="C2082" s="224">
        <v>6</v>
      </c>
      <c r="D2082" s="225">
        <v>10</v>
      </c>
      <c r="E2082" s="226">
        <v>42765</v>
      </c>
      <c r="F2082" s="227">
        <v>0</v>
      </c>
      <c r="G2082" s="1"/>
      <c r="H2082" s="60">
        <v>892.56</v>
      </c>
      <c r="I2082" s="228">
        <v>187.44</v>
      </c>
      <c r="J2082" s="229"/>
      <c r="K2082" s="229"/>
      <c r="L2082" s="229">
        <f>SUM(ventas_b_mes11[[#This Row],[IMPORTE NETO]:[EXENTO]])</f>
        <v>1080</v>
      </c>
      <c r="M2082" s="55"/>
    </row>
    <row r="2083" spans="2:13" x14ac:dyDescent="0.3">
      <c r="B2083" s="223">
        <v>44845</v>
      </c>
      <c r="C2083" s="224">
        <v>6</v>
      </c>
      <c r="D2083" s="225">
        <v>10</v>
      </c>
      <c r="E2083" s="226">
        <v>42766</v>
      </c>
      <c r="F2083" s="227">
        <v>0</v>
      </c>
      <c r="G2083" s="1"/>
      <c r="H2083" s="60">
        <v>2504.13</v>
      </c>
      <c r="I2083" s="228">
        <v>525.87</v>
      </c>
      <c r="J2083" s="229"/>
      <c r="K2083" s="229"/>
      <c r="L2083" s="229">
        <f>SUM(ventas_b_mes11[[#This Row],[IMPORTE NETO]:[EXENTO]])</f>
        <v>3030</v>
      </c>
      <c r="M2083" s="55"/>
    </row>
    <row r="2084" spans="2:13" x14ac:dyDescent="0.3">
      <c r="B2084" s="223">
        <v>44845</v>
      </c>
      <c r="C2084" s="224">
        <v>6</v>
      </c>
      <c r="D2084" s="225">
        <v>10</v>
      </c>
      <c r="E2084" s="226">
        <v>42767</v>
      </c>
      <c r="F2084" s="227">
        <v>23210666</v>
      </c>
      <c r="G2084" s="1" t="s">
        <v>507</v>
      </c>
      <c r="H2084" s="60">
        <v>5396.69</v>
      </c>
      <c r="I2084" s="228">
        <v>1133.31</v>
      </c>
      <c r="J2084" s="229"/>
      <c r="K2084" s="229"/>
      <c r="L2084" s="229">
        <f>SUM(ventas_b_mes11[[#This Row],[IMPORTE NETO]:[EXENTO]])</f>
        <v>6530</v>
      </c>
      <c r="M2084" s="55"/>
    </row>
    <row r="2085" spans="2:13" x14ac:dyDescent="0.3">
      <c r="B2085" s="223">
        <v>44845</v>
      </c>
      <c r="C2085" s="224">
        <v>6</v>
      </c>
      <c r="D2085" s="225">
        <v>10</v>
      </c>
      <c r="E2085" s="226">
        <v>42768</v>
      </c>
      <c r="F2085" s="227">
        <v>0</v>
      </c>
      <c r="G2085" s="1"/>
      <c r="H2085" s="60">
        <v>1776.86</v>
      </c>
      <c r="I2085" s="228">
        <v>373.14</v>
      </c>
      <c r="J2085" s="229"/>
      <c r="K2085" s="229"/>
      <c r="L2085" s="229">
        <f>SUM(ventas_b_mes11[[#This Row],[IMPORTE NETO]:[EXENTO]])</f>
        <v>2150</v>
      </c>
      <c r="M2085" s="55"/>
    </row>
    <row r="2086" spans="2:13" x14ac:dyDescent="0.3">
      <c r="B2086" s="223">
        <v>44845</v>
      </c>
      <c r="C2086" s="224">
        <v>6</v>
      </c>
      <c r="D2086" s="225">
        <v>10</v>
      </c>
      <c r="E2086" s="226">
        <v>42769</v>
      </c>
      <c r="F2086" s="227">
        <v>0</v>
      </c>
      <c r="G2086" s="1"/>
      <c r="H2086" s="60">
        <v>1909.09</v>
      </c>
      <c r="I2086" s="228">
        <v>400.91</v>
      </c>
      <c r="J2086" s="229"/>
      <c r="K2086" s="229"/>
      <c r="L2086" s="229">
        <f>SUM(ventas_b_mes11[[#This Row],[IMPORTE NETO]:[EXENTO]])</f>
        <v>2310</v>
      </c>
      <c r="M2086" s="55"/>
    </row>
    <row r="2087" spans="2:13" x14ac:dyDescent="0.3">
      <c r="B2087" s="223">
        <v>44845</v>
      </c>
      <c r="C2087" s="224">
        <v>6</v>
      </c>
      <c r="D2087" s="225">
        <v>10</v>
      </c>
      <c r="E2087" s="226">
        <v>42770</v>
      </c>
      <c r="F2087" s="227">
        <v>26725951</v>
      </c>
      <c r="G2087" s="1" t="s">
        <v>412</v>
      </c>
      <c r="H2087" s="60">
        <v>11859.49</v>
      </c>
      <c r="I2087" s="228">
        <v>2490.4899999999998</v>
      </c>
      <c r="J2087" s="229"/>
      <c r="K2087" s="229"/>
      <c r="L2087" s="229">
        <f>SUM(ventas_b_mes11[[#This Row],[IMPORTE NETO]:[EXENTO]])</f>
        <v>14349.98</v>
      </c>
      <c r="M2087" s="55"/>
    </row>
    <row r="2088" spans="2:13" x14ac:dyDescent="0.3">
      <c r="B2088" s="223">
        <v>44845</v>
      </c>
      <c r="C2088" s="224">
        <v>6</v>
      </c>
      <c r="D2088" s="225">
        <v>10</v>
      </c>
      <c r="E2088" s="226">
        <v>42771</v>
      </c>
      <c r="F2088" s="227">
        <v>0</v>
      </c>
      <c r="G2088" s="1"/>
      <c r="H2088" s="60">
        <v>2297.52</v>
      </c>
      <c r="I2088" s="228">
        <v>482.48</v>
      </c>
      <c r="J2088" s="229"/>
      <c r="K2088" s="229"/>
      <c r="L2088" s="229">
        <f>SUM(ventas_b_mes11[[#This Row],[IMPORTE NETO]:[EXENTO]])</f>
        <v>2780</v>
      </c>
      <c r="M2088" s="55"/>
    </row>
    <row r="2089" spans="2:13" x14ac:dyDescent="0.3">
      <c r="B2089" s="223">
        <v>44845</v>
      </c>
      <c r="C2089" s="224">
        <v>6</v>
      </c>
      <c r="D2089" s="225">
        <v>10</v>
      </c>
      <c r="E2089" s="226">
        <v>42772</v>
      </c>
      <c r="F2089" s="227">
        <v>0</v>
      </c>
      <c r="G2089" s="1"/>
      <c r="H2089" s="60">
        <v>2099.17</v>
      </c>
      <c r="I2089" s="228">
        <v>440.83</v>
      </c>
      <c r="J2089" s="229"/>
      <c r="K2089" s="229"/>
      <c r="L2089" s="229">
        <f>SUM(ventas_b_mes11[[#This Row],[IMPORTE NETO]:[EXENTO]])</f>
        <v>2540</v>
      </c>
      <c r="M2089" s="55"/>
    </row>
    <row r="2090" spans="2:13" x14ac:dyDescent="0.3">
      <c r="B2090" s="223">
        <v>44845</v>
      </c>
      <c r="C2090" s="224">
        <v>6</v>
      </c>
      <c r="D2090" s="225">
        <v>10</v>
      </c>
      <c r="E2090" s="226">
        <v>42773</v>
      </c>
      <c r="F2090" s="227">
        <v>0</v>
      </c>
      <c r="G2090" s="1"/>
      <c r="H2090" s="60">
        <v>975.21</v>
      </c>
      <c r="I2090" s="228">
        <v>204.79</v>
      </c>
      <c r="J2090" s="229"/>
      <c r="K2090" s="229"/>
      <c r="L2090" s="229">
        <f>SUM(ventas_b_mes11[[#This Row],[IMPORTE NETO]:[EXENTO]])</f>
        <v>1180</v>
      </c>
      <c r="M2090" s="55"/>
    </row>
    <row r="2091" spans="2:13" x14ac:dyDescent="0.3">
      <c r="B2091" s="223">
        <v>44845</v>
      </c>
      <c r="C2091" s="224">
        <v>6</v>
      </c>
      <c r="D2091" s="225">
        <v>10</v>
      </c>
      <c r="E2091" s="226">
        <v>42774</v>
      </c>
      <c r="F2091" s="227">
        <v>24552418</v>
      </c>
      <c r="G2091" s="1" t="s">
        <v>450</v>
      </c>
      <c r="H2091" s="60">
        <v>7942.15</v>
      </c>
      <c r="I2091" s="228">
        <v>1667.85</v>
      </c>
      <c r="J2091" s="229"/>
      <c r="K2091" s="229"/>
      <c r="L2091" s="229">
        <f>SUM(ventas_b_mes11[[#This Row],[IMPORTE NETO]:[EXENTO]])</f>
        <v>9610</v>
      </c>
      <c r="M2091" s="55"/>
    </row>
    <row r="2092" spans="2:13" x14ac:dyDescent="0.3">
      <c r="B2092" s="223">
        <v>44845</v>
      </c>
      <c r="C2092" s="224">
        <v>6</v>
      </c>
      <c r="D2092" s="225">
        <v>10</v>
      </c>
      <c r="E2092" s="226">
        <v>42775</v>
      </c>
      <c r="F2092" s="227">
        <v>5735462</v>
      </c>
      <c r="G2092" s="1" t="s">
        <v>424</v>
      </c>
      <c r="H2092" s="60">
        <v>5545.46</v>
      </c>
      <c r="I2092" s="228">
        <v>1164.55</v>
      </c>
      <c r="J2092" s="229"/>
      <c r="K2092" s="229"/>
      <c r="L2092" s="229">
        <f>SUM(ventas_b_mes11[[#This Row],[IMPORTE NETO]:[EXENTO]])</f>
        <v>6710.01</v>
      </c>
      <c r="M2092" s="55"/>
    </row>
    <row r="2093" spans="2:13" x14ac:dyDescent="0.3">
      <c r="B2093" s="223">
        <v>44845</v>
      </c>
      <c r="C2093" s="224">
        <v>6</v>
      </c>
      <c r="D2093" s="225">
        <v>10</v>
      </c>
      <c r="E2093" s="226">
        <v>42776</v>
      </c>
      <c r="F2093" s="227">
        <v>0</v>
      </c>
      <c r="G2093" s="1"/>
      <c r="H2093" s="60">
        <v>1487.6</v>
      </c>
      <c r="I2093" s="228">
        <v>312.39999999999998</v>
      </c>
      <c r="J2093" s="229"/>
      <c r="K2093" s="229"/>
      <c r="L2093" s="229">
        <f>SUM(ventas_b_mes11[[#This Row],[IMPORTE NETO]:[EXENTO]])</f>
        <v>1800</v>
      </c>
      <c r="M2093" s="55"/>
    </row>
    <row r="2094" spans="2:13" x14ac:dyDescent="0.3">
      <c r="B2094" s="223">
        <v>44845</v>
      </c>
      <c r="C2094" s="224">
        <v>6</v>
      </c>
      <c r="D2094" s="225">
        <v>10</v>
      </c>
      <c r="E2094" s="226">
        <v>42777</v>
      </c>
      <c r="F2094" s="227">
        <v>5735462</v>
      </c>
      <c r="G2094" s="1" t="s">
        <v>424</v>
      </c>
      <c r="H2094" s="60">
        <v>11041.32</v>
      </c>
      <c r="I2094" s="228">
        <v>2318.6799999999998</v>
      </c>
      <c r="J2094" s="229"/>
      <c r="K2094" s="229"/>
      <c r="L2094" s="229">
        <f>SUM(ventas_b_mes11[[#This Row],[IMPORTE NETO]:[EXENTO]])</f>
        <v>13360</v>
      </c>
      <c r="M2094" s="55"/>
    </row>
    <row r="2095" spans="2:13" x14ac:dyDescent="0.3">
      <c r="B2095" s="223">
        <v>44845</v>
      </c>
      <c r="C2095" s="224">
        <v>6</v>
      </c>
      <c r="D2095" s="225">
        <v>10</v>
      </c>
      <c r="E2095" s="226">
        <v>42778</v>
      </c>
      <c r="F2095" s="227">
        <v>18459321</v>
      </c>
      <c r="G2095" s="1" t="s">
        <v>420</v>
      </c>
      <c r="H2095" s="60">
        <v>4181.82</v>
      </c>
      <c r="I2095" s="228">
        <v>878.18</v>
      </c>
      <c r="J2095" s="229"/>
      <c r="K2095" s="229"/>
      <c r="L2095" s="229">
        <f>SUM(ventas_b_mes11[[#This Row],[IMPORTE NETO]:[EXENTO]])</f>
        <v>5060</v>
      </c>
      <c r="M2095" s="55"/>
    </row>
    <row r="2096" spans="2:13" x14ac:dyDescent="0.3">
      <c r="B2096" s="223">
        <v>44845</v>
      </c>
      <c r="C2096" s="224">
        <v>6</v>
      </c>
      <c r="D2096" s="225">
        <v>10</v>
      </c>
      <c r="E2096" s="226">
        <v>42779</v>
      </c>
      <c r="F2096" s="227">
        <v>0</v>
      </c>
      <c r="G2096" s="1"/>
      <c r="H2096" s="60">
        <v>1636.36</v>
      </c>
      <c r="I2096" s="228">
        <v>343.64</v>
      </c>
      <c r="J2096" s="229"/>
      <c r="K2096" s="229"/>
      <c r="L2096" s="229">
        <f>SUM(ventas_b_mes11[[#This Row],[IMPORTE NETO]:[EXENTO]])</f>
        <v>1980</v>
      </c>
      <c r="M2096" s="55"/>
    </row>
    <row r="2097" spans="2:13" x14ac:dyDescent="0.3">
      <c r="B2097" s="223">
        <v>44845</v>
      </c>
      <c r="C2097" s="224">
        <v>6</v>
      </c>
      <c r="D2097" s="225">
        <v>10</v>
      </c>
      <c r="E2097" s="226">
        <v>42780</v>
      </c>
      <c r="F2097" s="227">
        <v>18597870</v>
      </c>
      <c r="G2097" s="1" t="s">
        <v>419</v>
      </c>
      <c r="H2097" s="60">
        <v>1450.41</v>
      </c>
      <c r="I2097" s="228">
        <v>304.58999999999997</v>
      </c>
      <c r="J2097" s="229"/>
      <c r="K2097" s="229"/>
      <c r="L2097" s="229">
        <f>SUM(ventas_b_mes11[[#This Row],[IMPORTE NETO]:[EXENTO]])</f>
        <v>1755</v>
      </c>
      <c r="M2097" s="55"/>
    </row>
    <row r="2098" spans="2:13" x14ac:dyDescent="0.3">
      <c r="B2098" s="223">
        <v>44845</v>
      </c>
      <c r="C2098" s="224">
        <v>6</v>
      </c>
      <c r="D2098" s="225">
        <v>10</v>
      </c>
      <c r="E2098" s="226">
        <v>42781</v>
      </c>
      <c r="F2098" s="227">
        <v>27584840</v>
      </c>
      <c r="G2098" s="1" t="s">
        <v>400</v>
      </c>
      <c r="H2098" s="60">
        <v>6231.4</v>
      </c>
      <c r="I2098" s="228">
        <v>1308.5999999999999</v>
      </c>
      <c r="J2098" s="229"/>
      <c r="K2098" s="229"/>
      <c r="L2098" s="229">
        <f>SUM(ventas_b_mes11[[#This Row],[IMPORTE NETO]:[EXENTO]])</f>
        <v>7540</v>
      </c>
      <c r="M2098" s="55"/>
    </row>
    <row r="2099" spans="2:13" x14ac:dyDescent="0.3">
      <c r="B2099" s="223">
        <v>44845</v>
      </c>
      <c r="C2099" s="224">
        <v>6</v>
      </c>
      <c r="D2099" s="225">
        <v>10</v>
      </c>
      <c r="E2099" s="226">
        <v>42782</v>
      </c>
      <c r="F2099" s="227">
        <v>0</v>
      </c>
      <c r="G2099" s="1"/>
      <c r="H2099" s="60">
        <v>1157.02</v>
      </c>
      <c r="I2099" s="228">
        <v>242.98</v>
      </c>
      <c r="J2099" s="229"/>
      <c r="K2099" s="229"/>
      <c r="L2099" s="229">
        <f>SUM(ventas_b_mes11[[#This Row],[IMPORTE NETO]:[EXENTO]])</f>
        <v>1400</v>
      </c>
      <c r="M2099" s="55"/>
    </row>
    <row r="2100" spans="2:13" x14ac:dyDescent="0.3">
      <c r="B2100" s="223">
        <v>44845</v>
      </c>
      <c r="C2100" s="224">
        <v>6</v>
      </c>
      <c r="D2100" s="225">
        <v>10</v>
      </c>
      <c r="E2100" s="226">
        <v>42783</v>
      </c>
      <c r="F2100" s="227">
        <v>13785048</v>
      </c>
      <c r="G2100" s="1"/>
      <c r="H2100" s="60">
        <v>5710.74</v>
      </c>
      <c r="I2100" s="228">
        <v>1199.26</v>
      </c>
      <c r="J2100" s="229"/>
      <c r="K2100" s="229"/>
      <c r="L2100" s="229">
        <f>SUM(ventas_b_mes11[[#This Row],[IMPORTE NETO]:[EXENTO]])</f>
        <v>6910</v>
      </c>
      <c r="M2100" s="55"/>
    </row>
    <row r="2101" spans="2:13" x14ac:dyDescent="0.3">
      <c r="B2101" s="223" t="s">
        <v>109</v>
      </c>
      <c r="C2101" s="224">
        <v>6</v>
      </c>
      <c r="D2101" s="225">
        <v>10</v>
      </c>
      <c r="E2101" s="226">
        <v>42784</v>
      </c>
      <c r="F2101" s="227">
        <v>0</v>
      </c>
      <c r="G2101" s="1"/>
      <c r="H2101" s="60">
        <v>1818.18</v>
      </c>
      <c r="I2101" s="228">
        <v>381.82</v>
      </c>
      <c r="J2101" s="229"/>
      <c r="K2101" s="229"/>
      <c r="L2101" s="229">
        <f>SUM(ventas_b_mes11[[#This Row],[IMPORTE NETO]:[EXENTO]])</f>
        <v>2200</v>
      </c>
      <c r="M2101" s="55"/>
    </row>
    <row r="2102" spans="2:13" x14ac:dyDescent="0.3">
      <c r="B2102" s="223" t="s">
        <v>109</v>
      </c>
      <c r="C2102" s="224">
        <v>6</v>
      </c>
      <c r="D2102" s="225">
        <v>10</v>
      </c>
      <c r="E2102" s="226">
        <v>42785</v>
      </c>
      <c r="F2102" s="227">
        <v>0</v>
      </c>
      <c r="G2102" s="1"/>
      <c r="H2102" s="60">
        <v>3991.74</v>
      </c>
      <c r="I2102" s="228">
        <v>838.26</v>
      </c>
      <c r="J2102" s="229"/>
      <c r="K2102" s="229"/>
      <c r="L2102" s="229">
        <f>SUM(ventas_b_mes11[[#This Row],[IMPORTE NETO]:[EXENTO]])</f>
        <v>4830</v>
      </c>
      <c r="M2102" s="55"/>
    </row>
    <row r="2103" spans="2:13" x14ac:dyDescent="0.3">
      <c r="B2103" s="223" t="s">
        <v>109</v>
      </c>
      <c r="C2103" s="224">
        <v>6</v>
      </c>
      <c r="D2103" s="225">
        <v>10</v>
      </c>
      <c r="E2103" s="226">
        <v>42786</v>
      </c>
      <c r="F2103" s="227">
        <v>0</v>
      </c>
      <c r="G2103" s="1"/>
      <c r="H2103" s="60">
        <v>2677.69</v>
      </c>
      <c r="I2103" s="228">
        <v>562.30999999999995</v>
      </c>
      <c r="J2103" s="229"/>
      <c r="K2103" s="229"/>
      <c r="L2103" s="229">
        <f>SUM(ventas_b_mes11[[#This Row],[IMPORTE NETO]:[EXENTO]])</f>
        <v>3240</v>
      </c>
      <c r="M2103" s="55"/>
    </row>
    <row r="2104" spans="2:13" x14ac:dyDescent="0.3">
      <c r="B2104" s="223" t="s">
        <v>109</v>
      </c>
      <c r="C2104" s="224">
        <v>6</v>
      </c>
      <c r="D2104" s="225">
        <v>10</v>
      </c>
      <c r="E2104" s="226">
        <v>42787</v>
      </c>
      <c r="F2104" s="227">
        <v>21953047</v>
      </c>
      <c r="G2104" s="1" t="s">
        <v>574</v>
      </c>
      <c r="H2104" s="60">
        <v>4388.43</v>
      </c>
      <c r="I2104" s="228">
        <v>921.57</v>
      </c>
      <c r="J2104" s="229"/>
      <c r="K2104" s="229"/>
      <c r="L2104" s="229">
        <f>SUM(ventas_b_mes11[[#This Row],[IMPORTE NETO]:[EXENTO]])</f>
        <v>5310</v>
      </c>
      <c r="M2104" s="55"/>
    </row>
    <row r="2105" spans="2:13" x14ac:dyDescent="0.3">
      <c r="B2105" s="223" t="s">
        <v>109</v>
      </c>
      <c r="C2105" s="224">
        <v>6</v>
      </c>
      <c r="D2105" s="225">
        <v>10</v>
      </c>
      <c r="E2105" s="226">
        <v>42788</v>
      </c>
      <c r="F2105" s="227">
        <v>17896306</v>
      </c>
      <c r="G2105" s="1" t="s">
        <v>571</v>
      </c>
      <c r="H2105" s="60">
        <v>10421.48</v>
      </c>
      <c r="I2105" s="228">
        <v>2188.5100000000002</v>
      </c>
      <c r="J2105" s="229"/>
      <c r="K2105" s="229"/>
      <c r="L2105" s="229">
        <f>SUM(ventas_b_mes11[[#This Row],[IMPORTE NETO]:[EXENTO]])</f>
        <v>12609.99</v>
      </c>
      <c r="M2105" s="55"/>
    </row>
    <row r="2106" spans="2:13" x14ac:dyDescent="0.3">
      <c r="B2106" s="223" t="s">
        <v>109</v>
      </c>
      <c r="C2106" s="224">
        <v>6</v>
      </c>
      <c r="D2106" s="225">
        <v>10</v>
      </c>
      <c r="E2106" s="226">
        <v>42789</v>
      </c>
      <c r="F2106" s="227">
        <v>0</v>
      </c>
      <c r="G2106" s="1"/>
      <c r="H2106" s="60">
        <v>3438.02</v>
      </c>
      <c r="I2106" s="228">
        <v>721.98</v>
      </c>
      <c r="J2106" s="229"/>
      <c r="K2106" s="229"/>
      <c r="L2106" s="229">
        <f>SUM(ventas_b_mes11[[#This Row],[IMPORTE NETO]:[EXENTO]])</f>
        <v>4160</v>
      </c>
      <c r="M2106" s="55"/>
    </row>
    <row r="2107" spans="2:13" x14ac:dyDescent="0.3">
      <c r="B2107" s="223" t="s">
        <v>109</v>
      </c>
      <c r="C2107" s="224">
        <v>6</v>
      </c>
      <c r="D2107" s="225">
        <v>10</v>
      </c>
      <c r="E2107" s="226">
        <v>42790</v>
      </c>
      <c r="F2107" s="227">
        <v>0</v>
      </c>
      <c r="G2107" s="1"/>
      <c r="H2107" s="60">
        <v>2768.6</v>
      </c>
      <c r="I2107" s="228">
        <v>581.4</v>
      </c>
      <c r="J2107" s="229"/>
      <c r="K2107" s="229"/>
      <c r="L2107" s="229">
        <f>SUM(ventas_b_mes11[[#This Row],[IMPORTE NETO]:[EXENTO]])</f>
        <v>3350</v>
      </c>
      <c r="M2107" s="55"/>
    </row>
    <row r="2108" spans="2:13" x14ac:dyDescent="0.3">
      <c r="B2108" s="223">
        <v>44845</v>
      </c>
      <c r="C2108" s="224">
        <v>6</v>
      </c>
      <c r="D2108" s="225">
        <v>10</v>
      </c>
      <c r="E2108" s="226">
        <v>42791</v>
      </c>
      <c r="F2108" s="227">
        <v>22157020</v>
      </c>
      <c r="G2108" s="1" t="s">
        <v>531</v>
      </c>
      <c r="H2108" s="60">
        <v>28925.599999999999</v>
      </c>
      <c r="I2108" s="228">
        <v>6074.38</v>
      </c>
      <c r="J2108" s="229"/>
      <c r="K2108" s="229"/>
      <c r="L2108" s="229">
        <f>SUM(ventas_b_mes11[[#This Row],[IMPORTE NETO]:[EXENTO]])</f>
        <v>34999.979999999996</v>
      </c>
      <c r="M2108" s="55"/>
    </row>
    <row r="2109" spans="2:13" x14ac:dyDescent="0.3">
      <c r="B2109" s="223">
        <v>44845</v>
      </c>
      <c r="C2109" s="224">
        <v>6</v>
      </c>
      <c r="D2109" s="225">
        <v>10</v>
      </c>
      <c r="E2109" s="226">
        <v>42792</v>
      </c>
      <c r="F2109" s="227">
        <v>0</v>
      </c>
      <c r="G2109" s="1"/>
      <c r="H2109" s="60">
        <v>3123.97</v>
      </c>
      <c r="I2109" s="228">
        <v>656.03</v>
      </c>
      <c r="J2109" s="229"/>
      <c r="K2109" s="229"/>
      <c r="L2109" s="229">
        <f>SUM(ventas_b_mes11[[#This Row],[IMPORTE NETO]:[EXENTO]])</f>
        <v>3780</v>
      </c>
      <c r="M2109" s="55"/>
    </row>
    <row r="2110" spans="2:13" x14ac:dyDescent="0.3">
      <c r="B2110" s="223">
        <v>44845</v>
      </c>
      <c r="C2110" s="224">
        <v>6</v>
      </c>
      <c r="D2110" s="225">
        <v>10</v>
      </c>
      <c r="E2110" s="226">
        <v>42793</v>
      </c>
      <c r="F2110" s="227">
        <v>0</v>
      </c>
      <c r="G2110" s="1"/>
      <c r="H2110" s="60">
        <v>1264.46</v>
      </c>
      <c r="I2110" s="228">
        <v>265.54000000000002</v>
      </c>
      <c r="J2110" s="229"/>
      <c r="K2110" s="229"/>
      <c r="L2110" s="229">
        <f>SUM(ventas_b_mes11[[#This Row],[IMPORTE NETO]:[EXENTO]])</f>
        <v>1530</v>
      </c>
      <c r="M2110" s="55"/>
    </row>
    <row r="2111" spans="2:13" x14ac:dyDescent="0.3">
      <c r="B2111" s="223">
        <v>44845</v>
      </c>
      <c r="C2111" s="224">
        <v>6</v>
      </c>
      <c r="D2111" s="225">
        <v>10</v>
      </c>
      <c r="E2111" s="226">
        <v>42794</v>
      </c>
      <c r="F2111" s="227">
        <v>22157020</v>
      </c>
      <c r="G2111" s="1" t="s">
        <v>531</v>
      </c>
      <c r="H2111" s="60">
        <v>5685.94</v>
      </c>
      <c r="I2111" s="228">
        <v>1194.05</v>
      </c>
      <c r="J2111" s="229"/>
      <c r="K2111" s="229"/>
      <c r="L2111" s="229">
        <f>SUM(ventas_b_mes11[[#This Row],[IMPORTE NETO]:[EXENTO]])</f>
        <v>6879.99</v>
      </c>
      <c r="M2111" s="55"/>
    </row>
    <row r="2112" spans="2:13" x14ac:dyDescent="0.3">
      <c r="B2112" s="223">
        <v>44845</v>
      </c>
      <c r="C2112" s="224">
        <v>6</v>
      </c>
      <c r="D2112" s="225">
        <v>10</v>
      </c>
      <c r="E2112" s="226">
        <v>42795</v>
      </c>
      <c r="F2112" s="227">
        <v>10720449</v>
      </c>
      <c r="G2112" s="1"/>
      <c r="H2112" s="60">
        <v>4628.1000000000004</v>
      </c>
      <c r="I2112" s="228">
        <v>971.9</v>
      </c>
      <c r="J2112" s="229"/>
      <c r="K2112" s="229"/>
      <c r="L2112" s="229">
        <f>SUM(ventas_b_mes11[[#This Row],[IMPORTE NETO]:[EXENTO]])</f>
        <v>5600</v>
      </c>
      <c r="M2112" s="55"/>
    </row>
    <row r="2113" spans="2:13" x14ac:dyDescent="0.3">
      <c r="B2113" s="223">
        <v>44845</v>
      </c>
      <c r="C2113" s="224">
        <v>6</v>
      </c>
      <c r="D2113" s="225">
        <v>10</v>
      </c>
      <c r="E2113" s="226">
        <v>42796</v>
      </c>
      <c r="F2113" s="227">
        <v>10720449</v>
      </c>
      <c r="G2113" s="1"/>
      <c r="H2113" s="60">
        <v>6801.65</v>
      </c>
      <c r="I2113" s="228">
        <v>1428.35</v>
      </c>
      <c r="J2113" s="229"/>
      <c r="K2113" s="229"/>
      <c r="L2113" s="229">
        <f>SUM(ventas_b_mes11[[#This Row],[IMPORTE NETO]:[EXENTO]])</f>
        <v>8230</v>
      </c>
      <c r="M2113" s="55"/>
    </row>
    <row r="2114" spans="2:13" x14ac:dyDescent="0.3">
      <c r="B2114" s="223">
        <v>44845</v>
      </c>
      <c r="C2114" s="224">
        <v>6</v>
      </c>
      <c r="D2114" s="225">
        <v>10</v>
      </c>
      <c r="E2114" s="226">
        <v>42797</v>
      </c>
      <c r="F2114" s="227">
        <v>23854985</v>
      </c>
      <c r="G2114" s="1" t="s">
        <v>510</v>
      </c>
      <c r="H2114" s="60">
        <v>4355.38</v>
      </c>
      <c r="I2114" s="228">
        <v>914.63</v>
      </c>
      <c r="J2114" s="229"/>
      <c r="K2114" s="229"/>
      <c r="L2114" s="229">
        <f>SUM(ventas_b_mes11[[#This Row],[IMPORTE NETO]:[EXENTO]])</f>
        <v>5270.01</v>
      </c>
      <c r="M2114" s="55"/>
    </row>
    <row r="2115" spans="2:13" x14ac:dyDescent="0.3">
      <c r="B2115" s="223">
        <v>44845</v>
      </c>
      <c r="C2115" s="224">
        <v>6</v>
      </c>
      <c r="D2115" s="225">
        <v>10</v>
      </c>
      <c r="E2115" s="226">
        <v>42798</v>
      </c>
      <c r="F2115" s="227">
        <v>0</v>
      </c>
      <c r="G2115" s="1"/>
      <c r="H2115" s="60">
        <v>892.56</v>
      </c>
      <c r="I2115" s="228">
        <v>187.44</v>
      </c>
      <c r="J2115" s="229"/>
      <c r="K2115" s="229"/>
      <c r="L2115" s="229">
        <f>SUM(ventas_b_mes11[[#This Row],[IMPORTE NETO]:[EXENTO]])</f>
        <v>1080</v>
      </c>
      <c r="M2115" s="55"/>
    </row>
    <row r="2116" spans="2:13" x14ac:dyDescent="0.3">
      <c r="B2116" s="223">
        <v>44845</v>
      </c>
      <c r="C2116" s="224">
        <v>6</v>
      </c>
      <c r="D2116" s="225">
        <v>10</v>
      </c>
      <c r="E2116" s="226">
        <v>42799</v>
      </c>
      <c r="F2116" s="227">
        <v>10720449</v>
      </c>
      <c r="G2116" s="1"/>
      <c r="H2116" s="60">
        <v>15256.21</v>
      </c>
      <c r="I2116" s="228">
        <v>3203.81</v>
      </c>
      <c r="J2116" s="229"/>
      <c r="K2116" s="229"/>
      <c r="L2116" s="229">
        <f>SUM(ventas_b_mes11[[#This Row],[IMPORTE NETO]:[EXENTO]])</f>
        <v>18460.02</v>
      </c>
      <c r="M2116" s="55"/>
    </row>
    <row r="2117" spans="2:13" x14ac:dyDescent="0.3">
      <c r="B2117" s="223">
        <v>44845</v>
      </c>
      <c r="C2117" s="224">
        <v>6</v>
      </c>
      <c r="D2117" s="225">
        <v>10</v>
      </c>
      <c r="E2117" s="226">
        <v>42800</v>
      </c>
      <c r="F2117" s="227">
        <v>0</v>
      </c>
      <c r="G2117" s="1"/>
      <c r="H2117" s="60">
        <v>2231.4</v>
      </c>
      <c r="I2117" s="228">
        <v>468.59</v>
      </c>
      <c r="J2117" s="229"/>
      <c r="K2117" s="229"/>
      <c r="L2117" s="229">
        <f>SUM(ventas_b_mes11[[#This Row],[IMPORTE NETO]:[EXENTO]])</f>
        <v>2699.9900000000002</v>
      </c>
      <c r="M2117" s="55"/>
    </row>
    <row r="2118" spans="2:13" x14ac:dyDescent="0.3">
      <c r="B2118" s="223">
        <v>44845</v>
      </c>
      <c r="C2118" s="224">
        <v>6</v>
      </c>
      <c r="D2118" s="225">
        <v>10</v>
      </c>
      <c r="E2118" s="226">
        <v>42801</v>
      </c>
      <c r="F2118" s="227">
        <v>0</v>
      </c>
      <c r="G2118" s="1"/>
      <c r="H2118" s="60">
        <v>1223.1400000000001</v>
      </c>
      <c r="I2118" s="228">
        <v>256.86</v>
      </c>
      <c r="J2118" s="229"/>
      <c r="K2118" s="229"/>
      <c r="L2118" s="229">
        <f>SUM(ventas_b_mes11[[#This Row],[IMPORTE NETO]:[EXENTO]])</f>
        <v>1480</v>
      </c>
      <c r="M2118" s="55"/>
    </row>
    <row r="2119" spans="2:13" x14ac:dyDescent="0.3">
      <c r="B2119" s="223">
        <v>44845</v>
      </c>
      <c r="C2119" s="224">
        <v>6</v>
      </c>
      <c r="D2119" s="225">
        <v>10</v>
      </c>
      <c r="E2119" s="226">
        <v>42802</v>
      </c>
      <c r="F2119" s="227">
        <v>0</v>
      </c>
      <c r="G2119" s="1"/>
      <c r="H2119" s="60">
        <v>1074.3800000000001</v>
      </c>
      <c r="I2119" s="228">
        <v>225.62</v>
      </c>
      <c r="J2119" s="229"/>
      <c r="K2119" s="229"/>
      <c r="L2119" s="229">
        <f>SUM(ventas_b_mes11[[#This Row],[IMPORTE NETO]:[EXENTO]])</f>
        <v>1300</v>
      </c>
      <c r="M2119" s="55"/>
    </row>
    <row r="2120" spans="2:13" x14ac:dyDescent="0.3">
      <c r="B2120" s="223">
        <v>44845</v>
      </c>
      <c r="C2120" s="224">
        <v>6</v>
      </c>
      <c r="D2120" s="225">
        <v>10</v>
      </c>
      <c r="E2120" s="226">
        <v>42803</v>
      </c>
      <c r="F2120" s="227">
        <v>18068455</v>
      </c>
      <c r="G2120" s="1" t="s">
        <v>508</v>
      </c>
      <c r="H2120" s="60">
        <v>4561.9799999999996</v>
      </c>
      <c r="I2120" s="228">
        <v>958.02</v>
      </c>
      <c r="J2120" s="229"/>
      <c r="K2120" s="229"/>
      <c r="L2120" s="229">
        <f>SUM(ventas_b_mes11[[#This Row],[IMPORTE NETO]:[EXENTO]])</f>
        <v>5520</v>
      </c>
      <c r="M2120" s="55"/>
    </row>
    <row r="2121" spans="2:13" x14ac:dyDescent="0.3">
      <c r="B2121" s="223">
        <v>44845</v>
      </c>
      <c r="C2121" s="224">
        <v>6</v>
      </c>
      <c r="D2121" s="225">
        <v>10</v>
      </c>
      <c r="E2121" s="226">
        <v>42804</v>
      </c>
      <c r="F2121" s="227">
        <v>0</v>
      </c>
      <c r="G2121" s="1"/>
      <c r="H2121" s="60">
        <v>3057.83</v>
      </c>
      <c r="I2121" s="228">
        <v>642.15</v>
      </c>
      <c r="J2121" s="229"/>
      <c r="K2121" s="229"/>
      <c r="L2121" s="229">
        <f>SUM(ventas_b_mes11[[#This Row],[IMPORTE NETO]:[EXENTO]])</f>
        <v>3699.98</v>
      </c>
      <c r="M2121" s="55"/>
    </row>
    <row r="2122" spans="2:13" x14ac:dyDescent="0.3">
      <c r="B2122" s="223">
        <v>44845</v>
      </c>
      <c r="C2122" s="224">
        <v>6</v>
      </c>
      <c r="D2122" s="225">
        <v>10</v>
      </c>
      <c r="E2122" s="226">
        <v>42805</v>
      </c>
      <c r="F2122" s="227">
        <v>0</v>
      </c>
      <c r="G2122" s="1"/>
      <c r="H2122" s="60">
        <v>1206.6099999999999</v>
      </c>
      <c r="I2122" s="228">
        <v>253.39</v>
      </c>
      <c r="J2122" s="229"/>
      <c r="K2122" s="229"/>
      <c r="L2122" s="229">
        <f>SUM(ventas_b_mes11[[#This Row],[IMPORTE NETO]:[EXENTO]])</f>
        <v>1460</v>
      </c>
      <c r="M2122" s="55"/>
    </row>
    <row r="2123" spans="2:13" x14ac:dyDescent="0.3">
      <c r="B2123" s="223">
        <v>44845</v>
      </c>
      <c r="C2123" s="224">
        <v>6</v>
      </c>
      <c r="D2123" s="225">
        <v>10</v>
      </c>
      <c r="E2123" s="226">
        <v>42806</v>
      </c>
      <c r="F2123" s="227">
        <v>17901153</v>
      </c>
      <c r="G2123" s="1" t="s">
        <v>491</v>
      </c>
      <c r="H2123" s="60">
        <v>6239.68</v>
      </c>
      <c r="I2123" s="228">
        <v>1310.33</v>
      </c>
      <c r="J2123" s="229"/>
      <c r="K2123" s="229"/>
      <c r="L2123" s="229">
        <f>SUM(ventas_b_mes11[[#This Row],[IMPORTE NETO]:[EXENTO]])</f>
        <v>7550.01</v>
      </c>
      <c r="M2123" s="55"/>
    </row>
    <row r="2124" spans="2:13" x14ac:dyDescent="0.3">
      <c r="B2124" s="223">
        <v>44845</v>
      </c>
      <c r="C2124" s="224">
        <v>6</v>
      </c>
      <c r="D2124" s="225">
        <v>10</v>
      </c>
      <c r="E2124" s="226">
        <v>42807</v>
      </c>
      <c r="F2124" s="227">
        <v>0</v>
      </c>
      <c r="G2124" s="1"/>
      <c r="H2124" s="60">
        <v>2826.44</v>
      </c>
      <c r="I2124" s="228">
        <v>593.54999999999995</v>
      </c>
      <c r="J2124" s="229"/>
      <c r="K2124" s="229"/>
      <c r="L2124" s="229">
        <f>SUM(ventas_b_mes11[[#This Row],[IMPORTE NETO]:[EXENTO]])</f>
        <v>3419.99</v>
      </c>
      <c r="M2124" s="55"/>
    </row>
    <row r="2125" spans="2:13" x14ac:dyDescent="0.3">
      <c r="B2125" s="223">
        <v>44845</v>
      </c>
      <c r="C2125" s="224">
        <v>6</v>
      </c>
      <c r="D2125" s="225">
        <v>10</v>
      </c>
      <c r="E2125" s="226">
        <v>42808</v>
      </c>
      <c r="F2125" s="227">
        <v>0</v>
      </c>
      <c r="G2125" s="1"/>
      <c r="H2125" s="60">
        <v>1818.18</v>
      </c>
      <c r="I2125" s="228">
        <v>381.82</v>
      </c>
      <c r="J2125" s="229"/>
      <c r="K2125" s="229"/>
      <c r="L2125" s="229">
        <f>SUM(ventas_b_mes11[[#This Row],[IMPORTE NETO]:[EXENTO]])</f>
        <v>2200</v>
      </c>
      <c r="M2125" s="55"/>
    </row>
    <row r="2126" spans="2:13" x14ac:dyDescent="0.3">
      <c r="B2126" s="223">
        <v>44845</v>
      </c>
      <c r="C2126" s="224">
        <v>6</v>
      </c>
      <c r="D2126" s="225">
        <v>10</v>
      </c>
      <c r="E2126" s="226">
        <v>42809</v>
      </c>
      <c r="F2126" s="227">
        <v>0</v>
      </c>
      <c r="G2126" s="1"/>
      <c r="H2126" s="60">
        <v>1074.3800000000001</v>
      </c>
      <c r="I2126" s="228">
        <v>225.62</v>
      </c>
      <c r="J2126" s="229"/>
      <c r="K2126" s="229"/>
      <c r="L2126" s="229">
        <f>SUM(ventas_b_mes11[[#This Row],[IMPORTE NETO]:[EXENTO]])</f>
        <v>1300</v>
      </c>
      <c r="M2126" s="55"/>
    </row>
    <row r="2127" spans="2:13" x14ac:dyDescent="0.3">
      <c r="B2127" s="223">
        <v>44845</v>
      </c>
      <c r="C2127" s="224">
        <v>6</v>
      </c>
      <c r="D2127" s="225">
        <v>10</v>
      </c>
      <c r="E2127" s="226">
        <v>42810</v>
      </c>
      <c r="F2127" s="227">
        <v>0</v>
      </c>
      <c r="G2127" s="1"/>
      <c r="H2127" s="60">
        <v>2173.5500000000002</v>
      </c>
      <c r="I2127" s="228">
        <v>456.45</v>
      </c>
      <c r="J2127" s="229"/>
      <c r="K2127" s="229"/>
      <c r="L2127" s="229">
        <f>SUM(ventas_b_mes11[[#This Row],[IMPORTE NETO]:[EXENTO]])</f>
        <v>2630</v>
      </c>
      <c r="M2127" s="55"/>
    </row>
    <row r="2128" spans="2:13" x14ac:dyDescent="0.3">
      <c r="B2128" s="223" t="s">
        <v>109</v>
      </c>
      <c r="C2128" s="224">
        <v>6</v>
      </c>
      <c r="D2128" s="225">
        <v>10</v>
      </c>
      <c r="E2128" s="226">
        <v>42811</v>
      </c>
      <c r="F2128" s="227">
        <v>0</v>
      </c>
      <c r="G2128" s="1"/>
      <c r="H2128" s="60">
        <v>462.81</v>
      </c>
      <c r="I2128" s="228">
        <v>97.19</v>
      </c>
      <c r="J2128" s="229"/>
      <c r="K2128" s="229"/>
      <c r="L2128" s="229">
        <f>SUM(ventas_b_mes11[[#This Row],[IMPORTE NETO]:[EXENTO]])</f>
        <v>560</v>
      </c>
      <c r="M2128" s="55"/>
    </row>
    <row r="2129" spans="2:13" x14ac:dyDescent="0.3">
      <c r="B2129" s="223" t="s">
        <v>109</v>
      </c>
      <c r="C2129" s="224">
        <v>6</v>
      </c>
      <c r="D2129" s="225">
        <v>10</v>
      </c>
      <c r="E2129" s="226">
        <v>42812</v>
      </c>
      <c r="F2129" s="227">
        <v>16572300</v>
      </c>
      <c r="G2129" s="1"/>
      <c r="H2129" s="60">
        <v>6776.85</v>
      </c>
      <c r="I2129" s="228">
        <v>1423.14</v>
      </c>
      <c r="J2129" s="229"/>
      <c r="K2129" s="229"/>
      <c r="L2129" s="229">
        <f>SUM(ventas_b_mes11[[#This Row],[IMPORTE NETO]:[EXENTO]])</f>
        <v>8199.99</v>
      </c>
      <c r="M2129" s="55"/>
    </row>
    <row r="2130" spans="2:13" x14ac:dyDescent="0.3">
      <c r="B2130" s="223" t="s">
        <v>109</v>
      </c>
      <c r="C2130" s="224">
        <v>6</v>
      </c>
      <c r="D2130" s="225">
        <v>10</v>
      </c>
      <c r="E2130" s="226">
        <v>42813</v>
      </c>
      <c r="F2130" s="227">
        <v>0</v>
      </c>
      <c r="G2130" s="1"/>
      <c r="H2130" s="60">
        <v>1561.98</v>
      </c>
      <c r="I2130" s="228">
        <v>328.02</v>
      </c>
      <c r="J2130" s="229"/>
      <c r="K2130" s="229"/>
      <c r="L2130" s="229">
        <f>SUM(ventas_b_mes11[[#This Row],[IMPORTE NETO]:[EXENTO]])</f>
        <v>1890</v>
      </c>
      <c r="M2130" s="55"/>
    </row>
    <row r="2131" spans="2:13" x14ac:dyDescent="0.3">
      <c r="B2131" s="223" t="s">
        <v>109</v>
      </c>
      <c r="C2131" s="224">
        <v>6</v>
      </c>
      <c r="D2131" s="225">
        <v>10</v>
      </c>
      <c r="E2131" s="226">
        <v>42814</v>
      </c>
      <c r="F2131" s="227">
        <v>11384126</v>
      </c>
      <c r="G2131" s="1" t="s">
        <v>468</v>
      </c>
      <c r="H2131" s="60">
        <v>5000</v>
      </c>
      <c r="I2131" s="228">
        <v>1050</v>
      </c>
      <c r="J2131" s="229"/>
      <c r="K2131" s="229"/>
      <c r="L2131" s="229">
        <f>SUM(ventas_b_mes11[[#This Row],[IMPORTE NETO]:[EXENTO]])</f>
        <v>6050</v>
      </c>
      <c r="M2131" s="55"/>
    </row>
    <row r="2132" spans="2:13" x14ac:dyDescent="0.3">
      <c r="B2132" s="223" t="s">
        <v>109</v>
      </c>
      <c r="C2132" s="224">
        <v>6</v>
      </c>
      <c r="D2132" s="225">
        <v>10</v>
      </c>
      <c r="E2132" s="226">
        <v>42815</v>
      </c>
      <c r="F2132" s="227">
        <v>0</v>
      </c>
      <c r="G2132" s="1"/>
      <c r="H2132" s="60">
        <v>2859.5</v>
      </c>
      <c r="I2132" s="228">
        <v>600.5</v>
      </c>
      <c r="J2132" s="229"/>
      <c r="K2132" s="229"/>
      <c r="L2132" s="229">
        <f>SUM(ventas_b_mes11[[#This Row],[IMPORTE NETO]:[EXENTO]])</f>
        <v>3460</v>
      </c>
      <c r="M2132" s="55"/>
    </row>
    <row r="2133" spans="2:13" x14ac:dyDescent="0.3">
      <c r="B2133" s="223">
        <v>44845</v>
      </c>
      <c r="C2133" s="224">
        <v>6</v>
      </c>
      <c r="D2133" s="225">
        <v>10</v>
      </c>
      <c r="E2133" s="226">
        <v>42816</v>
      </c>
      <c r="F2133" s="227">
        <v>39909260</v>
      </c>
      <c r="G2133" s="1" t="s">
        <v>307</v>
      </c>
      <c r="H2133" s="60">
        <v>18438</v>
      </c>
      <c r="I2133" s="228">
        <v>3871.98</v>
      </c>
      <c r="J2133" s="229"/>
      <c r="K2133" s="229"/>
      <c r="L2133" s="229">
        <f>SUM(ventas_b_mes11[[#This Row],[IMPORTE NETO]:[EXENTO]])</f>
        <v>22309.98</v>
      </c>
      <c r="M2133" s="55"/>
    </row>
    <row r="2134" spans="2:13" x14ac:dyDescent="0.3">
      <c r="B2134" s="223">
        <v>44845</v>
      </c>
      <c r="C2134" s="224">
        <v>6</v>
      </c>
      <c r="D2134" s="225">
        <v>10</v>
      </c>
      <c r="E2134" s="226">
        <v>42817</v>
      </c>
      <c r="F2134" s="227">
        <v>29810493</v>
      </c>
      <c r="G2134" s="1" t="s">
        <v>428</v>
      </c>
      <c r="H2134" s="60">
        <v>16355.38</v>
      </c>
      <c r="I2134" s="228">
        <v>3434.63</v>
      </c>
      <c r="J2134" s="229"/>
      <c r="K2134" s="229"/>
      <c r="L2134" s="229">
        <f>SUM(ventas_b_mes11[[#This Row],[IMPORTE NETO]:[EXENTO]])</f>
        <v>19790.009999999998</v>
      </c>
      <c r="M2134" s="55"/>
    </row>
    <row r="2135" spans="2:13" x14ac:dyDescent="0.3">
      <c r="B2135" s="223">
        <v>44845</v>
      </c>
      <c r="C2135" s="224">
        <v>6</v>
      </c>
      <c r="D2135" s="225">
        <v>10</v>
      </c>
      <c r="E2135" s="226">
        <v>42818</v>
      </c>
      <c r="F2135" s="227">
        <v>0</v>
      </c>
      <c r="G2135" s="1"/>
      <c r="H2135" s="60">
        <v>1561.98</v>
      </c>
      <c r="I2135" s="228">
        <v>328.02</v>
      </c>
      <c r="J2135" s="229"/>
      <c r="K2135" s="229"/>
      <c r="L2135" s="229">
        <f>SUM(ventas_b_mes11[[#This Row],[IMPORTE NETO]:[EXENTO]])</f>
        <v>1890</v>
      </c>
      <c r="M2135" s="55"/>
    </row>
    <row r="2136" spans="2:13" x14ac:dyDescent="0.3">
      <c r="B2136" s="223" t="s">
        <v>109</v>
      </c>
      <c r="C2136" s="224">
        <v>6</v>
      </c>
      <c r="D2136" s="225">
        <v>10</v>
      </c>
      <c r="E2136" s="226">
        <v>42819</v>
      </c>
      <c r="F2136" s="227">
        <v>29810493</v>
      </c>
      <c r="G2136" s="1" t="s">
        <v>428</v>
      </c>
      <c r="H2136" s="60">
        <v>10239.66</v>
      </c>
      <c r="I2136" s="228">
        <v>2150.33</v>
      </c>
      <c r="J2136" s="229"/>
      <c r="K2136" s="229"/>
      <c r="L2136" s="229">
        <f>SUM(ventas_b_mes11[[#This Row],[IMPORTE NETO]:[EXENTO]])</f>
        <v>12389.99</v>
      </c>
      <c r="M2136" s="55"/>
    </row>
    <row r="2137" spans="2:13" x14ac:dyDescent="0.3">
      <c r="B2137" s="223">
        <v>44845</v>
      </c>
      <c r="C2137" s="224">
        <v>6</v>
      </c>
      <c r="D2137" s="225">
        <v>10</v>
      </c>
      <c r="E2137" s="226">
        <v>42820</v>
      </c>
      <c r="F2137" s="227">
        <v>29810493</v>
      </c>
      <c r="G2137" s="1" t="s">
        <v>428</v>
      </c>
      <c r="H2137" s="60">
        <v>4942.1499999999996</v>
      </c>
      <c r="I2137" s="228">
        <v>1037.8499999999999</v>
      </c>
      <c r="J2137" s="229"/>
      <c r="K2137" s="229"/>
      <c r="L2137" s="229">
        <f>SUM(ventas_b_mes11[[#This Row],[IMPORTE NETO]:[EXENTO]])</f>
        <v>5980</v>
      </c>
      <c r="M2137" s="55"/>
    </row>
    <row r="2138" spans="2:13" x14ac:dyDescent="0.3">
      <c r="B2138" s="223">
        <v>44845</v>
      </c>
      <c r="C2138" s="224">
        <v>6</v>
      </c>
      <c r="D2138" s="225">
        <v>10</v>
      </c>
      <c r="E2138" s="226">
        <v>42821</v>
      </c>
      <c r="F2138" s="227">
        <v>28613540</v>
      </c>
      <c r="G2138" s="1" t="s">
        <v>430</v>
      </c>
      <c r="H2138" s="60">
        <v>6834.71</v>
      </c>
      <c r="I2138" s="228">
        <v>1435.29</v>
      </c>
      <c r="J2138" s="229"/>
      <c r="K2138" s="229"/>
      <c r="L2138" s="229">
        <f>SUM(ventas_b_mes11[[#This Row],[IMPORTE NETO]:[EXENTO]])</f>
        <v>8270</v>
      </c>
      <c r="M2138" s="55"/>
    </row>
    <row r="2139" spans="2:13" x14ac:dyDescent="0.3">
      <c r="B2139" s="223">
        <v>44845</v>
      </c>
      <c r="C2139" s="224">
        <v>6</v>
      </c>
      <c r="D2139" s="225">
        <v>10</v>
      </c>
      <c r="E2139" s="226">
        <v>42822</v>
      </c>
      <c r="F2139" s="227">
        <v>28659045</v>
      </c>
      <c r="G2139" s="1" t="s">
        <v>429</v>
      </c>
      <c r="H2139" s="60">
        <v>13057.86</v>
      </c>
      <c r="I2139" s="228">
        <v>2742.15</v>
      </c>
      <c r="J2139" s="229"/>
      <c r="K2139" s="229"/>
      <c r="L2139" s="229">
        <f>SUM(ventas_b_mes11[[#This Row],[IMPORTE NETO]:[EXENTO]])</f>
        <v>15800.01</v>
      </c>
      <c r="M2139" s="55"/>
    </row>
    <row r="2140" spans="2:13" x14ac:dyDescent="0.3">
      <c r="B2140" s="223">
        <v>44845</v>
      </c>
      <c r="C2140" s="224">
        <v>6</v>
      </c>
      <c r="D2140" s="225">
        <v>10</v>
      </c>
      <c r="E2140" s="226">
        <v>42823</v>
      </c>
      <c r="F2140" s="227">
        <v>0</v>
      </c>
      <c r="G2140" s="1"/>
      <c r="H2140" s="60">
        <v>2942.15</v>
      </c>
      <c r="I2140" s="228">
        <v>617.85</v>
      </c>
      <c r="J2140" s="229"/>
      <c r="K2140" s="229"/>
      <c r="L2140" s="229">
        <f>SUM(ventas_b_mes11[[#This Row],[IMPORTE NETO]:[EXENTO]])</f>
        <v>3560</v>
      </c>
      <c r="M2140" s="55"/>
    </row>
    <row r="2141" spans="2:13" x14ac:dyDescent="0.3">
      <c r="B2141" s="223">
        <v>44845</v>
      </c>
      <c r="C2141" s="224">
        <v>6</v>
      </c>
      <c r="D2141" s="225">
        <v>10</v>
      </c>
      <c r="E2141" s="226">
        <v>42824</v>
      </c>
      <c r="F2141" s="227">
        <v>22707205</v>
      </c>
      <c r="G2141" s="1"/>
      <c r="H2141" s="60">
        <v>8847.1200000000008</v>
      </c>
      <c r="I2141" s="228">
        <v>1857.89</v>
      </c>
      <c r="J2141" s="229"/>
      <c r="K2141" s="229"/>
      <c r="L2141" s="229">
        <f>SUM(ventas_b_mes11[[#This Row],[IMPORTE NETO]:[EXENTO]])</f>
        <v>10705.01</v>
      </c>
      <c r="M2141" s="55"/>
    </row>
    <row r="2142" spans="2:13" x14ac:dyDescent="0.3">
      <c r="B2142" s="223">
        <v>44845</v>
      </c>
      <c r="C2142" s="224">
        <v>6</v>
      </c>
      <c r="D2142" s="225">
        <v>10</v>
      </c>
      <c r="E2142" s="226">
        <v>42825</v>
      </c>
      <c r="F2142" s="227">
        <v>0</v>
      </c>
      <c r="G2142" s="1"/>
      <c r="H2142" s="60">
        <v>1958.68</v>
      </c>
      <c r="I2142" s="228">
        <v>411.32</v>
      </c>
      <c r="J2142" s="229"/>
      <c r="K2142" s="229"/>
      <c r="L2142" s="229">
        <f>SUM(ventas_b_mes11[[#This Row],[IMPORTE NETO]:[EXENTO]])</f>
        <v>2370</v>
      </c>
      <c r="M2142" s="55"/>
    </row>
    <row r="2143" spans="2:13" x14ac:dyDescent="0.3">
      <c r="B2143" s="223">
        <v>44845</v>
      </c>
      <c r="C2143" s="224">
        <v>6</v>
      </c>
      <c r="D2143" s="225">
        <v>10</v>
      </c>
      <c r="E2143" s="226">
        <v>42826</v>
      </c>
      <c r="F2143" s="227">
        <v>24363902</v>
      </c>
      <c r="G2143" s="1" t="s">
        <v>425</v>
      </c>
      <c r="H2143" s="60">
        <v>8305.7900000000009</v>
      </c>
      <c r="I2143" s="228">
        <v>1744.21</v>
      </c>
      <c r="J2143" s="229"/>
      <c r="K2143" s="229"/>
      <c r="L2143" s="229">
        <f>SUM(ventas_b_mes11[[#This Row],[IMPORTE NETO]:[EXENTO]])</f>
        <v>10050</v>
      </c>
      <c r="M2143" s="55"/>
    </row>
    <row r="2144" spans="2:13" x14ac:dyDescent="0.3">
      <c r="B2144" s="223">
        <v>44845</v>
      </c>
      <c r="C2144" s="224">
        <v>6</v>
      </c>
      <c r="D2144" s="225">
        <v>10</v>
      </c>
      <c r="E2144" s="226">
        <v>42827</v>
      </c>
      <c r="F2144" s="227">
        <v>0</v>
      </c>
      <c r="G2144" s="1"/>
      <c r="H2144" s="60">
        <v>3347.1</v>
      </c>
      <c r="I2144" s="228">
        <v>702.89</v>
      </c>
      <c r="J2144" s="229"/>
      <c r="K2144" s="229"/>
      <c r="L2144" s="229">
        <f>SUM(ventas_b_mes11[[#This Row],[IMPORTE NETO]:[EXENTO]])</f>
        <v>4049.99</v>
      </c>
      <c r="M2144" s="55"/>
    </row>
    <row r="2145" spans="2:13" x14ac:dyDescent="0.3">
      <c r="B2145" s="223">
        <v>44845</v>
      </c>
      <c r="C2145" s="224">
        <v>6</v>
      </c>
      <c r="D2145" s="225">
        <v>10</v>
      </c>
      <c r="E2145" s="226">
        <v>42828</v>
      </c>
      <c r="F2145" s="227">
        <v>14216780</v>
      </c>
      <c r="G2145" s="1" t="s">
        <v>401</v>
      </c>
      <c r="H2145" s="60">
        <v>14355.37</v>
      </c>
      <c r="I2145" s="228">
        <v>3014.63</v>
      </c>
      <c r="J2145" s="229"/>
      <c r="K2145" s="229"/>
      <c r="L2145" s="229">
        <f>SUM(ventas_b_mes11[[#This Row],[IMPORTE NETO]:[EXENTO]])</f>
        <v>17370</v>
      </c>
      <c r="M2145" s="55"/>
    </row>
    <row r="2146" spans="2:13" x14ac:dyDescent="0.3">
      <c r="B2146" s="223" t="s">
        <v>109</v>
      </c>
      <c r="C2146" s="224">
        <v>6</v>
      </c>
      <c r="D2146" s="225">
        <v>10</v>
      </c>
      <c r="E2146" s="226">
        <v>42829</v>
      </c>
      <c r="F2146" s="227">
        <v>0</v>
      </c>
      <c r="G2146" s="1"/>
      <c r="H2146" s="60">
        <v>3495.87</v>
      </c>
      <c r="I2146" s="228">
        <v>734.13</v>
      </c>
      <c r="J2146" s="229"/>
      <c r="K2146" s="229"/>
      <c r="L2146" s="229">
        <f>SUM(ventas_b_mes11[[#This Row],[IMPORTE NETO]:[EXENTO]])</f>
        <v>4230</v>
      </c>
      <c r="M2146" s="55"/>
    </row>
    <row r="2147" spans="2:13" x14ac:dyDescent="0.3">
      <c r="B2147" s="223" t="s">
        <v>109</v>
      </c>
      <c r="C2147" s="224">
        <v>6</v>
      </c>
      <c r="D2147" s="225">
        <v>10</v>
      </c>
      <c r="E2147" s="226">
        <v>42830</v>
      </c>
      <c r="F2147" s="227">
        <v>0</v>
      </c>
      <c r="G2147" s="1"/>
      <c r="H2147" s="60">
        <v>2636.36</v>
      </c>
      <c r="I2147" s="228">
        <v>553.64</v>
      </c>
      <c r="J2147" s="229"/>
      <c r="K2147" s="229"/>
      <c r="L2147" s="229">
        <f>SUM(ventas_b_mes11[[#This Row],[IMPORTE NETO]:[EXENTO]])</f>
        <v>3190</v>
      </c>
      <c r="M2147" s="55"/>
    </row>
    <row r="2148" spans="2:13" x14ac:dyDescent="0.3">
      <c r="B2148" s="223" t="s">
        <v>109</v>
      </c>
      <c r="C2148" s="224">
        <v>6</v>
      </c>
      <c r="D2148" s="225">
        <v>10</v>
      </c>
      <c r="E2148" s="226">
        <v>42831</v>
      </c>
      <c r="F2148" s="227">
        <v>0</v>
      </c>
      <c r="G2148" s="1"/>
      <c r="H2148" s="60">
        <v>1768.6</v>
      </c>
      <c r="I2148" s="228">
        <v>371.4</v>
      </c>
      <c r="J2148" s="229"/>
      <c r="K2148" s="229"/>
      <c r="L2148" s="229">
        <f>SUM(ventas_b_mes11[[#This Row],[IMPORTE NETO]:[EXENTO]])</f>
        <v>2140</v>
      </c>
      <c r="M2148" s="55"/>
    </row>
    <row r="2149" spans="2:13" x14ac:dyDescent="0.3">
      <c r="B2149" s="223" t="s">
        <v>109</v>
      </c>
      <c r="C2149" s="224">
        <v>6</v>
      </c>
      <c r="D2149" s="225">
        <v>10</v>
      </c>
      <c r="E2149" s="226">
        <v>42832</v>
      </c>
      <c r="F2149" s="227">
        <v>24257988</v>
      </c>
      <c r="G2149" s="1" t="s">
        <v>572</v>
      </c>
      <c r="H2149" s="60">
        <v>8033.02</v>
      </c>
      <c r="I2149" s="228">
        <v>1686.94</v>
      </c>
      <c r="J2149" s="229"/>
      <c r="K2149" s="229"/>
      <c r="L2149" s="229">
        <f>SUM(ventas_b_mes11[[#This Row],[IMPORTE NETO]:[EXENTO]])</f>
        <v>9719.9600000000009</v>
      </c>
      <c r="M2149" s="55"/>
    </row>
    <row r="2150" spans="2:13" x14ac:dyDescent="0.3">
      <c r="B2150" s="223" t="s">
        <v>109</v>
      </c>
      <c r="C2150" s="224">
        <v>6</v>
      </c>
      <c r="D2150" s="225">
        <v>10</v>
      </c>
      <c r="E2150" s="226">
        <v>42833</v>
      </c>
      <c r="F2150" s="227">
        <v>24257988</v>
      </c>
      <c r="G2150" s="1" t="s">
        <v>572</v>
      </c>
      <c r="H2150" s="60">
        <v>12016.52</v>
      </c>
      <c r="I2150" s="228">
        <v>2523.4699999999998</v>
      </c>
      <c r="J2150" s="229"/>
      <c r="K2150" s="229"/>
      <c r="L2150" s="229">
        <f>SUM(ventas_b_mes11[[#This Row],[IMPORTE NETO]:[EXENTO]])</f>
        <v>14539.99</v>
      </c>
      <c r="M2150" s="55"/>
    </row>
    <row r="2151" spans="2:13" x14ac:dyDescent="0.3">
      <c r="B2151" s="223" t="s">
        <v>109</v>
      </c>
      <c r="C2151" s="224">
        <v>6</v>
      </c>
      <c r="D2151" s="225">
        <v>10</v>
      </c>
      <c r="E2151" s="226">
        <v>42834</v>
      </c>
      <c r="F2151" s="227">
        <v>0</v>
      </c>
      <c r="G2151" s="1"/>
      <c r="H2151" s="60">
        <v>1537.19</v>
      </c>
      <c r="I2151" s="228">
        <v>322.81</v>
      </c>
      <c r="J2151" s="229"/>
      <c r="K2151" s="229"/>
      <c r="L2151" s="229">
        <f>SUM(ventas_b_mes11[[#This Row],[IMPORTE NETO]:[EXENTO]])</f>
        <v>1860</v>
      </c>
      <c r="M2151" s="55"/>
    </row>
    <row r="2152" spans="2:13" x14ac:dyDescent="0.3">
      <c r="B2152" s="223" t="s">
        <v>109</v>
      </c>
      <c r="C2152" s="224">
        <v>6</v>
      </c>
      <c r="D2152" s="225">
        <v>10</v>
      </c>
      <c r="E2152" s="226">
        <v>42835</v>
      </c>
      <c r="F2152" s="227">
        <v>95901813</v>
      </c>
      <c r="G2152" s="1" t="s">
        <v>573</v>
      </c>
      <c r="H2152" s="60">
        <v>3198.34</v>
      </c>
      <c r="I2152" s="228">
        <v>671.65</v>
      </c>
      <c r="J2152" s="229"/>
      <c r="K2152" s="229"/>
      <c r="L2152" s="229">
        <f>SUM(ventas_b_mes11[[#This Row],[IMPORTE NETO]:[EXENTO]])</f>
        <v>3869.9900000000002</v>
      </c>
      <c r="M2152" s="55"/>
    </row>
    <row r="2153" spans="2:13" x14ac:dyDescent="0.3">
      <c r="B2153" s="223" t="s">
        <v>109</v>
      </c>
      <c r="C2153" s="224">
        <v>6</v>
      </c>
      <c r="D2153" s="225">
        <v>10</v>
      </c>
      <c r="E2153" s="226">
        <v>42836</v>
      </c>
      <c r="F2153" s="227">
        <v>0</v>
      </c>
      <c r="G2153" s="1"/>
      <c r="H2153" s="60">
        <v>1264.46</v>
      </c>
      <c r="I2153" s="228">
        <v>265.54000000000002</v>
      </c>
      <c r="J2153" s="229"/>
      <c r="K2153" s="229"/>
      <c r="L2153" s="229">
        <f>SUM(ventas_b_mes11[[#This Row],[IMPORTE NETO]:[EXENTO]])</f>
        <v>1530</v>
      </c>
      <c r="M2153" s="55"/>
    </row>
    <row r="2154" spans="2:13" x14ac:dyDescent="0.3">
      <c r="B2154" s="223" t="s">
        <v>109</v>
      </c>
      <c r="C2154" s="224">
        <v>6</v>
      </c>
      <c r="D2154" s="225">
        <v>10</v>
      </c>
      <c r="E2154" s="226">
        <v>42837</v>
      </c>
      <c r="F2154" s="227">
        <v>17356522</v>
      </c>
      <c r="G2154" s="1" t="s">
        <v>569</v>
      </c>
      <c r="H2154" s="60">
        <v>6024.79</v>
      </c>
      <c r="I2154" s="228">
        <v>1265.2</v>
      </c>
      <c r="J2154" s="229"/>
      <c r="K2154" s="229"/>
      <c r="L2154" s="229">
        <f>SUM(ventas_b_mes11[[#This Row],[IMPORTE NETO]:[EXENTO]])</f>
        <v>7289.99</v>
      </c>
      <c r="M2154" s="55"/>
    </row>
    <row r="2155" spans="2:13" x14ac:dyDescent="0.3">
      <c r="B2155" s="223" t="s">
        <v>109</v>
      </c>
      <c r="C2155" s="224">
        <v>6</v>
      </c>
      <c r="D2155" s="225">
        <v>10</v>
      </c>
      <c r="E2155" s="226">
        <v>42838</v>
      </c>
      <c r="F2155" s="227">
        <v>27359048</v>
      </c>
      <c r="G2155" s="1" t="s">
        <v>399</v>
      </c>
      <c r="H2155" s="60">
        <v>5247.93</v>
      </c>
      <c r="I2155" s="228">
        <v>1102.07</v>
      </c>
      <c r="J2155" s="229"/>
      <c r="K2155" s="229"/>
      <c r="L2155" s="229">
        <f>SUM(ventas_b_mes11[[#This Row],[IMPORTE NETO]:[EXENTO]])</f>
        <v>6350</v>
      </c>
      <c r="M2155" s="55"/>
    </row>
    <row r="2156" spans="2:13" x14ac:dyDescent="0.3">
      <c r="B2156" s="223">
        <v>44845</v>
      </c>
      <c r="C2156" s="224">
        <v>6</v>
      </c>
      <c r="D2156" s="225">
        <v>10</v>
      </c>
      <c r="E2156" s="226">
        <v>42839</v>
      </c>
      <c r="F2156" s="227">
        <v>27359048</v>
      </c>
      <c r="G2156" s="1" t="s">
        <v>399</v>
      </c>
      <c r="H2156" s="60">
        <v>8231.4</v>
      </c>
      <c r="I2156" s="228">
        <v>1728.6</v>
      </c>
      <c r="J2156" s="229"/>
      <c r="K2156" s="229"/>
      <c r="L2156" s="229">
        <f>SUM(ventas_b_mes11[[#This Row],[IMPORTE NETO]:[EXENTO]])</f>
        <v>9960</v>
      </c>
      <c r="M2156" s="55"/>
    </row>
    <row r="2157" spans="2:13" x14ac:dyDescent="0.3">
      <c r="B2157" s="223">
        <v>44845</v>
      </c>
      <c r="C2157" s="224">
        <v>6</v>
      </c>
      <c r="D2157" s="225">
        <v>10</v>
      </c>
      <c r="E2157" s="226">
        <v>42840</v>
      </c>
      <c r="F2157" s="227">
        <v>22858608</v>
      </c>
      <c r="G2157" s="1" t="s">
        <v>547</v>
      </c>
      <c r="H2157" s="60">
        <v>8504.15</v>
      </c>
      <c r="I2157" s="228">
        <v>1785.87</v>
      </c>
      <c r="J2157" s="229"/>
      <c r="K2157" s="229"/>
      <c r="L2157" s="229">
        <f>SUM(ventas_b_mes11[[#This Row],[IMPORTE NETO]:[EXENTO]])</f>
        <v>10290.02</v>
      </c>
      <c r="M2157" s="55"/>
    </row>
    <row r="2158" spans="2:13" x14ac:dyDescent="0.3">
      <c r="B2158" s="223">
        <v>44845</v>
      </c>
      <c r="C2158" s="224">
        <v>6</v>
      </c>
      <c r="D2158" s="225">
        <v>10</v>
      </c>
      <c r="E2158" s="226">
        <v>42841</v>
      </c>
      <c r="F2158" s="227">
        <v>0</v>
      </c>
      <c r="G2158" s="1"/>
      <c r="H2158" s="60">
        <v>1454.55</v>
      </c>
      <c r="I2158" s="228">
        <v>305.45999999999998</v>
      </c>
      <c r="J2158" s="229"/>
      <c r="K2158" s="229"/>
      <c r="L2158" s="229">
        <f>SUM(ventas_b_mes11[[#This Row],[IMPORTE NETO]:[EXENTO]])</f>
        <v>1760.01</v>
      </c>
      <c r="M2158" s="55"/>
    </row>
    <row r="2159" spans="2:13" x14ac:dyDescent="0.3">
      <c r="B2159" s="223">
        <v>44845</v>
      </c>
      <c r="C2159" s="224">
        <v>6</v>
      </c>
      <c r="D2159" s="225">
        <v>10</v>
      </c>
      <c r="E2159" s="226">
        <v>42842</v>
      </c>
      <c r="F2159" s="227">
        <v>0</v>
      </c>
      <c r="G2159" s="1"/>
      <c r="H2159" s="60">
        <v>1561.98</v>
      </c>
      <c r="I2159" s="228">
        <v>328.02</v>
      </c>
      <c r="J2159" s="229"/>
      <c r="K2159" s="229"/>
      <c r="L2159" s="229">
        <f>SUM(ventas_b_mes11[[#This Row],[IMPORTE NETO]:[EXENTO]])</f>
        <v>1890</v>
      </c>
      <c r="M2159" s="55"/>
    </row>
    <row r="2160" spans="2:13" x14ac:dyDescent="0.3">
      <c r="B2160" s="223">
        <v>44845</v>
      </c>
      <c r="C2160" s="224">
        <v>6</v>
      </c>
      <c r="D2160" s="225">
        <v>10</v>
      </c>
      <c r="E2160" s="226">
        <v>42843</v>
      </c>
      <c r="F2160" s="227">
        <v>18078018</v>
      </c>
      <c r="G2160" s="1" t="s">
        <v>546</v>
      </c>
      <c r="H2160" s="60">
        <v>4735.54</v>
      </c>
      <c r="I2160" s="228">
        <v>994.46</v>
      </c>
      <c r="J2160" s="229"/>
      <c r="K2160" s="229"/>
      <c r="L2160" s="229">
        <f>SUM(ventas_b_mes11[[#This Row],[IMPORTE NETO]:[EXENTO]])</f>
        <v>5730</v>
      </c>
      <c r="M2160" s="55"/>
    </row>
    <row r="2161" spans="2:13" x14ac:dyDescent="0.3">
      <c r="B2161" s="223">
        <v>44845</v>
      </c>
      <c r="C2161" s="224">
        <v>6</v>
      </c>
      <c r="D2161" s="225">
        <v>10</v>
      </c>
      <c r="E2161" s="226">
        <v>42844</v>
      </c>
      <c r="F2161" s="227">
        <v>0</v>
      </c>
      <c r="G2161" s="1"/>
      <c r="H2161" s="60">
        <v>2900.83</v>
      </c>
      <c r="I2161" s="228">
        <v>609.16999999999996</v>
      </c>
      <c r="J2161" s="229"/>
      <c r="K2161" s="229"/>
      <c r="L2161" s="229">
        <f>SUM(ventas_b_mes11[[#This Row],[IMPORTE NETO]:[EXENTO]])</f>
        <v>3510</v>
      </c>
      <c r="M2161" s="55"/>
    </row>
    <row r="2162" spans="2:13" x14ac:dyDescent="0.3">
      <c r="B2162" s="223">
        <v>44845</v>
      </c>
      <c r="C2162" s="224">
        <v>6</v>
      </c>
      <c r="D2162" s="225">
        <v>10</v>
      </c>
      <c r="E2162" s="226">
        <v>42845</v>
      </c>
      <c r="F2162" s="227">
        <v>0</v>
      </c>
      <c r="G2162" s="1"/>
      <c r="H2162" s="60">
        <v>2900.83</v>
      </c>
      <c r="I2162" s="228">
        <v>609.16999999999996</v>
      </c>
      <c r="J2162" s="229"/>
      <c r="K2162" s="229"/>
      <c r="L2162" s="229">
        <f>SUM(ventas_b_mes11[[#This Row],[IMPORTE NETO]:[EXENTO]])</f>
        <v>3510</v>
      </c>
      <c r="M2162" s="55"/>
    </row>
    <row r="2163" spans="2:13" x14ac:dyDescent="0.3">
      <c r="B2163" s="223">
        <v>44845</v>
      </c>
      <c r="C2163" s="224">
        <v>6</v>
      </c>
      <c r="D2163" s="225">
        <v>10</v>
      </c>
      <c r="E2163" s="226">
        <v>42846</v>
      </c>
      <c r="F2163" s="227">
        <v>0</v>
      </c>
      <c r="G2163" s="1"/>
      <c r="H2163" s="60">
        <v>3314.05</v>
      </c>
      <c r="I2163" s="228">
        <v>695.95</v>
      </c>
      <c r="J2163" s="229"/>
      <c r="K2163" s="229"/>
      <c r="L2163" s="229">
        <f>SUM(ventas_b_mes11[[#This Row],[IMPORTE NETO]:[EXENTO]])</f>
        <v>4010</v>
      </c>
      <c r="M2163" s="55"/>
    </row>
    <row r="2164" spans="2:13" x14ac:dyDescent="0.3">
      <c r="B2164" s="223">
        <v>44845</v>
      </c>
      <c r="C2164" s="224">
        <v>6</v>
      </c>
      <c r="D2164" s="225">
        <v>10</v>
      </c>
      <c r="E2164" s="226">
        <v>42847</v>
      </c>
      <c r="F2164" s="227">
        <v>0</v>
      </c>
      <c r="G2164" s="1"/>
      <c r="H2164" s="60">
        <v>2636.36</v>
      </c>
      <c r="I2164" s="228">
        <v>553.64</v>
      </c>
      <c r="J2164" s="229"/>
      <c r="K2164" s="229"/>
      <c r="L2164" s="229">
        <f>SUM(ventas_b_mes11[[#This Row],[IMPORTE NETO]:[EXENTO]])</f>
        <v>3190</v>
      </c>
      <c r="M2164" s="55"/>
    </row>
    <row r="2165" spans="2:13" x14ac:dyDescent="0.3">
      <c r="B2165" s="223">
        <v>44845</v>
      </c>
      <c r="C2165" s="224">
        <v>6</v>
      </c>
      <c r="D2165" s="225">
        <v>10</v>
      </c>
      <c r="E2165" s="226">
        <v>42848</v>
      </c>
      <c r="F2165" s="227">
        <v>0</v>
      </c>
      <c r="G2165" s="1"/>
      <c r="H2165" s="60">
        <v>1033.06</v>
      </c>
      <c r="I2165" s="228">
        <v>216.94</v>
      </c>
      <c r="J2165" s="229"/>
      <c r="K2165" s="229"/>
      <c r="L2165" s="229">
        <f>SUM(ventas_b_mes11[[#This Row],[IMPORTE NETO]:[EXENTO]])</f>
        <v>1250</v>
      </c>
      <c r="M2165" s="55"/>
    </row>
    <row r="2166" spans="2:13" x14ac:dyDescent="0.3">
      <c r="B2166" s="223">
        <v>44845</v>
      </c>
      <c r="C2166" s="224">
        <v>6</v>
      </c>
      <c r="D2166" s="225">
        <v>10</v>
      </c>
      <c r="E2166" s="226">
        <v>42849</v>
      </c>
      <c r="F2166" s="227">
        <v>0</v>
      </c>
      <c r="G2166" s="1"/>
      <c r="H2166" s="60">
        <v>4016.54</v>
      </c>
      <c r="I2166" s="228">
        <v>843.47</v>
      </c>
      <c r="J2166" s="229"/>
      <c r="K2166" s="229"/>
      <c r="L2166" s="229">
        <f>SUM(ventas_b_mes11[[#This Row],[IMPORTE NETO]:[EXENTO]])</f>
        <v>4860.01</v>
      </c>
      <c r="M2166" s="55"/>
    </row>
    <row r="2167" spans="2:13" x14ac:dyDescent="0.3">
      <c r="B2167" s="223">
        <v>44845</v>
      </c>
      <c r="C2167" s="224">
        <v>6</v>
      </c>
      <c r="D2167" s="225">
        <v>10</v>
      </c>
      <c r="E2167" s="226">
        <v>42850</v>
      </c>
      <c r="F2167" s="227">
        <v>0</v>
      </c>
      <c r="G2167" s="1"/>
      <c r="H2167" s="60">
        <v>619.83000000000004</v>
      </c>
      <c r="I2167" s="228">
        <v>130.16999999999999</v>
      </c>
      <c r="J2167" s="229"/>
      <c r="K2167" s="229"/>
      <c r="L2167" s="229">
        <f>SUM(ventas_b_mes11[[#This Row],[IMPORTE NETO]:[EXENTO]])</f>
        <v>750</v>
      </c>
      <c r="M2167" s="55"/>
    </row>
    <row r="2168" spans="2:13" x14ac:dyDescent="0.3">
      <c r="B2168" s="223" t="s">
        <v>109</v>
      </c>
      <c r="C2168" s="224">
        <v>6</v>
      </c>
      <c r="D2168" s="225">
        <v>10</v>
      </c>
      <c r="E2168" s="226">
        <v>42851</v>
      </c>
      <c r="F2168" s="227">
        <v>32736876</v>
      </c>
      <c r="G2168" s="1" t="s">
        <v>213</v>
      </c>
      <c r="H2168" s="60">
        <v>7578.51</v>
      </c>
      <c r="I2168" s="228">
        <v>1591.49</v>
      </c>
      <c r="J2168" s="229"/>
      <c r="K2168" s="229"/>
      <c r="L2168" s="229">
        <f>SUM(ventas_b_mes11[[#This Row],[IMPORTE NETO]:[EXENTO]])</f>
        <v>9170</v>
      </c>
      <c r="M2168" s="55"/>
    </row>
    <row r="2169" spans="2:13" x14ac:dyDescent="0.3">
      <c r="B2169" s="223">
        <v>44845</v>
      </c>
      <c r="C2169" s="224">
        <v>6</v>
      </c>
      <c r="D2169" s="225">
        <v>10</v>
      </c>
      <c r="E2169" s="226">
        <v>42852</v>
      </c>
      <c r="F2169" s="227">
        <v>24881046</v>
      </c>
      <c r="G2169" s="1" t="s">
        <v>203</v>
      </c>
      <c r="H2169" s="60">
        <v>4793.3900000000003</v>
      </c>
      <c r="I2169" s="228">
        <v>1006.61</v>
      </c>
      <c r="J2169" s="229"/>
      <c r="K2169" s="229"/>
      <c r="L2169" s="229">
        <f>SUM(ventas_b_mes11[[#This Row],[IMPORTE NETO]:[EXENTO]])</f>
        <v>5800</v>
      </c>
      <c r="M2169" s="55"/>
    </row>
    <row r="2170" spans="2:13" x14ac:dyDescent="0.3">
      <c r="B2170" s="223">
        <v>44845</v>
      </c>
      <c r="C2170" s="224">
        <v>6</v>
      </c>
      <c r="D2170" s="225">
        <v>10</v>
      </c>
      <c r="E2170" s="226">
        <v>42853</v>
      </c>
      <c r="F2170" s="227">
        <v>24389955</v>
      </c>
      <c r="G2170" s="1" t="s">
        <v>542</v>
      </c>
      <c r="H2170" s="60">
        <v>13305.79</v>
      </c>
      <c r="I2170" s="228">
        <v>2794.21</v>
      </c>
      <c r="J2170" s="229"/>
      <c r="K2170" s="229"/>
      <c r="L2170" s="229">
        <f>SUM(ventas_b_mes11[[#This Row],[IMPORTE NETO]:[EXENTO]])</f>
        <v>16100</v>
      </c>
      <c r="M2170" s="55"/>
    </row>
    <row r="2171" spans="2:13" x14ac:dyDescent="0.3">
      <c r="B2171" s="223">
        <v>44845</v>
      </c>
      <c r="C2171" s="224">
        <v>6</v>
      </c>
      <c r="D2171" s="225">
        <v>10</v>
      </c>
      <c r="E2171" s="226">
        <v>42854</v>
      </c>
      <c r="F2171" s="227">
        <v>24796372</v>
      </c>
      <c r="G2171" s="1" t="s">
        <v>511</v>
      </c>
      <c r="H2171" s="60">
        <v>7231.4</v>
      </c>
      <c r="I2171" s="228">
        <v>1518.6</v>
      </c>
      <c r="J2171" s="229"/>
      <c r="K2171" s="229"/>
      <c r="L2171" s="229">
        <f>SUM(ventas_b_mes11[[#This Row],[IMPORTE NETO]:[EXENTO]])</f>
        <v>8750</v>
      </c>
      <c r="M2171" s="55"/>
    </row>
    <row r="2172" spans="2:13" x14ac:dyDescent="0.3">
      <c r="B2172" s="223">
        <v>44845</v>
      </c>
      <c r="C2172" s="224">
        <v>6</v>
      </c>
      <c r="D2172" s="225">
        <v>10</v>
      </c>
      <c r="E2172" s="226">
        <v>42855</v>
      </c>
      <c r="F2172" s="227">
        <v>24796372</v>
      </c>
      <c r="G2172" s="1" t="s">
        <v>511</v>
      </c>
      <c r="H2172" s="60">
        <v>20198.349999999999</v>
      </c>
      <c r="I2172" s="228">
        <v>4241.6499999999996</v>
      </c>
      <c r="J2172" s="229"/>
      <c r="K2172" s="229"/>
      <c r="L2172" s="229">
        <f>SUM(ventas_b_mes11[[#This Row],[IMPORTE NETO]:[EXENTO]])</f>
        <v>24440</v>
      </c>
      <c r="M2172" s="55"/>
    </row>
    <row r="2173" spans="2:13" x14ac:dyDescent="0.3">
      <c r="B2173" s="223">
        <v>44845</v>
      </c>
      <c r="C2173" s="224">
        <v>6</v>
      </c>
      <c r="D2173" s="225">
        <v>10</v>
      </c>
      <c r="E2173" s="226">
        <v>42856</v>
      </c>
      <c r="F2173" s="227">
        <v>0</v>
      </c>
      <c r="G2173" s="1"/>
      <c r="H2173" s="60">
        <v>3776.85</v>
      </c>
      <c r="I2173" s="228">
        <v>793.14</v>
      </c>
      <c r="J2173" s="229"/>
      <c r="K2173" s="229"/>
      <c r="L2173" s="229">
        <f>SUM(ventas_b_mes11[[#This Row],[IMPORTE NETO]:[EXENTO]])</f>
        <v>4569.99</v>
      </c>
      <c r="M2173" s="55"/>
    </row>
    <row r="2174" spans="2:13" x14ac:dyDescent="0.3">
      <c r="B2174" s="223">
        <v>44845</v>
      </c>
      <c r="C2174" s="224">
        <v>6</v>
      </c>
      <c r="D2174" s="225">
        <v>10</v>
      </c>
      <c r="E2174" s="226">
        <v>42857</v>
      </c>
      <c r="F2174" s="227">
        <v>0</v>
      </c>
      <c r="G2174" s="1"/>
      <c r="H2174" s="60">
        <v>1338.84</v>
      </c>
      <c r="I2174" s="228">
        <v>281.16000000000003</v>
      </c>
      <c r="J2174" s="229"/>
      <c r="K2174" s="229"/>
      <c r="L2174" s="229">
        <f>SUM(ventas_b_mes11[[#This Row],[IMPORTE NETO]:[EXENTO]])</f>
        <v>1620</v>
      </c>
      <c r="M2174" s="55"/>
    </row>
    <row r="2175" spans="2:13" x14ac:dyDescent="0.3">
      <c r="B2175" s="223">
        <v>44845</v>
      </c>
      <c r="C2175" s="224">
        <v>6</v>
      </c>
      <c r="D2175" s="225">
        <v>10</v>
      </c>
      <c r="E2175" s="226">
        <v>42858</v>
      </c>
      <c r="F2175" s="227">
        <v>0</v>
      </c>
      <c r="G2175" s="1"/>
      <c r="H2175" s="60">
        <v>2768.6</v>
      </c>
      <c r="I2175" s="228">
        <v>581.4</v>
      </c>
      <c r="J2175" s="229"/>
      <c r="K2175" s="229"/>
      <c r="L2175" s="229">
        <f>SUM(ventas_b_mes11[[#This Row],[IMPORTE NETO]:[EXENTO]])</f>
        <v>3350</v>
      </c>
      <c r="M2175" s="55"/>
    </row>
    <row r="2176" spans="2:13" x14ac:dyDescent="0.3">
      <c r="B2176" s="223">
        <v>44845</v>
      </c>
      <c r="C2176" s="224">
        <v>6</v>
      </c>
      <c r="D2176" s="225">
        <v>10</v>
      </c>
      <c r="E2176" s="226">
        <v>42859</v>
      </c>
      <c r="F2176" s="227">
        <v>18254897</v>
      </c>
      <c r="G2176" s="1" t="s">
        <v>513</v>
      </c>
      <c r="H2176" s="60">
        <v>22561.98</v>
      </c>
      <c r="I2176" s="228">
        <v>4738.01</v>
      </c>
      <c r="J2176" s="229"/>
      <c r="K2176" s="229"/>
      <c r="L2176" s="229">
        <f>SUM(ventas_b_mes11[[#This Row],[IMPORTE NETO]:[EXENTO]])</f>
        <v>27299.989999999998</v>
      </c>
      <c r="M2176" s="55"/>
    </row>
    <row r="2177" spans="2:13" x14ac:dyDescent="0.3">
      <c r="B2177" s="223">
        <v>44845</v>
      </c>
      <c r="C2177" s="224">
        <v>6</v>
      </c>
      <c r="D2177" s="225">
        <v>10</v>
      </c>
      <c r="E2177" s="226">
        <v>42860</v>
      </c>
      <c r="F2177" s="227">
        <v>17299300</v>
      </c>
      <c r="G2177" s="1" t="s">
        <v>512</v>
      </c>
      <c r="H2177" s="60">
        <v>21842.97</v>
      </c>
      <c r="I2177" s="228">
        <v>4587.0200000000004</v>
      </c>
      <c r="J2177" s="229"/>
      <c r="K2177" s="229"/>
      <c r="L2177" s="229">
        <f>SUM(ventas_b_mes11[[#This Row],[IMPORTE NETO]:[EXENTO]])</f>
        <v>26429.99</v>
      </c>
      <c r="M2177" s="55"/>
    </row>
    <row r="2178" spans="2:13" x14ac:dyDescent="0.3">
      <c r="B2178" s="223">
        <v>44845</v>
      </c>
      <c r="C2178" s="224">
        <v>6</v>
      </c>
      <c r="D2178" s="225">
        <v>10</v>
      </c>
      <c r="E2178" s="226">
        <v>42861</v>
      </c>
      <c r="F2178" s="227">
        <v>17299300</v>
      </c>
      <c r="G2178" s="1" t="s">
        <v>512</v>
      </c>
      <c r="H2178" s="60">
        <v>4876.03</v>
      </c>
      <c r="I2178" s="228">
        <v>1023.97</v>
      </c>
      <c r="J2178" s="229"/>
      <c r="K2178" s="229"/>
      <c r="L2178" s="229">
        <f>SUM(ventas_b_mes11[[#This Row],[IMPORTE NETO]:[EXENTO]])</f>
        <v>5900</v>
      </c>
      <c r="M2178" s="55"/>
    </row>
    <row r="2179" spans="2:13" x14ac:dyDescent="0.3">
      <c r="B2179" s="223">
        <v>44845</v>
      </c>
      <c r="C2179" s="224">
        <v>6</v>
      </c>
      <c r="D2179" s="225">
        <v>10</v>
      </c>
      <c r="E2179" s="226">
        <v>42862</v>
      </c>
      <c r="F2179" s="227">
        <v>0</v>
      </c>
      <c r="G2179" s="1"/>
      <c r="H2179" s="60">
        <v>2768.6</v>
      </c>
      <c r="I2179" s="228">
        <v>581.4</v>
      </c>
      <c r="J2179" s="229"/>
      <c r="K2179" s="229"/>
      <c r="L2179" s="229">
        <f>SUM(ventas_b_mes11[[#This Row],[IMPORTE NETO]:[EXENTO]])</f>
        <v>3350</v>
      </c>
      <c r="M2179" s="55"/>
    </row>
    <row r="2180" spans="2:13" x14ac:dyDescent="0.3">
      <c r="B2180" s="223">
        <v>44845</v>
      </c>
      <c r="C2180" s="224">
        <v>6</v>
      </c>
      <c r="D2180" s="225">
        <v>10</v>
      </c>
      <c r="E2180" s="226">
        <v>42863</v>
      </c>
      <c r="F2180" s="227">
        <v>0</v>
      </c>
      <c r="G2180" s="1"/>
      <c r="H2180" s="60">
        <v>2553.7199999999998</v>
      </c>
      <c r="I2180" s="228">
        <v>536.28</v>
      </c>
      <c r="J2180" s="229"/>
      <c r="K2180" s="229"/>
      <c r="L2180" s="229">
        <f>SUM(ventas_b_mes11[[#This Row],[IMPORTE NETO]:[EXENTO]])</f>
        <v>3090</v>
      </c>
      <c r="M2180" s="55"/>
    </row>
    <row r="2181" spans="2:13" x14ac:dyDescent="0.3">
      <c r="B2181" s="223">
        <v>44845</v>
      </c>
      <c r="C2181" s="224">
        <v>6</v>
      </c>
      <c r="D2181" s="225">
        <v>10</v>
      </c>
      <c r="E2181" s="226">
        <v>42864</v>
      </c>
      <c r="F2181" s="227">
        <v>13915693</v>
      </c>
      <c r="G2181" s="1" t="s">
        <v>471</v>
      </c>
      <c r="H2181" s="60">
        <v>7818.17</v>
      </c>
      <c r="I2181" s="228">
        <v>1641.81</v>
      </c>
      <c r="J2181" s="229"/>
      <c r="K2181" s="229"/>
      <c r="L2181" s="229">
        <f>SUM(ventas_b_mes11[[#This Row],[IMPORTE NETO]:[EXENTO]])</f>
        <v>9459.98</v>
      </c>
      <c r="M2181" s="55"/>
    </row>
    <row r="2182" spans="2:13" x14ac:dyDescent="0.3">
      <c r="B2182" s="223" t="s">
        <v>109</v>
      </c>
      <c r="C2182" s="224">
        <v>6</v>
      </c>
      <c r="D2182" s="225">
        <v>10</v>
      </c>
      <c r="E2182" s="226">
        <v>42865</v>
      </c>
      <c r="F2182" s="227">
        <v>13915693</v>
      </c>
      <c r="G2182" s="1" t="s">
        <v>471</v>
      </c>
      <c r="H2182" s="60">
        <v>6024.79</v>
      </c>
      <c r="I2182" s="228">
        <v>1265.2</v>
      </c>
      <c r="J2182" s="229"/>
      <c r="K2182" s="229"/>
      <c r="L2182" s="229">
        <f>SUM(ventas_b_mes11[[#This Row],[IMPORTE NETO]:[EXENTO]])</f>
        <v>7289.99</v>
      </c>
      <c r="M2182" s="55"/>
    </row>
    <row r="2183" spans="2:13" x14ac:dyDescent="0.3">
      <c r="B2183" s="223">
        <v>44845</v>
      </c>
      <c r="C2183" s="224">
        <v>6</v>
      </c>
      <c r="D2183" s="225">
        <v>10</v>
      </c>
      <c r="E2183" s="226">
        <v>42866</v>
      </c>
      <c r="F2183" s="227">
        <v>35452636</v>
      </c>
      <c r="G2183" s="1" t="s">
        <v>475</v>
      </c>
      <c r="H2183" s="60">
        <v>16611.57</v>
      </c>
      <c r="I2183" s="228">
        <v>3488.43</v>
      </c>
      <c r="J2183" s="229"/>
      <c r="K2183" s="229"/>
      <c r="L2183" s="229">
        <f>SUM(ventas_b_mes11[[#This Row],[IMPORTE NETO]:[EXENTO]])</f>
        <v>20100</v>
      </c>
      <c r="M2183" s="55"/>
    </row>
    <row r="2184" spans="2:13" x14ac:dyDescent="0.3">
      <c r="B2184" s="223">
        <v>44845</v>
      </c>
      <c r="C2184" s="224">
        <v>6</v>
      </c>
      <c r="D2184" s="225">
        <v>10</v>
      </c>
      <c r="E2184" s="226">
        <v>42867</v>
      </c>
      <c r="F2184" s="227">
        <v>25600794</v>
      </c>
      <c r="G2184" s="1" t="s">
        <v>474</v>
      </c>
      <c r="H2184" s="60">
        <v>4223.1499999999996</v>
      </c>
      <c r="I2184" s="228">
        <v>886.86</v>
      </c>
      <c r="J2184" s="229"/>
      <c r="K2184" s="229"/>
      <c r="L2184" s="229">
        <f>SUM(ventas_b_mes11[[#This Row],[IMPORTE NETO]:[EXENTO]])</f>
        <v>5110.0099999999993</v>
      </c>
      <c r="M2184" s="55"/>
    </row>
    <row r="2185" spans="2:13" x14ac:dyDescent="0.3">
      <c r="B2185" s="223" t="s">
        <v>109</v>
      </c>
      <c r="C2185" s="224">
        <v>6</v>
      </c>
      <c r="D2185" s="225">
        <v>10</v>
      </c>
      <c r="E2185" s="226">
        <v>42868</v>
      </c>
      <c r="F2185" s="227">
        <v>0</v>
      </c>
      <c r="G2185" s="1"/>
      <c r="H2185" s="60">
        <v>1685.95</v>
      </c>
      <c r="I2185" s="228">
        <v>354.05</v>
      </c>
      <c r="J2185" s="229"/>
      <c r="K2185" s="229"/>
      <c r="L2185" s="229">
        <f>SUM(ventas_b_mes11[[#This Row],[IMPORTE NETO]:[EXENTO]])</f>
        <v>2040</v>
      </c>
      <c r="M2185" s="55"/>
    </row>
    <row r="2186" spans="2:13" x14ac:dyDescent="0.3">
      <c r="B2186" s="223" t="s">
        <v>109</v>
      </c>
      <c r="C2186" s="224">
        <v>6</v>
      </c>
      <c r="D2186" s="225">
        <v>10</v>
      </c>
      <c r="E2186" s="226">
        <v>42869</v>
      </c>
      <c r="F2186" s="227">
        <v>29691581</v>
      </c>
      <c r="G2186" s="1" t="s">
        <v>472</v>
      </c>
      <c r="H2186" s="60">
        <v>7157.02</v>
      </c>
      <c r="I2186" s="228">
        <v>1502.98</v>
      </c>
      <c r="J2186" s="229"/>
      <c r="K2186" s="229"/>
      <c r="L2186" s="229">
        <f>SUM(ventas_b_mes11[[#This Row],[IMPORTE NETO]:[EXENTO]])</f>
        <v>8660</v>
      </c>
      <c r="M2186" s="55"/>
    </row>
    <row r="2187" spans="2:13" x14ac:dyDescent="0.3">
      <c r="B2187" s="223">
        <v>44845</v>
      </c>
      <c r="C2187" s="224">
        <v>6</v>
      </c>
      <c r="D2187" s="225">
        <v>10</v>
      </c>
      <c r="E2187" s="226">
        <v>42870</v>
      </c>
      <c r="F2187" s="227">
        <v>0</v>
      </c>
      <c r="G2187" s="1"/>
      <c r="H2187" s="60">
        <v>1669.42</v>
      </c>
      <c r="I2187" s="228">
        <v>350.58</v>
      </c>
      <c r="J2187" s="229"/>
      <c r="K2187" s="229"/>
      <c r="L2187" s="229">
        <f>SUM(ventas_b_mes11[[#This Row],[IMPORTE NETO]:[EXENTO]])</f>
        <v>2020</v>
      </c>
      <c r="M2187" s="55"/>
    </row>
    <row r="2188" spans="2:13" x14ac:dyDescent="0.3">
      <c r="B2188" s="223">
        <v>44845</v>
      </c>
      <c r="C2188" s="224">
        <v>6</v>
      </c>
      <c r="D2188" s="225">
        <v>10</v>
      </c>
      <c r="E2188" s="226">
        <v>42871</v>
      </c>
      <c r="F2188" s="227">
        <v>0</v>
      </c>
      <c r="G2188" s="1"/>
      <c r="H2188" s="60">
        <v>2148.7600000000002</v>
      </c>
      <c r="I2188" s="228">
        <v>451.24</v>
      </c>
      <c r="J2188" s="229"/>
      <c r="K2188" s="229"/>
      <c r="L2188" s="229">
        <f>SUM(ventas_b_mes11[[#This Row],[IMPORTE NETO]:[EXENTO]])</f>
        <v>2600</v>
      </c>
      <c r="M2188" s="55"/>
    </row>
    <row r="2189" spans="2:13" x14ac:dyDescent="0.3">
      <c r="B2189" s="223">
        <v>44845</v>
      </c>
      <c r="C2189" s="224">
        <v>6</v>
      </c>
      <c r="D2189" s="225">
        <v>10</v>
      </c>
      <c r="E2189" s="226">
        <v>42872</v>
      </c>
      <c r="F2189" s="227">
        <v>0</v>
      </c>
      <c r="G2189" s="1"/>
      <c r="H2189" s="60">
        <v>1867.78</v>
      </c>
      <c r="I2189" s="228">
        <v>392.23</v>
      </c>
      <c r="J2189" s="229"/>
      <c r="K2189" s="229"/>
      <c r="L2189" s="229">
        <f>SUM(ventas_b_mes11[[#This Row],[IMPORTE NETO]:[EXENTO]])</f>
        <v>2260.0100000000002</v>
      </c>
      <c r="M2189" s="55"/>
    </row>
    <row r="2190" spans="2:13" x14ac:dyDescent="0.3">
      <c r="B2190" s="223">
        <v>44845</v>
      </c>
      <c r="C2190" s="224">
        <v>6</v>
      </c>
      <c r="D2190" s="225">
        <v>10</v>
      </c>
      <c r="E2190" s="226">
        <v>42873</v>
      </c>
      <c r="F2190" s="227">
        <v>0</v>
      </c>
      <c r="G2190" s="1"/>
      <c r="H2190" s="60">
        <v>1404.96</v>
      </c>
      <c r="I2190" s="228">
        <v>295.04000000000002</v>
      </c>
      <c r="J2190" s="229"/>
      <c r="K2190" s="229"/>
      <c r="L2190" s="229">
        <f>SUM(ventas_b_mes11[[#This Row],[IMPORTE NETO]:[EXENTO]])</f>
        <v>1700</v>
      </c>
      <c r="M2190" s="55"/>
    </row>
    <row r="2191" spans="2:13" x14ac:dyDescent="0.3">
      <c r="B2191" s="223">
        <v>44845</v>
      </c>
      <c r="C2191" s="224">
        <v>6</v>
      </c>
      <c r="D2191" s="225">
        <v>10</v>
      </c>
      <c r="E2191" s="226">
        <v>42874</v>
      </c>
      <c r="F2191" s="227">
        <v>0</v>
      </c>
      <c r="G2191" s="1"/>
      <c r="H2191" s="60">
        <v>2768.6</v>
      </c>
      <c r="I2191" s="228">
        <v>581.4</v>
      </c>
      <c r="J2191" s="229"/>
      <c r="K2191" s="229"/>
      <c r="L2191" s="229">
        <f>SUM(ventas_b_mes11[[#This Row],[IMPORTE NETO]:[EXENTO]])</f>
        <v>3350</v>
      </c>
      <c r="M2191" s="55"/>
    </row>
    <row r="2192" spans="2:13" x14ac:dyDescent="0.3">
      <c r="B2192" s="223">
        <v>44845</v>
      </c>
      <c r="C2192" s="224">
        <v>6</v>
      </c>
      <c r="D2192" s="225">
        <v>10</v>
      </c>
      <c r="E2192" s="226">
        <v>42875</v>
      </c>
      <c r="F2192" s="227">
        <v>0</v>
      </c>
      <c r="G2192" s="1"/>
      <c r="H2192" s="60">
        <v>1033.06</v>
      </c>
      <c r="I2192" s="228">
        <v>216.94</v>
      </c>
      <c r="J2192" s="229"/>
      <c r="K2192" s="229"/>
      <c r="L2192" s="229">
        <f>SUM(ventas_b_mes11[[#This Row],[IMPORTE NETO]:[EXENTO]])</f>
        <v>1250</v>
      </c>
      <c r="M2192" s="55"/>
    </row>
    <row r="2193" spans="2:13" x14ac:dyDescent="0.3">
      <c r="B2193" s="223">
        <v>44845</v>
      </c>
      <c r="C2193" s="224">
        <v>6</v>
      </c>
      <c r="D2193" s="225">
        <v>10</v>
      </c>
      <c r="E2193" s="226">
        <v>42876</v>
      </c>
      <c r="F2193" s="227">
        <v>0</v>
      </c>
      <c r="G2193" s="1"/>
      <c r="H2193" s="60">
        <v>2768.6</v>
      </c>
      <c r="I2193" s="228">
        <v>581.4</v>
      </c>
      <c r="J2193" s="229"/>
      <c r="K2193" s="229"/>
      <c r="L2193" s="229">
        <f>SUM(ventas_b_mes11[[#This Row],[IMPORTE NETO]:[EXENTO]])</f>
        <v>3350</v>
      </c>
      <c r="M2193" s="55"/>
    </row>
    <row r="2194" spans="2:13" x14ac:dyDescent="0.3">
      <c r="B2194" s="223">
        <v>44845</v>
      </c>
      <c r="C2194" s="224">
        <v>6</v>
      </c>
      <c r="D2194" s="225">
        <v>10</v>
      </c>
      <c r="E2194" s="226">
        <v>42877</v>
      </c>
      <c r="F2194" s="227">
        <v>0</v>
      </c>
      <c r="G2194" s="1"/>
      <c r="H2194" s="60">
        <v>1747.93</v>
      </c>
      <c r="I2194" s="228">
        <v>367.07</v>
      </c>
      <c r="J2194" s="229"/>
      <c r="K2194" s="229"/>
      <c r="L2194" s="229">
        <f>SUM(ventas_b_mes11[[#This Row],[IMPORTE NETO]:[EXENTO]])</f>
        <v>2115</v>
      </c>
      <c r="M2194" s="55"/>
    </row>
    <row r="2195" spans="2:13" x14ac:dyDescent="0.3">
      <c r="B2195" s="223">
        <v>44845</v>
      </c>
      <c r="C2195" s="224">
        <v>6</v>
      </c>
      <c r="D2195" s="225">
        <v>10</v>
      </c>
      <c r="E2195" s="226">
        <v>42878</v>
      </c>
      <c r="F2195" s="227">
        <v>17231342</v>
      </c>
      <c r="G2195" s="1" t="s">
        <v>499</v>
      </c>
      <c r="H2195" s="60">
        <v>10892.56</v>
      </c>
      <c r="I2195" s="228">
        <v>2287.44</v>
      </c>
      <c r="J2195" s="229"/>
      <c r="K2195" s="229"/>
      <c r="L2195" s="229">
        <f>SUM(ventas_b_mes11[[#This Row],[IMPORTE NETO]:[EXENTO]])</f>
        <v>13180</v>
      </c>
      <c r="M2195" s="55"/>
    </row>
    <row r="2196" spans="2:13" x14ac:dyDescent="0.3">
      <c r="B2196" s="223">
        <v>44845</v>
      </c>
      <c r="C2196" s="224">
        <v>6</v>
      </c>
      <c r="D2196" s="225">
        <v>10</v>
      </c>
      <c r="E2196" s="226">
        <v>42879</v>
      </c>
      <c r="F2196" s="227">
        <v>0</v>
      </c>
      <c r="G2196" s="1"/>
      <c r="H2196" s="60">
        <v>619.83000000000004</v>
      </c>
      <c r="I2196" s="228">
        <v>130.16999999999999</v>
      </c>
      <c r="J2196" s="229"/>
      <c r="K2196" s="229"/>
      <c r="L2196" s="229">
        <f>SUM(ventas_b_mes11[[#This Row],[IMPORTE NETO]:[EXENTO]])</f>
        <v>750</v>
      </c>
      <c r="M2196" s="55"/>
    </row>
    <row r="2197" spans="2:13" x14ac:dyDescent="0.3">
      <c r="B2197" s="223">
        <v>44845</v>
      </c>
      <c r="C2197" s="224">
        <v>6</v>
      </c>
      <c r="D2197" s="225">
        <v>10</v>
      </c>
      <c r="E2197" s="226">
        <v>42880</v>
      </c>
      <c r="F2197" s="227">
        <v>0</v>
      </c>
      <c r="G2197" s="1"/>
      <c r="H2197" s="60">
        <v>1074.3800000000001</v>
      </c>
      <c r="I2197" s="228">
        <v>225.62</v>
      </c>
      <c r="J2197" s="229"/>
      <c r="K2197" s="229"/>
      <c r="L2197" s="229">
        <f>SUM(ventas_b_mes11[[#This Row],[IMPORTE NETO]:[EXENTO]])</f>
        <v>1300</v>
      </c>
      <c r="M2197" s="55"/>
    </row>
    <row r="2198" spans="2:13" x14ac:dyDescent="0.3">
      <c r="B2198" s="223">
        <v>44845</v>
      </c>
      <c r="C2198" s="224">
        <v>6</v>
      </c>
      <c r="D2198" s="225">
        <v>10</v>
      </c>
      <c r="E2198" s="226">
        <v>42881</v>
      </c>
      <c r="F2198" s="227">
        <v>0</v>
      </c>
      <c r="G2198" s="1"/>
      <c r="H2198" s="60">
        <v>2446.2800000000002</v>
      </c>
      <c r="I2198" s="228">
        <v>513.72</v>
      </c>
      <c r="J2198" s="229"/>
      <c r="K2198" s="229"/>
      <c r="L2198" s="229">
        <f>SUM(ventas_b_mes11[[#This Row],[IMPORTE NETO]:[EXENTO]])</f>
        <v>2960</v>
      </c>
      <c r="M2198" s="55"/>
    </row>
    <row r="2199" spans="2:13" x14ac:dyDescent="0.3">
      <c r="B2199" s="223">
        <v>44845</v>
      </c>
      <c r="C2199" s="224">
        <v>6</v>
      </c>
      <c r="D2199" s="225">
        <v>10</v>
      </c>
      <c r="E2199" s="226">
        <v>42882</v>
      </c>
      <c r="F2199" s="227">
        <v>0</v>
      </c>
      <c r="G2199" s="1"/>
      <c r="H2199" s="60">
        <v>2421.4899999999998</v>
      </c>
      <c r="I2199" s="228">
        <v>508.51</v>
      </c>
      <c r="J2199" s="229"/>
      <c r="K2199" s="229"/>
      <c r="L2199" s="229">
        <f>SUM(ventas_b_mes11[[#This Row],[IMPORTE NETO]:[EXENTO]])</f>
        <v>2930</v>
      </c>
      <c r="M2199" s="55"/>
    </row>
    <row r="2200" spans="2:13" x14ac:dyDescent="0.3">
      <c r="B2200" s="223">
        <v>44845</v>
      </c>
      <c r="C2200" s="224">
        <v>6</v>
      </c>
      <c r="D2200" s="225">
        <v>10</v>
      </c>
      <c r="E2200" s="226">
        <v>42883</v>
      </c>
      <c r="F2200" s="227">
        <v>92356074</v>
      </c>
      <c r="G2200" s="1" t="s">
        <v>497</v>
      </c>
      <c r="H2200" s="60">
        <v>13165.29</v>
      </c>
      <c r="I2200" s="228">
        <v>2764.71</v>
      </c>
      <c r="J2200" s="229"/>
      <c r="K2200" s="229"/>
      <c r="L2200" s="229">
        <f>SUM(ventas_b_mes11[[#This Row],[IMPORTE NETO]:[EXENTO]])</f>
        <v>15930</v>
      </c>
      <c r="M2200" s="55"/>
    </row>
    <row r="2201" spans="2:13" x14ac:dyDescent="0.3">
      <c r="B2201" s="223">
        <v>44845</v>
      </c>
      <c r="C2201" s="224">
        <v>6</v>
      </c>
      <c r="D2201" s="225">
        <v>10</v>
      </c>
      <c r="E2201" s="226">
        <v>42884</v>
      </c>
      <c r="F2201" s="227">
        <v>0</v>
      </c>
      <c r="G2201" s="1"/>
      <c r="H2201" s="60">
        <v>1305.79</v>
      </c>
      <c r="I2201" s="228">
        <v>274.20999999999998</v>
      </c>
      <c r="J2201" s="229"/>
      <c r="K2201" s="229"/>
      <c r="L2201" s="229">
        <f>SUM(ventas_b_mes11[[#This Row],[IMPORTE NETO]:[EXENTO]])</f>
        <v>1580</v>
      </c>
      <c r="M2201" s="55"/>
    </row>
    <row r="2202" spans="2:13" x14ac:dyDescent="0.3">
      <c r="B2202" s="223">
        <v>44845</v>
      </c>
      <c r="C2202" s="224">
        <v>6</v>
      </c>
      <c r="D2202" s="225">
        <v>10</v>
      </c>
      <c r="E2202" s="226">
        <v>42885</v>
      </c>
      <c r="F2202" s="227">
        <v>28936891</v>
      </c>
      <c r="G2202" s="1" t="s">
        <v>487</v>
      </c>
      <c r="H2202" s="60">
        <v>26479.34</v>
      </c>
      <c r="I2202" s="228">
        <v>5560.66</v>
      </c>
      <c r="J2202" s="229"/>
      <c r="K2202" s="229"/>
      <c r="L2202" s="229">
        <f>SUM(ventas_b_mes11[[#This Row],[IMPORTE NETO]:[EXENTO]])</f>
        <v>32040</v>
      </c>
      <c r="M2202" s="55"/>
    </row>
    <row r="2203" spans="2:13" x14ac:dyDescent="0.3">
      <c r="B2203" s="223">
        <v>44845</v>
      </c>
      <c r="C2203" s="224">
        <v>6</v>
      </c>
      <c r="D2203" s="225">
        <v>10</v>
      </c>
      <c r="E2203" s="226">
        <v>42886</v>
      </c>
      <c r="F2203" s="227">
        <v>0</v>
      </c>
      <c r="G2203" s="1"/>
      <c r="H2203" s="60">
        <v>1859.5</v>
      </c>
      <c r="I2203" s="228">
        <v>390.5</v>
      </c>
      <c r="J2203" s="229"/>
      <c r="K2203" s="229"/>
      <c r="L2203" s="229">
        <f>SUM(ventas_b_mes11[[#This Row],[IMPORTE NETO]:[EXENTO]])</f>
        <v>2250</v>
      </c>
      <c r="M2203" s="55"/>
    </row>
    <row r="2204" spans="2:13" x14ac:dyDescent="0.3">
      <c r="B2204" s="223">
        <v>44845</v>
      </c>
      <c r="C2204" s="224">
        <v>6</v>
      </c>
      <c r="D2204" s="225">
        <v>10</v>
      </c>
      <c r="E2204" s="226">
        <v>42887</v>
      </c>
      <c r="F2204" s="227">
        <v>0</v>
      </c>
      <c r="G2204" s="1"/>
      <c r="H2204" s="60">
        <v>3809.92</v>
      </c>
      <c r="I2204" s="228">
        <v>800.08</v>
      </c>
      <c r="J2204" s="229"/>
      <c r="K2204" s="229"/>
      <c r="L2204" s="229">
        <f>SUM(ventas_b_mes11[[#This Row],[IMPORTE NETO]:[EXENTO]])</f>
        <v>4610</v>
      </c>
      <c r="M2204" s="55"/>
    </row>
    <row r="2205" spans="2:13" x14ac:dyDescent="0.3">
      <c r="B2205" s="223">
        <v>44845</v>
      </c>
      <c r="C2205" s="224">
        <v>6</v>
      </c>
      <c r="D2205" s="225">
        <v>10</v>
      </c>
      <c r="E2205" s="226">
        <v>42888</v>
      </c>
      <c r="F2205" s="227">
        <v>20703049</v>
      </c>
      <c r="G2205" s="1"/>
      <c r="H2205" s="60">
        <v>13322.35</v>
      </c>
      <c r="I2205" s="228">
        <v>2797.69</v>
      </c>
      <c r="J2205" s="229"/>
      <c r="K2205" s="229"/>
      <c r="L2205" s="229">
        <f>SUM(ventas_b_mes11[[#This Row],[IMPORTE NETO]:[EXENTO]])</f>
        <v>16120.04</v>
      </c>
      <c r="M2205" s="55"/>
    </row>
    <row r="2206" spans="2:13" x14ac:dyDescent="0.3">
      <c r="B2206" s="223">
        <v>44845</v>
      </c>
      <c r="C2206" s="224">
        <v>6</v>
      </c>
      <c r="D2206" s="225">
        <v>10</v>
      </c>
      <c r="E2206" s="226">
        <v>42889</v>
      </c>
      <c r="F2206" s="227">
        <v>39762912</v>
      </c>
      <c r="G2206" s="1" t="s">
        <v>486</v>
      </c>
      <c r="H2206" s="60">
        <v>4495.87</v>
      </c>
      <c r="I2206" s="228">
        <v>944.13</v>
      </c>
      <c r="J2206" s="229"/>
      <c r="K2206" s="229"/>
      <c r="L2206" s="229">
        <f>SUM(ventas_b_mes11[[#This Row],[IMPORTE NETO]:[EXENTO]])</f>
        <v>5440</v>
      </c>
      <c r="M2206" s="55"/>
    </row>
    <row r="2207" spans="2:13" x14ac:dyDescent="0.3">
      <c r="B2207" s="223">
        <v>44845</v>
      </c>
      <c r="C2207" s="224">
        <v>6</v>
      </c>
      <c r="D2207" s="225">
        <v>10</v>
      </c>
      <c r="E2207" s="226">
        <v>42890</v>
      </c>
      <c r="F2207" s="227">
        <v>0</v>
      </c>
      <c r="G2207" s="1"/>
      <c r="H2207" s="60">
        <v>371.9</v>
      </c>
      <c r="I2207" s="228">
        <v>78.099999999999994</v>
      </c>
      <c r="J2207" s="229"/>
      <c r="K2207" s="229"/>
      <c r="L2207" s="229">
        <f>SUM(ventas_b_mes11[[#This Row],[IMPORTE NETO]:[EXENTO]])</f>
        <v>450</v>
      </c>
      <c r="M2207" s="55"/>
    </row>
    <row r="2208" spans="2:13" x14ac:dyDescent="0.3">
      <c r="B2208" s="223">
        <v>44845</v>
      </c>
      <c r="C2208" s="224">
        <v>6</v>
      </c>
      <c r="D2208" s="225">
        <v>10</v>
      </c>
      <c r="E2208" s="226">
        <v>42891</v>
      </c>
      <c r="F2208" s="227">
        <v>0</v>
      </c>
      <c r="G2208" s="1"/>
      <c r="H2208" s="60">
        <v>892.56</v>
      </c>
      <c r="I2208" s="228">
        <v>187.44</v>
      </c>
      <c r="J2208" s="229"/>
      <c r="K2208" s="229"/>
      <c r="L2208" s="229">
        <f>SUM(ventas_b_mes11[[#This Row],[IMPORTE NETO]:[EXENTO]])</f>
        <v>1080</v>
      </c>
      <c r="M2208" s="55"/>
    </row>
    <row r="2209" spans="2:13" x14ac:dyDescent="0.3">
      <c r="B2209" s="223">
        <v>44845</v>
      </c>
      <c r="C2209" s="224">
        <v>6</v>
      </c>
      <c r="D2209" s="225">
        <v>10</v>
      </c>
      <c r="E2209" s="226">
        <v>42892</v>
      </c>
      <c r="F2209" s="227">
        <v>0</v>
      </c>
      <c r="G2209" s="1"/>
      <c r="H2209" s="60">
        <v>3900.83</v>
      </c>
      <c r="I2209" s="228">
        <v>819.17</v>
      </c>
      <c r="J2209" s="229"/>
      <c r="K2209" s="229"/>
      <c r="L2209" s="229">
        <f>SUM(ventas_b_mes11[[#This Row],[IMPORTE NETO]:[EXENTO]])</f>
        <v>4720</v>
      </c>
      <c r="M2209" s="55"/>
    </row>
    <row r="2210" spans="2:13" x14ac:dyDescent="0.3">
      <c r="B2210" s="223">
        <v>44845</v>
      </c>
      <c r="C2210" s="224">
        <v>6</v>
      </c>
      <c r="D2210" s="225">
        <v>10</v>
      </c>
      <c r="E2210" s="226">
        <v>42893</v>
      </c>
      <c r="F2210" s="227">
        <v>0</v>
      </c>
      <c r="G2210" s="1"/>
      <c r="H2210" s="60">
        <v>1561.98</v>
      </c>
      <c r="I2210" s="228">
        <v>328.02</v>
      </c>
      <c r="J2210" s="229"/>
      <c r="K2210" s="229"/>
      <c r="L2210" s="229">
        <f>SUM(ventas_b_mes11[[#This Row],[IMPORTE NETO]:[EXENTO]])</f>
        <v>1890</v>
      </c>
      <c r="M2210" s="55"/>
    </row>
    <row r="2211" spans="2:13" x14ac:dyDescent="0.3">
      <c r="B2211" s="223" t="s">
        <v>109</v>
      </c>
      <c r="C2211" s="224">
        <v>6</v>
      </c>
      <c r="D2211" s="225">
        <v>10</v>
      </c>
      <c r="E2211" s="226">
        <v>42894</v>
      </c>
      <c r="F2211" s="227">
        <v>23156863</v>
      </c>
      <c r="G2211" s="1" t="s">
        <v>459</v>
      </c>
      <c r="H2211" s="60">
        <v>11347.11</v>
      </c>
      <c r="I2211" s="228">
        <v>2382.89</v>
      </c>
      <c r="J2211" s="229"/>
      <c r="K2211" s="229"/>
      <c r="L2211" s="229">
        <f>SUM(ventas_b_mes11[[#This Row],[IMPORTE NETO]:[EXENTO]])</f>
        <v>13730</v>
      </c>
      <c r="M2211" s="55"/>
    </row>
    <row r="2212" spans="2:13" x14ac:dyDescent="0.3">
      <c r="B2212" s="223" t="s">
        <v>109</v>
      </c>
      <c r="C2212" s="224">
        <v>6</v>
      </c>
      <c r="D2212" s="225">
        <v>10</v>
      </c>
      <c r="E2212" s="226">
        <v>42895</v>
      </c>
      <c r="F2212" s="227">
        <v>0</v>
      </c>
      <c r="G2212" s="1"/>
      <c r="H2212" s="60">
        <v>3884.3</v>
      </c>
      <c r="I2212" s="228">
        <v>815.7</v>
      </c>
      <c r="J2212" s="229"/>
      <c r="K2212" s="229"/>
      <c r="L2212" s="229">
        <f>SUM(ventas_b_mes11[[#This Row],[IMPORTE NETO]:[EXENTO]])</f>
        <v>4700</v>
      </c>
      <c r="M2212" s="55"/>
    </row>
    <row r="2213" spans="2:13" x14ac:dyDescent="0.3">
      <c r="B2213" s="223" t="s">
        <v>109</v>
      </c>
      <c r="C2213" s="224">
        <v>6</v>
      </c>
      <c r="D2213" s="225">
        <v>10</v>
      </c>
      <c r="E2213" s="226">
        <v>42896</v>
      </c>
      <c r="F2213" s="227">
        <v>0</v>
      </c>
      <c r="G2213" s="1"/>
      <c r="H2213" s="60">
        <v>1644.63</v>
      </c>
      <c r="I2213" s="228">
        <v>345.37</v>
      </c>
      <c r="J2213" s="229"/>
      <c r="K2213" s="229"/>
      <c r="L2213" s="229">
        <f>SUM(ventas_b_mes11[[#This Row],[IMPORTE NETO]:[EXENTO]])</f>
        <v>1990</v>
      </c>
      <c r="M2213" s="55"/>
    </row>
    <row r="2214" spans="2:13" x14ac:dyDescent="0.3">
      <c r="B2214" s="223" t="s">
        <v>109</v>
      </c>
      <c r="C2214" s="224">
        <v>6</v>
      </c>
      <c r="D2214" s="225">
        <v>10</v>
      </c>
      <c r="E2214" s="226">
        <v>42897</v>
      </c>
      <c r="F2214" s="227">
        <v>0</v>
      </c>
      <c r="G2214" s="1"/>
      <c r="H2214" s="60">
        <v>2586.7800000000002</v>
      </c>
      <c r="I2214" s="228">
        <v>543.22</v>
      </c>
      <c r="J2214" s="229"/>
      <c r="K2214" s="229"/>
      <c r="L2214" s="229">
        <f>SUM(ventas_b_mes11[[#This Row],[IMPORTE NETO]:[EXENTO]])</f>
        <v>3130</v>
      </c>
      <c r="M2214" s="55"/>
    </row>
    <row r="2215" spans="2:13" x14ac:dyDescent="0.3">
      <c r="B2215" s="223" t="s">
        <v>109</v>
      </c>
      <c r="C2215" s="224">
        <v>6</v>
      </c>
      <c r="D2215" s="225">
        <v>10</v>
      </c>
      <c r="E2215" s="226">
        <v>42898</v>
      </c>
      <c r="F2215" s="227">
        <v>0</v>
      </c>
      <c r="G2215" s="1"/>
      <c r="H2215" s="60">
        <v>2231.4</v>
      </c>
      <c r="I2215" s="228">
        <v>468.6</v>
      </c>
      <c r="J2215" s="229"/>
      <c r="K2215" s="229"/>
      <c r="L2215" s="229">
        <f>SUM(ventas_b_mes11[[#This Row],[IMPORTE NETO]:[EXENTO]])</f>
        <v>2700</v>
      </c>
      <c r="M2215" s="55"/>
    </row>
    <row r="2216" spans="2:13" x14ac:dyDescent="0.3">
      <c r="B2216" s="223" t="s">
        <v>109</v>
      </c>
      <c r="C2216" s="224">
        <v>6</v>
      </c>
      <c r="D2216" s="225">
        <v>10</v>
      </c>
      <c r="E2216" s="226">
        <v>42899</v>
      </c>
      <c r="F2216" s="227">
        <v>0</v>
      </c>
      <c r="G2216" s="1"/>
      <c r="H2216" s="60">
        <v>2446.2800000000002</v>
      </c>
      <c r="I2216" s="228">
        <v>513.72</v>
      </c>
      <c r="J2216" s="229"/>
      <c r="K2216" s="229"/>
      <c r="L2216" s="229">
        <f>SUM(ventas_b_mes11[[#This Row],[IMPORTE NETO]:[EXENTO]])</f>
        <v>2960</v>
      </c>
      <c r="M2216" s="55"/>
    </row>
    <row r="2217" spans="2:13" x14ac:dyDescent="0.3">
      <c r="B2217" s="223" t="s">
        <v>109</v>
      </c>
      <c r="C2217" s="224">
        <v>6</v>
      </c>
      <c r="D2217" s="225">
        <v>10</v>
      </c>
      <c r="E2217" s="226">
        <v>42900</v>
      </c>
      <c r="F2217" s="227">
        <v>0</v>
      </c>
      <c r="G2217" s="1"/>
      <c r="H2217" s="60">
        <v>2611.59</v>
      </c>
      <c r="I2217" s="228">
        <v>548.42999999999995</v>
      </c>
      <c r="J2217" s="229"/>
      <c r="K2217" s="229"/>
      <c r="L2217" s="229">
        <f>SUM(ventas_b_mes11[[#This Row],[IMPORTE NETO]:[EXENTO]])</f>
        <v>3160.02</v>
      </c>
      <c r="M2217" s="55"/>
    </row>
    <row r="2218" spans="2:13" x14ac:dyDescent="0.3">
      <c r="B2218" s="223">
        <v>44845</v>
      </c>
      <c r="C2218" s="224">
        <v>6</v>
      </c>
      <c r="D2218" s="225">
        <v>10</v>
      </c>
      <c r="E2218" s="226">
        <v>42901</v>
      </c>
      <c r="F2218" s="227">
        <v>0</v>
      </c>
      <c r="G2218" s="1"/>
      <c r="H2218" s="60">
        <v>1181.82</v>
      </c>
      <c r="I2218" s="228">
        <v>248.18</v>
      </c>
      <c r="J2218" s="229"/>
      <c r="K2218" s="229"/>
      <c r="L2218" s="229">
        <f>SUM(ventas_b_mes11[[#This Row],[IMPORTE NETO]:[EXENTO]])</f>
        <v>1430</v>
      </c>
      <c r="M2218" s="55"/>
    </row>
    <row r="2219" spans="2:13" x14ac:dyDescent="0.3">
      <c r="B2219" s="223">
        <v>44845</v>
      </c>
      <c r="C2219" s="224">
        <v>6</v>
      </c>
      <c r="D2219" s="225">
        <v>10</v>
      </c>
      <c r="E2219" s="226">
        <v>42902</v>
      </c>
      <c r="F2219" s="227">
        <v>0</v>
      </c>
      <c r="G2219" s="1"/>
      <c r="H2219" s="60">
        <v>694.21</v>
      </c>
      <c r="I2219" s="228">
        <v>145.79</v>
      </c>
      <c r="J2219" s="229"/>
      <c r="K2219" s="229"/>
      <c r="L2219" s="229">
        <f>SUM(ventas_b_mes11[[#This Row],[IMPORTE NETO]:[EXENTO]])</f>
        <v>840</v>
      </c>
      <c r="M2219" s="55"/>
    </row>
    <row r="2220" spans="2:13" x14ac:dyDescent="0.3">
      <c r="B2220" s="223">
        <v>44845</v>
      </c>
      <c r="C2220" s="224">
        <v>6</v>
      </c>
      <c r="D2220" s="225">
        <v>10</v>
      </c>
      <c r="E2220" s="226">
        <v>42903</v>
      </c>
      <c r="F2220" s="227">
        <v>0</v>
      </c>
      <c r="G2220" s="1"/>
      <c r="H2220" s="60">
        <v>958.68</v>
      </c>
      <c r="I2220" s="228">
        <v>201.32</v>
      </c>
      <c r="J2220" s="229"/>
      <c r="K2220" s="229"/>
      <c r="L2220" s="229">
        <f>SUM(ventas_b_mes11[[#This Row],[IMPORTE NETO]:[EXENTO]])</f>
        <v>1160</v>
      </c>
      <c r="M2220" s="55"/>
    </row>
    <row r="2221" spans="2:13" x14ac:dyDescent="0.3">
      <c r="B2221" s="223">
        <v>44845</v>
      </c>
      <c r="C2221" s="224">
        <v>6</v>
      </c>
      <c r="D2221" s="225">
        <v>10</v>
      </c>
      <c r="E2221" s="226">
        <v>42904</v>
      </c>
      <c r="F2221" s="227">
        <v>40392788</v>
      </c>
      <c r="G2221" s="1" t="s">
        <v>536</v>
      </c>
      <c r="H2221" s="60">
        <v>16834.71</v>
      </c>
      <c r="I2221" s="228">
        <v>3535.29</v>
      </c>
      <c r="J2221" s="229"/>
      <c r="K2221" s="229"/>
      <c r="L2221" s="229">
        <f>SUM(ventas_b_mes11[[#This Row],[IMPORTE NETO]:[EXENTO]])</f>
        <v>20370</v>
      </c>
      <c r="M2221" s="55"/>
    </row>
    <row r="2222" spans="2:13" x14ac:dyDescent="0.3">
      <c r="B2222" s="223">
        <v>44845</v>
      </c>
      <c r="C2222" s="224">
        <v>6</v>
      </c>
      <c r="D2222" s="225">
        <v>10</v>
      </c>
      <c r="E2222" s="226">
        <v>42905</v>
      </c>
      <c r="F2222" s="227">
        <v>0</v>
      </c>
      <c r="G2222" s="1"/>
      <c r="H2222" s="60">
        <v>1264.46</v>
      </c>
      <c r="I2222" s="228">
        <v>265.54000000000002</v>
      </c>
      <c r="J2222" s="229"/>
      <c r="K2222" s="229"/>
      <c r="L2222" s="229">
        <f>SUM(ventas_b_mes11[[#This Row],[IMPORTE NETO]:[EXENTO]])</f>
        <v>1530</v>
      </c>
      <c r="M2222" s="55"/>
    </row>
    <row r="2223" spans="2:13" x14ac:dyDescent="0.3">
      <c r="B2223" s="223">
        <v>44845</v>
      </c>
      <c r="C2223" s="224">
        <v>6</v>
      </c>
      <c r="D2223" s="225">
        <v>10</v>
      </c>
      <c r="E2223" s="226">
        <v>42906</v>
      </c>
      <c r="F2223" s="227">
        <v>40392788</v>
      </c>
      <c r="G2223" s="1" t="s">
        <v>536</v>
      </c>
      <c r="H2223" s="60">
        <v>23809.919999999998</v>
      </c>
      <c r="I2223" s="228">
        <v>5000.08</v>
      </c>
      <c r="J2223" s="229"/>
      <c r="K2223" s="229"/>
      <c r="L2223" s="229">
        <f>SUM(ventas_b_mes11[[#This Row],[IMPORTE NETO]:[EXENTO]])</f>
        <v>28810</v>
      </c>
      <c r="M2223" s="55"/>
    </row>
    <row r="2224" spans="2:13" x14ac:dyDescent="0.3">
      <c r="B2224" s="223">
        <v>44845</v>
      </c>
      <c r="C2224" s="224">
        <v>6</v>
      </c>
      <c r="D2224" s="225">
        <v>10</v>
      </c>
      <c r="E2224" s="226">
        <v>42907</v>
      </c>
      <c r="F2224" s="227">
        <v>14027722</v>
      </c>
      <c r="G2224" s="1" t="s">
        <v>514</v>
      </c>
      <c r="H2224" s="60">
        <v>6082.64</v>
      </c>
      <c r="I2224" s="228">
        <v>1277.3599999999999</v>
      </c>
      <c r="J2224" s="229"/>
      <c r="K2224" s="229"/>
      <c r="L2224" s="229">
        <f>SUM(ventas_b_mes11[[#This Row],[IMPORTE NETO]:[EXENTO]])</f>
        <v>7360</v>
      </c>
      <c r="M2224" s="55"/>
    </row>
    <row r="2225" spans="2:13" x14ac:dyDescent="0.3">
      <c r="B2225" s="223">
        <v>44845</v>
      </c>
      <c r="C2225" s="224">
        <v>6</v>
      </c>
      <c r="D2225" s="225">
        <v>10</v>
      </c>
      <c r="E2225" s="226">
        <v>42908</v>
      </c>
      <c r="F2225" s="227">
        <v>14027722</v>
      </c>
      <c r="G2225" s="1" t="s">
        <v>514</v>
      </c>
      <c r="H2225" s="60">
        <v>6165.29</v>
      </c>
      <c r="I2225" s="228">
        <v>1294.71</v>
      </c>
      <c r="J2225" s="229"/>
      <c r="K2225" s="229"/>
      <c r="L2225" s="229">
        <f>SUM(ventas_b_mes11[[#This Row],[IMPORTE NETO]:[EXENTO]])</f>
        <v>7460</v>
      </c>
      <c r="M2225" s="55"/>
    </row>
    <row r="2226" spans="2:13" x14ac:dyDescent="0.3">
      <c r="B2226" s="223">
        <v>44845</v>
      </c>
      <c r="C2226" s="224">
        <v>6</v>
      </c>
      <c r="D2226" s="225">
        <v>10</v>
      </c>
      <c r="E2226" s="226">
        <v>42909</v>
      </c>
      <c r="F2226" s="227">
        <v>20752680</v>
      </c>
      <c r="G2226" s="1" t="s">
        <v>477</v>
      </c>
      <c r="H2226" s="60">
        <v>16019.22</v>
      </c>
      <c r="I2226" s="228">
        <v>3364.04</v>
      </c>
      <c r="J2226" s="229"/>
      <c r="K2226" s="229"/>
      <c r="L2226" s="229">
        <f>SUM(ventas_b_mes11[[#This Row],[IMPORTE NETO]:[EXENTO]])</f>
        <v>19383.259999999998</v>
      </c>
      <c r="M2226" s="55"/>
    </row>
    <row r="2227" spans="2:13" x14ac:dyDescent="0.3">
      <c r="B2227" s="223">
        <v>44845</v>
      </c>
      <c r="C2227" s="224">
        <v>6</v>
      </c>
      <c r="D2227" s="225">
        <v>10</v>
      </c>
      <c r="E2227" s="226">
        <v>42910</v>
      </c>
      <c r="F2227" s="227">
        <v>0</v>
      </c>
      <c r="G2227" s="1"/>
      <c r="H2227" s="60">
        <v>4115.7</v>
      </c>
      <c r="I2227" s="228">
        <v>864.3</v>
      </c>
      <c r="J2227" s="229"/>
      <c r="K2227" s="229"/>
      <c r="L2227" s="229">
        <f>SUM(ventas_b_mes11[[#This Row],[IMPORTE NETO]:[EXENTO]])</f>
        <v>4980</v>
      </c>
      <c r="M2227" s="55"/>
    </row>
    <row r="2228" spans="2:13" x14ac:dyDescent="0.3">
      <c r="B2228" s="223">
        <v>44845</v>
      </c>
      <c r="C2228" s="224">
        <v>6</v>
      </c>
      <c r="D2228" s="225">
        <v>10</v>
      </c>
      <c r="E2228" s="226">
        <v>42911</v>
      </c>
      <c r="F2228" s="227">
        <v>0</v>
      </c>
      <c r="G2228" s="1"/>
      <c r="H2228" s="60">
        <v>2768.6</v>
      </c>
      <c r="I2228" s="228">
        <v>581.4</v>
      </c>
      <c r="J2228" s="229"/>
      <c r="K2228" s="229"/>
      <c r="L2228" s="229">
        <f>SUM(ventas_b_mes11[[#This Row],[IMPORTE NETO]:[EXENTO]])</f>
        <v>3350</v>
      </c>
      <c r="M2228" s="55"/>
    </row>
    <row r="2229" spans="2:13" x14ac:dyDescent="0.3">
      <c r="B2229" s="223">
        <v>44845</v>
      </c>
      <c r="C2229" s="224">
        <v>6</v>
      </c>
      <c r="D2229" s="225">
        <v>10</v>
      </c>
      <c r="E2229" s="226">
        <v>42912</v>
      </c>
      <c r="F2229" s="227">
        <v>0</v>
      </c>
      <c r="G2229" s="1"/>
      <c r="H2229" s="60">
        <v>363.64</v>
      </c>
      <c r="I2229" s="228">
        <v>76.36</v>
      </c>
      <c r="J2229" s="229"/>
      <c r="K2229" s="229"/>
      <c r="L2229" s="229">
        <f>SUM(ventas_b_mes11[[#This Row],[IMPORTE NETO]:[EXENTO]])</f>
        <v>440</v>
      </c>
      <c r="M2229" s="55"/>
    </row>
    <row r="2230" spans="2:13" x14ac:dyDescent="0.3">
      <c r="B2230" s="223">
        <v>44845</v>
      </c>
      <c r="C2230" s="224">
        <v>6</v>
      </c>
      <c r="D2230" s="225">
        <v>10</v>
      </c>
      <c r="E2230" s="226">
        <v>42913</v>
      </c>
      <c r="F2230" s="227">
        <v>0</v>
      </c>
      <c r="G2230" s="1"/>
      <c r="H2230" s="60">
        <v>1983.47</v>
      </c>
      <c r="I2230" s="228">
        <v>416.53</v>
      </c>
      <c r="J2230" s="229"/>
      <c r="K2230" s="229"/>
      <c r="L2230" s="229">
        <f>SUM(ventas_b_mes11[[#This Row],[IMPORTE NETO]:[EXENTO]])</f>
        <v>2400</v>
      </c>
      <c r="M2230" s="55"/>
    </row>
    <row r="2231" spans="2:13" x14ac:dyDescent="0.3">
      <c r="B2231" s="223">
        <v>44845</v>
      </c>
      <c r="C2231" s="224">
        <v>6</v>
      </c>
      <c r="D2231" s="225">
        <v>10</v>
      </c>
      <c r="E2231" s="226">
        <v>42914</v>
      </c>
      <c r="F2231" s="227">
        <v>0</v>
      </c>
      <c r="G2231" s="1"/>
      <c r="H2231" s="60">
        <v>1231.4000000000001</v>
      </c>
      <c r="I2231" s="228">
        <v>258.60000000000002</v>
      </c>
      <c r="J2231" s="229"/>
      <c r="K2231" s="229"/>
      <c r="L2231" s="229">
        <f>SUM(ventas_b_mes11[[#This Row],[IMPORTE NETO]:[EXENTO]])</f>
        <v>1490</v>
      </c>
      <c r="M2231" s="55"/>
    </row>
    <row r="2232" spans="2:13" x14ac:dyDescent="0.3">
      <c r="B2232" s="223">
        <v>44845</v>
      </c>
      <c r="C2232" s="224">
        <v>6</v>
      </c>
      <c r="D2232" s="225">
        <v>10</v>
      </c>
      <c r="E2232" s="226">
        <v>42915</v>
      </c>
      <c r="F2232" s="227">
        <v>0</v>
      </c>
      <c r="G2232" s="1"/>
      <c r="H2232" s="60">
        <v>495.87</v>
      </c>
      <c r="I2232" s="228">
        <v>104.13</v>
      </c>
      <c r="J2232" s="229"/>
      <c r="K2232" s="229"/>
      <c r="L2232" s="229">
        <f>SUM(ventas_b_mes11[[#This Row],[IMPORTE NETO]:[EXENTO]])</f>
        <v>600</v>
      </c>
      <c r="M2232" s="55"/>
    </row>
    <row r="2233" spans="2:13" x14ac:dyDescent="0.3">
      <c r="B2233" s="223">
        <v>44845</v>
      </c>
      <c r="C2233" s="224">
        <v>6</v>
      </c>
      <c r="D2233" s="225">
        <v>10</v>
      </c>
      <c r="E2233" s="226">
        <v>42916</v>
      </c>
      <c r="F2233" s="227">
        <v>20752680</v>
      </c>
      <c r="G2233" s="1" t="s">
        <v>477</v>
      </c>
      <c r="H2233" s="60">
        <v>4330.58</v>
      </c>
      <c r="I2233" s="228">
        <v>909.42</v>
      </c>
      <c r="J2233" s="229"/>
      <c r="K2233" s="229"/>
      <c r="L2233" s="229">
        <f>SUM(ventas_b_mes11[[#This Row],[IMPORTE NETO]:[EXENTO]])</f>
        <v>5240</v>
      </c>
      <c r="M2233" s="55"/>
    </row>
    <row r="2234" spans="2:13" x14ac:dyDescent="0.3">
      <c r="B2234" s="223">
        <v>44845</v>
      </c>
      <c r="C2234" s="224">
        <v>6</v>
      </c>
      <c r="D2234" s="225">
        <v>10</v>
      </c>
      <c r="E2234" s="226">
        <v>42917</v>
      </c>
      <c r="F2234" s="227">
        <v>39409692</v>
      </c>
      <c r="G2234" s="1" t="s">
        <v>479</v>
      </c>
      <c r="H2234" s="60">
        <v>3049.58</v>
      </c>
      <c r="I2234" s="228">
        <v>640.41</v>
      </c>
      <c r="J2234" s="229"/>
      <c r="K2234" s="229"/>
      <c r="L2234" s="229">
        <f>SUM(ventas_b_mes11[[#This Row],[IMPORTE NETO]:[EXENTO]])</f>
        <v>3689.99</v>
      </c>
      <c r="M2234" s="55"/>
    </row>
    <row r="2235" spans="2:13" x14ac:dyDescent="0.3">
      <c r="B2235" s="223">
        <v>44845</v>
      </c>
      <c r="C2235" s="224">
        <v>6</v>
      </c>
      <c r="D2235" s="225">
        <v>10</v>
      </c>
      <c r="E2235" s="226">
        <v>42918</v>
      </c>
      <c r="F2235" s="227">
        <v>0</v>
      </c>
      <c r="G2235" s="1"/>
      <c r="H2235" s="60">
        <v>1561.98</v>
      </c>
      <c r="I2235" s="228">
        <v>328.02</v>
      </c>
      <c r="J2235" s="229"/>
      <c r="K2235" s="229"/>
      <c r="L2235" s="229">
        <f>SUM(ventas_b_mes11[[#This Row],[IMPORTE NETO]:[EXENTO]])</f>
        <v>1890</v>
      </c>
      <c r="M2235" s="55"/>
    </row>
    <row r="2236" spans="2:13" x14ac:dyDescent="0.3">
      <c r="B2236" s="223">
        <v>44845</v>
      </c>
      <c r="C2236" s="224">
        <v>6</v>
      </c>
      <c r="D2236" s="225">
        <v>10</v>
      </c>
      <c r="E2236" s="226">
        <v>42919</v>
      </c>
      <c r="F2236" s="227">
        <v>22040163</v>
      </c>
      <c r="G2236" s="1" t="s">
        <v>453</v>
      </c>
      <c r="H2236" s="60">
        <v>7603.31</v>
      </c>
      <c r="I2236" s="228">
        <v>1596.69</v>
      </c>
      <c r="J2236" s="229"/>
      <c r="K2236" s="229"/>
      <c r="L2236" s="229">
        <f>SUM(ventas_b_mes11[[#This Row],[IMPORTE NETO]:[EXENTO]])</f>
        <v>9200</v>
      </c>
      <c r="M2236" s="55"/>
    </row>
    <row r="2237" spans="2:13" x14ac:dyDescent="0.3">
      <c r="B2237" s="223">
        <v>44845</v>
      </c>
      <c r="C2237" s="224">
        <v>6</v>
      </c>
      <c r="D2237" s="225">
        <v>10</v>
      </c>
      <c r="E2237" s="226">
        <v>42920</v>
      </c>
      <c r="F2237" s="227">
        <v>0</v>
      </c>
      <c r="G2237" s="1"/>
      <c r="H2237" s="60">
        <v>1206.6099999999999</v>
      </c>
      <c r="I2237" s="228">
        <v>253.39</v>
      </c>
      <c r="J2237" s="229"/>
      <c r="K2237" s="229"/>
      <c r="L2237" s="229">
        <f>SUM(ventas_b_mes11[[#This Row],[IMPORTE NETO]:[EXENTO]])</f>
        <v>1460</v>
      </c>
      <c r="M2237" s="55"/>
    </row>
    <row r="2238" spans="2:13" x14ac:dyDescent="0.3">
      <c r="B2238" s="223">
        <v>44845</v>
      </c>
      <c r="C2238" s="224">
        <v>6</v>
      </c>
      <c r="D2238" s="225">
        <v>10</v>
      </c>
      <c r="E2238" s="226">
        <v>42921</v>
      </c>
      <c r="F2238" s="227">
        <v>22040163</v>
      </c>
      <c r="G2238" s="1" t="s">
        <v>453</v>
      </c>
      <c r="H2238" s="60">
        <v>31876.06</v>
      </c>
      <c r="I2238" s="228">
        <v>6693.97</v>
      </c>
      <c r="J2238" s="229"/>
      <c r="K2238" s="229"/>
      <c r="L2238" s="229">
        <f>SUM(ventas_b_mes11[[#This Row],[IMPORTE NETO]:[EXENTO]])</f>
        <v>38570.03</v>
      </c>
      <c r="M2238" s="55"/>
    </row>
    <row r="2239" spans="2:13" x14ac:dyDescent="0.3">
      <c r="B2239" s="223">
        <v>44845</v>
      </c>
      <c r="C2239" s="224">
        <v>6</v>
      </c>
      <c r="D2239" s="225">
        <v>10</v>
      </c>
      <c r="E2239" s="226">
        <v>42922</v>
      </c>
      <c r="F2239" s="227">
        <v>0</v>
      </c>
      <c r="G2239" s="1"/>
      <c r="H2239" s="60">
        <v>2198.34</v>
      </c>
      <c r="I2239" s="228">
        <v>461.65</v>
      </c>
      <c r="J2239" s="229"/>
      <c r="K2239" s="229"/>
      <c r="L2239" s="229">
        <f>SUM(ventas_b_mes11[[#This Row],[IMPORTE NETO]:[EXENTO]])</f>
        <v>2659.9900000000002</v>
      </c>
      <c r="M2239" s="55"/>
    </row>
    <row r="2240" spans="2:13" x14ac:dyDescent="0.3">
      <c r="B2240" s="223">
        <v>44845</v>
      </c>
      <c r="C2240" s="224">
        <v>6</v>
      </c>
      <c r="D2240" s="225">
        <v>10</v>
      </c>
      <c r="E2240" s="226">
        <v>42923</v>
      </c>
      <c r="F2240" s="227">
        <v>0</v>
      </c>
      <c r="G2240" s="1"/>
      <c r="H2240" s="60">
        <v>1322.31</v>
      </c>
      <c r="I2240" s="228">
        <v>277.69</v>
      </c>
      <c r="J2240" s="229"/>
      <c r="K2240" s="229"/>
      <c r="L2240" s="229">
        <f>SUM(ventas_b_mes11[[#This Row],[IMPORTE NETO]:[EXENTO]])</f>
        <v>1600</v>
      </c>
      <c r="M2240" s="55"/>
    </row>
    <row r="2241" spans="2:13" x14ac:dyDescent="0.3">
      <c r="B2241" s="223">
        <v>44845</v>
      </c>
      <c r="C2241" s="224">
        <v>6</v>
      </c>
      <c r="D2241" s="225">
        <v>10</v>
      </c>
      <c r="E2241" s="226">
        <v>42924</v>
      </c>
      <c r="F2241" s="227">
        <v>0</v>
      </c>
      <c r="G2241" s="1"/>
      <c r="H2241" s="60">
        <v>2743.79</v>
      </c>
      <c r="I2241" s="228">
        <v>576.20000000000005</v>
      </c>
      <c r="J2241" s="229"/>
      <c r="K2241" s="229"/>
      <c r="L2241" s="229">
        <f>SUM(ventas_b_mes11[[#This Row],[IMPORTE NETO]:[EXENTO]])</f>
        <v>3319.99</v>
      </c>
      <c r="M2241" s="55"/>
    </row>
    <row r="2242" spans="2:13" x14ac:dyDescent="0.3">
      <c r="B2242" s="223">
        <v>44845</v>
      </c>
      <c r="C2242" s="224">
        <v>6</v>
      </c>
      <c r="D2242" s="225">
        <v>10</v>
      </c>
      <c r="E2242" s="226">
        <v>42925</v>
      </c>
      <c r="F2242" s="227">
        <v>14738031</v>
      </c>
      <c r="G2242" s="1" t="s">
        <v>523</v>
      </c>
      <c r="H2242" s="60">
        <v>13136.4</v>
      </c>
      <c r="I2242" s="228">
        <v>2758.64</v>
      </c>
      <c r="J2242" s="229"/>
      <c r="K2242" s="229"/>
      <c r="L2242" s="229">
        <f>SUM(ventas_b_mes11[[#This Row],[IMPORTE NETO]:[EXENTO]])</f>
        <v>15895.039999999999</v>
      </c>
      <c r="M2242" s="55"/>
    </row>
    <row r="2243" spans="2:13" x14ac:dyDescent="0.3">
      <c r="B2243" s="223">
        <v>44845</v>
      </c>
      <c r="C2243" s="224">
        <v>6</v>
      </c>
      <c r="D2243" s="225">
        <v>10</v>
      </c>
      <c r="E2243" s="226">
        <v>42926</v>
      </c>
      <c r="F2243" s="227">
        <v>0</v>
      </c>
      <c r="G2243" s="1"/>
      <c r="H2243" s="60">
        <v>2454.5500000000002</v>
      </c>
      <c r="I2243" s="228">
        <v>515.45000000000005</v>
      </c>
      <c r="J2243" s="229"/>
      <c r="K2243" s="229"/>
      <c r="L2243" s="229">
        <f>SUM(ventas_b_mes11[[#This Row],[IMPORTE NETO]:[EXENTO]])</f>
        <v>2970</v>
      </c>
      <c r="M2243" s="55"/>
    </row>
    <row r="2244" spans="2:13" x14ac:dyDescent="0.3">
      <c r="B2244" s="223">
        <v>44845</v>
      </c>
      <c r="C2244" s="224">
        <v>6</v>
      </c>
      <c r="D2244" s="225">
        <v>10</v>
      </c>
      <c r="E2244" s="226">
        <v>42927</v>
      </c>
      <c r="F2244" s="227">
        <v>26455223</v>
      </c>
      <c r="G2244" s="1" t="s">
        <v>521</v>
      </c>
      <c r="H2244" s="60">
        <v>11190.09</v>
      </c>
      <c r="I2244" s="228">
        <v>2349.92</v>
      </c>
      <c r="J2244" s="229"/>
      <c r="K2244" s="229"/>
      <c r="L2244" s="229">
        <f>SUM(ventas_b_mes11[[#This Row],[IMPORTE NETO]:[EXENTO]])</f>
        <v>13540.01</v>
      </c>
      <c r="M2244" s="55"/>
    </row>
    <row r="2245" spans="2:13" x14ac:dyDescent="0.3">
      <c r="B2245" s="223">
        <v>44845</v>
      </c>
      <c r="C2245" s="224">
        <v>6</v>
      </c>
      <c r="D2245" s="225">
        <v>10</v>
      </c>
      <c r="E2245" s="226">
        <v>42928</v>
      </c>
      <c r="F2245" s="227">
        <v>0</v>
      </c>
      <c r="G2245" s="1"/>
      <c r="H2245" s="60">
        <v>3380.17</v>
      </c>
      <c r="I2245" s="228">
        <v>709.83</v>
      </c>
      <c r="J2245" s="229"/>
      <c r="K2245" s="229"/>
      <c r="L2245" s="229">
        <f>SUM(ventas_b_mes11[[#This Row],[IMPORTE NETO]:[EXENTO]])</f>
        <v>4090</v>
      </c>
      <c r="M2245" s="55"/>
    </row>
    <row r="2246" spans="2:13" x14ac:dyDescent="0.3">
      <c r="B2246" s="223">
        <v>44845</v>
      </c>
      <c r="C2246" s="224">
        <v>6</v>
      </c>
      <c r="D2246" s="225">
        <v>10</v>
      </c>
      <c r="E2246" s="226">
        <v>42929</v>
      </c>
      <c r="F2246" s="227">
        <v>29827060</v>
      </c>
      <c r="G2246" s="1" t="s">
        <v>501</v>
      </c>
      <c r="H2246" s="60">
        <v>8628.1</v>
      </c>
      <c r="I2246" s="228">
        <v>1811.9</v>
      </c>
      <c r="J2246" s="229"/>
      <c r="K2246" s="229"/>
      <c r="L2246" s="229">
        <f>SUM(ventas_b_mes11[[#This Row],[IMPORTE NETO]:[EXENTO]])</f>
        <v>10440</v>
      </c>
      <c r="M2246" s="55"/>
    </row>
    <row r="2247" spans="2:13" x14ac:dyDescent="0.3">
      <c r="B2247" s="223">
        <v>44845</v>
      </c>
      <c r="C2247" s="224">
        <v>6</v>
      </c>
      <c r="D2247" s="225">
        <v>10</v>
      </c>
      <c r="E2247" s="226">
        <v>42930</v>
      </c>
      <c r="F2247" s="227">
        <v>29827060</v>
      </c>
      <c r="G2247" s="1" t="s">
        <v>501</v>
      </c>
      <c r="H2247" s="60">
        <v>11983.5</v>
      </c>
      <c r="I2247" s="228">
        <v>2516.54</v>
      </c>
      <c r="J2247" s="229"/>
      <c r="K2247" s="229"/>
      <c r="L2247" s="229">
        <f>SUM(ventas_b_mes11[[#This Row],[IMPORTE NETO]:[EXENTO]])</f>
        <v>14500.04</v>
      </c>
      <c r="M2247" s="55"/>
    </row>
    <row r="2248" spans="2:13" x14ac:dyDescent="0.3">
      <c r="B2248" s="223">
        <v>44845</v>
      </c>
      <c r="C2248" s="224">
        <v>6</v>
      </c>
      <c r="D2248" s="225">
        <v>10</v>
      </c>
      <c r="E2248" s="226">
        <v>42931</v>
      </c>
      <c r="F2248" s="227">
        <v>28984837</v>
      </c>
      <c r="G2248" s="1" t="s">
        <v>498</v>
      </c>
      <c r="H2248" s="60">
        <v>8586.77</v>
      </c>
      <c r="I2248" s="228">
        <v>1803.22</v>
      </c>
      <c r="J2248" s="229"/>
      <c r="K2248" s="229"/>
      <c r="L2248" s="229">
        <f>SUM(ventas_b_mes11[[#This Row],[IMPORTE NETO]:[EXENTO]])</f>
        <v>10389.99</v>
      </c>
      <c r="M2248" s="55"/>
    </row>
    <row r="2249" spans="2:13" x14ac:dyDescent="0.3">
      <c r="B2249" s="223">
        <v>44845</v>
      </c>
      <c r="C2249" s="224">
        <v>6</v>
      </c>
      <c r="D2249" s="225">
        <v>10</v>
      </c>
      <c r="E2249" s="226">
        <v>42932</v>
      </c>
      <c r="F2249" s="227">
        <v>94006532</v>
      </c>
      <c r="G2249" s="1" t="s">
        <v>502</v>
      </c>
      <c r="H2249" s="60">
        <v>14388.43</v>
      </c>
      <c r="I2249" s="228">
        <v>3021.57</v>
      </c>
      <c r="J2249" s="229"/>
      <c r="K2249" s="229"/>
      <c r="L2249" s="229">
        <f>SUM(ventas_b_mes11[[#This Row],[IMPORTE NETO]:[EXENTO]])</f>
        <v>17410</v>
      </c>
      <c r="M2249" s="55"/>
    </row>
    <row r="2250" spans="2:13" x14ac:dyDescent="0.3">
      <c r="B2250" s="223">
        <v>44845</v>
      </c>
      <c r="C2250" s="224">
        <v>6</v>
      </c>
      <c r="D2250" s="225">
        <v>10</v>
      </c>
      <c r="E2250" s="226">
        <v>42933</v>
      </c>
      <c r="F2250" s="227">
        <v>0</v>
      </c>
      <c r="G2250" s="1"/>
      <c r="H2250" s="60">
        <v>900.83</v>
      </c>
      <c r="I2250" s="228">
        <v>189.17</v>
      </c>
      <c r="J2250" s="229"/>
      <c r="K2250" s="229"/>
      <c r="L2250" s="229">
        <f>SUM(ventas_b_mes11[[#This Row],[IMPORTE NETO]:[EXENTO]])</f>
        <v>1090</v>
      </c>
      <c r="M2250" s="55"/>
    </row>
    <row r="2251" spans="2:13" x14ac:dyDescent="0.3">
      <c r="B2251" s="223">
        <v>44845</v>
      </c>
      <c r="C2251" s="224">
        <v>6</v>
      </c>
      <c r="D2251" s="225">
        <v>10</v>
      </c>
      <c r="E2251" s="226">
        <v>42934</v>
      </c>
      <c r="F2251" s="227">
        <v>28984837</v>
      </c>
      <c r="G2251" s="1" t="s">
        <v>498</v>
      </c>
      <c r="H2251" s="60">
        <v>16338.83</v>
      </c>
      <c r="I2251" s="228">
        <v>3431.16</v>
      </c>
      <c r="J2251" s="229"/>
      <c r="K2251" s="229"/>
      <c r="L2251" s="229">
        <f>SUM(ventas_b_mes11[[#This Row],[IMPORTE NETO]:[EXENTO]])</f>
        <v>19769.989999999998</v>
      </c>
      <c r="M2251" s="55"/>
    </row>
    <row r="2252" spans="2:13" x14ac:dyDescent="0.3">
      <c r="B2252" s="223">
        <v>44845</v>
      </c>
      <c r="C2252" s="224">
        <v>6</v>
      </c>
      <c r="D2252" s="225">
        <v>10</v>
      </c>
      <c r="E2252" s="226">
        <v>42935</v>
      </c>
      <c r="F2252" s="227">
        <v>0</v>
      </c>
      <c r="G2252" s="1"/>
      <c r="H2252" s="60">
        <v>1074.3800000000001</v>
      </c>
      <c r="I2252" s="228">
        <v>225.62</v>
      </c>
      <c r="J2252" s="229"/>
      <c r="K2252" s="229"/>
      <c r="L2252" s="229">
        <f>SUM(ventas_b_mes11[[#This Row],[IMPORTE NETO]:[EXENTO]])</f>
        <v>1300</v>
      </c>
      <c r="M2252" s="55"/>
    </row>
    <row r="2253" spans="2:13" x14ac:dyDescent="0.3">
      <c r="B2253" s="223">
        <v>44845</v>
      </c>
      <c r="C2253" s="224">
        <v>6</v>
      </c>
      <c r="D2253" s="225">
        <v>10</v>
      </c>
      <c r="E2253" s="226">
        <v>42936</v>
      </c>
      <c r="F2253" s="227">
        <v>0</v>
      </c>
      <c r="G2253" s="1"/>
      <c r="H2253" s="60">
        <v>3578.51</v>
      </c>
      <c r="I2253" s="228">
        <v>751.49</v>
      </c>
      <c r="J2253" s="229"/>
      <c r="K2253" s="229"/>
      <c r="L2253" s="229">
        <f>SUM(ventas_b_mes11[[#This Row],[IMPORTE NETO]:[EXENTO]])</f>
        <v>4330</v>
      </c>
      <c r="M2253" s="55"/>
    </row>
    <row r="2254" spans="2:13" x14ac:dyDescent="0.3">
      <c r="B2254" s="223">
        <v>44845</v>
      </c>
      <c r="C2254" s="224">
        <v>6</v>
      </c>
      <c r="D2254" s="225">
        <v>10</v>
      </c>
      <c r="E2254" s="226">
        <v>42937</v>
      </c>
      <c r="F2254" s="227">
        <v>0</v>
      </c>
      <c r="G2254" s="1"/>
      <c r="H2254" s="60">
        <v>2528.9299999999998</v>
      </c>
      <c r="I2254" s="228">
        <v>531.07000000000005</v>
      </c>
      <c r="J2254" s="229"/>
      <c r="K2254" s="229"/>
      <c r="L2254" s="229">
        <f>SUM(ventas_b_mes11[[#This Row],[IMPORTE NETO]:[EXENTO]])</f>
        <v>3060</v>
      </c>
      <c r="M2254" s="55"/>
    </row>
    <row r="2255" spans="2:13" x14ac:dyDescent="0.3">
      <c r="B2255" s="223">
        <v>44845</v>
      </c>
      <c r="C2255" s="224">
        <v>6</v>
      </c>
      <c r="D2255" s="225">
        <v>10</v>
      </c>
      <c r="E2255" s="226">
        <v>42938</v>
      </c>
      <c r="F2255" s="227">
        <v>0</v>
      </c>
      <c r="G2255" s="1"/>
      <c r="H2255" s="60">
        <v>826.45</v>
      </c>
      <c r="I2255" s="228">
        <v>173.55</v>
      </c>
      <c r="J2255" s="229"/>
      <c r="K2255" s="229"/>
      <c r="L2255" s="229">
        <f>SUM(ventas_b_mes11[[#This Row],[IMPORTE NETO]:[EXENTO]])</f>
        <v>1000</v>
      </c>
      <c r="M2255" s="55"/>
    </row>
    <row r="2256" spans="2:13" x14ac:dyDescent="0.3">
      <c r="B2256" s="223">
        <v>44845</v>
      </c>
      <c r="C2256" s="224">
        <v>6</v>
      </c>
      <c r="D2256" s="225">
        <v>10</v>
      </c>
      <c r="E2256" s="226">
        <v>42939</v>
      </c>
      <c r="F2256" s="227">
        <v>27480333</v>
      </c>
      <c r="G2256" s="1" t="s">
        <v>489</v>
      </c>
      <c r="H2256" s="60">
        <v>4190.08</v>
      </c>
      <c r="I2256" s="228">
        <v>879.92</v>
      </c>
      <c r="J2256" s="229"/>
      <c r="K2256" s="229"/>
      <c r="L2256" s="229">
        <f>SUM(ventas_b_mes11[[#This Row],[IMPORTE NETO]:[EXENTO]])</f>
        <v>5070</v>
      </c>
      <c r="M2256" s="55"/>
    </row>
    <row r="2257" spans="2:13" x14ac:dyDescent="0.3">
      <c r="B2257" s="223">
        <v>44845</v>
      </c>
      <c r="C2257" s="224">
        <v>6</v>
      </c>
      <c r="D2257" s="225">
        <v>10</v>
      </c>
      <c r="E2257" s="226">
        <v>42940</v>
      </c>
      <c r="F2257" s="227">
        <v>0</v>
      </c>
      <c r="G2257" s="1"/>
      <c r="H2257" s="60">
        <v>1198.3499999999999</v>
      </c>
      <c r="I2257" s="228">
        <v>251.65</v>
      </c>
      <c r="J2257" s="229"/>
      <c r="K2257" s="229"/>
      <c r="L2257" s="229">
        <f>SUM(ventas_b_mes11[[#This Row],[IMPORTE NETO]:[EXENTO]])</f>
        <v>1450</v>
      </c>
      <c r="M2257" s="55"/>
    </row>
    <row r="2258" spans="2:13" x14ac:dyDescent="0.3">
      <c r="B2258" s="223">
        <v>44845</v>
      </c>
      <c r="C2258" s="224">
        <v>6</v>
      </c>
      <c r="D2258" s="225">
        <v>10</v>
      </c>
      <c r="E2258" s="226">
        <v>42941</v>
      </c>
      <c r="F2258" s="227">
        <v>23155740</v>
      </c>
      <c r="G2258" s="1" t="s">
        <v>411</v>
      </c>
      <c r="H2258" s="60">
        <v>9776.86</v>
      </c>
      <c r="I2258" s="228">
        <v>2053.14</v>
      </c>
      <c r="J2258" s="229"/>
      <c r="K2258" s="229"/>
      <c r="L2258" s="229">
        <f>SUM(ventas_b_mes11[[#This Row],[IMPORTE NETO]:[EXENTO]])</f>
        <v>11830</v>
      </c>
      <c r="M2258" s="55"/>
    </row>
    <row r="2259" spans="2:13" x14ac:dyDescent="0.3">
      <c r="B2259" s="223" t="s">
        <v>109</v>
      </c>
      <c r="C2259" s="224">
        <v>6</v>
      </c>
      <c r="D2259" s="225">
        <v>10</v>
      </c>
      <c r="E2259" s="226">
        <v>42942</v>
      </c>
      <c r="F2259" s="227">
        <v>16534953</v>
      </c>
      <c r="G2259" s="1" t="s">
        <v>580</v>
      </c>
      <c r="H2259" s="60">
        <v>29661.200000000001</v>
      </c>
      <c r="I2259" s="228">
        <v>6228.85</v>
      </c>
      <c r="J2259" s="229"/>
      <c r="K2259" s="229"/>
      <c r="L2259" s="229">
        <f>SUM(ventas_b_mes11[[#This Row],[IMPORTE NETO]:[EXENTO]])</f>
        <v>35890.050000000003</v>
      </c>
      <c r="M2259" s="55"/>
    </row>
    <row r="2260" spans="2:13" x14ac:dyDescent="0.3">
      <c r="B2260" s="223" t="s">
        <v>109</v>
      </c>
      <c r="C2260" s="224">
        <v>6</v>
      </c>
      <c r="D2260" s="225">
        <v>10</v>
      </c>
      <c r="E2260" s="226">
        <v>42943</v>
      </c>
      <c r="F2260" s="227">
        <v>0</v>
      </c>
      <c r="G2260" s="1"/>
      <c r="H2260" s="60">
        <v>1809.92</v>
      </c>
      <c r="I2260" s="228">
        <v>380.08</v>
      </c>
      <c r="J2260" s="229"/>
      <c r="K2260" s="229"/>
      <c r="L2260" s="229">
        <f>SUM(ventas_b_mes11[[#This Row],[IMPORTE NETO]:[EXENTO]])</f>
        <v>2190</v>
      </c>
      <c r="M2260" s="55"/>
    </row>
    <row r="2261" spans="2:13" x14ac:dyDescent="0.3">
      <c r="B2261" s="223" t="s">
        <v>109</v>
      </c>
      <c r="C2261" s="224">
        <v>6</v>
      </c>
      <c r="D2261" s="225">
        <v>10</v>
      </c>
      <c r="E2261" s="226">
        <v>42944</v>
      </c>
      <c r="F2261" s="227">
        <v>35324965</v>
      </c>
      <c r="G2261" s="1" t="s">
        <v>579</v>
      </c>
      <c r="H2261" s="60">
        <v>8900.83</v>
      </c>
      <c r="I2261" s="228">
        <v>1869.17</v>
      </c>
      <c r="J2261" s="229"/>
      <c r="K2261" s="229"/>
      <c r="L2261" s="229">
        <f>SUM(ventas_b_mes11[[#This Row],[IMPORTE NETO]:[EXENTO]])</f>
        <v>10770</v>
      </c>
      <c r="M2261" s="55"/>
    </row>
    <row r="2262" spans="2:13" x14ac:dyDescent="0.3">
      <c r="B2262" s="223" t="s">
        <v>109</v>
      </c>
      <c r="C2262" s="224">
        <v>6</v>
      </c>
      <c r="D2262" s="225">
        <v>10</v>
      </c>
      <c r="E2262" s="226">
        <v>42945</v>
      </c>
      <c r="F2262" s="227">
        <v>0</v>
      </c>
      <c r="G2262" s="1"/>
      <c r="H2262" s="60">
        <v>1280.99</v>
      </c>
      <c r="I2262" s="228">
        <v>269.01</v>
      </c>
      <c r="J2262" s="229"/>
      <c r="K2262" s="229"/>
      <c r="L2262" s="229">
        <f>SUM(ventas_b_mes11[[#This Row],[IMPORTE NETO]:[EXENTO]])</f>
        <v>1550</v>
      </c>
      <c r="M2262" s="55"/>
    </row>
    <row r="2263" spans="2:13" x14ac:dyDescent="0.3">
      <c r="B2263" s="223" t="s">
        <v>109</v>
      </c>
      <c r="C2263" s="224">
        <v>6</v>
      </c>
      <c r="D2263" s="225">
        <v>10</v>
      </c>
      <c r="E2263" s="226">
        <v>42946</v>
      </c>
      <c r="F2263" s="227">
        <v>0</v>
      </c>
      <c r="G2263" s="1"/>
      <c r="H2263" s="60">
        <v>892.56</v>
      </c>
      <c r="I2263" s="228">
        <v>187.44</v>
      </c>
      <c r="J2263" s="229"/>
      <c r="K2263" s="229"/>
      <c r="L2263" s="229">
        <f>SUM(ventas_b_mes11[[#This Row],[IMPORTE NETO]:[EXENTO]])</f>
        <v>1080</v>
      </c>
      <c r="M2263" s="55"/>
    </row>
    <row r="2264" spans="2:13" x14ac:dyDescent="0.3">
      <c r="B2264" s="223" t="s">
        <v>109</v>
      </c>
      <c r="C2264" s="224">
        <v>6</v>
      </c>
      <c r="D2264" s="225">
        <v>10</v>
      </c>
      <c r="E2264" s="226">
        <v>42947</v>
      </c>
      <c r="F2264" s="227">
        <v>16961863</v>
      </c>
      <c r="G2264" s="1" t="s">
        <v>560</v>
      </c>
      <c r="H2264" s="60">
        <v>2644.63</v>
      </c>
      <c r="I2264" s="228">
        <v>555.37</v>
      </c>
      <c r="J2264" s="229"/>
      <c r="K2264" s="229"/>
      <c r="L2264" s="229">
        <f>SUM(ventas_b_mes11[[#This Row],[IMPORTE NETO]:[EXENTO]])</f>
        <v>3200</v>
      </c>
      <c r="M2264" s="55"/>
    </row>
    <row r="2265" spans="2:13" x14ac:dyDescent="0.3">
      <c r="B2265" s="223" t="s">
        <v>109</v>
      </c>
      <c r="C2265" s="224">
        <v>6</v>
      </c>
      <c r="D2265" s="225">
        <v>10</v>
      </c>
      <c r="E2265" s="226">
        <v>42948</v>
      </c>
      <c r="F2265" s="227">
        <v>21702144</v>
      </c>
      <c r="G2265" s="1" t="s">
        <v>561</v>
      </c>
      <c r="H2265" s="60">
        <v>24603.34</v>
      </c>
      <c r="I2265" s="228">
        <v>5166.7</v>
      </c>
      <c r="J2265" s="229"/>
      <c r="K2265" s="229"/>
      <c r="L2265" s="229">
        <f>SUM(ventas_b_mes11[[#This Row],[IMPORTE NETO]:[EXENTO]])</f>
        <v>29770.04</v>
      </c>
      <c r="M2265" s="55"/>
    </row>
    <row r="2266" spans="2:13" x14ac:dyDescent="0.3">
      <c r="B2266" s="223">
        <v>44845</v>
      </c>
      <c r="C2266" s="224">
        <v>6</v>
      </c>
      <c r="D2266" s="225">
        <v>10</v>
      </c>
      <c r="E2266" s="226">
        <v>42949</v>
      </c>
      <c r="F2266" s="227">
        <v>0</v>
      </c>
      <c r="G2266" s="1"/>
      <c r="H2266" s="60">
        <v>1355.37</v>
      </c>
      <c r="I2266" s="228">
        <v>284.63</v>
      </c>
      <c r="J2266" s="229"/>
      <c r="K2266" s="229"/>
      <c r="L2266" s="229">
        <f>SUM(ventas_b_mes11[[#This Row],[IMPORTE NETO]:[EXENTO]])</f>
        <v>1640</v>
      </c>
      <c r="M2266" s="55"/>
    </row>
    <row r="2267" spans="2:13" x14ac:dyDescent="0.3">
      <c r="B2267" s="223">
        <v>44845</v>
      </c>
      <c r="C2267" s="224">
        <v>6</v>
      </c>
      <c r="D2267" s="225">
        <v>10</v>
      </c>
      <c r="E2267" s="226">
        <v>42950</v>
      </c>
      <c r="F2267" s="227">
        <v>24075561</v>
      </c>
      <c r="G2267" s="1" t="s">
        <v>537</v>
      </c>
      <c r="H2267" s="60">
        <v>6710.74</v>
      </c>
      <c r="I2267" s="228">
        <v>1409.26</v>
      </c>
      <c r="J2267" s="229"/>
      <c r="K2267" s="229"/>
      <c r="L2267" s="229">
        <f>SUM(ventas_b_mes11[[#This Row],[IMPORTE NETO]:[EXENTO]])</f>
        <v>8120</v>
      </c>
      <c r="M2267" s="55"/>
    </row>
    <row r="2268" spans="2:13" x14ac:dyDescent="0.3">
      <c r="B2268" s="223">
        <v>44845</v>
      </c>
      <c r="C2268" s="224">
        <v>6</v>
      </c>
      <c r="D2268" s="225">
        <v>10</v>
      </c>
      <c r="E2268" s="226">
        <v>42951</v>
      </c>
      <c r="F2268" s="227">
        <v>30697617</v>
      </c>
      <c r="G2268" s="1" t="s">
        <v>517</v>
      </c>
      <c r="H2268" s="60">
        <v>5041.32</v>
      </c>
      <c r="I2268" s="228">
        <v>1058.68</v>
      </c>
      <c r="J2268" s="229"/>
      <c r="K2268" s="229"/>
      <c r="L2268" s="229">
        <f>SUM(ventas_b_mes11[[#This Row],[IMPORTE NETO]:[EXENTO]])</f>
        <v>6100</v>
      </c>
      <c r="M2268" s="55"/>
    </row>
    <row r="2269" spans="2:13" x14ac:dyDescent="0.3">
      <c r="B2269" s="223">
        <v>44845</v>
      </c>
      <c r="C2269" s="224">
        <v>6</v>
      </c>
      <c r="D2269" s="225">
        <v>10</v>
      </c>
      <c r="E2269" s="226">
        <v>42952</v>
      </c>
      <c r="F2269" s="227">
        <v>0</v>
      </c>
      <c r="G2269" s="1"/>
      <c r="H2269" s="60">
        <v>3289.26</v>
      </c>
      <c r="I2269" s="228">
        <v>690.75</v>
      </c>
      <c r="J2269" s="229"/>
      <c r="K2269" s="229"/>
      <c r="L2269" s="229">
        <f>SUM(ventas_b_mes11[[#This Row],[IMPORTE NETO]:[EXENTO]])</f>
        <v>3980.01</v>
      </c>
      <c r="M2269" s="55"/>
    </row>
    <row r="2270" spans="2:13" x14ac:dyDescent="0.3">
      <c r="B2270" s="223">
        <v>44845</v>
      </c>
      <c r="C2270" s="224">
        <v>6</v>
      </c>
      <c r="D2270" s="225">
        <v>10</v>
      </c>
      <c r="E2270" s="226">
        <v>42953</v>
      </c>
      <c r="F2270" s="227">
        <v>27578774</v>
      </c>
      <c r="G2270" s="1" t="s">
        <v>516</v>
      </c>
      <c r="H2270" s="60">
        <v>15991.71</v>
      </c>
      <c r="I2270" s="228">
        <v>3358.26</v>
      </c>
      <c r="J2270" s="229"/>
      <c r="K2270" s="229"/>
      <c r="L2270" s="229">
        <f>SUM(ventas_b_mes11[[#This Row],[IMPORTE NETO]:[EXENTO]])</f>
        <v>19349.97</v>
      </c>
      <c r="M2270" s="55"/>
    </row>
    <row r="2271" spans="2:13" x14ac:dyDescent="0.3">
      <c r="B2271" s="223">
        <v>44845</v>
      </c>
      <c r="C2271" s="224">
        <v>6</v>
      </c>
      <c r="D2271" s="225">
        <v>10</v>
      </c>
      <c r="E2271" s="226">
        <v>42954</v>
      </c>
      <c r="F2271" s="227">
        <v>16850988</v>
      </c>
      <c r="G2271" s="1" t="s">
        <v>515</v>
      </c>
      <c r="H2271" s="60">
        <v>5694.2</v>
      </c>
      <c r="I2271" s="228">
        <v>1195.78</v>
      </c>
      <c r="J2271" s="229"/>
      <c r="K2271" s="229"/>
      <c r="L2271" s="229">
        <f>SUM(ventas_b_mes11[[#This Row],[IMPORTE NETO]:[EXENTO]])</f>
        <v>6889.98</v>
      </c>
      <c r="M2271" s="55"/>
    </row>
    <row r="2272" spans="2:13" x14ac:dyDescent="0.3">
      <c r="B2272" s="223">
        <v>44845</v>
      </c>
      <c r="C2272" s="224">
        <v>6</v>
      </c>
      <c r="D2272" s="225">
        <v>10</v>
      </c>
      <c r="E2272" s="226">
        <v>42955</v>
      </c>
      <c r="F2272" s="227">
        <v>0</v>
      </c>
      <c r="G2272" s="1"/>
      <c r="H2272" s="60">
        <v>2768.6</v>
      </c>
      <c r="I2272" s="228">
        <v>581.4</v>
      </c>
      <c r="J2272" s="229"/>
      <c r="K2272" s="229"/>
      <c r="L2272" s="229">
        <f>SUM(ventas_b_mes11[[#This Row],[IMPORTE NETO]:[EXENTO]])</f>
        <v>3350</v>
      </c>
      <c r="M2272" s="55"/>
    </row>
    <row r="2273" spans="2:13" x14ac:dyDescent="0.3">
      <c r="B2273" s="223">
        <v>44845</v>
      </c>
      <c r="C2273" s="224">
        <v>6</v>
      </c>
      <c r="D2273" s="225">
        <v>10</v>
      </c>
      <c r="E2273" s="226">
        <v>42956</v>
      </c>
      <c r="F2273" s="227">
        <v>0</v>
      </c>
      <c r="G2273" s="1"/>
      <c r="H2273" s="60">
        <v>3123.97</v>
      </c>
      <c r="I2273" s="228">
        <v>656.03</v>
      </c>
      <c r="J2273" s="229"/>
      <c r="K2273" s="229"/>
      <c r="L2273" s="229">
        <f>SUM(ventas_b_mes11[[#This Row],[IMPORTE NETO]:[EXENTO]])</f>
        <v>3780</v>
      </c>
      <c r="M2273" s="55"/>
    </row>
    <row r="2274" spans="2:13" x14ac:dyDescent="0.3">
      <c r="B2274" s="223">
        <v>44845</v>
      </c>
      <c r="C2274" s="224">
        <v>6</v>
      </c>
      <c r="D2274" s="225">
        <v>10</v>
      </c>
      <c r="E2274" s="226">
        <v>42957</v>
      </c>
      <c r="F2274" s="227">
        <v>32496400</v>
      </c>
      <c r="G2274" s="1" t="s">
        <v>485</v>
      </c>
      <c r="H2274" s="60">
        <v>6727.27</v>
      </c>
      <c r="I2274" s="228">
        <v>1412.73</v>
      </c>
      <c r="J2274" s="229"/>
      <c r="K2274" s="229"/>
      <c r="L2274" s="229">
        <f>SUM(ventas_b_mes11[[#This Row],[IMPORTE NETO]:[EXENTO]])</f>
        <v>8140</v>
      </c>
      <c r="M2274" s="55"/>
    </row>
    <row r="2275" spans="2:13" x14ac:dyDescent="0.3">
      <c r="B2275" s="223">
        <v>44845</v>
      </c>
      <c r="C2275" s="224">
        <v>6</v>
      </c>
      <c r="D2275" s="225">
        <v>10</v>
      </c>
      <c r="E2275" s="226">
        <v>42958</v>
      </c>
      <c r="F2275" s="227">
        <v>0</v>
      </c>
      <c r="G2275" s="1"/>
      <c r="H2275" s="60">
        <v>925.62</v>
      </c>
      <c r="I2275" s="228">
        <v>194.38</v>
      </c>
      <c r="J2275" s="229"/>
      <c r="K2275" s="229"/>
      <c r="L2275" s="229">
        <f>SUM(ventas_b_mes11[[#This Row],[IMPORTE NETO]:[EXENTO]])</f>
        <v>1120</v>
      </c>
      <c r="M2275" s="55"/>
    </row>
    <row r="2276" spans="2:13" x14ac:dyDescent="0.3">
      <c r="B2276" s="223">
        <v>44845</v>
      </c>
      <c r="C2276" s="224">
        <v>6</v>
      </c>
      <c r="D2276" s="225">
        <v>10</v>
      </c>
      <c r="E2276" s="226">
        <v>42959</v>
      </c>
      <c r="F2276" s="227">
        <v>0</v>
      </c>
      <c r="G2276" s="1"/>
      <c r="H2276" s="60">
        <v>553.72</v>
      </c>
      <c r="I2276" s="228">
        <v>116.28</v>
      </c>
      <c r="J2276" s="229"/>
      <c r="K2276" s="229"/>
      <c r="L2276" s="229">
        <f>SUM(ventas_b_mes11[[#This Row],[IMPORTE NETO]:[EXENTO]])</f>
        <v>670</v>
      </c>
      <c r="M2276" s="55"/>
    </row>
    <row r="2277" spans="2:13" x14ac:dyDescent="0.3">
      <c r="B2277" s="223">
        <v>44845</v>
      </c>
      <c r="C2277" s="224">
        <v>6</v>
      </c>
      <c r="D2277" s="225">
        <v>10</v>
      </c>
      <c r="E2277" s="226">
        <v>42960</v>
      </c>
      <c r="F2277" s="227">
        <v>0</v>
      </c>
      <c r="G2277" s="1"/>
      <c r="H2277" s="60">
        <v>1603.31</v>
      </c>
      <c r="I2277" s="228">
        <v>336.7</v>
      </c>
      <c r="J2277" s="229"/>
      <c r="K2277" s="229"/>
      <c r="L2277" s="229">
        <f>SUM(ventas_b_mes11[[#This Row],[IMPORTE NETO]:[EXENTO]])</f>
        <v>1940.01</v>
      </c>
      <c r="M2277" s="55"/>
    </row>
    <row r="2278" spans="2:13" x14ac:dyDescent="0.3">
      <c r="B2278" s="223">
        <v>44845</v>
      </c>
      <c r="C2278" s="224">
        <v>6</v>
      </c>
      <c r="D2278" s="225">
        <v>10</v>
      </c>
      <c r="E2278" s="226">
        <v>42961</v>
      </c>
      <c r="F2278" s="227">
        <v>0</v>
      </c>
      <c r="G2278" s="1"/>
      <c r="H2278" s="60">
        <v>2520.66</v>
      </c>
      <c r="I2278" s="228">
        <v>529.34</v>
      </c>
      <c r="J2278" s="229"/>
      <c r="K2278" s="229"/>
      <c r="L2278" s="229">
        <f>SUM(ventas_b_mes11[[#This Row],[IMPORTE NETO]:[EXENTO]])</f>
        <v>3050</v>
      </c>
      <c r="M2278" s="55"/>
    </row>
    <row r="2279" spans="2:13" x14ac:dyDescent="0.3">
      <c r="B2279" s="223">
        <v>44845</v>
      </c>
      <c r="C2279" s="224">
        <v>6</v>
      </c>
      <c r="D2279" s="225">
        <v>10</v>
      </c>
      <c r="E2279" s="226">
        <v>42962</v>
      </c>
      <c r="F2279" s="227">
        <v>0</v>
      </c>
      <c r="G2279" s="1"/>
      <c r="H2279" s="60">
        <v>3991.74</v>
      </c>
      <c r="I2279" s="228">
        <v>838.26</v>
      </c>
      <c r="J2279" s="229"/>
      <c r="K2279" s="229"/>
      <c r="L2279" s="229">
        <f>SUM(ventas_b_mes11[[#This Row],[IMPORTE NETO]:[EXENTO]])</f>
        <v>4830</v>
      </c>
      <c r="M2279" s="55"/>
    </row>
    <row r="2280" spans="2:13" x14ac:dyDescent="0.3">
      <c r="B2280" s="223">
        <v>44845</v>
      </c>
      <c r="C2280" s="224">
        <v>6</v>
      </c>
      <c r="D2280" s="225">
        <v>10</v>
      </c>
      <c r="E2280" s="226">
        <v>42963</v>
      </c>
      <c r="F2280" s="227">
        <v>16587972</v>
      </c>
      <c r="G2280" s="1" t="s">
        <v>488</v>
      </c>
      <c r="H2280" s="60">
        <v>9305.7900000000009</v>
      </c>
      <c r="I2280" s="228">
        <v>1954.21</v>
      </c>
      <c r="J2280" s="229"/>
      <c r="K2280" s="229"/>
      <c r="L2280" s="229">
        <f>SUM(ventas_b_mes11[[#This Row],[IMPORTE NETO]:[EXENTO]])</f>
        <v>11260</v>
      </c>
      <c r="M2280" s="55"/>
    </row>
    <row r="2281" spans="2:13" x14ac:dyDescent="0.3">
      <c r="B2281" s="223" t="s">
        <v>109</v>
      </c>
      <c r="C2281" s="224">
        <v>6</v>
      </c>
      <c r="D2281" s="225">
        <v>10</v>
      </c>
      <c r="E2281" s="226">
        <v>42964</v>
      </c>
      <c r="F2281" s="227">
        <v>0</v>
      </c>
      <c r="G2281" s="1"/>
      <c r="H2281" s="60">
        <v>1966.94</v>
      </c>
      <c r="I2281" s="228">
        <v>413.06</v>
      </c>
      <c r="J2281" s="229"/>
      <c r="K2281" s="229"/>
      <c r="L2281" s="229">
        <f>SUM(ventas_b_mes11[[#This Row],[IMPORTE NETO]:[EXENTO]])</f>
        <v>2380</v>
      </c>
      <c r="M2281" s="55"/>
    </row>
    <row r="2282" spans="2:13" x14ac:dyDescent="0.3">
      <c r="B2282" s="223">
        <v>44845</v>
      </c>
      <c r="C2282" s="224">
        <v>6</v>
      </c>
      <c r="D2282" s="225">
        <v>10</v>
      </c>
      <c r="E2282" s="226">
        <v>42965</v>
      </c>
      <c r="F2282" s="227">
        <v>0</v>
      </c>
      <c r="G2282" s="1"/>
      <c r="H2282" s="60">
        <v>2247.9299999999998</v>
      </c>
      <c r="I2282" s="228">
        <v>472.07</v>
      </c>
      <c r="J2282" s="229"/>
      <c r="K2282" s="229"/>
      <c r="L2282" s="229">
        <f>SUM(ventas_b_mes11[[#This Row],[IMPORTE NETO]:[EXENTO]])</f>
        <v>2720</v>
      </c>
      <c r="M2282" s="55"/>
    </row>
    <row r="2283" spans="2:13" x14ac:dyDescent="0.3">
      <c r="B2283" s="223">
        <v>44845</v>
      </c>
      <c r="C2283" s="224">
        <v>6</v>
      </c>
      <c r="D2283" s="225">
        <v>10</v>
      </c>
      <c r="E2283" s="226">
        <v>42966</v>
      </c>
      <c r="F2283" s="227">
        <v>17226402</v>
      </c>
      <c r="G2283" s="1" t="s">
        <v>452</v>
      </c>
      <c r="H2283" s="60">
        <v>6396.71</v>
      </c>
      <c r="I2283" s="228">
        <v>1343.31</v>
      </c>
      <c r="J2283" s="229"/>
      <c r="K2283" s="229"/>
      <c r="L2283" s="229">
        <f>SUM(ventas_b_mes11[[#This Row],[IMPORTE NETO]:[EXENTO]])</f>
        <v>7740.02</v>
      </c>
      <c r="M2283" s="55"/>
    </row>
    <row r="2284" spans="2:13" x14ac:dyDescent="0.3">
      <c r="B2284" s="223">
        <v>44845</v>
      </c>
      <c r="C2284" s="224">
        <v>6</v>
      </c>
      <c r="D2284" s="225">
        <v>10</v>
      </c>
      <c r="E2284" s="226">
        <v>42967</v>
      </c>
      <c r="F2284" s="227">
        <v>22040163</v>
      </c>
      <c r="G2284" s="1" t="s">
        <v>453</v>
      </c>
      <c r="H2284" s="60">
        <v>7851.24</v>
      </c>
      <c r="I2284" s="228">
        <v>1648.76</v>
      </c>
      <c r="J2284" s="229"/>
      <c r="K2284" s="229"/>
      <c r="L2284" s="229">
        <f>SUM(ventas_b_mes11[[#This Row],[IMPORTE NETO]:[EXENTO]])</f>
        <v>9500</v>
      </c>
      <c r="M2284" s="55"/>
    </row>
    <row r="2285" spans="2:13" x14ac:dyDescent="0.3">
      <c r="B2285" s="223" t="s">
        <v>109</v>
      </c>
      <c r="C2285" s="224">
        <v>6</v>
      </c>
      <c r="D2285" s="225">
        <v>10</v>
      </c>
      <c r="E2285" s="226">
        <v>42968</v>
      </c>
      <c r="F2285" s="227">
        <v>30745861</v>
      </c>
      <c r="G2285" s="1" t="s">
        <v>455</v>
      </c>
      <c r="H2285" s="60">
        <v>4413.22</v>
      </c>
      <c r="I2285" s="228">
        <v>926.78</v>
      </c>
      <c r="J2285" s="229"/>
      <c r="K2285" s="229"/>
      <c r="L2285" s="229">
        <f>SUM(ventas_b_mes11[[#This Row],[IMPORTE NETO]:[EXENTO]])</f>
        <v>5340</v>
      </c>
      <c r="M2285" s="55"/>
    </row>
    <row r="2286" spans="2:13" x14ac:dyDescent="0.3">
      <c r="B2286" s="223" t="s">
        <v>109</v>
      </c>
      <c r="C2286" s="224">
        <v>6</v>
      </c>
      <c r="D2286" s="225">
        <v>10</v>
      </c>
      <c r="E2286" s="226">
        <v>42969</v>
      </c>
      <c r="F2286" s="227">
        <v>20838148</v>
      </c>
      <c r="G2286" s="1" t="s">
        <v>456</v>
      </c>
      <c r="H2286" s="60">
        <v>29694.2</v>
      </c>
      <c r="I2286" s="228">
        <v>6235.78</v>
      </c>
      <c r="J2286" s="229"/>
      <c r="K2286" s="229"/>
      <c r="L2286" s="229">
        <f>SUM(ventas_b_mes11[[#This Row],[IMPORTE NETO]:[EXENTO]])</f>
        <v>35929.980000000003</v>
      </c>
      <c r="M2286" s="55"/>
    </row>
    <row r="2287" spans="2:13" x14ac:dyDescent="0.3">
      <c r="B2287" s="223">
        <v>44845</v>
      </c>
      <c r="C2287" s="224">
        <v>6</v>
      </c>
      <c r="D2287" s="225">
        <v>10</v>
      </c>
      <c r="E2287" s="226">
        <v>42970</v>
      </c>
      <c r="F2287" s="227">
        <v>33986159</v>
      </c>
      <c r="G2287" s="1" t="s">
        <v>454</v>
      </c>
      <c r="H2287" s="60">
        <v>5512.4</v>
      </c>
      <c r="I2287" s="228">
        <v>1157.5999999999999</v>
      </c>
      <c r="J2287" s="229"/>
      <c r="K2287" s="229"/>
      <c r="L2287" s="229">
        <f>SUM(ventas_b_mes11[[#This Row],[IMPORTE NETO]:[EXENTO]])</f>
        <v>6670</v>
      </c>
      <c r="M2287" s="55"/>
    </row>
    <row r="2288" spans="2:13" x14ac:dyDescent="0.3">
      <c r="B2288" s="223">
        <v>44845</v>
      </c>
      <c r="C2288" s="224">
        <v>6</v>
      </c>
      <c r="D2288" s="225">
        <v>10</v>
      </c>
      <c r="E2288" s="226">
        <v>42971</v>
      </c>
      <c r="F2288" s="227">
        <v>0</v>
      </c>
      <c r="G2288" s="1"/>
      <c r="H2288" s="60">
        <v>1421.49</v>
      </c>
      <c r="I2288" s="228">
        <v>298.51</v>
      </c>
      <c r="J2288" s="229"/>
      <c r="K2288" s="229"/>
      <c r="L2288" s="229">
        <f>SUM(ventas_b_mes11[[#This Row],[IMPORTE NETO]:[EXENTO]])</f>
        <v>1720</v>
      </c>
      <c r="M2288" s="55"/>
    </row>
    <row r="2289" spans="2:13" x14ac:dyDescent="0.3">
      <c r="B2289" s="223">
        <v>44845</v>
      </c>
      <c r="C2289" s="224">
        <v>6</v>
      </c>
      <c r="D2289" s="225">
        <v>10</v>
      </c>
      <c r="E2289" s="226">
        <v>42972</v>
      </c>
      <c r="F2289" s="227">
        <v>0</v>
      </c>
      <c r="G2289" s="1"/>
      <c r="H2289" s="60">
        <v>1181.82</v>
      </c>
      <c r="I2289" s="228">
        <v>248.18</v>
      </c>
      <c r="J2289" s="229"/>
      <c r="K2289" s="229"/>
      <c r="L2289" s="229">
        <f>SUM(ventas_b_mes11[[#This Row],[IMPORTE NETO]:[EXENTO]])</f>
        <v>1430</v>
      </c>
      <c r="M2289" s="55"/>
    </row>
    <row r="2290" spans="2:13" x14ac:dyDescent="0.3">
      <c r="B2290" s="223" t="s">
        <v>109</v>
      </c>
      <c r="C2290" s="224">
        <v>6</v>
      </c>
      <c r="D2290" s="225">
        <v>10</v>
      </c>
      <c r="E2290" s="226">
        <v>42973</v>
      </c>
      <c r="F2290" s="227">
        <v>0</v>
      </c>
      <c r="G2290" s="1"/>
      <c r="H2290" s="60">
        <v>3454.55</v>
      </c>
      <c r="I2290" s="228">
        <v>725.45</v>
      </c>
      <c r="J2290" s="229"/>
      <c r="K2290" s="229"/>
      <c r="L2290" s="229">
        <f>SUM(ventas_b_mes11[[#This Row],[IMPORTE NETO]:[EXENTO]])</f>
        <v>4180</v>
      </c>
      <c r="M2290" s="55"/>
    </row>
    <row r="2291" spans="2:13" x14ac:dyDescent="0.3">
      <c r="B2291" s="223" t="s">
        <v>109</v>
      </c>
      <c r="C2291" s="224">
        <v>6</v>
      </c>
      <c r="D2291" s="225">
        <v>10</v>
      </c>
      <c r="E2291" s="226">
        <v>42974</v>
      </c>
      <c r="F2291" s="227">
        <v>92902402</v>
      </c>
      <c r="G2291" s="1" t="s">
        <v>461</v>
      </c>
      <c r="H2291" s="60">
        <v>12983.47</v>
      </c>
      <c r="I2291" s="228">
        <v>2726.53</v>
      </c>
      <c r="J2291" s="229"/>
      <c r="K2291" s="229"/>
      <c r="L2291" s="229">
        <f>SUM(ventas_b_mes11[[#This Row],[IMPORTE NETO]:[EXENTO]])</f>
        <v>15710</v>
      </c>
      <c r="M2291" s="55"/>
    </row>
    <row r="2292" spans="2:13" x14ac:dyDescent="0.3">
      <c r="B2292" s="223" t="s">
        <v>109</v>
      </c>
      <c r="C2292" s="224">
        <v>6</v>
      </c>
      <c r="D2292" s="225">
        <v>10</v>
      </c>
      <c r="E2292" s="226">
        <v>42975</v>
      </c>
      <c r="F2292" s="227">
        <v>14915638</v>
      </c>
      <c r="G2292" s="1" t="s">
        <v>462</v>
      </c>
      <c r="H2292" s="60">
        <v>4702.4799999999996</v>
      </c>
      <c r="I2292" s="228">
        <v>987.52</v>
      </c>
      <c r="J2292" s="229"/>
      <c r="K2292" s="229"/>
      <c r="L2292" s="229">
        <f>SUM(ventas_b_mes11[[#This Row],[IMPORTE NETO]:[EXENTO]])</f>
        <v>5690</v>
      </c>
      <c r="M2292" s="55"/>
    </row>
    <row r="2293" spans="2:13" x14ac:dyDescent="0.3">
      <c r="B2293" s="223" t="s">
        <v>109</v>
      </c>
      <c r="C2293" s="224">
        <v>6</v>
      </c>
      <c r="D2293" s="225">
        <v>10</v>
      </c>
      <c r="E2293" s="226">
        <v>42976</v>
      </c>
      <c r="F2293" s="227">
        <v>40926501</v>
      </c>
      <c r="G2293" s="1" t="s">
        <v>463</v>
      </c>
      <c r="H2293" s="60">
        <v>8371.89</v>
      </c>
      <c r="I2293" s="228">
        <v>1758.1</v>
      </c>
      <c r="J2293" s="229"/>
      <c r="K2293" s="229"/>
      <c r="L2293" s="229">
        <f>SUM(ventas_b_mes11[[#This Row],[IMPORTE NETO]:[EXENTO]])</f>
        <v>10129.99</v>
      </c>
      <c r="M2293" s="55"/>
    </row>
    <row r="2294" spans="2:13" x14ac:dyDescent="0.3">
      <c r="B2294" s="223">
        <v>44845</v>
      </c>
      <c r="C2294" s="224">
        <v>6</v>
      </c>
      <c r="D2294" s="225">
        <v>10</v>
      </c>
      <c r="E2294" s="226">
        <v>42977</v>
      </c>
      <c r="F2294" s="227">
        <v>0</v>
      </c>
      <c r="G2294" s="1"/>
      <c r="H2294" s="60">
        <v>280.99</v>
      </c>
      <c r="I2294" s="228">
        <v>59.01</v>
      </c>
      <c r="J2294" s="229"/>
      <c r="K2294" s="229"/>
      <c r="L2294" s="229">
        <f>SUM(ventas_b_mes11[[#This Row],[IMPORTE NETO]:[EXENTO]])</f>
        <v>340</v>
      </c>
      <c r="M2294" s="55"/>
    </row>
    <row r="2295" spans="2:13" x14ac:dyDescent="0.3">
      <c r="B2295" s="223">
        <v>44845</v>
      </c>
      <c r="C2295" s="224">
        <v>6</v>
      </c>
      <c r="D2295" s="225">
        <v>10</v>
      </c>
      <c r="E2295" s="226">
        <v>42978</v>
      </c>
      <c r="F2295" s="227">
        <v>0</v>
      </c>
      <c r="G2295" s="1"/>
      <c r="H2295" s="60">
        <v>3735.54</v>
      </c>
      <c r="I2295" s="228">
        <v>784.46</v>
      </c>
      <c r="J2295" s="229"/>
      <c r="K2295" s="229"/>
      <c r="L2295" s="229">
        <f>SUM(ventas_b_mes11[[#This Row],[IMPORTE NETO]:[EXENTO]])</f>
        <v>4520</v>
      </c>
      <c r="M2295" s="55"/>
    </row>
    <row r="2296" spans="2:13" x14ac:dyDescent="0.3">
      <c r="B2296" s="223">
        <v>44845</v>
      </c>
      <c r="C2296" s="224">
        <v>6</v>
      </c>
      <c r="D2296" s="225">
        <v>10</v>
      </c>
      <c r="E2296" s="226">
        <v>42979</v>
      </c>
      <c r="F2296" s="227">
        <v>20838148</v>
      </c>
      <c r="G2296" s="1" t="s">
        <v>456</v>
      </c>
      <c r="H2296" s="60">
        <v>4983.47</v>
      </c>
      <c r="I2296" s="228">
        <v>1046.53</v>
      </c>
      <c r="J2296" s="229"/>
      <c r="K2296" s="229"/>
      <c r="L2296" s="229">
        <f>SUM(ventas_b_mes11[[#This Row],[IMPORTE NETO]:[EXENTO]])</f>
        <v>6030</v>
      </c>
      <c r="M2296" s="55"/>
    </row>
    <row r="2297" spans="2:13" x14ac:dyDescent="0.3">
      <c r="B2297" s="223">
        <v>44845</v>
      </c>
      <c r="C2297" s="224">
        <v>6</v>
      </c>
      <c r="D2297" s="225">
        <v>10</v>
      </c>
      <c r="E2297" s="226">
        <v>42980</v>
      </c>
      <c r="F2297" s="227">
        <v>0</v>
      </c>
      <c r="G2297" s="1"/>
      <c r="H2297" s="60">
        <v>1305.79</v>
      </c>
      <c r="I2297" s="228">
        <v>274.22000000000003</v>
      </c>
      <c r="J2297" s="229"/>
      <c r="K2297" s="229"/>
      <c r="L2297" s="229">
        <f>SUM(ventas_b_mes11[[#This Row],[IMPORTE NETO]:[EXENTO]])</f>
        <v>1580.01</v>
      </c>
      <c r="M2297" s="55"/>
    </row>
    <row r="2298" spans="2:13" x14ac:dyDescent="0.3">
      <c r="B2298" s="223">
        <v>44845</v>
      </c>
      <c r="C2298" s="224">
        <v>6</v>
      </c>
      <c r="D2298" s="225">
        <v>10</v>
      </c>
      <c r="E2298" s="226">
        <v>42981</v>
      </c>
      <c r="F2298" s="227">
        <v>0</v>
      </c>
      <c r="G2298" s="1"/>
      <c r="H2298" s="60">
        <v>3016.54</v>
      </c>
      <c r="I2298" s="228">
        <v>633.47</v>
      </c>
      <c r="J2298" s="229"/>
      <c r="K2298" s="229"/>
      <c r="L2298" s="229">
        <f>SUM(ventas_b_mes11[[#This Row],[IMPORTE NETO]:[EXENTO]])</f>
        <v>3650.01</v>
      </c>
      <c r="M2298" s="55"/>
    </row>
    <row r="2299" spans="2:13" x14ac:dyDescent="0.3">
      <c r="B2299" s="223">
        <v>44845</v>
      </c>
      <c r="C2299" s="224">
        <v>6</v>
      </c>
      <c r="D2299" s="225">
        <v>10</v>
      </c>
      <c r="E2299" s="226">
        <v>42982</v>
      </c>
      <c r="F2299" s="227">
        <v>0</v>
      </c>
      <c r="G2299" s="1"/>
      <c r="H2299" s="60">
        <v>2198.35</v>
      </c>
      <c r="I2299" s="228">
        <v>461.65</v>
      </c>
      <c r="J2299" s="229"/>
      <c r="K2299" s="229"/>
      <c r="L2299" s="229">
        <f>SUM(ventas_b_mes11[[#This Row],[IMPORTE NETO]:[EXENTO]])</f>
        <v>2660</v>
      </c>
      <c r="M2299" s="55"/>
    </row>
    <row r="2300" spans="2:13" x14ac:dyDescent="0.3">
      <c r="B2300" s="223">
        <v>44845</v>
      </c>
      <c r="C2300" s="224">
        <v>6</v>
      </c>
      <c r="D2300" s="225">
        <v>10</v>
      </c>
      <c r="E2300" s="226">
        <v>42983</v>
      </c>
      <c r="F2300" s="227">
        <v>0</v>
      </c>
      <c r="G2300" s="1"/>
      <c r="H2300" s="60">
        <v>3603.3</v>
      </c>
      <c r="I2300" s="228">
        <v>756.69</v>
      </c>
      <c r="J2300" s="229"/>
      <c r="K2300" s="229"/>
      <c r="L2300" s="229">
        <f>SUM(ventas_b_mes11[[#This Row],[IMPORTE NETO]:[EXENTO]])</f>
        <v>4359.99</v>
      </c>
      <c r="M2300" s="55"/>
    </row>
    <row r="2301" spans="2:13" x14ac:dyDescent="0.3">
      <c r="B2301" s="223">
        <v>44845</v>
      </c>
      <c r="C2301" s="224">
        <v>6</v>
      </c>
      <c r="D2301" s="225">
        <v>10</v>
      </c>
      <c r="E2301" s="226">
        <v>42984</v>
      </c>
      <c r="F2301" s="227">
        <v>27336590</v>
      </c>
      <c r="G2301" s="1" t="s">
        <v>492</v>
      </c>
      <c r="H2301" s="60">
        <v>6471.07</v>
      </c>
      <c r="I2301" s="228">
        <v>1358.93</v>
      </c>
      <c r="J2301" s="229"/>
      <c r="K2301" s="229"/>
      <c r="L2301" s="229">
        <f>SUM(ventas_b_mes11[[#This Row],[IMPORTE NETO]:[EXENTO]])</f>
        <v>7830</v>
      </c>
      <c r="M2301" s="55"/>
    </row>
    <row r="2302" spans="2:13" x14ac:dyDescent="0.3">
      <c r="B2302" s="223">
        <v>44845</v>
      </c>
      <c r="C2302" s="224">
        <v>6</v>
      </c>
      <c r="D2302" s="225">
        <v>10</v>
      </c>
      <c r="E2302" s="226">
        <v>42985</v>
      </c>
      <c r="F2302" s="227">
        <v>0</v>
      </c>
      <c r="G2302" s="1"/>
      <c r="H2302" s="60">
        <v>2016.53</v>
      </c>
      <c r="I2302" s="228">
        <v>423.47</v>
      </c>
      <c r="J2302" s="229"/>
      <c r="K2302" s="229"/>
      <c r="L2302" s="229">
        <f>SUM(ventas_b_mes11[[#This Row],[IMPORTE NETO]:[EXENTO]])</f>
        <v>2440</v>
      </c>
      <c r="M2302" s="55"/>
    </row>
    <row r="2303" spans="2:13" x14ac:dyDescent="0.3">
      <c r="B2303" s="223">
        <v>44845</v>
      </c>
      <c r="C2303" s="224">
        <v>6</v>
      </c>
      <c r="D2303" s="225">
        <v>10</v>
      </c>
      <c r="E2303" s="226">
        <v>42986</v>
      </c>
      <c r="F2303" s="227">
        <v>12555708</v>
      </c>
      <c r="G2303" s="1" t="s">
        <v>447</v>
      </c>
      <c r="H2303" s="60">
        <v>5041.3100000000004</v>
      </c>
      <c r="I2303" s="228">
        <v>1058.68</v>
      </c>
      <c r="J2303" s="229"/>
      <c r="K2303" s="229"/>
      <c r="L2303" s="229">
        <f>SUM(ventas_b_mes11[[#This Row],[IMPORTE NETO]:[EXENTO]])</f>
        <v>6099.9900000000007</v>
      </c>
      <c r="M2303" s="55"/>
    </row>
    <row r="2304" spans="2:13" x14ac:dyDescent="0.3">
      <c r="B2304" s="223">
        <v>44845</v>
      </c>
      <c r="C2304" s="224">
        <v>6</v>
      </c>
      <c r="D2304" s="225">
        <v>10</v>
      </c>
      <c r="E2304" s="226">
        <v>42987</v>
      </c>
      <c r="F2304" s="227">
        <v>0</v>
      </c>
      <c r="G2304" s="1"/>
      <c r="H2304" s="60">
        <v>2380.17</v>
      </c>
      <c r="I2304" s="228">
        <v>499.83</v>
      </c>
      <c r="J2304" s="229"/>
      <c r="K2304" s="229"/>
      <c r="L2304" s="229">
        <f>SUM(ventas_b_mes11[[#This Row],[IMPORTE NETO]:[EXENTO]])</f>
        <v>2880</v>
      </c>
      <c r="M2304" s="55"/>
    </row>
    <row r="2305" spans="2:13" x14ac:dyDescent="0.3">
      <c r="B2305" s="223">
        <v>44845</v>
      </c>
      <c r="C2305" s="224">
        <v>6</v>
      </c>
      <c r="D2305" s="225">
        <v>10</v>
      </c>
      <c r="E2305" s="226">
        <v>42988</v>
      </c>
      <c r="F2305" s="227">
        <v>0</v>
      </c>
      <c r="G2305" s="1"/>
      <c r="H2305" s="60">
        <v>1305.79</v>
      </c>
      <c r="I2305" s="228">
        <v>274.22000000000003</v>
      </c>
      <c r="J2305" s="229"/>
      <c r="K2305" s="229"/>
      <c r="L2305" s="229">
        <f>SUM(ventas_b_mes11[[#This Row],[IMPORTE NETO]:[EXENTO]])</f>
        <v>1580.01</v>
      </c>
      <c r="M2305" s="55"/>
    </row>
    <row r="2306" spans="2:13" x14ac:dyDescent="0.3">
      <c r="B2306" s="223">
        <v>44845</v>
      </c>
      <c r="C2306" s="224">
        <v>6</v>
      </c>
      <c r="D2306" s="225">
        <v>10</v>
      </c>
      <c r="E2306" s="226">
        <v>42989</v>
      </c>
      <c r="F2306" s="227">
        <v>0</v>
      </c>
      <c r="G2306" s="1"/>
      <c r="H2306" s="60">
        <v>3892.56</v>
      </c>
      <c r="I2306" s="228">
        <v>817.44</v>
      </c>
      <c r="J2306" s="229"/>
      <c r="K2306" s="229"/>
      <c r="L2306" s="229">
        <f>SUM(ventas_b_mes11[[#This Row],[IMPORTE NETO]:[EXENTO]])</f>
        <v>4710</v>
      </c>
      <c r="M2306" s="55"/>
    </row>
    <row r="2307" spans="2:13" x14ac:dyDescent="0.3">
      <c r="B2307" s="223" t="s">
        <v>109</v>
      </c>
      <c r="C2307" s="224">
        <v>6</v>
      </c>
      <c r="D2307" s="225">
        <v>10</v>
      </c>
      <c r="E2307" s="226">
        <v>42990</v>
      </c>
      <c r="F2307" s="227">
        <v>0</v>
      </c>
      <c r="G2307" s="1"/>
      <c r="H2307" s="60">
        <v>2528.9299999999998</v>
      </c>
      <c r="I2307" s="228">
        <v>531.07000000000005</v>
      </c>
      <c r="J2307" s="229"/>
      <c r="K2307" s="229"/>
      <c r="L2307" s="229">
        <f>SUM(ventas_b_mes11[[#This Row],[IMPORTE NETO]:[EXENTO]])</f>
        <v>3060</v>
      </c>
      <c r="M2307" s="55"/>
    </row>
    <row r="2308" spans="2:13" x14ac:dyDescent="0.3">
      <c r="B2308" s="223" t="s">
        <v>109</v>
      </c>
      <c r="C2308" s="224">
        <v>6</v>
      </c>
      <c r="D2308" s="225">
        <v>10</v>
      </c>
      <c r="E2308" s="226">
        <v>42991</v>
      </c>
      <c r="F2308" s="227">
        <v>0</v>
      </c>
      <c r="G2308" s="1"/>
      <c r="H2308" s="60">
        <v>2966.94</v>
      </c>
      <c r="I2308" s="228">
        <v>623.05999999999995</v>
      </c>
      <c r="J2308" s="229"/>
      <c r="K2308" s="229"/>
      <c r="L2308" s="229">
        <f>SUM(ventas_b_mes11[[#This Row],[IMPORTE NETO]:[EXENTO]])</f>
        <v>3590</v>
      </c>
      <c r="M2308" s="55"/>
    </row>
    <row r="2309" spans="2:13" x14ac:dyDescent="0.3">
      <c r="B2309" s="223" t="s">
        <v>109</v>
      </c>
      <c r="C2309" s="224">
        <v>6</v>
      </c>
      <c r="D2309" s="225">
        <v>10</v>
      </c>
      <c r="E2309" s="226">
        <v>42992</v>
      </c>
      <c r="F2309" s="227">
        <v>0</v>
      </c>
      <c r="G2309" s="1"/>
      <c r="H2309" s="60">
        <v>1859.5</v>
      </c>
      <c r="I2309" s="228">
        <v>390.5</v>
      </c>
      <c r="J2309" s="229"/>
      <c r="K2309" s="229"/>
      <c r="L2309" s="229">
        <f>SUM(ventas_b_mes11[[#This Row],[IMPORTE NETO]:[EXENTO]])</f>
        <v>2250</v>
      </c>
      <c r="M2309" s="55"/>
    </row>
    <row r="2310" spans="2:13" x14ac:dyDescent="0.3">
      <c r="B2310" s="223" t="s">
        <v>109</v>
      </c>
      <c r="C2310" s="224">
        <v>6</v>
      </c>
      <c r="D2310" s="225">
        <v>10</v>
      </c>
      <c r="E2310" s="226">
        <v>42993</v>
      </c>
      <c r="F2310" s="227">
        <v>0</v>
      </c>
      <c r="G2310" s="1"/>
      <c r="H2310" s="60">
        <v>3351.25</v>
      </c>
      <c r="I2310" s="228">
        <v>703.76</v>
      </c>
      <c r="J2310" s="229"/>
      <c r="K2310" s="229"/>
      <c r="L2310" s="229">
        <f>SUM(ventas_b_mes11[[#This Row],[IMPORTE NETO]:[EXENTO]])</f>
        <v>4055.01</v>
      </c>
      <c r="M2310" s="55"/>
    </row>
    <row r="2311" spans="2:13" x14ac:dyDescent="0.3">
      <c r="B2311" s="223">
        <v>44845</v>
      </c>
      <c r="C2311" s="224">
        <v>6</v>
      </c>
      <c r="D2311" s="225">
        <v>10</v>
      </c>
      <c r="E2311" s="226">
        <v>42994</v>
      </c>
      <c r="F2311" s="227">
        <v>0</v>
      </c>
      <c r="G2311" s="1"/>
      <c r="H2311" s="60">
        <v>1305.79</v>
      </c>
      <c r="I2311" s="228">
        <v>274.22000000000003</v>
      </c>
      <c r="J2311" s="229"/>
      <c r="K2311" s="229"/>
      <c r="L2311" s="229">
        <f>SUM(ventas_b_mes11[[#This Row],[IMPORTE NETO]:[EXENTO]])</f>
        <v>1580.01</v>
      </c>
      <c r="M2311" s="55"/>
    </row>
    <row r="2312" spans="2:13" x14ac:dyDescent="0.3">
      <c r="B2312" s="223">
        <v>44845</v>
      </c>
      <c r="C2312" s="224">
        <v>6</v>
      </c>
      <c r="D2312" s="225">
        <v>10</v>
      </c>
      <c r="E2312" s="226">
        <v>42995</v>
      </c>
      <c r="F2312" s="227">
        <v>0</v>
      </c>
      <c r="G2312" s="1"/>
      <c r="H2312" s="60">
        <v>1603.31</v>
      </c>
      <c r="I2312" s="228">
        <v>336.7</v>
      </c>
      <c r="J2312" s="229"/>
      <c r="K2312" s="229"/>
      <c r="L2312" s="229">
        <f>SUM(ventas_b_mes11[[#This Row],[IMPORTE NETO]:[EXENTO]])</f>
        <v>1940.01</v>
      </c>
      <c r="M2312" s="55"/>
    </row>
    <row r="2313" spans="2:13" x14ac:dyDescent="0.3">
      <c r="B2313" s="223">
        <v>44845</v>
      </c>
      <c r="C2313" s="224">
        <v>6</v>
      </c>
      <c r="D2313" s="225">
        <v>10</v>
      </c>
      <c r="E2313" s="226">
        <v>42996</v>
      </c>
      <c r="F2313" s="227">
        <v>0</v>
      </c>
      <c r="G2313" s="1"/>
      <c r="H2313" s="60">
        <v>975.21</v>
      </c>
      <c r="I2313" s="228">
        <v>204.79</v>
      </c>
      <c r="J2313" s="229"/>
      <c r="K2313" s="229"/>
      <c r="L2313" s="229">
        <f>SUM(ventas_b_mes11[[#This Row],[IMPORTE NETO]:[EXENTO]])</f>
        <v>1180</v>
      </c>
      <c r="M2313" s="55"/>
    </row>
    <row r="2314" spans="2:13" x14ac:dyDescent="0.3">
      <c r="B2314" s="223">
        <v>44845</v>
      </c>
      <c r="C2314" s="224">
        <v>6</v>
      </c>
      <c r="D2314" s="225">
        <v>10</v>
      </c>
      <c r="E2314" s="226">
        <v>42997</v>
      </c>
      <c r="F2314" s="227">
        <v>0</v>
      </c>
      <c r="G2314" s="1"/>
      <c r="H2314" s="60">
        <v>1371.9</v>
      </c>
      <c r="I2314" s="228">
        <v>288.10000000000002</v>
      </c>
      <c r="J2314" s="229"/>
      <c r="K2314" s="229"/>
      <c r="L2314" s="229">
        <f>SUM(ventas_b_mes11[[#This Row],[IMPORTE NETO]:[EXENTO]])</f>
        <v>1660</v>
      </c>
      <c r="M2314" s="55"/>
    </row>
    <row r="2315" spans="2:13" x14ac:dyDescent="0.3">
      <c r="B2315" s="223">
        <v>44845</v>
      </c>
      <c r="C2315" s="224">
        <v>6</v>
      </c>
      <c r="D2315" s="225">
        <v>10</v>
      </c>
      <c r="E2315" s="226">
        <v>42998</v>
      </c>
      <c r="F2315" s="227">
        <v>31144436</v>
      </c>
      <c r="G2315" s="1" t="s">
        <v>406</v>
      </c>
      <c r="H2315" s="60">
        <v>4380.16</v>
      </c>
      <c r="I2315" s="228">
        <v>919.83</v>
      </c>
      <c r="J2315" s="229"/>
      <c r="K2315" s="229"/>
      <c r="L2315" s="229">
        <f>SUM(ventas_b_mes11[[#This Row],[IMPORTE NETO]:[EXENTO]])</f>
        <v>5299.99</v>
      </c>
      <c r="M2315" s="55"/>
    </row>
    <row r="2316" spans="2:13" x14ac:dyDescent="0.3">
      <c r="B2316" s="223">
        <v>44845</v>
      </c>
      <c r="C2316" s="224">
        <v>6</v>
      </c>
      <c r="D2316" s="225">
        <v>10</v>
      </c>
      <c r="E2316" s="226">
        <v>42999</v>
      </c>
      <c r="F2316" s="227">
        <v>35365050</v>
      </c>
      <c r="G2316" s="1" t="s">
        <v>404</v>
      </c>
      <c r="H2316" s="60">
        <v>5371.9</v>
      </c>
      <c r="I2316" s="228">
        <v>1128.0999999999999</v>
      </c>
      <c r="J2316" s="229"/>
      <c r="K2316" s="229"/>
      <c r="L2316" s="229">
        <f>SUM(ventas_b_mes11[[#This Row],[IMPORTE NETO]:[EXENTO]])</f>
        <v>6500</v>
      </c>
      <c r="M2316" s="55"/>
    </row>
    <row r="2317" spans="2:13" x14ac:dyDescent="0.3">
      <c r="B2317" s="223">
        <v>44845</v>
      </c>
      <c r="C2317" s="224">
        <v>6</v>
      </c>
      <c r="D2317" s="225">
        <v>10</v>
      </c>
      <c r="E2317" s="226">
        <v>43000</v>
      </c>
      <c r="F2317" s="227">
        <v>0</v>
      </c>
      <c r="G2317" s="1"/>
      <c r="H2317" s="60">
        <v>3462.82</v>
      </c>
      <c r="I2317" s="228">
        <v>727.19</v>
      </c>
      <c r="J2317" s="229"/>
      <c r="K2317" s="229"/>
      <c r="L2317" s="229">
        <f>SUM(ventas_b_mes11[[#This Row],[IMPORTE NETO]:[EXENTO]])</f>
        <v>4190.01</v>
      </c>
      <c r="M2317" s="55"/>
    </row>
    <row r="2318" spans="2:13" x14ac:dyDescent="0.3">
      <c r="B2318" s="223">
        <v>44845</v>
      </c>
      <c r="C2318" s="224">
        <v>6</v>
      </c>
      <c r="D2318" s="225">
        <v>10</v>
      </c>
      <c r="E2318" s="226">
        <v>43001</v>
      </c>
      <c r="F2318" s="227">
        <v>19015786</v>
      </c>
      <c r="G2318" s="1" t="s">
        <v>161</v>
      </c>
      <c r="H2318" s="60">
        <v>4942.1499999999996</v>
      </c>
      <c r="I2318" s="228">
        <v>1037.8499999999999</v>
      </c>
      <c r="J2318" s="229"/>
      <c r="K2318" s="229"/>
      <c r="L2318" s="229">
        <f>SUM(ventas_b_mes11[[#This Row],[IMPORTE NETO]:[EXENTO]])</f>
        <v>5980</v>
      </c>
      <c r="M2318" s="55"/>
    </row>
    <row r="2319" spans="2:13" x14ac:dyDescent="0.3">
      <c r="B2319" s="223">
        <v>44845</v>
      </c>
      <c r="C2319" s="224">
        <v>6</v>
      </c>
      <c r="D2319" s="225">
        <v>10</v>
      </c>
      <c r="E2319" s="226">
        <v>43002</v>
      </c>
      <c r="F2319" s="227">
        <v>0</v>
      </c>
      <c r="G2319" s="1"/>
      <c r="H2319" s="60">
        <v>1520.66</v>
      </c>
      <c r="I2319" s="228">
        <v>319.33999999999997</v>
      </c>
      <c r="J2319" s="229"/>
      <c r="K2319" s="229"/>
      <c r="L2319" s="229">
        <f>SUM(ventas_b_mes11[[#This Row],[IMPORTE NETO]:[EXENTO]])</f>
        <v>1840</v>
      </c>
      <c r="M2319" s="55"/>
    </row>
    <row r="2320" spans="2:13" x14ac:dyDescent="0.3">
      <c r="B2320" s="223">
        <v>44845</v>
      </c>
      <c r="C2320" s="224">
        <v>6</v>
      </c>
      <c r="D2320" s="225">
        <v>10</v>
      </c>
      <c r="E2320" s="226">
        <v>43003</v>
      </c>
      <c r="F2320" s="227">
        <v>0</v>
      </c>
      <c r="G2320" s="1"/>
      <c r="H2320" s="60">
        <v>2314.0300000000002</v>
      </c>
      <c r="I2320" s="228">
        <v>485.95</v>
      </c>
      <c r="J2320" s="229"/>
      <c r="K2320" s="229"/>
      <c r="L2320" s="229">
        <f>SUM(ventas_b_mes11[[#This Row],[IMPORTE NETO]:[EXENTO]])</f>
        <v>2799.98</v>
      </c>
      <c r="M2320" s="55"/>
    </row>
    <row r="2321" spans="2:13" x14ac:dyDescent="0.3">
      <c r="B2321" s="223">
        <v>44845</v>
      </c>
      <c r="C2321" s="224">
        <v>6</v>
      </c>
      <c r="D2321" s="225">
        <v>10</v>
      </c>
      <c r="E2321" s="226">
        <v>43004</v>
      </c>
      <c r="F2321" s="227">
        <v>24786421</v>
      </c>
      <c r="G2321" s="1" t="s">
        <v>408</v>
      </c>
      <c r="H2321" s="60">
        <v>6975.21</v>
      </c>
      <c r="I2321" s="228">
        <v>1464.79</v>
      </c>
      <c r="J2321" s="229"/>
      <c r="K2321" s="229"/>
      <c r="L2321" s="229">
        <f>SUM(ventas_b_mes11[[#This Row],[IMPORTE NETO]:[EXENTO]])</f>
        <v>8440</v>
      </c>
      <c r="M2321" s="55"/>
    </row>
    <row r="2322" spans="2:13" x14ac:dyDescent="0.3">
      <c r="B2322" s="223">
        <v>44845</v>
      </c>
      <c r="C2322" s="224">
        <v>6</v>
      </c>
      <c r="D2322" s="225">
        <v>10</v>
      </c>
      <c r="E2322" s="226">
        <v>43005</v>
      </c>
      <c r="F2322" s="227">
        <v>0</v>
      </c>
      <c r="G2322" s="1"/>
      <c r="H2322" s="60">
        <v>694.21</v>
      </c>
      <c r="I2322" s="228">
        <v>145.79</v>
      </c>
      <c r="J2322" s="229"/>
      <c r="K2322" s="229"/>
      <c r="L2322" s="229">
        <f>SUM(ventas_b_mes11[[#This Row],[IMPORTE NETO]:[EXENTO]])</f>
        <v>840</v>
      </c>
      <c r="M2322" s="55"/>
    </row>
    <row r="2323" spans="2:13" x14ac:dyDescent="0.3">
      <c r="B2323" s="223" t="s">
        <v>109</v>
      </c>
      <c r="C2323" s="224">
        <v>6</v>
      </c>
      <c r="D2323" s="225">
        <v>10</v>
      </c>
      <c r="E2323" s="226">
        <v>43006</v>
      </c>
      <c r="F2323" s="227">
        <v>0</v>
      </c>
      <c r="G2323" s="1"/>
      <c r="H2323" s="60">
        <v>876.03</v>
      </c>
      <c r="I2323" s="228">
        <v>183.97</v>
      </c>
      <c r="J2323" s="229"/>
      <c r="K2323" s="229"/>
      <c r="L2323" s="229">
        <f>SUM(ventas_b_mes11[[#This Row],[IMPORTE NETO]:[EXENTO]])</f>
        <v>1060</v>
      </c>
      <c r="M2323" s="55"/>
    </row>
    <row r="2324" spans="2:13" x14ac:dyDescent="0.3">
      <c r="B2324" s="223" t="s">
        <v>109</v>
      </c>
      <c r="C2324" s="224">
        <v>6</v>
      </c>
      <c r="D2324" s="225">
        <v>10</v>
      </c>
      <c r="E2324" s="226">
        <v>43007</v>
      </c>
      <c r="F2324" s="227">
        <v>0</v>
      </c>
      <c r="G2324" s="1"/>
      <c r="H2324" s="60">
        <v>1223.1400000000001</v>
      </c>
      <c r="I2324" s="228">
        <v>256.86</v>
      </c>
      <c r="J2324" s="229"/>
      <c r="K2324" s="229"/>
      <c r="L2324" s="229">
        <f>SUM(ventas_b_mes11[[#This Row],[IMPORTE NETO]:[EXENTO]])</f>
        <v>1480</v>
      </c>
      <c r="M2324" s="55"/>
    </row>
    <row r="2325" spans="2:13" x14ac:dyDescent="0.3">
      <c r="B2325" s="223" t="s">
        <v>109</v>
      </c>
      <c r="C2325" s="224">
        <v>6</v>
      </c>
      <c r="D2325" s="225">
        <v>10</v>
      </c>
      <c r="E2325" s="226">
        <v>43008</v>
      </c>
      <c r="F2325" s="227">
        <v>35401223</v>
      </c>
      <c r="G2325" s="1" t="s">
        <v>576</v>
      </c>
      <c r="H2325" s="60">
        <v>4256.2</v>
      </c>
      <c r="I2325" s="228">
        <v>893.8</v>
      </c>
      <c r="J2325" s="229"/>
      <c r="K2325" s="229"/>
      <c r="L2325" s="229">
        <f>SUM(ventas_b_mes11[[#This Row],[IMPORTE NETO]:[EXENTO]])</f>
        <v>5150</v>
      </c>
      <c r="M2325" s="55"/>
    </row>
    <row r="2326" spans="2:13" x14ac:dyDescent="0.3">
      <c r="B2326" s="223" t="s">
        <v>109</v>
      </c>
      <c r="C2326" s="224">
        <v>6</v>
      </c>
      <c r="D2326" s="225">
        <v>10</v>
      </c>
      <c r="E2326" s="226">
        <v>43009</v>
      </c>
      <c r="F2326" s="227">
        <v>29482348</v>
      </c>
      <c r="G2326" s="1" t="s">
        <v>575</v>
      </c>
      <c r="H2326" s="60">
        <v>4578.51</v>
      </c>
      <c r="I2326" s="228">
        <v>961.49</v>
      </c>
      <c r="J2326" s="229"/>
      <c r="K2326" s="229"/>
      <c r="L2326" s="229">
        <f>SUM(ventas_b_mes11[[#This Row],[IMPORTE NETO]:[EXENTO]])</f>
        <v>5540</v>
      </c>
      <c r="M2326" s="55"/>
    </row>
    <row r="2327" spans="2:13" x14ac:dyDescent="0.3">
      <c r="B2327" s="223" t="s">
        <v>109</v>
      </c>
      <c r="C2327" s="224">
        <v>6</v>
      </c>
      <c r="D2327" s="225">
        <v>10</v>
      </c>
      <c r="E2327" s="226">
        <v>43010</v>
      </c>
      <c r="F2327" s="227">
        <v>0</v>
      </c>
      <c r="G2327" s="1"/>
      <c r="H2327" s="60">
        <v>3347.11</v>
      </c>
      <c r="I2327" s="228">
        <v>702.89</v>
      </c>
      <c r="J2327" s="229"/>
      <c r="K2327" s="229"/>
      <c r="L2327" s="229">
        <f>SUM(ventas_b_mes11[[#This Row],[IMPORTE NETO]:[EXENTO]])</f>
        <v>4050</v>
      </c>
      <c r="M2327" s="55"/>
    </row>
    <row r="2328" spans="2:13" x14ac:dyDescent="0.3">
      <c r="B2328" s="223" t="s">
        <v>109</v>
      </c>
      <c r="C2328" s="224">
        <v>6</v>
      </c>
      <c r="D2328" s="225">
        <v>10</v>
      </c>
      <c r="E2328" s="226">
        <v>43011</v>
      </c>
      <c r="F2328" s="227">
        <v>0</v>
      </c>
      <c r="G2328" s="1"/>
      <c r="H2328" s="60">
        <v>3983.48</v>
      </c>
      <c r="I2328" s="228">
        <v>836.53</v>
      </c>
      <c r="J2328" s="229"/>
      <c r="K2328" s="229"/>
      <c r="L2328" s="229">
        <f>SUM(ventas_b_mes11[[#This Row],[IMPORTE NETO]:[EXENTO]])</f>
        <v>4820.01</v>
      </c>
      <c r="M2328" s="55"/>
    </row>
    <row r="2329" spans="2:13" x14ac:dyDescent="0.3">
      <c r="B2329" s="223" t="s">
        <v>109</v>
      </c>
      <c r="C2329" s="224">
        <v>6</v>
      </c>
      <c r="D2329" s="225">
        <v>10</v>
      </c>
      <c r="E2329" s="226">
        <v>43012</v>
      </c>
      <c r="F2329" s="227">
        <v>0</v>
      </c>
      <c r="G2329" s="1"/>
      <c r="H2329" s="60">
        <v>2057.85</v>
      </c>
      <c r="I2329" s="228">
        <v>432.15</v>
      </c>
      <c r="J2329" s="229"/>
      <c r="K2329" s="229"/>
      <c r="L2329" s="229">
        <f>SUM(ventas_b_mes11[[#This Row],[IMPORTE NETO]:[EXENTO]])</f>
        <v>2490</v>
      </c>
      <c r="M2329" s="55"/>
    </row>
    <row r="2330" spans="2:13" x14ac:dyDescent="0.3">
      <c r="B2330" s="223">
        <v>44845</v>
      </c>
      <c r="C2330" s="224">
        <v>6</v>
      </c>
      <c r="D2330" s="225">
        <v>10</v>
      </c>
      <c r="E2330" s="226">
        <v>43013</v>
      </c>
      <c r="F2330" s="227">
        <v>0</v>
      </c>
      <c r="G2330" s="1"/>
      <c r="H2330" s="60">
        <v>2214.88</v>
      </c>
      <c r="I2330" s="228">
        <v>465.12</v>
      </c>
      <c r="J2330" s="229"/>
      <c r="K2330" s="229"/>
      <c r="L2330" s="229">
        <f>SUM(ventas_b_mes11[[#This Row],[IMPORTE NETO]:[EXENTO]])</f>
        <v>2680</v>
      </c>
      <c r="M2330" s="55"/>
    </row>
    <row r="2331" spans="2:13" x14ac:dyDescent="0.3">
      <c r="B2331" s="223" t="s">
        <v>109</v>
      </c>
      <c r="C2331" s="224">
        <v>6</v>
      </c>
      <c r="D2331" s="225">
        <v>10</v>
      </c>
      <c r="E2331" s="226">
        <v>43014</v>
      </c>
      <c r="F2331" s="227">
        <v>0</v>
      </c>
      <c r="G2331" s="1"/>
      <c r="H2331" s="60">
        <v>1694.21</v>
      </c>
      <c r="I2331" s="228">
        <v>355.79</v>
      </c>
      <c r="J2331" s="229"/>
      <c r="K2331" s="229"/>
      <c r="L2331" s="229">
        <f>SUM(ventas_b_mes11[[#This Row],[IMPORTE NETO]:[EXENTO]])</f>
        <v>2050</v>
      </c>
      <c r="M2331" s="55"/>
    </row>
    <row r="2332" spans="2:13" x14ac:dyDescent="0.3">
      <c r="B2332" s="223" t="s">
        <v>109</v>
      </c>
      <c r="C2332" s="224">
        <v>6</v>
      </c>
      <c r="D2332" s="225">
        <v>10</v>
      </c>
      <c r="E2332" s="226">
        <v>43015</v>
      </c>
      <c r="F2332" s="227">
        <v>25725537</v>
      </c>
      <c r="G2332" s="1" t="s">
        <v>443</v>
      </c>
      <c r="H2332" s="60">
        <v>4132.2299999999996</v>
      </c>
      <c r="I2332" s="228">
        <v>867.77</v>
      </c>
      <c r="J2332" s="229"/>
      <c r="K2332" s="229"/>
      <c r="L2332" s="229">
        <f>SUM(ventas_b_mes11[[#This Row],[IMPORTE NETO]:[EXENTO]])</f>
        <v>5000</v>
      </c>
      <c r="M2332" s="55"/>
    </row>
    <row r="2333" spans="2:13" x14ac:dyDescent="0.3">
      <c r="B2333" s="223" t="s">
        <v>109</v>
      </c>
      <c r="C2333" s="224">
        <v>6</v>
      </c>
      <c r="D2333" s="225">
        <v>10</v>
      </c>
      <c r="E2333" s="226">
        <v>43016</v>
      </c>
      <c r="F2333" s="227">
        <v>29648737</v>
      </c>
      <c r="G2333" s="1" t="s">
        <v>441</v>
      </c>
      <c r="H2333" s="60">
        <v>4132.2299999999996</v>
      </c>
      <c r="I2333" s="228">
        <v>867.77</v>
      </c>
      <c r="J2333" s="229"/>
      <c r="K2333" s="229"/>
      <c r="L2333" s="229">
        <f>SUM(ventas_b_mes11[[#This Row],[IMPORTE NETO]:[EXENTO]])</f>
        <v>5000</v>
      </c>
      <c r="M2333" s="55"/>
    </row>
    <row r="2334" spans="2:13" x14ac:dyDescent="0.3">
      <c r="B2334" s="223" t="s">
        <v>109</v>
      </c>
      <c r="C2334" s="224">
        <v>6</v>
      </c>
      <c r="D2334" s="225">
        <v>10</v>
      </c>
      <c r="E2334" s="226">
        <v>43017</v>
      </c>
      <c r="F2334" s="227">
        <v>0</v>
      </c>
      <c r="G2334" s="1"/>
      <c r="H2334" s="60">
        <v>3801.67</v>
      </c>
      <c r="I2334" s="228">
        <v>798.35</v>
      </c>
      <c r="J2334" s="229"/>
      <c r="K2334" s="229"/>
      <c r="L2334" s="229">
        <f>SUM(ventas_b_mes11[[#This Row],[IMPORTE NETO]:[EXENTO]])</f>
        <v>4600.0200000000004</v>
      </c>
      <c r="M2334" s="55"/>
    </row>
    <row r="2335" spans="2:13" x14ac:dyDescent="0.3">
      <c r="B2335" s="223" t="s">
        <v>109</v>
      </c>
      <c r="C2335" s="224">
        <v>6</v>
      </c>
      <c r="D2335" s="225">
        <v>10</v>
      </c>
      <c r="E2335" s="226">
        <v>43018</v>
      </c>
      <c r="F2335" s="227">
        <v>21942396</v>
      </c>
      <c r="G2335" s="1" t="s">
        <v>414</v>
      </c>
      <c r="H2335" s="60">
        <v>17528.900000000001</v>
      </c>
      <c r="I2335" s="228">
        <v>3681.07</v>
      </c>
      <c r="J2335" s="229"/>
      <c r="K2335" s="229"/>
      <c r="L2335" s="229">
        <f>SUM(ventas_b_mes11[[#This Row],[IMPORTE NETO]:[EXENTO]])</f>
        <v>21209.97</v>
      </c>
      <c r="M2335" s="55"/>
    </row>
    <row r="2336" spans="2:13" x14ac:dyDescent="0.3">
      <c r="B2336" s="223">
        <v>44845</v>
      </c>
      <c r="C2336" s="224">
        <v>6</v>
      </c>
      <c r="D2336" s="225">
        <v>10</v>
      </c>
      <c r="E2336" s="226">
        <v>43019</v>
      </c>
      <c r="F2336" s="227">
        <v>0</v>
      </c>
      <c r="G2336" s="1"/>
      <c r="H2336" s="60">
        <v>1917.36</v>
      </c>
      <c r="I2336" s="228">
        <v>402.64</v>
      </c>
      <c r="J2336" s="229"/>
      <c r="K2336" s="229"/>
      <c r="L2336" s="229">
        <f>SUM(ventas_b_mes11[[#This Row],[IMPORTE NETO]:[EXENTO]])</f>
        <v>2320</v>
      </c>
      <c r="M2336" s="55"/>
    </row>
    <row r="2337" spans="2:13" x14ac:dyDescent="0.3">
      <c r="B2337" s="223">
        <v>44845</v>
      </c>
      <c r="C2337" s="224">
        <v>6</v>
      </c>
      <c r="D2337" s="225">
        <v>10</v>
      </c>
      <c r="E2337" s="226">
        <v>43020</v>
      </c>
      <c r="F2337" s="227">
        <v>0</v>
      </c>
      <c r="G2337" s="1"/>
      <c r="H2337" s="60">
        <v>2842.98</v>
      </c>
      <c r="I2337" s="228">
        <v>597.02</v>
      </c>
      <c r="J2337" s="229"/>
      <c r="K2337" s="229"/>
      <c r="L2337" s="229">
        <f>SUM(ventas_b_mes11[[#This Row],[IMPORTE NETO]:[EXENTO]])</f>
        <v>3440</v>
      </c>
      <c r="M2337" s="55"/>
    </row>
    <row r="2338" spans="2:13" x14ac:dyDescent="0.3">
      <c r="B2338" s="223">
        <v>44845</v>
      </c>
      <c r="C2338" s="224">
        <v>6</v>
      </c>
      <c r="D2338" s="225">
        <v>10</v>
      </c>
      <c r="E2338" s="226">
        <v>43021</v>
      </c>
      <c r="F2338" s="227">
        <v>0</v>
      </c>
      <c r="G2338" s="1"/>
      <c r="H2338" s="60">
        <v>743.8</v>
      </c>
      <c r="I2338" s="228">
        <v>156.19999999999999</v>
      </c>
      <c r="J2338" s="229"/>
      <c r="K2338" s="229"/>
      <c r="L2338" s="229">
        <f>SUM(ventas_b_mes11[[#This Row],[IMPORTE NETO]:[EXENTO]])</f>
        <v>900</v>
      </c>
      <c r="M2338" s="55"/>
    </row>
    <row r="2339" spans="2:13" x14ac:dyDescent="0.3">
      <c r="B2339" s="223">
        <v>44845</v>
      </c>
      <c r="C2339" s="224">
        <v>6</v>
      </c>
      <c r="D2339" s="225">
        <v>10</v>
      </c>
      <c r="E2339" s="226">
        <v>43022</v>
      </c>
      <c r="F2339" s="227">
        <v>21942396</v>
      </c>
      <c r="G2339" s="1" t="s">
        <v>414</v>
      </c>
      <c r="H2339" s="60">
        <v>30347.119999999999</v>
      </c>
      <c r="I2339" s="228">
        <v>6372.9</v>
      </c>
      <c r="J2339" s="229"/>
      <c r="K2339" s="229"/>
      <c r="L2339" s="229">
        <f>SUM(ventas_b_mes11[[#This Row],[IMPORTE NETO]:[EXENTO]])</f>
        <v>36720.019999999997</v>
      </c>
      <c r="M2339" s="55"/>
    </row>
    <row r="2340" spans="2:13" x14ac:dyDescent="0.3">
      <c r="B2340" s="223">
        <v>44845</v>
      </c>
      <c r="C2340" s="224">
        <v>6</v>
      </c>
      <c r="D2340" s="225">
        <v>10</v>
      </c>
      <c r="E2340" s="226">
        <v>43023</v>
      </c>
      <c r="F2340" s="227">
        <v>0</v>
      </c>
      <c r="G2340" s="1"/>
      <c r="H2340" s="60">
        <v>1677.68</v>
      </c>
      <c r="I2340" s="228">
        <v>352.31</v>
      </c>
      <c r="J2340" s="229"/>
      <c r="K2340" s="229"/>
      <c r="L2340" s="229">
        <f>SUM(ventas_b_mes11[[#This Row],[IMPORTE NETO]:[EXENTO]])</f>
        <v>2029.99</v>
      </c>
      <c r="M2340" s="55"/>
    </row>
    <row r="2341" spans="2:13" x14ac:dyDescent="0.3">
      <c r="B2341" s="223">
        <v>44845</v>
      </c>
      <c r="C2341" s="224">
        <v>6</v>
      </c>
      <c r="D2341" s="225">
        <v>10</v>
      </c>
      <c r="E2341" s="226">
        <v>43024</v>
      </c>
      <c r="F2341" s="227">
        <v>21942396</v>
      </c>
      <c r="G2341" s="1" t="s">
        <v>414</v>
      </c>
      <c r="H2341" s="60">
        <v>4991.72</v>
      </c>
      <c r="I2341" s="228">
        <v>1048.26</v>
      </c>
      <c r="J2341" s="229"/>
      <c r="K2341" s="229"/>
      <c r="L2341" s="229">
        <f>SUM(ventas_b_mes11[[#This Row],[IMPORTE NETO]:[EXENTO]])</f>
        <v>6039.9800000000005</v>
      </c>
      <c r="M2341" s="55"/>
    </row>
    <row r="2342" spans="2:13" x14ac:dyDescent="0.3">
      <c r="B2342" s="223">
        <v>44845</v>
      </c>
      <c r="C2342" s="224">
        <v>6</v>
      </c>
      <c r="D2342" s="225">
        <v>10</v>
      </c>
      <c r="E2342" s="226">
        <v>43025</v>
      </c>
      <c r="F2342" s="227">
        <v>23192649</v>
      </c>
      <c r="G2342" s="1" t="s">
        <v>174</v>
      </c>
      <c r="H2342" s="60">
        <v>28561.98</v>
      </c>
      <c r="I2342" s="228">
        <v>5998.02</v>
      </c>
      <c r="J2342" s="229"/>
      <c r="K2342" s="229"/>
      <c r="L2342" s="229">
        <f>SUM(ventas_b_mes11[[#This Row],[IMPORTE NETO]:[EXENTO]])</f>
        <v>34560</v>
      </c>
      <c r="M2342" s="55"/>
    </row>
    <row r="2343" spans="2:13" x14ac:dyDescent="0.3">
      <c r="B2343" s="223">
        <v>44845</v>
      </c>
      <c r="C2343" s="224">
        <v>6</v>
      </c>
      <c r="D2343" s="225">
        <v>10</v>
      </c>
      <c r="E2343" s="226">
        <v>43026</v>
      </c>
      <c r="F2343" s="227">
        <v>18344825</v>
      </c>
      <c r="G2343" s="1" t="s">
        <v>418</v>
      </c>
      <c r="H2343" s="60">
        <v>7950.4</v>
      </c>
      <c r="I2343" s="228">
        <v>1669.59</v>
      </c>
      <c r="J2343" s="229"/>
      <c r="K2343" s="229"/>
      <c r="L2343" s="229">
        <f>SUM(ventas_b_mes11[[#This Row],[IMPORTE NETO]:[EXENTO]])</f>
        <v>9619.99</v>
      </c>
      <c r="M2343" s="55"/>
    </row>
    <row r="2344" spans="2:13" x14ac:dyDescent="0.3">
      <c r="B2344" s="223">
        <v>44845</v>
      </c>
      <c r="C2344" s="224">
        <v>6</v>
      </c>
      <c r="D2344" s="225">
        <v>10</v>
      </c>
      <c r="E2344" s="226">
        <v>43027</v>
      </c>
      <c r="F2344" s="227">
        <v>13078643</v>
      </c>
      <c r="G2344" s="1" t="s">
        <v>416</v>
      </c>
      <c r="H2344" s="60">
        <v>5223.1400000000003</v>
      </c>
      <c r="I2344" s="228">
        <v>1096.8599999999999</v>
      </c>
      <c r="J2344" s="229"/>
      <c r="K2344" s="229"/>
      <c r="L2344" s="229">
        <f>SUM(ventas_b_mes11[[#This Row],[IMPORTE NETO]:[EXENTO]])</f>
        <v>6320</v>
      </c>
      <c r="M2344" s="55"/>
    </row>
    <row r="2345" spans="2:13" x14ac:dyDescent="0.3">
      <c r="B2345" s="223">
        <v>44845</v>
      </c>
      <c r="C2345" s="224">
        <v>6</v>
      </c>
      <c r="D2345" s="225">
        <v>10</v>
      </c>
      <c r="E2345" s="226">
        <v>43028</v>
      </c>
      <c r="F2345" s="227">
        <v>13078643</v>
      </c>
      <c r="G2345" s="1" t="s">
        <v>416</v>
      </c>
      <c r="H2345" s="60">
        <v>49652.93</v>
      </c>
      <c r="I2345" s="228">
        <v>10427.11</v>
      </c>
      <c r="J2345" s="229"/>
      <c r="K2345" s="229"/>
      <c r="L2345" s="229">
        <f>SUM(ventas_b_mes11[[#This Row],[IMPORTE NETO]:[EXENTO]])</f>
        <v>60080.04</v>
      </c>
      <c r="M2345" s="55"/>
    </row>
    <row r="2346" spans="2:13" x14ac:dyDescent="0.3">
      <c r="B2346" s="223">
        <v>44845</v>
      </c>
      <c r="C2346" s="224">
        <v>6</v>
      </c>
      <c r="D2346" s="225">
        <v>10</v>
      </c>
      <c r="E2346" s="226">
        <v>43029</v>
      </c>
      <c r="F2346" s="227">
        <v>30977572</v>
      </c>
      <c r="G2346" s="1" t="s">
        <v>417</v>
      </c>
      <c r="H2346" s="60">
        <v>4710.74</v>
      </c>
      <c r="I2346" s="228">
        <v>989.26</v>
      </c>
      <c r="J2346" s="229"/>
      <c r="K2346" s="229"/>
      <c r="L2346" s="229">
        <f>SUM(ventas_b_mes11[[#This Row],[IMPORTE NETO]:[EXENTO]])</f>
        <v>5700</v>
      </c>
      <c r="M2346" s="55"/>
    </row>
    <row r="2347" spans="2:13" x14ac:dyDescent="0.3">
      <c r="B2347" s="223">
        <v>44845</v>
      </c>
      <c r="C2347" s="224">
        <v>6</v>
      </c>
      <c r="D2347" s="225">
        <v>10</v>
      </c>
      <c r="E2347" s="226">
        <v>43030</v>
      </c>
      <c r="F2347" s="227">
        <v>0</v>
      </c>
      <c r="G2347" s="1"/>
      <c r="H2347" s="60">
        <v>975.21</v>
      </c>
      <c r="I2347" s="228">
        <v>204.79</v>
      </c>
      <c r="J2347" s="229"/>
      <c r="K2347" s="229"/>
      <c r="L2347" s="229">
        <f>SUM(ventas_b_mes11[[#This Row],[IMPORTE NETO]:[EXENTO]])</f>
        <v>1180</v>
      </c>
      <c r="M2347" s="55"/>
    </row>
    <row r="2348" spans="2:13" x14ac:dyDescent="0.3">
      <c r="B2348" s="223">
        <v>44845</v>
      </c>
      <c r="C2348" s="224">
        <v>6</v>
      </c>
      <c r="D2348" s="225">
        <v>10</v>
      </c>
      <c r="E2348" s="226">
        <v>43031</v>
      </c>
      <c r="F2348" s="227">
        <v>0</v>
      </c>
      <c r="G2348" s="1"/>
      <c r="H2348" s="60">
        <v>3884.3</v>
      </c>
      <c r="I2348" s="228">
        <v>815.7</v>
      </c>
      <c r="J2348" s="229"/>
      <c r="K2348" s="229"/>
      <c r="L2348" s="229">
        <f>SUM(ventas_b_mes11[[#This Row],[IMPORTE NETO]:[EXENTO]])</f>
        <v>4700</v>
      </c>
      <c r="M2348" s="55"/>
    </row>
    <row r="2349" spans="2:13" x14ac:dyDescent="0.3">
      <c r="B2349" s="223">
        <v>44845</v>
      </c>
      <c r="C2349" s="224">
        <v>6</v>
      </c>
      <c r="D2349" s="225">
        <v>10</v>
      </c>
      <c r="E2349" s="226">
        <v>43032</v>
      </c>
      <c r="F2349" s="227">
        <v>0</v>
      </c>
      <c r="G2349" s="1"/>
      <c r="H2349" s="60">
        <v>1190.08</v>
      </c>
      <c r="I2349" s="228">
        <v>249.92</v>
      </c>
      <c r="J2349" s="229"/>
      <c r="K2349" s="229"/>
      <c r="L2349" s="229">
        <f>SUM(ventas_b_mes11[[#This Row],[IMPORTE NETO]:[EXENTO]])</f>
        <v>1440</v>
      </c>
      <c r="M2349" s="55"/>
    </row>
    <row r="2350" spans="2:13" x14ac:dyDescent="0.3">
      <c r="B2350" s="223">
        <v>44845</v>
      </c>
      <c r="C2350" s="224">
        <v>6</v>
      </c>
      <c r="D2350" s="225">
        <v>10</v>
      </c>
      <c r="E2350" s="226">
        <v>43033</v>
      </c>
      <c r="F2350" s="227">
        <v>0</v>
      </c>
      <c r="G2350" s="1"/>
      <c r="H2350" s="60">
        <v>3975.21</v>
      </c>
      <c r="I2350" s="228">
        <v>834.79</v>
      </c>
      <c r="J2350" s="229"/>
      <c r="K2350" s="229"/>
      <c r="L2350" s="229">
        <f>SUM(ventas_b_mes11[[#This Row],[IMPORTE NETO]:[EXENTO]])</f>
        <v>4810</v>
      </c>
      <c r="M2350" s="55"/>
    </row>
    <row r="2351" spans="2:13" x14ac:dyDescent="0.3">
      <c r="B2351" s="223">
        <v>44845</v>
      </c>
      <c r="C2351" s="224">
        <v>6</v>
      </c>
      <c r="D2351" s="225">
        <v>10</v>
      </c>
      <c r="E2351" s="226">
        <v>43034</v>
      </c>
      <c r="F2351" s="227">
        <v>0</v>
      </c>
      <c r="G2351" s="1"/>
      <c r="H2351" s="60">
        <v>2933.88</v>
      </c>
      <c r="I2351" s="228">
        <v>616.12</v>
      </c>
      <c r="J2351" s="229"/>
      <c r="K2351" s="229"/>
      <c r="L2351" s="229">
        <f>SUM(ventas_b_mes11[[#This Row],[IMPORTE NETO]:[EXENTO]])</f>
        <v>3550</v>
      </c>
      <c r="M2351" s="55"/>
    </row>
    <row r="2352" spans="2:13" x14ac:dyDescent="0.3">
      <c r="B2352" s="223">
        <v>44845</v>
      </c>
      <c r="C2352" s="224">
        <v>6</v>
      </c>
      <c r="D2352" s="225">
        <v>10</v>
      </c>
      <c r="E2352" s="226">
        <v>43035</v>
      </c>
      <c r="F2352" s="227">
        <v>0</v>
      </c>
      <c r="G2352" s="1"/>
      <c r="H2352" s="60">
        <v>1487.6</v>
      </c>
      <c r="I2352" s="228">
        <v>312.39999999999998</v>
      </c>
      <c r="J2352" s="229"/>
      <c r="K2352" s="229"/>
      <c r="L2352" s="229">
        <f>SUM(ventas_b_mes11[[#This Row],[IMPORTE NETO]:[EXENTO]])</f>
        <v>1800</v>
      </c>
      <c r="M2352" s="55"/>
    </row>
    <row r="2353" spans="2:13" x14ac:dyDescent="0.3">
      <c r="B2353" s="223">
        <v>44845</v>
      </c>
      <c r="C2353" s="224">
        <v>6</v>
      </c>
      <c r="D2353" s="225">
        <v>10</v>
      </c>
      <c r="E2353" s="226">
        <v>43036</v>
      </c>
      <c r="F2353" s="227">
        <v>35495981</v>
      </c>
      <c r="G2353" s="1" t="s">
        <v>432</v>
      </c>
      <c r="H2353" s="60">
        <v>11826.43</v>
      </c>
      <c r="I2353" s="228">
        <v>2483.5500000000002</v>
      </c>
      <c r="J2353" s="229"/>
      <c r="K2353" s="229"/>
      <c r="L2353" s="229">
        <f>SUM(ventas_b_mes11[[#This Row],[IMPORTE NETO]:[EXENTO]])</f>
        <v>14309.98</v>
      </c>
      <c r="M2353" s="55"/>
    </row>
    <row r="2354" spans="2:13" x14ac:dyDescent="0.3">
      <c r="B2354" s="223">
        <v>44845</v>
      </c>
      <c r="C2354" s="224">
        <v>6</v>
      </c>
      <c r="D2354" s="225">
        <v>10</v>
      </c>
      <c r="E2354" s="226">
        <v>43037</v>
      </c>
      <c r="F2354" s="227">
        <v>13827304</v>
      </c>
      <c r="G2354" s="1" t="s">
        <v>434</v>
      </c>
      <c r="H2354" s="60">
        <v>5471.07</v>
      </c>
      <c r="I2354" s="228">
        <v>1148.93</v>
      </c>
      <c r="J2354" s="229"/>
      <c r="K2354" s="229"/>
      <c r="L2354" s="229">
        <f>SUM(ventas_b_mes11[[#This Row],[IMPORTE NETO]:[EXENTO]])</f>
        <v>6620</v>
      </c>
      <c r="M2354" s="55"/>
    </row>
    <row r="2355" spans="2:13" x14ac:dyDescent="0.3">
      <c r="B2355" s="223" t="s">
        <v>109</v>
      </c>
      <c r="C2355" s="224">
        <v>6</v>
      </c>
      <c r="D2355" s="225">
        <v>10</v>
      </c>
      <c r="E2355" s="226">
        <v>43038</v>
      </c>
      <c r="F2355" s="227">
        <v>0</v>
      </c>
      <c r="G2355" s="1"/>
      <c r="H2355" s="60">
        <v>3933.88</v>
      </c>
      <c r="I2355" s="228">
        <v>826.12</v>
      </c>
      <c r="J2355" s="229"/>
      <c r="K2355" s="229"/>
      <c r="L2355" s="229">
        <f>SUM(ventas_b_mes11[[#This Row],[IMPORTE NETO]:[EXENTO]])</f>
        <v>4760</v>
      </c>
      <c r="M2355" s="55"/>
    </row>
    <row r="2356" spans="2:13" x14ac:dyDescent="0.3">
      <c r="B2356" s="223" t="s">
        <v>109</v>
      </c>
      <c r="C2356" s="224">
        <v>6</v>
      </c>
      <c r="D2356" s="225">
        <v>10</v>
      </c>
      <c r="E2356" s="226">
        <v>43039</v>
      </c>
      <c r="F2356" s="227">
        <v>11389944</v>
      </c>
      <c r="G2356" s="1" t="s">
        <v>438</v>
      </c>
      <c r="H2356" s="60">
        <v>14909.1</v>
      </c>
      <c r="I2356" s="228">
        <v>3130.91</v>
      </c>
      <c r="J2356" s="229"/>
      <c r="K2356" s="229"/>
      <c r="L2356" s="229">
        <f>SUM(ventas_b_mes11[[#This Row],[IMPORTE NETO]:[EXENTO]])</f>
        <v>18040.010000000002</v>
      </c>
      <c r="M2356" s="55"/>
    </row>
    <row r="2357" spans="2:13" x14ac:dyDescent="0.3">
      <c r="B2357" s="223" t="s">
        <v>109</v>
      </c>
      <c r="C2357" s="224">
        <v>6</v>
      </c>
      <c r="D2357" s="225">
        <v>10</v>
      </c>
      <c r="E2357" s="226">
        <v>43040</v>
      </c>
      <c r="F2357" s="227">
        <v>18398933</v>
      </c>
      <c r="G2357" s="1"/>
      <c r="H2357" s="60">
        <v>9783.5499999999993</v>
      </c>
      <c r="I2357" s="228">
        <v>2054.5500000000002</v>
      </c>
      <c r="J2357" s="229"/>
      <c r="K2357" s="229"/>
      <c r="L2357" s="229">
        <f>SUM(ventas_b_mes11[[#This Row],[IMPORTE NETO]:[EXENTO]])</f>
        <v>11838.099999999999</v>
      </c>
      <c r="M2357" s="55"/>
    </row>
    <row r="2358" spans="2:13" x14ac:dyDescent="0.3">
      <c r="B2358" s="223" t="s">
        <v>109</v>
      </c>
      <c r="C2358" s="224">
        <v>6</v>
      </c>
      <c r="D2358" s="225">
        <v>10</v>
      </c>
      <c r="E2358" s="226">
        <v>43041</v>
      </c>
      <c r="F2358" s="227">
        <v>18398933</v>
      </c>
      <c r="G2358" s="1"/>
      <c r="H2358" s="60">
        <v>10859.47</v>
      </c>
      <c r="I2358" s="228">
        <v>2280.4899999999998</v>
      </c>
      <c r="J2358" s="229"/>
      <c r="K2358" s="229"/>
      <c r="L2358" s="229">
        <f>SUM(ventas_b_mes11[[#This Row],[IMPORTE NETO]:[EXENTO]])</f>
        <v>13139.96</v>
      </c>
      <c r="M2358" s="55"/>
    </row>
    <row r="2359" spans="2:13" x14ac:dyDescent="0.3">
      <c r="B2359" s="223" t="s">
        <v>109</v>
      </c>
      <c r="C2359" s="224">
        <v>6</v>
      </c>
      <c r="D2359" s="225">
        <v>10</v>
      </c>
      <c r="E2359" s="226">
        <v>43042</v>
      </c>
      <c r="F2359" s="227">
        <v>36138617</v>
      </c>
      <c r="G2359" s="1" t="s">
        <v>439</v>
      </c>
      <c r="H2359" s="60">
        <v>4818.1899999999996</v>
      </c>
      <c r="I2359" s="228">
        <v>1011.82</v>
      </c>
      <c r="J2359" s="229"/>
      <c r="K2359" s="229"/>
      <c r="L2359" s="229">
        <f>SUM(ventas_b_mes11[[#This Row],[IMPORTE NETO]:[EXENTO]])</f>
        <v>5830.0099999999993</v>
      </c>
      <c r="M2359" s="55"/>
    </row>
    <row r="2360" spans="2:13" x14ac:dyDescent="0.3">
      <c r="B2360" s="223">
        <v>44845</v>
      </c>
      <c r="C2360" s="224">
        <v>6</v>
      </c>
      <c r="D2360" s="225">
        <v>10</v>
      </c>
      <c r="E2360" s="226">
        <v>43043</v>
      </c>
      <c r="F2360" s="227">
        <v>18775306</v>
      </c>
      <c r="G2360" s="1" t="s">
        <v>403</v>
      </c>
      <c r="H2360" s="60">
        <v>12305.79</v>
      </c>
      <c r="I2360" s="228">
        <v>2584.21</v>
      </c>
      <c r="J2360" s="229"/>
      <c r="K2360" s="229"/>
      <c r="L2360" s="229">
        <f>SUM(ventas_b_mes11[[#This Row],[IMPORTE NETO]:[EXENTO]])</f>
        <v>14890</v>
      </c>
      <c r="M2360" s="55"/>
    </row>
    <row r="2361" spans="2:13" x14ac:dyDescent="0.3">
      <c r="B2361" s="223">
        <v>44845</v>
      </c>
      <c r="C2361" s="224">
        <v>6</v>
      </c>
      <c r="D2361" s="225">
        <v>10</v>
      </c>
      <c r="E2361" s="226">
        <v>43044</v>
      </c>
      <c r="F2361" s="227">
        <v>18775306</v>
      </c>
      <c r="G2361" s="1" t="s">
        <v>403</v>
      </c>
      <c r="H2361" s="60">
        <v>18892.580000000002</v>
      </c>
      <c r="I2361" s="228">
        <v>3967.44</v>
      </c>
      <c r="J2361" s="229"/>
      <c r="K2361" s="229"/>
      <c r="L2361" s="229">
        <f>SUM(ventas_b_mes11[[#This Row],[IMPORTE NETO]:[EXENTO]])</f>
        <v>22860.02</v>
      </c>
      <c r="M2361" s="55"/>
    </row>
    <row r="2362" spans="2:13" x14ac:dyDescent="0.3">
      <c r="B2362" s="223">
        <v>44845</v>
      </c>
      <c r="C2362" s="224">
        <v>6</v>
      </c>
      <c r="D2362" s="225">
        <v>10</v>
      </c>
      <c r="E2362" s="226">
        <v>43045</v>
      </c>
      <c r="F2362" s="227">
        <v>1788533</v>
      </c>
      <c r="G2362" s="1"/>
      <c r="H2362" s="60">
        <v>15710.74</v>
      </c>
      <c r="I2362" s="228">
        <v>3299.26</v>
      </c>
      <c r="J2362" s="229"/>
      <c r="K2362" s="229"/>
      <c r="L2362" s="229">
        <f>SUM(ventas_b_mes11[[#This Row],[IMPORTE NETO]:[EXENTO]])</f>
        <v>19010</v>
      </c>
      <c r="M2362" s="55"/>
    </row>
    <row r="2363" spans="2:13" x14ac:dyDescent="0.3">
      <c r="B2363" s="223">
        <v>44845</v>
      </c>
      <c r="C2363" s="224">
        <v>6</v>
      </c>
      <c r="D2363" s="225">
        <v>10</v>
      </c>
      <c r="E2363" s="226">
        <v>43046</v>
      </c>
      <c r="F2363" s="227">
        <v>0</v>
      </c>
      <c r="G2363" s="1"/>
      <c r="H2363" s="60">
        <v>834.71</v>
      </c>
      <c r="I2363" s="228">
        <v>175.29</v>
      </c>
      <c r="J2363" s="229"/>
      <c r="K2363" s="229"/>
      <c r="L2363" s="229">
        <f>SUM(ventas_b_mes11[[#This Row],[IMPORTE NETO]:[EXENTO]])</f>
        <v>1010</v>
      </c>
      <c r="M2363" s="55"/>
    </row>
    <row r="2364" spans="2:13" x14ac:dyDescent="0.3">
      <c r="B2364" s="223">
        <v>44845</v>
      </c>
      <c r="C2364" s="224">
        <v>6</v>
      </c>
      <c r="D2364" s="225">
        <v>10</v>
      </c>
      <c r="E2364" s="226">
        <v>43047</v>
      </c>
      <c r="F2364" s="227">
        <v>0</v>
      </c>
      <c r="G2364" s="1"/>
      <c r="H2364" s="60">
        <v>3198.34</v>
      </c>
      <c r="I2364" s="228">
        <v>671.65</v>
      </c>
      <c r="J2364" s="229"/>
      <c r="K2364" s="229"/>
      <c r="L2364" s="229">
        <f>SUM(ventas_b_mes11[[#This Row],[IMPORTE NETO]:[EXENTO]])</f>
        <v>3869.9900000000002</v>
      </c>
      <c r="M2364" s="55"/>
    </row>
    <row r="2365" spans="2:13" x14ac:dyDescent="0.3">
      <c r="B2365" s="223">
        <v>44845</v>
      </c>
      <c r="C2365" s="224">
        <v>6</v>
      </c>
      <c r="D2365" s="225">
        <v>10</v>
      </c>
      <c r="E2365" s="226">
        <v>43048</v>
      </c>
      <c r="F2365" s="227">
        <v>0</v>
      </c>
      <c r="G2365" s="1"/>
      <c r="H2365" s="60">
        <v>3644.62</v>
      </c>
      <c r="I2365" s="228">
        <v>765.37</v>
      </c>
      <c r="J2365" s="229"/>
      <c r="K2365" s="229"/>
      <c r="L2365" s="229">
        <f>SUM(ventas_b_mes11[[#This Row],[IMPORTE NETO]:[EXENTO]])</f>
        <v>4409.99</v>
      </c>
      <c r="M2365" s="55"/>
    </row>
    <row r="2366" spans="2:13" x14ac:dyDescent="0.3">
      <c r="B2366" s="223">
        <v>44845</v>
      </c>
      <c r="C2366" s="224">
        <v>6</v>
      </c>
      <c r="D2366" s="225">
        <v>10</v>
      </c>
      <c r="E2366" s="226">
        <v>43049</v>
      </c>
      <c r="F2366" s="227">
        <v>0</v>
      </c>
      <c r="G2366" s="1"/>
      <c r="H2366" s="60">
        <v>3454.54</v>
      </c>
      <c r="I2366" s="228">
        <v>725.45</v>
      </c>
      <c r="J2366" s="229"/>
      <c r="K2366" s="229"/>
      <c r="L2366" s="229">
        <f>SUM(ventas_b_mes11[[#This Row],[IMPORTE NETO]:[EXENTO]])</f>
        <v>4179.99</v>
      </c>
      <c r="M2366" s="55"/>
    </row>
    <row r="2367" spans="2:13" x14ac:dyDescent="0.3">
      <c r="B2367" s="223">
        <v>44845</v>
      </c>
      <c r="C2367" s="224">
        <v>6</v>
      </c>
      <c r="D2367" s="225">
        <v>10</v>
      </c>
      <c r="E2367" s="226">
        <v>43050</v>
      </c>
      <c r="F2367" s="227">
        <v>39272348</v>
      </c>
      <c r="G2367" s="1" t="s">
        <v>407</v>
      </c>
      <c r="H2367" s="60">
        <v>4578.51</v>
      </c>
      <c r="I2367" s="228">
        <v>961.49</v>
      </c>
      <c r="J2367" s="229"/>
      <c r="K2367" s="229"/>
      <c r="L2367" s="229">
        <f>SUM(ventas_b_mes11[[#This Row],[IMPORTE NETO]:[EXENTO]])</f>
        <v>5540</v>
      </c>
      <c r="M2367" s="55"/>
    </row>
    <row r="2368" spans="2:13" x14ac:dyDescent="0.3">
      <c r="B2368" s="223">
        <v>44845</v>
      </c>
      <c r="C2368" s="224">
        <v>6</v>
      </c>
      <c r="D2368" s="225">
        <v>10</v>
      </c>
      <c r="E2368" s="226">
        <v>43051</v>
      </c>
      <c r="F2368" s="227">
        <v>0</v>
      </c>
      <c r="G2368" s="1"/>
      <c r="H2368" s="60">
        <v>2570.2399999999998</v>
      </c>
      <c r="I2368" s="228">
        <v>539.75</v>
      </c>
      <c r="J2368" s="229"/>
      <c r="K2368" s="229"/>
      <c r="L2368" s="229">
        <f>SUM(ventas_b_mes11[[#This Row],[IMPORTE NETO]:[EXENTO]])</f>
        <v>3109.99</v>
      </c>
      <c r="M2368" s="55"/>
    </row>
    <row r="2369" spans="2:13" x14ac:dyDescent="0.3">
      <c r="B2369" s="223">
        <v>44845</v>
      </c>
      <c r="C2369" s="224">
        <v>6</v>
      </c>
      <c r="D2369" s="225">
        <v>10</v>
      </c>
      <c r="E2369" s="226">
        <v>43052</v>
      </c>
      <c r="F2369" s="227">
        <v>0</v>
      </c>
      <c r="G2369" s="1"/>
      <c r="H2369" s="60">
        <v>487.6</v>
      </c>
      <c r="I2369" s="228">
        <v>102.4</v>
      </c>
      <c r="J2369" s="229"/>
      <c r="K2369" s="229"/>
      <c r="L2369" s="229">
        <f>SUM(ventas_b_mes11[[#This Row],[IMPORTE NETO]:[EXENTO]])</f>
        <v>590</v>
      </c>
      <c r="M2369" s="55"/>
    </row>
    <row r="2370" spans="2:13" x14ac:dyDescent="0.3">
      <c r="B2370" s="223">
        <v>44845</v>
      </c>
      <c r="C2370" s="224">
        <v>6</v>
      </c>
      <c r="D2370" s="225">
        <v>10</v>
      </c>
      <c r="E2370" s="226">
        <v>43053</v>
      </c>
      <c r="F2370" s="227">
        <v>0</v>
      </c>
      <c r="G2370" s="1"/>
      <c r="H2370" s="60">
        <v>2082.64</v>
      </c>
      <c r="I2370" s="228">
        <v>437.35</v>
      </c>
      <c r="J2370" s="229"/>
      <c r="K2370" s="229"/>
      <c r="L2370" s="229">
        <f>SUM(ventas_b_mes11[[#This Row],[IMPORTE NETO]:[EXENTO]])</f>
        <v>2519.9899999999998</v>
      </c>
      <c r="M2370" s="55"/>
    </row>
    <row r="2371" spans="2:13" x14ac:dyDescent="0.3">
      <c r="B2371" s="223" t="s">
        <v>109</v>
      </c>
      <c r="C2371" s="224">
        <v>6</v>
      </c>
      <c r="D2371" s="225">
        <v>10</v>
      </c>
      <c r="E2371" s="226">
        <v>43054</v>
      </c>
      <c r="F2371" s="227">
        <v>0</v>
      </c>
      <c r="G2371" s="1"/>
      <c r="H2371" s="60">
        <v>1008.26</v>
      </c>
      <c r="I2371" s="228">
        <v>211.73</v>
      </c>
      <c r="J2371" s="229"/>
      <c r="K2371" s="229"/>
      <c r="L2371" s="229">
        <f>SUM(ventas_b_mes11[[#This Row],[IMPORTE NETO]:[EXENTO]])</f>
        <v>1219.99</v>
      </c>
      <c r="M2371" s="55"/>
    </row>
    <row r="2372" spans="2:13" x14ac:dyDescent="0.3">
      <c r="B2372" s="223" t="s">
        <v>109</v>
      </c>
      <c r="C2372" s="224">
        <v>6</v>
      </c>
      <c r="D2372" s="225">
        <v>10</v>
      </c>
      <c r="E2372" s="226">
        <v>43055</v>
      </c>
      <c r="F2372" s="227">
        <v>0</v>
      </c>
      <c r="G2372" s="1"/>
      <c r="H2372" s="60">
        <v>1223.1400000000001</v>
      </c>
      <c r="I2372" s="228">
        <v>256.86</v>
      </c>
      <c r="J2372" s="229"/>
      <c r="K2372" s="229"/>
      <c r="L2372" s="229">
        <f>SUM(ventas_b_mes11[[#This Row],[IMPORTE NETO]:[EXENTO]])</f>
        <v>1480</v>
      </c>
      <c r="M2372" s="55"/>
    </row>
    <row r="2373" spans="2:13" x14ac:dyDescent="0.3">
      <c r="B2373" s="223">
        <v>44845</v>
      </c>
      <c r="C2373" s="224">
        <v>6</v>
      </c>
      <c r="D2373" s="225">
        <v>10</v>
      </c>
      <c r="E2373" s="226">
        <v>43056</v>
      </c>
      <c r="F2373" s="227">
        <v>0</v>
      </c>
      <c r="G2373" s="1"/>
      <c r="H2373" s="60">
        <v>1966.94</v>
      </c>
      <c r="I2373" s="228">
        <v>413.06</v>
      </c>
      <c r="J2373" s="229"/>
      <c r="K2373" s="229"/>
      <c r="L2373" s="229">
        <f>SUM(ventas_b_mes11[[#This Row],[IMPORTE NETO]:[EXENTO]])</f>
        <v>2380</v>
      </c>
      <c r="M2373" s="55"/>
    </row>
    <row r="2374" spans="2:13" x14ac:dyDescent="0.3">
      <c r="B2374" s="223">
        <v>44845</v>
      </c>
      <c r="C2374" s="224">
        <v>6</v>
      </c>
      <c r="D2374" s="225">
        <v>10</v>
      </c>
      <c r="E2374" s="226">
        <v>43057</v>
      </c>
      <c r="F2374" s="227">
        <v>0</v>
      </c>
      <c r="G2374" s="1"/>
      <c r="H2374" s="60">
        <v>2165.3000000000002</v>
      </c>
      <c r="I2374" s="228">
        <v>454.71</v>
      </c>
      <c r="J2374" s="229"/>
      <c r="K2374" s="229"/>
      <c r="L2374" s="229">
        <f>SUM(ventas_b_mes11[[#This Row],[IMPORTE NETO]:[EXENTO]])</f>
        <v>2620.0100000000002</v>
      </c>
      <c r="M2374" s="55"/>
    </row>
    <row r="2375" spans="2:13" x14ac:dyDescent="0.3">
      <c r="B2375" s="223">
        <v>44845</v>
      </c>
      <c r="C2375" s="224">
        <v>6</v>
      </c>
      <c r="D2375" s="225">
        <v>10</v>
      </c>
      <c r="E2375" s="226">
        <v>43058</v>
      </c>
      <c r="F2375" s="227">
        <v>0</v>
      </c>
      <c r="G2375" s="1"/>
      <c r="H2375" s="60">
        <v>776.86</v>
      </c>
      <c r="I2375" s="228">
        <v>163.13999999999999</v>
      </c>
      <c r="J2375" s="229"/>
      <c r="K2375" s="229"/>
      <c r="L2375" s="229">
        <f>SUM(ventas_b_mes11[[#This Row],[IMPORTE NETO]:[EXENTO]])</f>
        <v>940</v>
      </c>
      <c r="M2375" s="55"/>
    </row>
    <row r="2376" spans="2:13" x14ac:dyDescent="0.3">
      <c r="B2376" s="223">
        <v>44845</v>
      </c>
      <c r="C2376" s="224">
        <v>6</v>
      </c>
      <c r="D2376" s="225">
        <v>10</v>
      </c>
      <c r="E2376" s="226">
        <v>43059</v>
      </c>
      <c r="F2376" s="227">
        <v>20025881</v>
      </c>
      <c r="G2376" s="1" t="s">
        <v>415</v>
      </c>
      <c r="H2376" s="60">
        <v>14024.78</v>
      </c>
      <c r="I2376" s="228">
        <v>2945.2</v>
      </c>
      <c r="J2376" s="229"/>
      <c r="K2376" s="229"/>
      <c r="L2376" s="229">
        <f>SUM(ventas_b_mes11[[#This Row],[IMPORTE NETO]:[EXENTO]])</f>
        <v>16969.98</v>
      </c>
      <c r="M2376" s="55"/>
    </row>
    <row r="2377" spans="2:13" x14ac:dyDescent="0.3">
      <c r="B2377" s="223">
        <v>44845</v>
      </c>
      <c r="C2377" s="224">
        <v>6</v>
      </c>
      <c r="D2377" s="225">
        <v>10</v>
      </c>
      <c r="E2377" s="226">
        <v>43060</v>
      </c>
      <c r="F2377" s="227">
        <v>20025881</v>
      </c>
      <c r="G2377" s="1" t="s">
        <v>415</v>
      </c>
      <c r="H2377" s="60">
        <v>5272.72</v>
      </c>
      <c r="I2377" s="228">
        <v>1107.27</v>
      </c>
      <c r="J2377" s="229"/>
      <c r="K2377" s="229"/>
      <c r="L2377" s="229">
        <f>SUM(ventas_b_mes11[[#This Row],[IMPORTE NETO]:[EXENTO]])</f>
        <v>6379.99</v>
      </c>
      <c r="M2377" s="55"/>
    </row>
    <row r="2378" spans="2:13" x14ac:dyDescent="0.3">
      <c r="B2378" s="223">
        <v>44845</v>
      </c>
      <c r="C2378" s="224">
        <v>6</v>
      </c>
      <c r="D2378" s="225">
        <v>10</v>
      </c>
      <c r="E2378" s="226">
        <v>43061</v>
      </c>
      <c r="F2378" s="227">
        <v>93614580</v>
      </c>
      <c r="G2378" s="1" t="s">
        <v>148</v>
      </c>
      <c r="H2378" s="60">
        <v>4702.47</v>
      </c>
      <c r="I2378" s="228">
        <v>987.52</v>
      </c>
      <c r="J2378" s="229"/>
      <c r="K2378" s="229"/>
      <c r="L2378" s="229">
        <f>SUM(ventas_b_mes11[[#This Row],[IMPORTE NETO]:[EXENTO]])</f>
        <v>5689.99</v>
      </c>
      <c r="M2378" s="55"/>
    </row>
    <row r="2379" spans="2:13" x14ac:dyDescent="0.3">
      <c r="B2379" s="223">
        <v>44845</v>
      </c>
      <c r="C2379" s="224">
        <v>6</v>
      </c>
      <c r="D2379" s="225">
        <v>10</v>
      </c>
      <c r="E2379" s="226">
        <v>43062</v>
      </c>
      <c r="F2379" s="227">
        <v>0</v>
      </c>
      <c r="G2379" s="1"/>
      <c r="H2379" s="60">
        <v>4090.92</v>
      </c>
      <c r="I2379" s="228">
        <v>859.09</v>
      </c>
      <c r="J2379" s="229"/>
      <c r="K2379" s="229"/>
      <c r="L2379" s="229">
        <f>SUM(ventas_b_mes11[[#This Row],[IMPORTE NETO]:[EXENTO]])</f>
        <v>4950.01</v>
      </c>
      <c r="M2379" s="55"/>
    </row>
    <row r="2380" spans="2:13" x14ac:dyDescent="0.3">
      <c r="B2380" s="223" t="s">
        <v>109</v>
      </c>
      <c r="C2380" s="224">
        <v>6</v>
      </c>
      <c r="D2380" s="225">
        <v>10</v>
      </c>
      <c r="E2380" s="226">
        <v>43063</v>
      </c>
      <c r="F2380" s="227">
        <v>12932076</v>
      </c>
      <c r="G2380" s="1" t="s">
        <v>582</v>
      </c>
      <c r="H2380" s="60">
        <v>14983.48</v>
      </c>
      <c r="I2380" s="228">
        <v>3146.53</v>
      </c>
      <c r="J2380" s="229"/>
      <c r="K2380" s="229"/>
      <c r="L2380" s="229">
        <f>SUM(ventas_b_mes11[[#This Row],[IMPORTE NETO]:[EXENTO]])</f>
        <v>18130.009999999998</v>
      </c>
      <c r="M2380" s="55"/>
    </row>
    <row r="2381" spans="2:13" x14ac:dyDescent="0.3">
      <c r="B2381" s="223">
        <v>44845</v>
      </c>
      <c r="C2381" s="224">
        <v>6</v>
      </c>
      <c r="D2381" s="225">
        <v>10</v>
      </c>
      <c r="E2381" s="226">
        <v>43064</v>
      </c>
      <c r="F2381" s="227">
        <v>18113861</v>
      </c>
      <c r="G2381" s="1"/>
      <c r="H2381" s="60">
        <v>10082.66</v>
      </c>
      <c r="I2381" s="228">
        <v>2117.36</v>
      </c>
      <c r="J2381" s="229"/>
      <c r="K2381" s="229"/>
      <c r="L2381" s="229">
        <f>SUM(ventas_b_mes11[[#This Row],[IMPORTE NETO]:[EXENTO]])</f>
        <v>12200.02</v>
      </c>
      <c r="M2381" s="55"/>
    </row>
    <row r="2382" spans="2:13" x14ac:dyDescent="0.3">
      <c r="B2382" s="223" t="s">
        <v>109</v>
      </c>
      <c r="C2382" s="224">
        <v>6</v>
      </c>
      <c r="D2382" s="225">
        <v>10</v>
      </c>
      <c r="E2382" s="226">
        <v>43065</v>
      </c>
      <c r="F2382" s="227">
        <v>0</v>
      </c>
      <c r="G2382" s="1"/>
      <c r="H2382" s="60">
        <v>1636.36</v>
      </c>
      <c r="I2382" s="228">
        <v>343.64</v>
      </c>
      <c r="J2382" s="229"/>
      <c r="K2382" s="229"/>
      <c r="L2382" s="229">
        <f>SUM(ventas_b_mes11[[#This Row],[IMPORTE NETO]:[EXENTO]])</f>
        <v>1980</v>
      </c>
      <c r="M2382" s="55"/>
    </row>
    <row r="2383" spans="2:13" x14ac:dyDescent="0.3">
      <c r="B2383" s="223">
        <v>44845</v>
      </c>
      <c r="C2383" s="224">
        <v>6</v>
      </c>
      <c r="D2383" s="225">
        <v>10</v>
      </c>
      <c r="E2383" s="226">
        <v>43066</v>
      </c>
      <c r="F2383" s="227">
        <v>25915330</v>
      </c>
      <c r="G2383" s="1" t="s">
        <v>585</v>
      </c>
      <c r="H2383" s="60">
        <v>12061.98</v>
      </c>
      <c r="I2383" s="228">
        <v>2533.02</v>
      </c>
      <c r="J2383" s="229"/>
      <c r="K2383" s="229"/>
      <c r="L2383" s="229">
        <f>SUM(ventas_b_mes11[[#This Row],[IMPORTE NETO]:[EXENTO]])</f>
        <v>14595</v>
      </c>
      <c r="M2383" s="55"/>
    </row>
    <row r="2384" spans="2:13" x14ac:dyDescent="0.3">
      <c r="B2384" s="223" t="s">
        <v>109</v>
      </c>
      <c r="C2384" s="224">
        <v>6</v>
      </c>
      <c r="D2384" s="225">
        <v>10</v>
      </c>
      <c r="E2384" s="226">
        <v>43067</v>
      </c>
      <c r="F2384" s="227">
        <v>20132331090</v>
      </c>
      <c r="G2384" s="1" t="s">
        <v>460</v>
      </c>
      <c r="H2384" s="60">
        <v>14157</v>
      </c>
      <c r="I2384" s="228">
        <v>2972.97</v>
      </c>
      <c r="J2384" s="229"/>
      <c r="K2384" s="229"/>
      <c r="L2384" s="229">
        <f>SUM(ventas_b_mes11[[#This Row],[IMPORTE NETO]:[EXENTO]])</f>
        <v>17129.97</v>
      </c>
      <c r="M2384" s="55"/>
    </row>
    <row r="2385" spans="2:13" x14ac:dyDescent="0.3">
      <c r="B2385" s="223">
        <v>44845</v>
      </c>
      <c r="C2385" s="224">
        <v>6</v>
      </c>
      <c r="D2385" s="225">
        <v>10</v>
      </c>
      <c r="E2385" s="226">
        <v>43068</v>
      </c>
      <c r="F2385" s="227">
        <v>0</v>
      </c>
      <c r="G2385" s="1"/>
      <c r="H2385" s="60">
        <v>2826.45</v>
      </c>
      <c r="I2385" s="228">
        <v>593.54999999999995</v>
      </c>
      <c r="J2385" s="229"/>
      <c r="K2385" s="229"/>
      <c r="L2385" s="229">
        <f>SUM(ventas_b_mes11[[#This Row],[IMPORTE NETO]:[EXENTO]])</f>
        <v>3420</v>
      </c>
      <c r="M2385" s="55"/>
    </row>
    <row r="2386" spans="2:13" x14ac:dyDescent="0.3">
      <c r="B2386" s="223">
        <v>44845</v>
      </c>
      <c r="C2386" s="224">
        <v>6</v>
      </c>
      <c r="D2386" s="225">
        <v>10</v>
      </c>
      <c r="E2386" s="226">
        <v>43069</v>
      </c>
      <c r="F2386" s="227">
        <v>0</v>
      </c>
      <c r="G2386" s="1"/>
      <c r="H2386" s="60">
        <v>3074.38</v>
      </c>
      <c r="I2386" s="228">
        <v>645.62</v>
      </c>
      <c r="J2386" s="229"/>
      <c r="K2386" s="229"/>
      <c r="L2386" s="229">
        <f>SUM(ventas_b_mes11[[#This Row],[IMPORTE NETO]:[EXENTO]])</f>
        <v>3720</v>
      </c>
      <c r="M2386" s="55"/>
    </row>
    <row r="2387" spans="2:13" x14ac:dyDescent="0.3">
      <c r="B2387" s="223">
        <v>44845</v>
      </c>
      <c r="C2387" s="224">
        <v>6</v>
      </c>
      <c r="D2387" s="225">
        <v>10</v>
      </c>
      <c r="E2387" s="226">
        <v>43070</v>
      </c>
      <c r="F2387" s="227">
        <v>0</v>
      </c>
      <c r="G2387" s="1"/>
      <c r="H2387" s="60">
        <v>1404.96</v>
      </c>
      <c r="I2387" s="228">
        <v>295.04000000000002</v>
      </c>
      <c r="J2387" s="229"/>
      <c r="K2387" s="229"/>
      <c r="L2387" s="229">
        <f>SUM(ventas_b_mes11[[#This Row],[IMPORTE NETO]:[EXENTO]])</f>
        <v>1700</v>
      </c>
      <c r="M2387" s="55"/>
    </row>
    <row r="2388" spans="2:13" x14ac:dyDescent="0.3">
      <c r="B2388" s="223">
        <v>44845</v>
      </c>
      <c r="C2388" s="224">
        <v>6</v>
      </c>
      <c r="D2388" s="225">
        <v>10</v>
      </c>
      <c r="E2388" s="226">
        <v>43071</v>
      </c>
      <c r="F2388" s="227">
        <v>37689107</v>
      </c>
      <c r="G2388" s="1" t="s">
        <v>436</v>
      </c>
      <c r="H2388" s="60">
        <v>6834.7</v>
      </c>
      <c r="I2388" s="228">
        <v>1435.29</v>
      </c>
      <c r="J2388" s="229"/>
      <c r="K2388" s="229"/>
      <c r="L2388" s="229">
        <f>SUM(ventas_b_mes11[[#This Row],[IMPORTE NETO]:[EXENTO]])</f>
        <v>8269.99</v>
      </c>
      <c r="M2388" s="55"/>
    </row>
    <row r="2389" spans="2:13" x14ac:dyDescent="0.3">
      <c r="B2389" s="223">
        <v>44845</v>
      </c>
      <c r="C2389" s="224">
        <v>6</v>
      </c>
      <c r="D2389" s="225">
        <v>10</v>
      </c>
      <c r="E2389" s="226">
        <v>43072</v>
      </c>
      <c r="F2389" s="227">
        <v>0</v>
      </c>
      <c r="G2389" s="1"/>
      <c r="H2389" s="60">
        <v>4082.64</v>
      </c>
      <c r="I2389" s="228">
        <v>857.36</v>
      </c>
      <c r="J2389" s="229"/>
      <c r="K2389" s="229"/>
      <c r="L2389" s="229">
        <f>SUM(ventas_b_mes11[[#This Row],[IMPORTE NETO]:[EXENTO]])</f>
        <v>4940</v>
      </c>
      <c r="M2389" s="55"/>
    </row>
    <row r="2390" spans="2:13" x14ac:dyDescent="0.3">
      <c r="B2390" s="223">
        <v>44845</v>
      </c>
      <c r="C2390" s="224">
        <v>6</v>
      </c>
      <c r="D2390" s="225">
        <v>10</v>
      </c>
      <c r="E2390" s="226">
        <v>43073</v>
      </c>
      <c r="F2390" s="227">
        <v>16828194</v>
      </c>
      <c r="G2390" s="1" t="s">
        <v>435</v>
      </c>
      <c r="H2390" s="60">
        <v>13857</v>
      </c>
      <c r="I2390" s="228">
        <v>2909.97</v>
      </c>
      <c r="J2390" s="229"/>
      <c r="K2390" s="229"/>
      <c r="L2390" s="229">
        <f>SUM(ventas_b_mes11[[#This Row],[IMPORTE NETO]:[EXENTO]])</f>
        <v>16766.97</v>
      </c>
      <c r="M2390" s="55"/>
    </row>
    <row r="2391" spans="2:13" x14ac:dyDescent="0.3">
      <c r="B2391" s="223" t="s">
        <v>109</v>
      </c>
      <c r="C2391" s="224">
        <v>6</v>
      </c>
      <c r="D2391" s="225">
        <v>10</v>
      </c>
      <c r="E2391" s="226">
        <v>43074</v>
      </c>
      <c r="F2391" s="227">
        <v>0</v>
      </c>
      <c r="G2391" s="1"/>
      <c r="H2391" s="60">
        <v>3363.64</v>
      </c>
      <c r="I2391" s="228">
        <v>706.36</v>
      </c>
      <c r="J2391" s="229"/>
      <c r="K2391" s="229"/>
      <c r="L2391" s="229">
        <f>SUM(ventas_b_mes11[[#This Row],[IMPORTE NETO]:[EXENTO]])</f>
        <v>4070</v>
      </c>
      <c r="M2391" s="55"/>
    </row>
    <row r="2392" spans="2:13" x14ac:dyDescent="0.3">
      <c r="B2392" s="223" t="s">
        <v>109</v>
      </c>
      <c r="C2392" s="224">
        <v>6</v>
      </c>
      <c r="D2392" s="225">
        <v>10</v>
      </c>
      <c r="E2392" s="226">
        <v>43075</v>
      </c>
      <c r="F2392" s="227">
        <v>16828194</v>
      </c>
      <c r="G2392" s="1" t="s">
        <v>435</v>
      </c>
      <c r="H2392" s="60">
        <v>7768.6</v>
      </c>
      <c r="I2392" s="228">
        <v>1631.4</v>
      </c>
      <c r="J2392" s="229"/>
      <c r="K2392" s="229"/>
      <c r="L2392" s="229">
        <f>SUM(ventas_b_mes11[[#This Row],[IMPORTE NETO]:[EXENTO]])</f>
        <v>9400</v>
      </c>
      <c r="M2392" s="55"/>
    </row>
    <row r="2393" spans="2:13" x14ac:dyDescent="0.3">
      <c r="B2393" s="223" t="s">
        <v>109</v>
      </c>
      <c r="C2393" s="224">
        <v>6</v>
      </c>
      <c r="D2393" s="225">
        <v>10</v>
      </c>
      <c r="E2393" s="226">
        <v>43076</v>
      </c>
      <c r="F2393" s="227">
        <v>10351408</v>
      </c>
      <c r="G2393" s="1" t="s">
        <v>473</v>
      </c>
      <c r="H2393" s="60">
        <v>6115.69</v>
      </c>
      <c r="I2393" s="228">
        <v>1284.3</v>
      </c>
      <c r="J2393" s="229"/>
      <c r="K2393" s="229"/>
      <c r="L2393" s="229">
        <f>SUM(ventas_b_mes11[[#This Row],[IMPORTE NETO]:[EXENTO]])</f>
        <v>7399.99</v>
      </c>
      <c r="M2393" s="55"/>
    </row>
    <row r="2394" spans="2:13" x14ac:dyDescent="0.3">
      <c r="B2394" s="223">
        <v>44845</v>
      </c>
      <c r="C2394" s="224">
        <v>6</v>
      </c>
      <c r="D2394" s="225">
        <v>10</v>
      </c>
      <c r="E2394" s="226">
        <v>43077</v>
      </c>
      <c r="F2394" s="227">
        <v>0</v>
      </c>
      <c r="G2394" s="1"/>
      <c r="H2394" s="60">
        <v>801.65</v>
      </c>
      <c r="I2394" s="228">
        <v>168.35</v>
      </c>
      <c r="J2394" s="229"/>
      <c r="K2394" s="229"/>
      <c r="L2394" s="229">
        <f>SUM(ventas_b_mes11[[#This Row],[IMPORTE NETO]:[EXENTO]])</f>
        <v>970</v>
      </c>
      <c r="M2394" s="55"/>
    </row>
    <row r="2395" spans="2:13" x14ac:dyDescent="0.3">
      <c r="B2395" s="223">
        <v>44845</v>
      </c>
      <c r="C2395" s="224">
        <v>6</v>
      </c>
      <c r="D2395" s="225">
        <v>10</v>
      </c>
      <c r="E2395" s="226">
        <v>43078</v>
      </c>
      <c r="F2395" s="227">
        <v>16761149</v>
      </c>
      <c r="G2395" s="1" t="s">
        <v>476</v>
      </c>
      <c r="H2395" s="60">
        <v>4917.3599999999997</v>
      </c>
      <c r="I2395" s="228">
        <v>1032.6400000000001</v>
      </c>
      <c r="J2395" s="229"/>
      <c r="K2395" s="229"/>
      <c r="L2395" s="229">
        <f>SUM(ventas_b_mes11[[#This Row],[IMPORTE NETO]:[EXENTO]])</f>
        <v>5950</v>
      </c>
      <c r="M2395" s="55"/>
    </row>
    <row r="2396" spans="2:13" x14ac:dyDescent="0.3">
      <c r="B2396" s="223">
        <v>44845</v>
      </c>
      <c r="C2396" s="224">
        <v>6</v>
      </c>
      <c r="D2396" s="225">
        <v>10</v>
      </c>
      <c r="E2396" s="226">
        <v>43079</v>
      </c>
      <c r="F2396" s="227">
        <v>0</v>
      </c>
      <c r="G2396" s="1"/>
      <c r="H2396" s="60">
        <v>2743.8</v>
      </c>
      <c r="I2396" s="228">
        <v>576.20000000000005</v>
      </c>
      <c r="J2396" s="229"/>
      <c r="K2396" s="229"/>
      <c r="L2396" s="229">
        <f>SUM(ventas_b_mes11[[#This Row],[IMPORTE NETO]:[EXENTO]])</f>
        <v>3320</v>
      </c>
      <c r="M2396" s="55"/>
    </row>
    <row r="2397" spans="2:13" x14ac:dyDescent="0.3">
      <c r="B2397" s="223">
        <v>44845</v>
      </c>
      <c r="C2397" s="224">
        <v>6</v>
      </c>
      <c r="D2397" s="225">
        <v>10</v>
      </c>
      <c r="E2397" s="226">
        <v>43080</v>
      </c>
      <c r="F2397" s="227">
        <v>18597870</v>
      </c>
      <c r="G2397" s="1" t="s">
        <v>419</v>
      </c>
      <c r="H2397" s="60">
        <v>4140.5</v>
      </c>
      <c r="I2397" s="228">
        <v>869.5</v>
      </c>
      <c r="J2397" s="229"/>
      <c r="K2397" s="229"/>
      <c r="L2397" s="229">
        <f>SUM(ventas_b_mes11[[#This Row],[IMPORTE NETO]:[EXENTO]])</f>
        <v>5010</v>
      </c>
      <c r="M2397" s="55"/>
    </row>
    <row r="2398" spans="2:13" x14ac:dyDescent="0.3">
      <c r="B2398" s="223">
        <v>44845</v>
      </c>
      <c r="C2398" s="224">
        <v>6</v>
      </c>
      <c r="D2398" s="225">
        <v>10</v>
      </c>
      <c r="E2398" s="226">
        <v>43081</v>
      </c>
      <c r="F2398" s="227">
        <v>0</v>
      </c>
      <c r="G2398" s="1"/>
      <c r="H2398" s="60">
        <v>1173.55</v>
      </c>
      <c r="I2398" s="228">
        <v>246.45</v>
      </c>
      <c r="J2398" s="229"/>
      <c r="K2398" s="229"/>
      <c r="L2398" s="229">
        <f>SUM(ventas_b_mes11[[#This Row],[IMPORTE NETO]:[EXENTO]])</f>
        <v>1420</v>
      </c>
      <c r="M2398" s="55"/>
    </row>
    <row r="2399" spans="2:13" x14ac:dyDescent="0.3">
      <c r="B2399" s="223">
        <v>44845</v>
      </c>
      <c r="C2399" s="224">
        <v>6</v>
      </c>
      <c r="D2399" s="225">
        <v>10</v>
      </c>
      <c r="E2399" s="226">
        <v>43082</v>
      </c>
      <c r="F2399" s="227">
        <v>18597870</v>
      </c>
      <c r="G2399" s="1" t="s">
        <v>419</v>
      </c>
      <c r="H2399" s="60">
        <v>4173.55</v>
      </c>
      <c r="I2399" s="228">
        <v>876.45</v>
      </c>
      <c r="J2399" s="229"/>
      <c r="K2399" s="229"/>
      <c r="L2399" s="229">
        <f>SUM(ventas_b_mes11[[#This Row],[IMPORTE NETO]:[EXENTO]])</f>
        <v>5050</v>
      </c>
      <c r="M2399" s="55"/>
    </row>
    <row r="2400" spans="2:13" x14ac:dyDescent="0.3">
      <c r="B2400" s="223">
        <v>44845</v>
      </c>
      <c r="C2400" s="224">
        <v>6</v>
      </c>
      <c r="D2400" s="225">
        <v>10</v>
      </c>
      <c r="E2400" s="226">
        <v>43083</v>
      </c>
      <c r="F2400" s="227">
        <v>23548505</v>
      </c>
      <c r="G2400" s="1" t="s">
        <v>493</v>
      </c>
      <c r="H2400" s="60">
        <v>7603.31</v>
      </c>
      <c r="I2400" s="228">
        <v>1596.69</v>
      </c>
      <c r="J2400" s="229"/>
      <c r="K2400" s="229"/>
      <c r="L2400" s="229">
        <f>SUM(ventas_b_mes11[[#This Row],[IMPORTE NETO]:[EXENTO]])</f>
        <v>9200</v>
      </c>
      <c r="M2400" s="55"/>
    </row>
    <row r="2401" spans="2:13" x14ac:dyDescent="0.3">
      <c r="B2401" s="223">
        <v>44845</v>
      </c>
      <c r="C2401" s="224">
        <v>6</v>
      </c>
      <c r="D2401" s="225">
        <v>10</v>
      </c>
      <c r="E2401" s="226">
        <v>43084</v>
      </c>
      <c r="F2401" s="227">
        <v>23548505</v>
      </c>
      <c r="G2401" s="1" t="s">
        <v>493</v>
      </c>
      <c r="H2401" s="60">
        <v>6900.82</v>
      </c>
      <c r="I2401" s="228">
        <v>1449.17</v>
      </c>
      <c r="J2401" s="229"/>
      <c r="K2401" s="229"/>
      <c r="L2401" s="229">
        <f>SUM(ventas_b_mes11[[#This Row],[IMPORTE NETO]:[EXENTO]])</f>
        <v>8349.99</v>
      </c>
      <c r="M2401" s="55"/>
    </row>
    <row r="2402" spans="2:13" x14ac:dyDescent="0.3">
      <c r="B2402" s="223">
        <v>44845</v>
      </c>
      <c r="C2402" s="224">
        <v>6</v>
      </c>
      <c r="D2402" s="225">
        <v>10</v>
      </c>
      <c r="E2402" s="226">
        <v>43085</v>
      </c>
      <c r="F2402" s="227">
        <v>35125786</v>
      </c>
      <c r="G2402" s="1" t="s">
        <v>494</v>
      </c>
      <c r="H2402" s="60">
        <v>9239.67</v>
      </c>
      <c r="I2402" s="228">
        <v>1940.33</v>
      </c>
      <c r="J2402" s="229"/>
      <c r="K2402" s="229"/>
      <c r="L2402" s="229">
        <f>SUM(ventas_b_mes11[[#This Row],[IMPORTE NETO]:[EXENTO]])</f>
        <v>11180</v>
      </c>
      <c r="M2402" s="55"/>
    </row>
    <row r="2403" spans="2:13" x14ac:dyDescent="0.3">
      <c r="B2403" s="223">
        <v>44845</v>
      </c>
      <c r="C2403" s="224">
        <v>6</v>
      </c>
      <c r="D2403" s="225">
        <v>10</v>
      </c>
      <c r="E2403" s="226">
        <v>43086</v>
      </c>
      <c r="F2403" s="227">
        <v>94655957</v>
      </c>
      <c r="G2403" s="1" t="s">
        <v>469</v>
      </c>
      <c r="H2403" s="60">
        <v>10727.28</v>
      </c>
      <c r="I2403" s="228">
        <v>2252.73</v>
      </c>
      <c r="J2403" s="229"/>
      <c r="K2403" s="229"/>
      <c r="L2403" s="229">
        <f>SUM(ventas_b_mes11[[#This Row],[IMPORTE NETO]:[EXENTO]])</f>
        <v>12980.01</v>
      </c>
      <c r="M2403" s="55"/>
    </row>
    <row r="2404" spans="2:13" x14ac:dyDescent="0.3">
      <c r="B2404" s="223">
        <v>44845</v>
      </c>
      <c r="C2404" s="224">
        <v>6</v>
      </c>
      <c r="D2404" s="225">
        <v>10</v>
      </c>
      <c r="E2404" s="226">
        <v>43087</v>
      </c>
      <c r="F2404" s="227">
        <v>0</v>
      </c>
      <c r="G2404" s="1"/>
      <c r="H2404" s="60">
        <v>2867.76</v>
      </c>
      <c r="I2404" s="228">
        <v>602.23</v>
      </c>
      <c r="J2404" s="229"/>
      <c r="K2404" s="229"/>
      <c r="L2404" s="229">
        <f>SUM(ventas_b_mes11[[#This Row],[IMPORTE NETO]:[EXENTO]])</f>
        <v>3469.9900000000002</v>
      </c>
      <c r="M2404" s="55"/>
    </row>
    <row r="2405" spans="2:13" x14ac:dyDescent="0.3">
      <c r="B2405" s="223" t="s">
        <v>109</v>
      </c>
      <c r="C2405" s="224">
        <v>6</v>
      </c>
      <c r="D2405" s="225">
        <v>10</v>
      </c>
      <c r="E2405" s="226">
        <v>43088</v>
      </c>
      <c r="F2405" s="227">
        <v>94655957</v>
      </c>
      <c r="G2405" s="1" t="s">
        <v>469</v>
      </c>
      <c r="H2405" s="60">
        <v>4528.93</v>
      </c>
      <c r="I2405" s="228">
        <v>951.07</v>
      </c>
      <c r="J2405" s="229"/>
      <c r="K2405" s="229"/>
      <c r="L2405" s="229">
        <f>SUM(ventas_b_mes11[[#This Row],[IMPORTE NETO]:[EXENTO]])</f>
        <v>5480</v>
      </c>
      <c r="M2405" s="55"/>
    </row>
    <row r="2406" spans="2:13" x14ac:dyDescent="0.3">
      <c r="B2406" s="223" t="s">
        <v>109</v>
      </c>
      <c r="C2406" s="224">
        <v>6</v>
      </c>
      <c r="D2406" s="225">
        <v>10</v>
      </c>
      <c r="E2406" s="226">
        <v>43089</v>
      </c>
      <c r="F2406" s="227">
        <v>0</v>
      </c>
      <c r="G2406" s="1"/>
      <c r="H2406" s="60">
        <v>2272.73</v>
      </c>
      <c r="I2406" s="228">
        <v>477.27</v>
      </c>
      <c r="J2406" s="229"/>
      <c r="K2406" s="229"/>
      <c r="L2406" s="229">
        <f>SUM(ventas_b_mes11[[#This Row],[IMPORTE NETO]:[EXENTO]])</f>
        <v>2750</v>
      </c>
      <c r="M2406" s="55"/>
    </row>
    <row r="2407" spans="2:13" x14ac:dyDescent="0.3">
      <c r="B2407" s="223" t="s">
        <v>109</v>
      </c>
      <c r="C2407" s="224">
        <v>6</v>
      </c>
      <c r="D2407" s="225">
        <v>10</v>
      </c>
      <c r="E2407" s="226">
        <v>43090</v>
      </c>
      <c r="F2407" s="227">
        <v>0</v>
      </c>
      <c r="G2407" s="1"/>
      <c r="H2407" s="60">
        <v>2396.69</v>
      </c>
      <c r="I2407" s="228">
        <v>503.31</v>
      </c>
      <c r="J2407" s="229"/>
      <c r="K2407" s="229"/>
      <c r="L2407" s="229">
        <f>SUM(ventas_b_mes11[[#This Row],[IMPORTE NETO]:[EXENTO]])</f>
        <v>2900</v>
      </c>
      <c r="M2407" s="55"/>
    </row>
    <row r="2408" spans="2:13" x14ac:dyDescent="0.3">
      <c r="B2408" s="223" t="s">
        <v>109</v>
      </c>
      <c r="C2408" s="224">
        <v>6</v>
      </c>
      <c r="D2408" s="225">
        <v>10</v>
      </c>
      <c r="E2408" s="226">
        <v>43091</v>
      </c>
      <c r="F2408" s="227">
        <v>0</v>
      </c>
      <c r="G2408" s="1"/>
      <c r="H2408" s="60">
        <v>2719.02</v>
      </c>
      <c r="I2408" s="228">
        <v>570.99</v>
      </c>
      <c r="J2408" s="229"/>
      <c r="K2408" s="229"/>
      <c r="L2408" s="229">
        <f>SUM(ventas_b_mes11[[#This Row],[IMPORTE NETO]:[EXENTO]])</f>
        <v>3290.01</v>
      </c>
      <c r="M2408" s="55"/>
    </row>
    <row r="2409" spans="2:13" x14ac:dyDescent="0.3">
      <c r="B2409" s="223">
        <v>44845</v>
      </c>
      <c r="C2409" s="224">
        <v>6</v>
      </c>
      <c r="D2409" s="225">
        <v>10</v>
      </c>
      <c r="E2409" s="226">
        <v>43092</v>
      </c>
      <c r="F2409" s="227">
        <v>23804320</v>
      </c>
      <c r="G2409" s="1" t="s">
        <v>478</v>
      </c>
      <c r="H2409" s="60">
        <v>9702.48</v>
      </c>
      <c r="I2409" s="228">
        <v>2037.52</v>
      </c>
      <c r="J2409" s="229"/>
      <c r="K2409" s="229"/>
      <c r="L2409" s="229">
        <f>SUM(ventas_b_mes11[[#This Row],[IMPORTE NETO]:[EXENTO]])</f>
        <v>11740</v>
      </c>
      <c r="M2409" s="55"/>
    </row>
    <row r="2410" spans="2:13" x14ac:dyDescent="0.3">
      <c r="B2410" s="223">
        <v>44845</v>
      </c>
      <c r="C2410" s="224">
        <v>6</v>
      </c>
      <c r="D2410" s="225">
        <v>10</v>
      </c>
      <c r="E2410" s="226">
        <v>43093</v>
      </c>
      <c r="F2410" s="227">
        <v>30680485</v>
      </c>
      <c r="G2410" s="1" t="s">
        <v>444</v>
      </c>
      <c r="H2410" s="60">
        <v>6462.81</v>
      </c>
      <c r="I2410" s="228">
        <v>1357.19</v>
      </c>
      <c r="J2410" s="229"/>
      <c r="K2410" s="229"/>
      <c r="L2410" s="229">
        <f>SUM(ventas_b_mes11[[#This Row],[IMPORTE NETO]:[EXENTO]])</f>
        <v>7820</v>
      </c>
      <c r="M2410" s="55"/>
    </row>
    <row r="2411" spans="2:13" x14ac:dyDescent="0.3">
      <c r="B2411" s="223">
        <v>44845</v>
      </c>
      <c r="C2411" s="224">
        <v>6</v>
      </c>
      <c r="D2411" s="225">
        <v>10</v>
      </c>
      <c r="E2411" s="226">
        <v>43094</v>
      </c>
      <c r="F2411" s="227">
        <v>0</v>
      </c>
      <c r="G2411" s="1"/>
      <c r="H2411" s="60">
        <v>694.21</v>
      </c>
      <c r="I2411" s="228">
        <v>145.79</v>
      </c>
      <c r="J2411" s="229"/>
      <c r="K2411" s="229"/>
      <c r="L2411" s="229">
        <f>SUM(ventas_b_mes11[[#This Row],[IMPORTE NETO]:[EXENTO]])</f>
        <v>840</v>
      </c>
      <c r="M2411" s="55"/>
    </row>
    <row r="2412" spans="2:13" x14ac:dyDescent="0.3">
      <c r="B2412" s="223" t="s">
        <v>109</v>
      </c>
      <c r="C2412" s="224">
        <v>6</v>
      </c>
      <c r="D2412" s="225">
        <v>10</v>
      </c>
      <c r="E2412" s="226">
        <v>43095</v>
      </c>
      <c r="F2412" s="227">
        <v>30680485</v>
      </c>
      <c r="G2412" s="1" t="s">
        <v>444</v>
      </c>
      <c r="H2412" s="60">
        <v>6760.33</v>
      </c>
      <c r="I2412" s="228">
        <v>1419.67</v>
      </c>
      <c r="J2412" s="229"/>
      <c r="K2412" s="229"/>
      <c r="L2412" s="229">
        <f>SUM(ventas_b_mes11[[#This Row],[IMPORTE NETO]:[EXENTO]])</f>
        <v>8180</v>
      </c>
      <c r="M2412" s="55"/>
    </row>
    <row r="2413" spans="2:13" x14ac:dyDescent="0.3">
      <c r="B2413" s="223" t="s">
        <v>109</v>
      </c>
      <c r="C2413" s="224">
        <v>6</v>
      </c>
      <c r="D2413" s="225">
        <v>10</v>
      </c>
      <c r="E2413" s="226">
        <v>43096</v>
      </c>
      <c r="F2413" s="227">
        <v>0</v>
      </c>
      <c r="G2413" s="1"/>
      <c r="H2413" s="60">
        <v>3512.4</v>
      </c>
      <c r="I2413" s="228">
        <v>737.6</v>
      </c>
      <c r="J2413" s="229"/>
      <c r="K2413" s="229"/>
      <c r="L2413" s="229">
        <f>SUM(ventas_b_mes11[[#This Row],[IMPORTE NETO]:[EXENTO]])</f>
        <v>4250</v>
      </c>
      <c r="M2413" s="55"/>
    </row>
    <row r="2414" spans="2:13" x14ac:dyDescent="0.3">
      <c r="B2414" s="223">
        <v>44845</v>
      </c>
      <c r="C2414" s="224">
        <v>6</v>
      </c>
      <c r="D2414" s="225">
        <v>10</v>
      </c>
      <c r="E2414" s="226">
        <v>43097</v>
      </c>
      <c r="F2414" s="227">
        <v>0</v>
      </c>
      <c r="G2414" s="1"/>
      <c r="H2414" s="60">
        <v>1504.13</v>
      </c>
      <c r="I2414" s="228">
        <v>315.87</v>
      </c>
      <c r="J2414" s="229"/>
      <c r="K2414" s="229"/>
      <c r="L2414" s="229">
        <f>SUM(ventas_b_mes11[[#This Row],[IMPORTE NETO]:[EXENTO]])</f>
        <v>1820</v>
      </c>
      <c r="M2414" s="55"/>
    </row>
    <row r="2415" spans="2:13" x14ac:dyDescent="0.3">
      <c r="B2415" s="223">
        <v>44845</v>
      </c>
      <c r="C2415" s="224">
        <v>6</v>
      </c>
      <c r="D2415" s="225">
        <v>10</v>
      </c>
      <c r="E2415" s="226">
        <v>43098</v>
      </c>
      <c r="F2415" s="227">
        <v>0</v>
      </c>
      <c r="G2415" s="1"/>
      <c r="H2415" s="60">
        <v>2338.84</v>
      </c>
      <c r="I2415" s="228">
        <v>491.16</v>
      </c>
      <c r="J2415" s="229"/>
      <c r="K2415" s="229"/>
      <c r="L2415" s="229">
        <f>SUM(ventas_b_mes11[[#This Row],[IMPORTE NETO]:[EXENTO]])</f>
        <v>2830</v>
      </c>
      <c r="M2415" s="55"/>
    </row>
    <row r="2416" spans="2:13" x14ac:dyDescent="0.3">
      <c r="B2416" s="223">
        <v>44845</v>
      </c>
      <c r="C2416" s="224">
        <v>6</v>
      </c>
      <c r="D2416" s="225">
        <v>10</v>
      </c>
      <c r="E2416" s="226">
        <v>43099</v>
      </c>
      <c r="F2416" s="227">
        <v>41537188</v>
      </c>
      <c r="G2416" s="1" t="s">
        <v>446</v>
      </c>
      <c r="H2416" s="60">
        <v>5652.9</v>
      </c>
      <c r="I2416" s="228">
        <v>1187.1099999999999</v>
      </c>
      <c r="J2416" s="229"/>
      <c r="K2416" s="229"/>
      <c r="L2416" s="229">
        <f>SUM(ventas_b_mes11[[#This Row],[IMPORTE NETO]:[EXENTO]])</f>
        <v>6840.0099999999993</v>
      </c>
      <c r="M2416" s="55"/>
    </row>
    <row r="2417" spans="2:13" x14ac:dyDescent="0.3">
      <c r="B2417" s="223">
        <v>44845</v>
      </c>
      <c r="C2417" s="224">
        <v>6</v>
      </c>
      <c r="D2417" s="225">
        <v>10</v>
      </c>
      <c r="E2417" s="226">
        <v>43100</v>
      </c>
      <c r="F2417" s="227">
        <v>0</v>
      </c>
      <c r="G2417" s="1"/>
      <c r="H2417" s="60">
        <v>2590.08</v>
      </c>
      <c r="I2417" s="228">
        <v>543.91999999999996</v>
      </c>
      <c r="J2417" s="229"/>
      <c r="K2417" s="229"/>
      <c r="L2417" s="229">
        <f>SUM(ventas_b_mes11[[#This Row],[IMPORTE NETO]:[EXENTO]])</f>
        <v>3134</v>
      </c>
      <c r="M2417" s="55"/>
    </row>
    <row r="2418" spans="2:13" x14ac:dyDescent="0.3">
      <c r="B2418" s="223">
        <v>44845</v>
      </c>
      <c r="C2418" s="224">
        <v>6</v>
      </c>
      <c r="D2418" s="225">
        <v>10</v>
      </c>
      <c r="E2418" s="226">
        <v>43101</v>
      </c>
      <c r="F2418" s="227">
        <v>0</v>
      </c>
      <c r="G2418" s="1"/>
      <c r="H2418" s="60">
        <v>2966.94</v>
      </c>
      <c r="I2418" s="228">
        <v>623.05999999999995</v>
      </c>
      <c r="J2418" s="229"/>
      <c r="K2418" s="229"/>
      <c r="L2418" s="229">
        <f>SUM(ventas_b_mes11[[#This Row],[IMPORTE NETO]:[EXENTO]])</f>
        <v>3590</v>
      </c>
      <c r="M2418" s="55"/>
    </row>
    <row r="2419" spans="2:13" x14ac:dyDescent="0.3">
      <c r="B2419" s="223" t="s">
        <v>109</v>
      </c>
      <c r="C2419" s="224">
        <v>6</v>
      </c>
      <c r="D2419" s="225">
        <v>10</v>
      </c>
      <c r="E2419" s="226">
        <v>43102</v>
      </c>
      <c r="F2419" s="227">
        <v>32525034</v>
      </c>
      <c r="G2419" s="1" t="s">
        <v>457</v>
      </c>
      <c r="H2419" s="60">
        <v>6586.79</v>
      </c>
      <c r="I2419" s="228">
        <v>1383.23</v>
      </c>
      <c r="J2419" s="229"/>
      <c r="K2419" s="229"/>
      <c r="L2419" s="229">
        <f>SUM(ventas_b_mes11[[#This Row],[IMPORTE NETO]:[EXENTO]])</f>
        <v>7970.02</v>
      </c>
      <c r="M2419" s="55"/>
    </row>
    <row r="2420" spans="2:13" x14ac:dyDescent="0.3">
      <c r="B2420" s="223" t="s">
        <v>109</v>
      </c>
      <c r="C2420" s="224">
        <v>6</v>
      </c>
      <c r="D2420" s="225">
        <v>10</v>
      </c>
      <c r="E2420" s="226">
        <v>43103</v>
      </c>
      <c r="F2420" s="227">
        <v>24167392</v>
      </c>
      <c r="G2420" s="1" t="s">
        <v>458</v>
      </c>
      <c r="H2420" s="60">
        <v>8214.8700000000008</v>
      </c>
      <c r="I2420" s="228">
        <v>1725.12</v>
      </c>
      <c r="J2420" s="229"/>
      <c r="K2420" s="229"/>
      <c r="L2420" s="229">
        <f>SUM(ventas_b_mes11[[#This Row],[IMPORTE NETO]:[EXENTO]])</f>
        <v>9939.9900000000016</v>
      </c>
      <c r="M2420" s="55"/>
    </row>
    <row r="2421" spans="2:13" x14ac:dyDescent="0.3">
      <c r="B2421" s="223" t="s">
        <v>109</v>
      </c>
      <c r="C2421" s="224">
        <v>6</v>
      </c>
      <c r="D2421" s="225">
        <v>10</v>
      </c>
      <c r="E2421" s="226">
        <v>43104</v>
      </c>
      <c r="F2421" s="227">
        <v>0</v>
      </c>
      <c r="G2421" s="1"/>
      <c r="H2421" s="60">
        <v>1305.79</v>
      </c>
      <c r="I2421" s="228">
        <v>274.20999999999998</v>
      </c>
      <c r="J2421" s="229"/>
      <c r="K2421" s="229"/>
      <c r="L2421" s="229">
        <f>SUM(ventas_b_mes11[[#This Row],[IMPORTE NETO]:[EXENTO]])</f>
        <v>1580</v>
      </c>
      <c r="M2421" s="55"/>
    </row>
    <row r="2422" spans="2:13" x14ac:dyDescent="0.3">
      <c r="B2422" s="223" t="s">
        <v>109</v>
      </c>
      <c r="C2422" s="224">
        <v>6</v>
      </c>
      <c r="D2422" s="225">
        <v>10</v>
      </c>
      <c r="E2422" s="226">
        <v>43105</v>
      </c>
      <c r="F2422" s="227">
        <v>0</v>
      </c>
      <c r="G2422" s="1"/>
      <c r="H2422" s="60">
        <v>2413.2199999999998</v>
      </c>
      <c r="I2422" s="228">
        <v>506.78</v>
      </c>
      <c r="J2422" s="229"/>
      <c r="K2422" s="229"/>
      <c r="L2422" s="229">
        <f>SUM(ventas_b_mes11[[#This Row],[IMPORTE NETO]:[EXENTO]])</f>
        <v>2920</v>
      </c>
      <c r="M2422" s="55"/>
    </row>
    <row r="2423" spans="2:13" x14ac:dyDescent="0.3">
      <c r="B2423" s="223">
        <v>44845</v>
      </c>
      <c r="C2423" s="224">
        <v>6</v>
      </c>
      <c r="D2423" s="225">
        <v>10</v>
      </c>
      <c r="E2423" s="226">
        <v>43106</v>
      </c>
      <c r="F2423" s="227">
        <v>20240673038</v>
      </c>
      <c r="G2423" s="1" t="s">
        <v>433</v>
      </c>
      <c r="H2423" s="60">
        <v>12942.14</v>
      </c>
      <c r="I2423" s="228">
        <v>2717.85</v>
      </c>
      <c r="J2423" s="229"/>
      <c r="K2423" s="229"/>
      <c r="L2423" s="229">
        <f>SUM(ventas_b_mes11[[#This Row],[IMPORTE NETO]:[EXENTO]])</f>
        <v>15659.99</v>
      </c>
      <c r="M2423" s="55"/>
    </row>
    <row r="2424" spans="2:13" x14ac:dyDescent="0.3">
      <c r="B2424" s="223" t="s">
        <v>109</v>
      </c>
      <c r="C2424" s="224">
        <v>6</v>
      </c>
      <c r="D2424" s="225">
        <v>10</v>
      </c>
      <c r="E2424" s="226">
        <v>43107</v>
      </c>
      <c r="F2424" s="227">
        <v>0</v>
      </c>
      <c r="G2424" s="1"/>
      <c r="H2424" s="60">
        <v>2760.32</v>
      </c>
      <c r="I2424" s="228">
        <v>579.66999999999996</v>
      </c>
      <c r="J2424" s="229"/>
      <c r="K2424" s="229"/>
      <c r="L2424" s="229">
        <f>SUM(ventas_b_mes11[[#This Row],[IMPORTE NETO]:[EXENTO]])</f>
        <v>3339.9900000000002</v>
      </c>
      <c r="M2424" s="55"/>
    </row>
    <row r="2425" spans="2:13" x14ac:dyDescent="0.3">
      <c r="B2425" s="223" t="s">
        <v>109</v>
      </c>
      <c r="C2425" s="224">
        <v>6</v>
      </c>
      <c r="D2425" s="225">
        <v>10</v>
      </c>
      <c r="E2425" s="226">
        <v>43108</v>
      </c>
      <c r="F2425" s="227">
        <v>23866706</v>
      </c>
      <c r="G2425" s="1" t="s">
        <v>442</v>
      </c>
      <c r="H2425" s="60">
        <v>10909.08</v>
      </c>
      <c r="I2425" s="228">
        <v>2290.91</v>
      </c>
      <c r="J2425" s="229"/>
      <c r="K2425" s="229"/>
      <c r="L2425" s="229">
        <f>SUM(ventas_b_mes11[[#This Row],[IMPORTE NETO]:[EXENTO]])</f>
        <v>13199.99</v>
      </c>
      <c r="M2425" s="55"/>
    </row>
    <row r="2426" spans="2:13" x14ac:dyDescent="0.3">
      <c r="B2426" s="223">
        <v>44845</v>
      </c>
      <c r="C2426" s="224">
        <v>6</v>
      </c>
      <c r="D2426" s="225">
        <v>10</v>
      </c>
      <c r="E2426" s="226">
        <v>43109</v>
      </c>
      <c r="F2426" s="227">
        <v>0</v>
      </c>
      <c r="G2426" s="1"/>
      <c r="H2426" s="60">
        <v>3760.33</v>
      </c>
      <c r="I2426" s="228">
        <v>789.67</v>
      </c>
      <c r="J2426" s="229"/>
      <c r="K2426" s="229"/>
      <c r="L2426" s="229">
        <f>SUM(ventas_b_mes11[[#This Row],[IMPORTE NETO]:[EXENTO]])</f>
        <v>4550</v>
      </c>
      <c r="M2426" s="55"/>
    </row>
    <row r="2427" spans="2:13" x14ac:dyDescent="0.3">
      <c r="B2427" s="223">
        <v>44845</v>
      </c>
      <c r="C2427" s="224">
        <v>6</v>
      </c>
      <c r="D2427" s="225">
        <v>10</v>
      </c>
      <c r="E2427" s="226">
        <v>43110</v>
      </c>
      <c r="F2427" s="227">
        <v>0</v>
      </c>
      <c r="G2427" s="1"/>
      <c r="H2427" s="60">
        <v>1528.93</v>
      </c>
      <c r="I2427" s="228">
        <v>321.07</v>
      </c>
      <c r="J2427" s="229"/>
      <c r="K2427" s="229"/>
      <c r="L2427" s="229">
        <f>SUM(ventas_b_mes11[[#This Row],[IMPORTE NETO]:[EXENTO]])</f>
        <v>1850</v>
      </c>
      <c r="M2427" s="55"/>
    </row>
    <row r="2428" spans="2:13" x14ac:dyDescent="0.3">
      <c r="B2428" s="223">
        <v>44845</v>
      </c>
      <c r="C2428" s="224">
        <v>6</v>
      </c>
      <c r="D2428" s="225">
        <v>10</v>
      </c>
      <c r="E2428" s="226">
        <v>43111</v>
      </c>
      <c r="F2428" s="227">
        <v>35411266</v>
      </c>
      <c r="G2428" s="1" t="s">
        <v>445</v>
      </c>
      <c r="H2428" s="60">
        <v>4462.8100000000004</v>
      </c>
      <c r="I2428" s="228">
        <v>937.19</v>
      </c>
      <c r="J2428" s="229"/>
      <c r="K2428" s="229"/>
      <c r="L2428" s="229">
        <f>SUM(ventas_b_mes11[[#This Row],[IMPORTE NETO]:[EXENTO]])</f>
        <v>5400</v>
      </c>
      <c r="M2428" s="55"/>
    </row>
    <row r="2429" spans="2:13" x14ac:dyDescent="0.3">
      <c r="B2429" s="223">
        <v>44845</v>
      </c>
      <c r="C2429" s="224">
        <v>6</v>
      </c>
      <c r="D2429" s="225">
        <v>10</v>
      </c>
      <c r="E2429" s="226">
        <v>43112</v>
      </c>
      <c r="F2429" s="227">
        <v>0</v>
      </c>
      <c r="G2429" s="1"/>
      <c r="H2429" s="60">
        <v>2016.51</v>
      </c>
      <c r="I2429" s="228">
        <v>423.47</v>
      </c>
      <c r="J2429" s="229"/>
      <c r="K2429" s="229"/>
      <c r="L2429" s="229">
        <f>SUM(ventas_b_mes11[[#This Row],[IMPORTE NETO]:[EXENTO]])</f>
        <v>2439.98</v>
      </c>
      <c r="M2429" s="55"/>
    </row>
    <row r="2430" spans="2:13" x14ac:dyDescent="0.3">
      <c r="B2430" s="223">
        <v>44845</v>
      </c>
      <c r="C2430" s="224">
        <v>6</v>
      </c>
      <c r="D2430" s="225">
        <v>10</v>
      </c>
      <c r="E2430" s="226">
        <v>43113</v>
      </c>
      <c r="F2430" s="227">
        <v>34321510</v>
      </c>
      <c r="G2430" s="1" t="s">
        <v>413</v>
      </c>
      <c r="H2430" s="60">
        <v>4760.34</v>
      </c>
      <c r="I2430" s="228">
        <v>999.67</v>
      </c>
      <c r="J2430" s="229"/>
      <c r="K2430" s="229"/>
      <c r="L2430" s="229">
        <f>SUM(ventas_b_mes11[[#This Row],[IMPORTE NETO]:[EXENTO]])</f>
        <v>5760.01</v>
      </c>
      <c r="M2430" s="55"/>
    </row>
    <row r="2431" spans="2:13" x14ac:dyDescent="0.3">
      <c r="B2431" s="223">
        <v>44845</v>
      </c>
      <c r="C2431" s="224">
        <v>6</v>
      </c>
      <c r="D2431" s="225">
        <v>10</v>
      </c>
      <c r="E2431" s="226">
        <v>43114</v>
      </c>
      <c r="F2431" s="227">
        <v>0</v>
      </c>
      <c r="G2431" s="1"/>
      <c r="H2431" s="60">
        <v>1454.55</v>
      </c>
      <c r="I2431" s="228">
        <v>305.45999999999998</v>
      </c>
      <c r="J2431" s="229"/>
      <c r="K2431" s="229"/>
      <c r="L2431" s="229">
        <f>SUM(ventas_b_mes11[[#This Row],[IMPORTE NETO]:[EXENTO]])</f>
        <v>1760.01</v>
      </c>
      <c r="M2431" s="55"/>
    </row>
    <row r="2432" spans="2:13" x14ac:dyDescent="0.3">
      <c r="B2432" s="223">
        <v>44845</v>
      </c>
      <c r="C2432" s="224">
        <v>6</v>
      </c>
      <c r="D2432" s="225">
        <v>10</v>
      </c>
      <c r="E2432" s="226">
        <v>43115</v>
      </c>
      <c r="F2432" s="227">
        <v>0</v>
      </c>
      <c r="G2432" s="1"/>
      <c r="H2432" s="60">
        <v>3495.86</v>
      </c>
      <c r="I2432" s="228">
        <v>734.13</v>
      </c>
      <c r="J2432" s="229"/>
      <c r="K2432" s="229"/>
      <c r="L2432" s="229">
        <f>SUM(ventas_b_mes11[[#This Row],[IMPORTE NETO]:[EXENTO]])</f>
        <v>4229.99</v>
      </c>
      <c r="M2432" s="55"/>
    </row>
    <row r="2433" spans="2:13" x14ac:dyDescent="0.3">
      <c r="B2433" s="223">
        <v>44845</v>
      </c>
      <c r="C2433" s="224">
        <v>6</v>
      </c>
      <c r="D2433" s="225">
        <v>10</v>
      </c>
      <c r="E2433" s="226">
        <v>43116</v>
      </c>
      <c r="F2433" s="227">
        <v>0</v>
      </c>
      <c r="G2433" s="1"/>
      <c r="H2433" s="60">
        <v>925.62</v>
      </c>
      <c r="I2433" s="228">
        <v>194.38</v>
      </c>
      <c r="J2433" s="229"/>
      <c r="K2433" s="229"/>
      <c r="L2433" s="229">
        <f>SUM(ventas_b_mes11[[#This Row],[IMPORTE NETO]:[EXENTO]])</f>
        <v>1120</v>
      </c>
      <c r="M2433" s="55"/>
    </row>
    <row r="2434" spans="2:13" x14ac:dyDescent="0.3">
      <c r="B2434" s="223" t="s">
        <v>109</v>
      </c>
      <c r="C2434" s="224">
        <v>6</v>
      </c>
      <c r="D2434" s="225">
        <v>10</v>
      </c>
      <c r="E2434" s="226">
        <v>43117</v>
      </c>
      <c r="F2434" s="227">
        <v>0</v>
      </c>
      <c r="G2434" s="1"/>
      <c r="H2434" s="60">
        <v>3842.98</v>
      </c>
      <c r="I2434" s="228">
        <v>807.02</v>
      </c>
      <c r="J2434" s="229"/>
      <c r="K2434" s="229"/>
      <c r="L2434" s="229">
        <f>SUM(ventas_b_mes11[[#This Row],[IMPORTE NETO]:[EXENTO]])</f>
        <v>4650</v>
      </c>
      <c r="M2434" s="55"/>
    </row>
    <row r="2435" spans="2:13" x14ac:dyDescent="0.3">
      <c r="B2435" s="223">
        <v>44845</v>
      </c>
      <c r="C2435" s="224">
        <v>6</v>
      </c>
      <c r="D2435" s="225">
        <v>10</v>
      </c>
      <c r="E2435" s="226">
        <v>43118</v>
      </c>
      <c r="F2435" s="227">
        <v>0</v>
      </c>
      <c r="G2435" s="1"/>
      <c r="H2435" s="60">
        <v>3000</v>
      </c>
      <c r="I2435" s="228">
        <v>630</v>
      </c>
      <c r="J2435" s="229"/>
      <c r="K2435" s="229"/>
      <c r="L2435" s="229">
        <f>SUM(ventas_b_mes11[[#This Row],[IMPORTE NETO]:[EXENTO]])</f>
        <v>3630</v>
      </c>
      <c r="M2435" s="55"/>
    </row>
    <row r="2436" spans="2:13" x14ac:dyDescent="0.3">
      <c r="B2436" s="223">
        <v>44845</v>
      </c>
      <c r="C2436" s="224">
        <v>6</v>
      </c>
      <c r="D2436" s="225">
        <v>10</v>
      </c>
      <c r="E2436" s="226">
        <v>43119</v>
      </c>
      <c r="F2436" s="227">
        <v>39933726</v>
      </c>
      <c r="G2436" s="1" t="s">
        <v>551</v>
      </c>
      <c r="H2436" s="60">
        <v>11322.32</v>
      </c>
      <c r="I2436" s="228">
        <v>2377.69</v>
      </c>
      <c r="J2436" s="229"/>
      <c r="K2436" s="229"/>
      <c r="L2436" s="229">
        <f>SUM(ventas_b_mes11[[#This Row],[IMPORTE NETO]:[EXENTO]])</f>
        <v>13700.01</v>
      </c>
      <c r="M2436" s="55"/>
    </row>
    <row r="2437" spans="2:13" x14ac:dyDescent="0.3">
      <c r="B2437" s="223">
        <v>44845</v>
      </c>
      <c r="C2437" s="224">
        <v>6</v>
      </c>
      <c r="D2437" s="225">
        <v>10</v>
      </c>
      <c r="E2437" s="226">
        <v>43120</v>
      </c>
      <c r="F2437" s="227">
        <v>0</v>
      </c>
      <c r="G2437" s="1"/>
      <c r="H2437" s="60">
        <v>2380.17</v>
      </c>
      <c r="I2437" s="228">
        <v>499.84</v>
      </c>
      <c r="J2437" s="229"/>
      <c r="K2437" s="229"/>
      <c r="L2437" s="229">
        <f>SUM(ventas_b_mes11[[#This Row],[IMPORTE NETO]:[EXENTO]])</f>
        <v>2880.01</v>
      </c>
      <c r="M2437" s="55"/>
    </row>
    <row r="2438" spans="2:13" x14ac:dyDescent="0.3">
      <c r="B2438" s="223">
        <v>44845</v>
      </c>
      <c r="C2438" s="224">
        <v>6</v>
      </c>
      <c r="D2438" s="225">
        <v>10</v>
      </c>
      <c r="E2438" s="226">
        <v>43121</v>
      </c>
      <c r="F2438" s="227">
        <v>0</v>
      </c>
      <c r="G2438" s="1"/>
      <c r="H2438" s="60">
        <v>1305.79</v>
      </c>
      <c r="I2438" s="228">
        <v>274.20999999999998</v>
      </c>
      <c r="J2438" s="229"/>
      <c r="K2438" s="229"/>
      <c r="L2438" s="229">
        <f>SUM(ventas_b_mes11[[#This Row],[IMPORTE NETO]:[EXENTO]])</f>
        <v>1580</v>
      </c>
      <c r="M2438" s="55"/>
    </row>
    <row r="2439" spans="2:13" x14ac:dyDescent="0.3">
      <c r="B2439" s="223">
        <v>44845</v>
      </c>
      <c r="C2439" s="224">
        <v>6</v>
      </c>
      <c r="D2439" s="225">
        <v>10</v>
      </c>
      <c r="E2439" s="226">
        <v>43122</v>
      </c>
      <c r="F2439" s="227">
        <v>0</v>
      </c>
      <c r="G2439" s="1"/>
      <c r="H2439" s="60">
        <v>2677.69</v>
      </c>
      <c r="I2439" s="228">
        <v>562.30999999999995</v>
      </c>
      <c r="J2439" s="229"/>
      <c r="K2439" s="229"/>
      <c r="L2439" s="229">
        <f>SUM(ventas_b_mes11[[#This Row],[IMPORTE NETO]:[EXENTO]])</f>
        <v>3240</v>
      </c>
      <c r="M2439" s="55"/>
    </row>
    <row r="2440" spans="2:13" x14ac:dyDescent="0.3">
      <c r="B2440" s="223">
        <v>44845</v>
      </c>
      <c r="C2440" s="224">
        <v>6</v>
      </c>
      <c r="D2440" s="225">
        <v>10</v>
      </c>
      <c r="E2440" s="226">
        <v>43123</v>
      </c>
      <c r="F2440" s="227">
        <v>0</v>
      </c>
      <c r="G2440" s="1"/>
      <c r="H2440" s="60">
        <v>603.30999999999995</v>
      </c>
      <c r="I2440" s="228">
        <v>126.69</v>
      </c>
      <c r="J2440" s="229"/>
      <c r="K2440" s="229"/>
      <c r="L2440" s="229">
        <f>SUM(ventas_b_mes11[[#This Row],[IMPORTE NETO]:[EXENTO]])</f>
        <v>730</v>
      </c>
      <c r="M2440" s="55"/>
    </row>
    <row r="2441" spans="2:13" x14ac:dyDescent="0.3">
      <c r="B2441" s="223" t="s">
        <v>109</v>
      </c>
      <c r="C2441" s="224">
        <v>6</v>
      </c>
      <c r="D2441" s="225">
        <v>10</v>
      </c>
      <c r="E2441" s="226">
        <v>43124</v>
      </c>
      <c r="F2441" s="227">
        <v>27910036</v>
      </c>
      <c r="G2441" s="1" t="s">
        <v>554</v>
      </c>
      <c r="H2441" s="60">
        <v>4206.6099999999997</v>
      </c>
      <c r="I2441" s="228">
        <v>883.39</v>
      </c>
      <c r="J2441" s="229"/>
      <c r="K2441" s="229"/>
      <c r="L2441" s="229">
        <f>SUM(ventas_b_mes11[[#This Row],[IMPORTE NETO]:[EXENTO]])</f>
        <v>5090</v>
      </c>
      <c r="M2441" s="55"/>
    </row>
    <row r="2442" spans="2:13" x14ac:dyDescent="0.3">
      <c r="B2442" s="223" t="s">
        <v>109</v>
      </c>
      <c r="C2442" s="224">
        <v>6</v>
      </c>
      <c r="D2442" s="225">
        <v>10</v>
      </c>
      <c r="E2442" s="226">
        <v>43125</v>
      </c>
      <c r="F2442" s="227">
        <v>27910036</v>
      </c>
      <c r="G2442" s="1" t="s">
        <v>554</v>
      </c>
      <c r="H2442" s="60">
        <v>24272.720000000001</v>
      </c>
      <c r="I2442" s="228">
        <v>5097.2700000000004</v>
      </c>
      <c r="J2442" s="229"/>
      <c r="K2442" s="229"/>
      <c r="L2442" s="229">
        <f>SUM(ventas_b_mes11[[#This Row],[IMPORTE NETO]:[EXENTO]])</f>
        <v>29369.99</v>
      </c>
      <c r="M2442" s="55"/>
    </row>
    <row r="2443" spans="2:13" x14ac:dyDescent="0.3">
      <c r="B2443" s="223">
        <v>44845</v>
      </c>
      <c r="C2443" s="224">
        <v>6</v>
      </c>
      <c r="D2443" s="225">
        <v>10</v>
      </c>
      <c r="E2443" s="226">
        <v>43126</v>
      </c>
      <c r="F2443" s="227">
        <v>26460965</v>
      </c>
      <c r="G2443" s="1" t="s">
        <v>550</v>
      </c>
      <c r="H2443" s="60">
        <v>4586.78</v>
      </c>
      <c r="I2443" s="228">
        <v>963.22</v>
      </c>
      <c r="J2443" s="229"/>
      <c r="K2443" s="229"/>
      <c r="L2443" s="229">
        <f>SUM(ventas_b_mes11[[#This Row],[IMPORTE NETO]:[EXENTO]])</f>
        <v>5550</v>
      </c>
      <c r="M2443" s="55"/>
    </row>
    <row r="2444" spans="2:13" x14ac:dyDescent="0.3">
      <c r="B2444" s="223">
        <v>44845</v>
      </c>
      <c r="C2444" s="224">
        <v>6</v>
      </c>
      <c r="D2444" s="225">
        <v>10</v>
      </c>
      <c r="E2444" s="226">
        <v>43127</v>
      </c>
      <c r="F2444" s="227">
        <v>28813671</v>
      </c>
      <c r="G2444" s="1" t="s">
        <v>549</v>
      </c>
      <c r="H2444" s="60">
        <v>9842.99</v>
      </c>
      <c r="I2444" s="228">
        <v>2067.0300000000002</v>
      </c>
      <c r="J2444" s="229"/>
      <c r="K2444" s="229"/>
      <c r="L2444" s="229">
        <f>SUM(ventas_b_mes11[[#This Row],[IMPORTE NETO]:[EXENTO]])</f>
        <v>11910.02</v>
      </c>
      <c r="M2444" s="55"/>
    </row>
    <row r="2445" spans="2:13" x14ac:dyDescent="0.3">
      <c r="B2445" s="223">
        <v>44845</v>
      </c>
      <c r="C2445" s="224">
        <v>6</v>
      </c>
      <c r="D2445" s="225">
        <v>10</v>
      </c>
      <c r="E2445" s="226">
        <v>43128</v>
      </c>
      <c r="F2445" s="227">
        <v>22891543</v>
      </c>
      <c r="G2445" s="1" t="s">
        <v>527</v>
      </c>
      <c r="H2445" s="60">
        <v>11462.79</v>
      </c>
      <c r="I2445" s="228">
        <v>2407.1799999999998</v>
      </c>
      <c r="J2445" s="229"/>
      <c r="K2445" s="229"/>
      <c r="L2445" s="229">
        <f>SUM(ventas_b_mes11[[#This Row],[IMPORTE NETO]:[EXENTO]])</f>
        <v>13869.970000000001</v>
      </c>
      <c r="M2445" s="55"/>
    </row>
    <row r="2446" spans="2:13" x14ac:dyDescent="0.3">
      <c r="B2446" s="223">
        <v>44845</v>
      </c>
      <c r="C2446" s="224">
        <v>6</v>
      </c>
      <c r="D2446" s="225">
        <v>10</v>
      </c>
      <c r="E2446" s="226">
        <v>43129</v>
      </c>
      <c r="F2446" s="227">
        <v>0</v>
      </c>
      <c r="G2446" s="1"/>
      <c r="H2446" s="60">
        <v>2719.02</v>
      </c>
      <c r="I2446" s="228">
        <v>570.99</v>
      </c>
      <c r="J2446" s="229"/>
      <c r="K2446" s="229"/>
      <c r="L2446" s="229">
        <f>SUM(ventas_b_mes11[[#This Row],[IMPORTE NETO]:[EXENTO]])</f>
        <v>3290.01</v>
      </c>
      <c r="M2446" s="55"/>
    </row>
    <row r="2447" spans="2:13" x14ac:dyDescent="0.3">
      <c r="B2447" s="223">
        <v>44845</v>
      </c>
      <c r="C2447" s="224">
        <v>6</v>
      </c>
      <c r="D2447" s="225">
        <v>10</v>
      </c>
      <c r="E2447" s="226">
        <v>43130</v>
      </c>
      <c r="F2447" s="227">
        <v>33045755</v>
      </c>
      <c r="G2447" s="1" t="s">
        <v>526</v>
      </c>
      <c r="H2447" s="60">
        <v>13198.36</v>
      </c>
      <c r="I2447" s="228">
        <v>2771.65</v>
      </c>
      <c r="J2447" s="229"/>
      <c r="K2447" s="229"/>
      <c r="L2447" s="229">
        <f>SUM(ventas_b_mes11[[#This Row],[IMPORTE NETO]:[EXENTO]])</f>
        <v>15970.01</v>
      </c>
      <c r="M2447" s="55"/>
    </row>
    <row r="2448" spans="2:13" x14ac:dyDescent="0.3">
      <c r="B2448" s="223">
        <v>44845</v>
      </c>
      <c r="C2448" s="224">
        <v>6</v>
      </c>
      <c r="D2448" s="225">
        <v>10</v>
      </c>
      <c r="E2448" s="226">
        <v>43131</v>
      </c>
      <c r="F2448" s="227">
        <v>24171267</v>
      </c>
      <c r="G2448" s="1" t="s">
        <v>524</v>
      </c>
      <c r="H2448" s="60">
        <v>21628.12</v>
      </c>
      <c r="I2448" s="228">
        <v>4541.8999999999996</v>
      </c>
      <c r="J2448" s="229"/>
      <c r="K2448" s="229"/>
      <c r="L2448" s="229">
        <f>SUM(ventas_b_mes11[[#This Row],[IMPORTE NETO]:[EXENTO]])</f>
        <v>26170.019999999997</v>
      </c>
      <c r="M2448" s="55"/>
    </row>
    <row r="2449" spans="2:13" x14ac:dyDescent="0.3">
      <c r="B2449" s="223">
        <v>44845</v>
      </c>
      <c r="C2449" s="224">
        <v>6</v>
      </c>
      <c r="D2449" s="225">
        <v>10</v>
      </c>
      <c r="E2449" s="226">
        <v>43132</v>
      </c>
      <c r="F2449" s="227">
        <v>19069561</v>
      </c>
      <c r="G2449" s="1" t="s">
        <v>529</v>
      </c>
      <c r="H2449" s="60">
        <v>18148.78</v>
      </c>
      <c r="I2449" s="228">
        <v>3811.24</v>
      </c>
      <c r="J2449" s="229"/>
      <c r="K2449" s="229"/>
      <c r="L2449" s="229">
        <f>SUM(ventas_b_mes11[[#This Row],[IMPORTE NETO]:[EXENTO]])</f>
        <v>21960.019999999997</v>
      </c>
      <c r="M2449" s="55"/>
    </row>
    <row r="2450" spans="2:13" x14ac:dyDescent="0.3">
      <c r="B2450" s="223">
        <v>44845</v>
      </c>
      <c r="C2450" s="224">
        <v>6</v>
      </c>
      <c r="D2450" s="225">
        <v>10</v>
      </c>
      <c r="E2450" s="226">
        <v>43133</v>
      </c>
      <c r="F2450" s="227">
        <v>0</v>
      </c>
      <c r="G2450" s="1"/>
      <c r="H2450" s="60">
        <v>1057.8499999999999</v>
      </c>
      <c r="I2450" s="228">
        <v>222.15</v>
      </c>
      <c r="J2450" s="229"/>
      <c r="K2450" s="229"/>
      <c r="L2450" s="229">
        <f>SUM(ventas_b_mes11[[#This Row],[IMPORTE NETO]:[EXENTO]])</f>
        <v>1280</v>
      </c>
      <c r="M2450" s="55"/>
    </row>
    <row r="2451" spans="2:13" x14ac:dyDescent="0.3">
      <c r="B2451" s="223">
        <v>44845</v>
      </c>
      <c r="C2451" s="224">
        <v>6</v>
      </c>
      <c r="D2451" s="225">
        <v>10</v>
      </c>
      <c r="E2451" s="226">
        <v>43134</v>
      </c>
      <c r="F2451" s="227">
        <v>94454122</v>
      </c>
      <c r="G2451" s="1" t="s">
        <v>525</v>
      </c>
      <c r="H2451" s="60">
        <v>9123.9699999999993</v>
      </c>
      <c r="I2451" s="228">
        <v>1916.03</v>
      </c>
      <c r="J2451" s="229"/>
      <c r="K2451" s="229"/>
      <c r="L2451" s="229">
        <f>SUM(ventas_b_mes11[[#This Row],[IMPORTE NETO]:[EXENTO]])</f>
        <v>11040</v>
      </c>
      <c r="M2451" s="55"/>
    </row>
    <row r="2452" spans="2:13" x14ac:dyDescent="0.3">
      <c r="B2452" s="223">
        <v>44845</v>
      </c>
      <c r="C2452" s="224">
        <v>6</v>
      </c>
      <c r="D2452" s="225">
        <v>10</v>
      </c>
      <c r="E2452" s="226">
        <v>43135</v>
      </c>
      <c r="F2452" s="227">
        <v>0</v>
      </c>
      <c r="G2452" s="1"/>
      <c r="H2452" s="60">
        <v>925.62</v>
      </c>
      <c r="I2452" s="228">
        <v>194.38</v>
      </c>
      <c r="J2452" s="229"/>
      <c r="K2452" s="229"/>
      <c r="L2452" s="229">
        <f>SUM(ventas_b_mes11[[#This Row],[IMPORTE NETO]:[EXENTO]])</f>
        <v>1120</v>
      </c>
      <c r="M2452" s="55"/>
    </row>
    <row r="2453" spans="2:13" x14ac:dyDescent="0.3">
      <c r="B2453" s="223">
        <v>44845</v>
      </c>
      <c r="C2453" s="224">
        <v>6</v>
      </c>
      <c r="D2453" s="225">
        <v>10</v>
      </c>
      <c r="E2453" s="226">
        <v>43136</v>
      </c>
      <c r="F2453" s="227">
        <v>0</v>
      </c>
      <c r="G2453" s="1"/>
      <c r="H2453" s="60">
        <v>3644.62</v>
      </c>
      <c r="I2453" s="228">
        <v>765.37</v>
      </c>
      <c r="J2453" s="229"/>
      <c r="K2453" s="229"/>
      <c r="L2453" s="229">
        <f>SUM(ventas_b_mes11[[#This Row],[IMPORTE NETO]:[EXENTO]])</f>
        <v>4409.99</v>
      </c>
      <c r="M2453" s="55"/>
    </row>
    <row r="2454" spans="2:13" x14ac:dyDescent="0.3">
      <c r="B2454" s="223">
        <v>44845</v>
      </c>
      <c r="C2454" s="224">
        <v>6</v>
      </c>
      <c r="D2454" s="225">
        <v>10</v>
      </c>
      <c r="E2454" s="226">
        <v>43137</v>
      </c>
      <c r="F2454" s="227">
        <v>0</v>
      </c>
      <c r="G2454" s="1"/>
      <c r="H2454" s="60">
        <v>2818.18</v>
      </c>
      <c r="I2454" s="228">
        <v>591.82000000000005</v>
      </c>
      <c r="J2454" s="229"/>
      <c r="K2454" s="229"/>
      <c r="L2454" s="229">
        <f>SUM(ventas_b_mes11[[#This Row],[IMPORTE NETO]:[EXENTO]])</f>
        <v>3410</v>
      </c>
      <c r="M2454" s="55"/>
    </row>
    <row r="2455" spans="2:13" x14ac:dyDescent="0.3">
      <c r="B2455" s="223">
        <v>44845</v>
      </c>
      <c r="C2455" s="224">
        <v>6</v>
      </c>
      <c r="D2455" s="225">
        <v>10</v>
      </c>
      <c r="E2455" s="226">
        <v>43138</v>
      </c>
      <c r="F2455" s="227">
        <v>25658315</v>
      </c>
      <c r="G2455" s="1" t="s">
        <v>503</v>
      </c>
      <c r="H2455" s="60">
        <v>8305.7900000000009</v>
      </c>
      <c r="I2455" s="228">
        <v>1744.21</v>
      </c>
      <c r="J2455" s="229"/>
      <c r="K2455" s="229"/>
      <c r="L2455" s="229">
        <f>SUM(ventas_b_mes11[[#This Row],[IMPORTE NETO]:[EXENTO]])</f>
        <v>10050</v>
      </c>
      <c r="M2455" s="55"/>
    </row>
    <row r="2456" spans="2:13" x14ac:dyDescent="0.3">
      <c r="B2456" s="223">
        <v>44845</v>
      </c>
      <c r="C2456" s="224">
        <v>6</v>
      </c>
      <c r="D2456" s="225">
        <v>10</v>
      </c>
      <c r="E2456" s="226">
        <v>43139</v>
      </c>
      <c r="F2456" s="227">
        <v>0</v>
      </c>
      <c r="G2456" s="1"/>
      <c r="H2456" s="60">
        <v>2206.61</v>
      </c>
      <c r="I2456" s="228">
        <v>463.39</v>
      </c>
      <c r="J2456" s="229"/>
      <c r="K2456" s="229"/>
      <c r="L2456" s="229">
        <f>SUM(ventas_b_mes11[[#This Row],[IMPORTE NETO]:[EXENTO]])</f>
        <v>2670</v>
      </c>
      <c r="M2456" s="55"/>
    </row>
    <row r="2457" spans="2:13" x14ac:dyDescent="0.3">
      <c r="B2457" s="223" t="s">
        <v>109</v>
      </c>
      <c r="C2457" s="224">
        <v>6</v>
      </c>
      <c r="D2457" s="225">
        <v>10</v>
      </c>
      <c r="E2457" s="226">
        <v>43140</v>
      </c>
      <c r="F2457" s="227">
        <v>16736509</v>
      </c>
      <c r="G2457" s="1" t="s">
        <v>562</v>
      </c>
      <c r="H2457" s="60">
        <v>4330.58</v>
      </c>
      <c r="I2457" s="228">
        <v>909.42</v>
      </c>
      <c r="J2457" s="229"/>
      <c r="K2457" s="229"/>
      <c r="L2457" s="229">
        <f>SUM(ventas_b_mes11[[#This Row],[IMPORTE NETO]:[EXENTO]])</f>
        <v>5240</v>
      </c>
      <c r="M2457" s="55"/>
    </row>
    <row r="2458" spans="2:13" x14ac:dyDescent="0.3">
      <c r="B2458" s="223" t="s">
        <v>109</v>
      </c>
      <c r="C2458" s="224">
        <v>6</v>
      </c>
      <c r="D2458" s="225">
        <v>10</v>
      </c>
      <c r="E2458" s="226">
        <v>43141</v>
      </c>
      <c r="F2458" s="227">
        <v>0</v>
      </c>
      <c r="G2458" s="1"/>
      <c r="H2458" s="60">
        <v>1371.9</v>
      </c>
      <c r="I2458" s="228">
        <v>288.10000000000002</v>
      </c>
      <c r="J2458" s="229"/>
      <c r="K2458" s="229"/>
      <c r="L2458" s="229">
        <f>SUM(ventas_b_mes11[[#This Row],[IMPORTE NETO]:[EXENTO]])</f>
        <v>1660</v>
      </c>
      <c r="M2458" s="55"/>
    </row>
    <row r="2459" spans="2:13" x14ac:dyDescent="0.3">
      <c r="B2459" s="223" t="s">
        <v>109</v>
      </c>
      <c r="C2459" s="224">
        <v>6</v>
      </c>
      <c r="D2459" s="225">
        <v>10</v>
      </c>
      <c r="E2459" s="226">
        <v>43142</v>
      </c>
      <c r="F2459" s="227">
        <v>0</v>
      </c>
      <c r="G2459" s="1"/>
      <c r="H2459" s="60">
        <v>3140.5</v>
      </c>
      <c r="I2459" s="228">
        <v>659.5</v>
      </c>
      <c r="J2459" s="229"/>
      <c r="K2459" s="229"/>
      <c r="L2459" s="229">
        <f>SUM(ventas_b_mes11[[#This Row],[IMPORTE NETO]:[EXENTO]])</f>
        <v>3800</v>
      </c>
      <c r="M2459" s="55"/>
    </row>
    <row r="2460" spans="2:13" x14ac:dyDescent="0.3">
      <c r="B2460" s="223" t="s">
        <v>109</v>
      </c>
      <c r="C2460" s="224">
        <v>6</v>
      </c>
      <c r="D2460" s="225">
        <v>10</v>
      </c>
      <c r="E2460" s="226">
        <v>43143</v>
      </c>
      <c r="F2460" s="227">
        <v>0</v>
      </c>
      <c r="G2460" s="1"/>
      <c r="H2460" s="60">
        <v>3528.93</v>
      </c>
      <c r="I2460" s="228">
        <v>741.07</v>
      </c>
      <c r="J2460" s="229"/>
      <c r="K2460" s="229"/>
      <c r="L2460" s="229">
        <f>SUM(ventas_b_mes11[[#This Row],[IMPORTE NETO]:[EXENTO]])</f>
        <v>4270</v>
      </c>
      <c r="M2460" s="55"/>
    </row>
    <row r="2461" spans="2:13" x14ac:dyDescent="0.3">
      <c r="B2461" s="223" t="s">
        <v>109</v>
      </c>
      <c r="C2461" s="224">
        <v>6</v>
      </c>
      <c r="D2461" s="225">
        <v>10</v>
      </c>
      <c r="E2461" s="226">
        <v>43144</v>
      </c>
      <c r="F2461" s="227">
        <v>16736509</v>
      </c>
      <c r="G2461" s="1" t="s">
        <v>562</v>
      </c>
      <c r="H2461" s="60">
        <v>18338.84</v>
      </c>
      <c r="I2461" s="228">
        <v>3851.16</v>
      </c>
      <c r="J2461" s="229"/>
      <c r="K2461" s="229"/>
      <c r="L2461" s="229">
        <f>SUM(ventas_b_mes11[[#This Row],[IMPORTE NETO]:[EXENTO]])</f>
        <v>22190</v>
      </c>
      <c r="M2461" s="55"/>
    </row>
    <row r="2462" spans="2:13" x14ac:dyDescent="0.3">
      <c r="B2462" s="223" t="s">
        <v>109</v>
      </c>
      <c r="C2462" s="224">
        <v>6</v>
      </c>
      <c r="D2462" s="225">
        <v>10</v>
      </c>
      <c r="E2462" s="226">
        <v>43145</v>
      </c>
      <c r="F2462" s="227">
        <v>17605114</v>
      </c>
      <c r="G2462" s="1" t="s">
        <v>563</v>
      </c>
      <c r="H2462" s="60">
        <v>9000.02</v>
      </c>
      <c r="I2462" s="228">
        <v>1890</v>
      </c>
      <c r="J2462" s="229"/>
      <c r="K2462" s="229"/>
      <c r="L2462" s="229">
        <f>SUM(ventas_b_mes11[[#This Row],[IMPORTE NETO]:[EXENTO]])</f>
        <v>10890.02</v>
      </c>
      <c r="M2462" s="55"/>
    </row>
    <row r="2463" spans="2:13" x14ac:dyDescent="0.3">
      <c r="B2463" s="223">
        <v>44845</v>
      </c>
      <c r="C2463" s="224">
        <v>6</v>
      </c>
      <c r="D2463" s="225">
        <v>10</v>
      </c>
      <c r="E2463" s="226">
        <v>43146</v>
      </c>
      <c r="F2463" s="227">
        <v>0</v>
      </c>
      <c r="G2463" s="1"/>
      <c r="H2463" s="60">
        <v>892.56</v>
      </c>
      <c r="I2463" s="228">
        <v>187.44</v>
      </c>
      <c r="J2463" s="229"/>
      <c r="K2463" s="229"/>
      <c r="L2463" s="229">
        <f>SUM(ventas_b_mes11[[#This Row],[IMPORTE NETO]:[EXENTO]])</f>
        <v>1080</v>
      </c>
      <c r="M2463" s="55"/>
    </row>
    <row r="2464" spans="2:13" x14ac:dyDescent="0.3">
      <c r="B2464" s="223">
        <v>44845</v>
      </c>
      <c r="C2464" s="224">
        <v>6</v>
      </c>
      <c r="D2464" s="225">
        <v>10</v>
      </c>
      <c r="E2464" s="226">
        <v>43147</v>
      </c>
      <c r="F2464" s="227">
        <v>24213044</v>
      </c>
      <c r="G2464" s="1" t="s">
        <v>538</v>
      </c>
      <c r="H2464" s="60">
        <v>4479.3500000000004</v>
      </c>
      <c r="I2464" s="228">
        <v>940.66</v>
      </c>
      <c r="J2464" s="229"/>
      <c r="K2464" s="229"/>
      <c r="L2464" s="229">
        <f>SUM(ventas_b_mes11[[#This Row],[IMPORTE NETO]:[EXENTO]])</f>
        <v>5420.01</v>
      </c>
      <c r="M2464" s="55"/>
    </row>
    <row r="2465" spans="2:13" x14ac:dyDescent="0.3">
      <c r="B2465" s="223" t="s">
        <v>109</v>
      </c>
      <c r="C2465" s="224">
        <v>6</v>
      </c>
      <c r="D2465" s="225">
        <v>10</v>
      </c>
      <c r="E2465" s="226">
        <v>43148</v>
      </c>
      <c r="F2465" s="227">
        <v>0</v>
      </c>
      <c r="G2465" s="1"/>
      <c r="H2465" s="60">
        <v>2446.2800000000002</v>
      </c>
      <c r="I2465" s="228">
        <v>513.72</v>
      </c>
      <c r="J2465" s="229"/>
      <c r="K2465" s="229"/>
      <c r="L2465" s="229">
        <f>SUM(ventas_b_mes11[[#This Row],[IMPORTE NETO]:[EXENTO]])</f>
        <v>2960</v>
      </c>
      <c r="M2465" s="55"/>
    </row>
    <row r="2466" spans="2:13" x14ac:dyDescent="0.3">
      <c r="B2466" s="223">
        <v>44845</v>
      </c>
      <c r="C2466" s="224">
        <v>6</v>
      </c>
      <c r="D2466" s="225">
        <v>10</v>
      </c>
      <c r="E2466" s="226">
        <v>43149</v>
      </c>
      <c r="F2466" s="227">
        <v>0</v>
      </c>
      <c r="G2466" s="1"/>
      <c r="H2466" s="60">
        <v>4123.97</v>
      </c>
      <c r="I2466" s="228">
        <v>866.03</v>
      </c>
      <c r="J2466" s="229"/>
      <c r="K2466" s="229"/>
      <c r="L2466" s="229">
        <f>SUM(ventas_b_mes11[[#This Row],[IMPORTE NETO]:[EXENTO]])</f>
        <v>4990</v>
      </c>
      <c r="M2466" s="55"/>
    </row>
    <row r="2467" spans="2:13" x14ac:dyDescent="0.3">
      <c r="B2467" s="223">
        <v>44845</v>
      </c>
      <c r="C2467" s="224">
        <v>6</v>
      </c>
      <c r="D2467" s="225">
        <v>10</v>
      </c>
      <c r="E2467" s="226">
        <v>43150</v>
      </c>
      <c r="F2467" s="227">
        <v>0</v>
      </c>
      <c r="G2467" s="1"/>
      <c r="H2467" s="60">
        <v>2268.59</v>
      </c>
      <c r="I2467" s="228">
        <v>476.4</v>
      </c>
      <c r="J2467" s="229"/>
      <c r="K2467" s="229"/>
      <c r="L2467" s="229">
        <f>SUM(ventas_b_mes11[[#This Row],[IMPORTE NETO]:[EXENTO]])</f>
        <v>2744.9900000000002</v>
      </c>
      <c r="M2467" s="55"/>
    </row>
    <row r="2468" spans="2:13" x14ac:dyDescent="0.3">
      <c r="B2468" s="223">
        <v>44845</v>
      </c>
      <c r="C2468" s="224">
        <v>6</v>
      </c>
      <c r="D2468" s="225">
        <v>10</v>
      </c>
      <c r="E2468" s="226">
        <v>43151</v>
      </c>
      <c r="F2468" s="227">
        <v>31847113</v>
      </c>
      <c r="G2468" s="1" t="s">
        <v>544</v>
      </c>
      <c r="H2468" s="60">
        <v>6743.79</v>
      </c>
      <c r="I2468" s="228">
        <v>1416.19</v>
      </c>
      <c r="J2468" s="229"/>
      <c r="K2468" s="229"/>
      <c r="L2468" s="229">
        <f>SUM(ventas_b_mes11[[#This Row],[IMPORTE NETO]:[EXENTO]])</f>
        <v>8159.98</v>
      </c>
      <c r="M2468" s="55"/>
    </row>
    <row r="2469" spans="2:13" x14ac:dyDescent="0.3">
      <c r="B2469" s="223">
        <v>44845</v>
      </c>
      <c r="C2469" s="224">
        <v>6</v>
      </c>
      <c r="D2469" s="225">
        <v>10</v>
      </c>
      <c r="E2469" s="226">
        <v>43152</v>
      </c>
      <c r="F2469" s="227">
        <v>16817026</v>
      </c>
      <c r="G2469" s="1" t="s">
        <v>539</v>
      </c>
      <c r="H2469" s="60">
        <v>5595.04</v>
      </c>
      <c r="I2469" s="228">
        <v>1174.96</v>
      </c>
      <c r="J2469" s="229"/>
      <c r="K2469" s="229"/>
      <c r="L2469" s="229">
        <f>SUM(ventas_b_mes11[[#This Row],[IMPORTE NETO]:[EXENTO]])</f>
        <v>6770</v>
      </c>
      <c r="M2469" s="55"/>
    </row>
    <row r="2470" spans="2:13" x14ac:dyDescent="0.3">
      <c r="B2470" s="223">
        <v>44845</v>
      </c>
      <c r="C2470" s="224">
        <v>6</v>
      </c>
      <c r="D2470" s="225">
        <v>10</v>
      </c>
      <c r="E2470" s="226">
        <v>43153</v>
      </c>
      <c r="F2470" s="227">
        <v>26506729</v>
      </c>
      <c r="G2470" s="1" t="s">
        <v>518</v>
      </c>
      <c r="H2470" s="60">
        <v>46107.41</v>
      </c>
      <c r="I2470" s="228">
        <v>9682.56</v>
      </c>
      <c r="J2470" s="229"/>
      <c r="K2470" s="229"/>
      <c r="L2470" s="229">
        <f>SUM(ventas_b_mes11[[#This Row],[IMPORTE NETO]:[EXENTO]])</f>
        <v>55789.97</v>
      </c>
      <c r="M2470" s="55"/>
    </row>
    <row r="2471" spans="2:13" x14ac:dyDescent="0.3">
      <c r="B2471" s="223">
        <v>44845</v>
      </c>
      <c r="C2471" s="224">
        <v>6</v>
      </c>
      <c r="D2471" s="225">
        <v>10</v>
      </c>
      <c r="E2471" s="226">
        <v>43154</v>
      </c>
      <c r="F2471" s="227">
        <v>19066234</v>
      </c>
      <c r="G2471" s="1" t="s">
        <v>495</v>
      </c>
      <c r="H2471" s="60">
        <v>3900.83</v>
      </c>
      <c r="I2471" s="228">
        <v>819.18</v>
      </c>
      <c r="J2471" s="229"/>
      <c r="K2471" s="229"/>
      <c r="L2471" s="229">
        <f>SUM(ventas_b_mes11[[#This Row],[IMPORTE NETO]:[EXENTO]])</f>
        <v>4720.01</v>
      </c>
      <c r="M2471" s="55"/>
    </row>
    <row r="2472" spans="2:13" x14ac:dyDescent="0.3">
      <c r="B2472" s="223">
        <v>44845</v>
      </c>
      <c r="C2472" s="224">
        <v>6</v>
      </c>
      <c r="D2472" s="225">
        <v>10</v>
      </c>
      <c r="E2472" s="226">
        <v>43155</v>
      </c>
      <c r="F2472" s="227">
        <v>0</v>
      </c>
      <c r="G2472" s="1"/>
      <c r="H2472" s="60">
        <v>1198.3499999999999</v>
      </c>
      <c r="I2472" s="228">
        <v>251.65</v>
      </c>
      <c r="J2472" s="229"/>
      <c r="K2472" s="229"/>
      <c r="L2472" s="229">
        <f>SUM(ventas_b_mes11[[#This Row],[IMPORTE NETO]:[EXENTO]])</f>
        <v>1450</v>
      </c>
      <c r="M2472" s="55"/>
    </row>
    <row r="2473" spans="2:13" x14ac:dyDescent="0.3">
      <c r="B2473" s="223">
        <v>44845</v>
      </c>
      <c r="C2473" s="224">
        <v>6</v>
      </c>
      <c r="D2473" s="225">
        <v>10</v>
      </c>
      <c r="E2473" s="226">
        <v>43156</v>
      </c>
      <c r="F2473" s="227">
        <v>19066234</v>
      </c>
      <c r="G2473" s="1" t="s">
        <v>495</v>
      </c>
      <c r="H2473" s="60">
        <v>6545.44</v>
      </c>
      <c r="I2473" s="228">
        <v>1374.54</v>
      </c>
      <c r="J2473" s="229"/>
      <c r="K2473" s="229"/>
      <c r="L2473" s="229">
        <f>SUM(ventas_b_mes11[[#This Row],[IMPORTE NETO]:[EXENTO]])</f>
        <v>7919.98</v>
      </c>
      <c r="M2473" s="55"/>
    </row>
    <row r="2474" spans="2:13" x14ac:dyDescent="0.3">
      <c r="B2474" s="223">
        <v>44845</v>
      </c>
      <c r="C2474" s="224">
        <v>6</v>
      </c>
      <c r="D2474" s="225">
        <v>10</v>
      </c>
      <c r="E2474" s="226">
        <v>43157</v>
      </c>
      <c r="F2474" s="227">
        <v>0</v>
      </c>
      <c r="G2474" s="1"/>
      <c r="H2474" s="60">
        <v>2148.7600000000002</v>
      </c>
      <c r="I2474" s="228">
        <v>451.24</v>
      </c>
      <c r="J2474" s="229"/>
      <c r="K2474" s="229"/>
      <c r="L2474" s="229">
        <f>SUM(ventas_b_mes11[[#This Row],[IMPORTE NETO]:[EXENTO]])</f>
        <v>2600</v>
      </c>
      <c r="M2474" s="55"/>
    </row>
    <row r="2475" spans="2:13" x14ac:dyDescent="0.3">
      <c r="B2475" s="223">
        <v>44845</v>
      </c>
      <c r="C2475" s="224">
        <v>6</v>
      </c>
      <c r="D2475" s="225">
        <v>10</v>
      </c>
      <c r="E2475" s="226">
        <v>43158</v>
      </c>
      <c r="F2475" s="227">
        <v>0</v>
      </c>
      <c r="G2475" s="1"/>
      <c r="H2475" s="60">
        <v>2768.6</v>
      </c>
      <c r="I2475" s="228">
        <v>581.4</v>
      </c>
      <c r="J2475" s="229"/>
      <c r="K2475" s="229"/>
      <c r="L2475" s="229">
        <f>SUM(ventas_b_mes11[[#This Row],[IMPORTE NETO]:[EXENTO]])</f>
        <v>3350</v>
      </c>
      <c r="M2475" s="55"/>
    </row>
    <row r="2476" spans="2:13" x14ac:dyDescent="0.3">
      <c r="B2476" s="223" t="s">
        <v>109</v>
      </c>
      <c r="C2476" s="224">
        <v>6</v>
      </c>
      <c r="D2476" s="225">
        <v>10</v>
      </c>
      <c r="E2476" s="226">
        <v>43159</v>
      </c>
      <c r="F2476" s="227">
        <v>26420294</v>
      </c>
      <c r="G2476" s="1" t="s">
        <v>566</v>
      </c>
      <c r="H2476" s="60">
        <v>11272.7</v>
      </c>
      <c r="I2476" s="228">
        <v>2367.27</v>
      </c>
      <c r="J2476" s="229"/>
      <c r="K2476" s="229"/>
      <c r="L2476" s="229">
        <f>SUM(ventas_b_mes11[[#This Row],[IMPORTE NETO]:[EXENTO]])</f>
        <v>13639.970000000001</v>
      </c>
      <c r="M2476" s="55"/>
    </row>
    <row r="2477" spans="2:13" x14ac:dyDescent="0.3">
      <c r="B2477" s="223" t="s">
        <v>109</v>
      </c>
      <c r="C2477" s="224">
        <v>6</v>
      </c>
      <c r="D2477" s="225">
        <v>10</v>
      </c>
      <c r="E2477" s="226">
        <v>43160</v>
      </c>
      <c r="F2477" s="227">
        <v>0</v>
      </c>
      <c r="G2477" s="1"/>
      <c r="H2477" s="60">
        <v>1280.99</v>
      </c>
      <c r="I2477" s="228">
        <v>269.01</v>
      </c>
      <c r="J2477" s="229"/>
      <c r="K2477" s="229"/>
      <c r="L2477" s="229">
        <f>SUM(ventas_b_mes11[[#This Row],[IMPORTE NETO]:[EXENTO]])</f>
        <v>1550</v>
      </c>
      <c r="M2477" s="55"/>
    </row>
    <row r="2478" spans="2:13" x14ac:dyDescent="0.3">
      <c r="B2478" s="223" t="s">
        <v>109</v>
      </c>
      <c r="C2478" s="224">
        <v>6</v>
      </c>
      <c r="D2478" s="225">
        <v>10</v>
      </c>
      <c r="E2478" s="226">
        <v>43161</v>
      </c>
      <c r="F2478" s="227">
        <v>14547227</v>
      </c>
      <c r="G2478" s="1" t="s">
        <v>565</v>
      </c>
      <c r="H2478" s="60">
        <v>6338.84</v>
      </c>
      <c r="I2478" s="228">
        <v>1331.16</v>
      </c>
      <c r="J2478" s="229"/>
      <c r="K2478" s="229"/>
      <c r="L2478" s="229">
        <f>SUM(ventas_b_mes11[[#This Row],[IMPORTE NETO]:[EXENTO]])</f>
        <v>7670</v>
      </c>
      <c r="M2478" s="55"/>
    </row>
    <row r="2479" spans="2:13" x14ac:dyDescent="0.3">
      <c r="B2479" s="223" t="s">
        <v>109</v>
      </c>
      <c r="C2479" s="224">
        <v>6</v>
      </c>
      <c r="D2479" s="225">
        <v>10</v>
      </c>
      <c r="E2479" s="226">
        <v>43162</v>
      </c>
      <c r="F2479" s="227">
        <v>0</v>
      </c>
      <c r="G2479" s="1"/>
      <c r="H2479" s="60">
        <v>3719.01</v>
      </c>
      <c r="I2479" s="228">
        <v>780.99</v>
      </c>
      <c r="J2479" s="229"/>
      <c r="K2479" s="229"/>
      <c r="L2479" s="229">
        <f>SUM(ventas_b_mes11[[#This Row],[IMPORTE NETO]:[EXENTO]])</f>
        <v>4500</v>
      </c>
      <c r="M2479" s="55"/>
    </row>
    <row r="2480" spans="2:13" x14ac:dyDescent="0.3">
      <c r="B2480" s="223" t="s">
        <v>109</v>
      </c>
      <c r="C2480" s="224">
        <v>6</v>
      </c>
      <c r="D2480" s="225">
        <v>10</v>
      </c>
      <c r="E2480" s="226">
        <v>43163</v>
      </c>
      <c r="F2480" s="227">
        <v>38888756</v>
      </c>
      <c r="G2480" s="1" t="s">
        <v>577</v>
      </c>
      <c r="H2480" s="60">
        <v>6925.62</v>
      </c>
      <c r="I2480" s="228">
        <v>1454.38</v>
      </c>
      <c r="J2480" s="229"/>
      <c r="K2480" s="229"/>
      <c r="L2480" s="229">
        <f>SUM(ventas_b_mes11[[#This Row],[IMPORTE NETO]:[EXENTO]])</f>
        <v>8380</v>
      </c>
      <c r="M2480" s="55"/>
    </row>
    <row r="2481" spans="2:13" x14ac:dyDescent="0.3">
      <c r="B2481" s="223" t="s">
        <v>109</v>
      </c>
      <c r="C2481" s="224">
        <v>6</v>
      </c>
      <c r="D2481" s="225">
        <v>10</v>
      </c>
      <c r="E2481" s="226">
        <v>43164</v>
      </c>
      <c r="F2481" s="227">
        <v>0</v>
      </c>
      <c r="G2481" s="1"/>
      <c r="H2481" s="60">
        <v>3016.54</v>
      </c>
      <c r="I2481" s="228">
        <v>633.47</v>
      </c>
      <c r="J2481" s="229"/>
      <c r="K2481" s="229"/>
      <c r="L2481" s="229">
        <f>SUM(ventas_b_mes11[[#This Row],[IMPORTE NETO]:[EXENTO]])</f>
        <v>3650.01</v>
      </c>
      <c r="M2481" s="55"/>
    </row>
    <row r="2482" spans="2:13" x14ac:dyDescent="0.3">
      <c r="B2482" s="223" t="s">
        <v>109</v>
      </c>
      <c r="C2482" s="224">
        <v>6</v>
      </c>
      <c r="D2482" s="225">
        <v>10</v>
      </c>
      <c r="E2482" s="226">
        <v>43165</v>
      </c>
      <c r="F2482" s="227">
        <v>0</v>
      </c>
      <c r="G2482" s="1"/>
      <c r="H2482" s="60">
        <v>892.56</v>
      </c>
      <c r="I2482" s="228">
        <v>187.44</v>
      </c>
      <c r="J2482" s="229"/>
      <c r="K2482" s="229"/>
      <c r="L2482" s="229">
        <f>SUM(ventas_b_mes11[[#This Row],[IMPORTE NETO]:[EXENTO]])</f>
        <v>1080</v>
      </c>
      <c r="M2482" s="55"/>
    </row>
    <row r="2483" spans="2:13" x14ac:dyDescent="0.3">
      <c r="B2483" s="223" t="s">
        <v>109</v>
      </c>
      <c r="C2483" s="224">
        <v>6</v>
      </c>
      <c r="D2483" s="225">
        <v>10</v>
      </c>
      <c r="E2483" s="226">
        <v>43166</v>
      </c>
      <c r="F2483" s="227">
        <v>38888756</v>
      </c>
      <c r="G2483" s="1" t="s">
        <v>577</v>
      </c>
      <c r="H2483" s="60">
        <v>4314.0600000000004</v>
      </c>
      <c r="I2483" s="228">
        <v>905.95</v>
      </c>
      <c r="J2483" s="229"/>
      <c r="K2483" s="229"/>
      <c r="L2483" s="229">
        <f>SUM(ventas_b_mes11[[#This Row],[IMPORTE NETO]:[EXENTO]])</f>
        <v>5220.01</v>
      </c>
      <c r="M2483" s="55"/>
    </row>
    <row r="2484" spans="2:13" x14ac:dyDescent="0.3">
      <c r="B2484" s="223" t="s">
        <v>109</v>
      </c>
      <c r="C2484" s="224">
        <v>6</v>
      </c>
      <c r="D2484" s="225">
        <v>10</v>
      </c>
      <c r="E2484" s="226">
        <v>43167</v>
      </c>
      <c r="F2484" s="227">
        <v>0</v>
      </c>
      <c r="G2484" s="1"/>
      <c r="H2484" s="60">
        <v>3123.97</v>
      </c>
      <c r="I2484" s="228">
        <v>656.03</v>
      </c>
      <c r="J2484" s="229"/>
      <c r="K2484" s="229"/>
      <c r="L2484" s="229">
        <f>SUM(ventas_b_mes11[[#This Row],[IMPORTE NETO]:[EXENTO]])</f>
        <v>3780</v>
      </c>
      <c r="M2484" s="55"/>
    </row>
    <row r="2485" spans="2:13" x14ac:dyDescent="0.3">
      <c r="B2485" s="223" t="s">
        <v>109</v>
      </c>
      <c r="C2485" s="224">
        <v>6</v>
      </c>
      <c r="D2485" s="225">
        <v>10</v>
      </c>
      <c r="E2485" s="226">
        <v>43168</v>
      </c>
      <c r="F2485" s="227">
        <v>0</v>
      </c>
      <c r="G2485" s="1"/>
      <c r="H2485" s="60">
        <v>1214.8800000000001</v>
      </c>
      <c r="I2485" s="228">
        <v>255.12</v>
      </c>
      <c r="J2485" s="229"/>
      <c r="K2485" s="229"/>
      <c r="L2485" s="229">
        <f>SUM(ventas_b_mes11[[#This Row],[IMPORTE NETO]:[EXENTO]])</f>
        <v>1470</v>
      </c>
      <c r="M2485" s="55"/>
    </row>
    <row r="2486" spans="2:13" x14ac:dyDescent="0.3">
      <c r="B2486" s="223" t="s">
        <v>109</v>
      </c>
      <c r="C2486" s="224">
        <v>6</v>
      </c>
      <c r="D2486" s="225">
        <v>10</v>
      </c>
      <c r="E2486" s="226">
        <v>43169</v>
      </c>
      <c r="F2486" s="227">
        <v>0</v>
      </c>
      <c r="G2486" s="1"/>
      <c r="H2486" s="60">
        <v>1561.98</v>
      </c>
      <c r="I2486" s="228">
        <v>328.02</v>
      </c>
      <c r="J2486" s="229"/>
      <c r="K2486" s="229"/>
      <c r="L2486" s="229">
        <f>SUM(ventas_b_mes11[[#This Row],[IMPORTE NETO]:[EXENTO]])</f>
        <v>1890</v>
      </c>
      <c r="M2486" s="55"/>
    </row>
    <row r="2487" spans="2:13" x14ac:dyDescent="0.3">
      <c r="B2487" s="223" t="s">
        <v>109</v>
      </c>
      <c r="C2487" s="224">
        <v>6</v>
      </c>
      <c r="D2487" s="225">
        <v>10</v>
      </c>
      <c r="E2487" s="226">
        <v>43170</v>
      </c>
      <c r="F2487" s="227">
        <v>0</v>
      </c>
      <c r="G2487" s="1"/>
      <c r="H2487" s="60">
        <v>1685.95</v>
      </c>
      <c r="I2487" s="228">
        <v>354.05</v>
      </c>
      <c r="J2487" s="229"/>
      <c r="K2487" s="229"/>
      <c r="L2487" s="229">
        <f>SUM(ventas_b_mes11[[#This Row],[IMPORTE NETO]:[EXENTO]])</f>
        <v>2040</v>
      </c>
      <c r="M2487" s="55"/>
    </row>
    <row r="2488" spans="2:13" x14ac:dyDescent="0.3">
      <c r="B2488" s="223" t="s">
        <v>109</v>
      </c>
      <c r="C2488" s="224">
        <v>6</v>
      </c>
      <c r="D2488" s="225">
        <v>10</v>
      </c>
      <c r="E2488" s="226">
        <v>43171</v>
      </c>
      <c r="F2488" s="227">
        <v>0</v>
      </c>
      <c r="G2488" s="1"/>
      <c r="H2488" s="60">
        <v>3231.4</v>
      </c>
      <c r="I2488" s="228">
        <v>678.6</v>
      </c>
      <c r="J2488" s="229"/>
      <c r="K2488" s="229"/>
      <c r="L2488" s="229">
        <f>SUM(ventas_b_mes11[[#This Row],[IMPORTE NETO]:[EXENTO]])</f>
        <v>3910</v>
      </c>
      <c r="M2488" s="55"/>
    </row>
    <row r="2489" spans="2:13" x14ac:dyDescent="0.3">
      <c r="B2489" s="223" t="s">
        <v>109</v>
      </c>
      <c r="C2489" s="224">
        <v>6</v>
      </c>
      <c r="D2489" s="225">
        <v>10</v>
      </c>
      <c r="E2489" s="226">
        <v>43172</v>
      </c>
      <c r="F2489" s="227">
        <v>0</v>
      </c>
      <c r="G2489" s="1"/>
      <c r="H2489" s="60">
        <v>1991.74</v>
      </c>
      <c r="I2489" s="228">
        <v>418.26</v>
      </c>
      <c r="J2489" s="229"/>
      <c r="K2489" s="229"/>
      <c r="L2489" s="229">
        <f>SUM(ventas_b_mes11[[#This Row],[IMPORTE NETO]:[EXENTO]])</f>
        <v>2410</v>
      </c>
      <c r="M2489" s="55"/>
    </row>
    <row r="2490" spans="2:13" x14ac:dyDescent="0.3">
      <c r="B2490" s="223" t="s">
        <v>109</v>
      </c>
      <c r="C2490" s="224">
        <v>6</v>
      </c>
      <c r="D2490" s="225">
        <v>10</v>
      </c>
      <c r="E2490" s="226">
        <v>43173</v>
      </c>
      <c r="F2490" s="227">
        <v>0</v>
      </c>
      <c r="G2490" s="1"/>
      <c r="H2490" s="60">
        <v>1735.54</v>
      </c>
      <c r="I2490" s="228">
        <v>364.46</v>
      </c>
      <c r="J2490" s="229"/>
      <c r="K2490" s="229"/>
      <c r="L2490" s="229">
        <f>SUM(ventas_b_mes11[[#This Row],[IMPORTE NETO]:[EXENTO]])</f>
        <v>2100</v>
      </c>
      <c r="M2490" s="55"/>
    </row>
    <row r="2491" spans="2:13" x14ac:dyDescent="0.3">
      <c r="B2491" s="223" t="s">
        <v>109</v>
      </c>
      <c r="C2491" s="224">
        <v>6</v>
      </c>
      <c r="D2491" s="225">
        <v>10</v>
      </c>
      <c r="E2491" s="226">
        <v>43174</v>
      </c>
      <c r="F2491" s="227">
        <v>0</v>
      </c>
      <c r="G2491" s="1"/>
      <c r="H2491" s="60">
        <v>2413.21</v>
      </c>
      <c r="I2491" s="228">
        <v>506.78</v>
      </c>
      <c r="J2491" s="229"/>
      <c r="K2491" s="229"/>
      <c r="L2491" s="229">
        <f>SUM(ventas_b_mes11[[#This Row],[IMPORTE NETO]:[EXENTO]])</f>
        <v>2919.99</v>
      </c>
      <c r="M2491" s="55"/>
    </row>
    <row r="2492" spans="2:13" x14ac:dyDescent="0.3">
      <c r="B2492" s="223">
        <v>44845</v>
      </c>
      <c r="C2492" s="224">
        <v>6</v>
      </c>
      <c r="D2492" s="225">
        <v>10</v>
      </c>
      <c r="E2492" s="226">
        <v>43175</v>
      </c>
      <c r="F2492" s="227">
        <v>34139037</v>
      </c>
      <c r="G2492" s="1" t="s">
        <v>552</v>
      </c>
      <c r="H2492" s="60">
        <v>8421.49</v>
      </c>
      <c r="I2492" s="228">
        <v>1768.51</v>
      </c>
      <c r="J2492" s="229"/>
      <c r="K2492" s="229"/>
      <c r="L2492" s="229">
        <f>SUM(ventas_b_mes11[[#This Row],[IMPORTE NETO]:[EXENTO]])</f>
        <v>10190</v>
      </c>
      <c r="M2492" s="55"/>
    </row>
    <row r="2493" spans="2:13" x14ac:dyDescent="0.3">
      <c r="B2493" s="223" t="s">
        <v>109</v>
      </c>
      <c r="C2493" s="224">
        <v>6</v>
      </c>
      <c r="D2493" s="225">
        <v>10</v>
      </c>
      <c r="E2493" s="226">
        <v>43176</v>
      </c>
      <c r="F2493" s="227">
        <v>18832384</v>
      </c>
      <c r="G2493" s="1" t="s">
        <v>553</v>
      </c>
      <c r="H2493" s="60">
        <v>6330.58</v>
      </c>
      <c r="I2493" s="228">
        <v>1329.42</v>
      </c>
      <c r="J2493" s="229"/>
      <c r="K2493" s="229"/>
      <c r="L2493" s="229">
        <f>SUM(ventas_b_mes11[[#This Row],[IMPORTE NETO]:[EXENTO]])</f>
        <v>7660</v>
      </c>
      <c r="M2493" s="55"/>
    </row>
    <row r="2494" spans="2:13" x14ac:dyDescent="0.3">
      <c r="B2494" s="223">
        <v>44845</v>
      </c>
      <c r="C2494" s="224">
        <v>6</v>
      </c>
      <c r="D2494" s="225">
        <v>10</v>
      </c>
      <c r="E2494" s="226">
        <v>43177</v>
      </c>
      <c r="F2494" s="227">
        <v>17453491</v>
      </c>
      <c r="G2494" s="1" t="s">
        <v>528</v>
      </c>
      <c r="H2494" s="60">
        <v>9363.64</v>
      </c>
      <c r="I2494" s="228">
        <v>1966.36</v>
      </c>
      <c r="J2494" s="229"/>
      <c r="K2494" s="229"/>
      <c r="L2494" s="229">
        <f>SUM(ventas_b_mes11[[#This Row],[IMPORTE NETO]:[EXENTO]])</f>
        <v>11330</v>
      </c>
      <c r="M2494" s="55"/>
    </row>
    <row r="2495" spans="2:13" x14ac:dyDescent="0.3">
      <c r="B2495" s="223" t="s">
        <v>109</v>
      </c>
      <c r="C2495" s="224">
        <v>6</v>
      </c>
      <c r="D2495" s="225">
        <v>10</v>
      </c>
      <c r="E2495" s="226">
        <v>43178</v>
      </c>
      <c r="F2495" s="227">
        <v>0</v>
      </c>
      <c r="G2495" s="1"/>
      <c r="H2495" s="60">
        <v>1206.6099999999999</v>
      </c>
      <c r="I2495" s="228">
        <v>253.39</v>
      </c>
      <c r="J2495" s="229"/>
      <c r="K2495" s="229"/>
      <c r="L2495" s="229">
        <f>SUM(ventas_b_mes11[[#This Row],[IMPORTE NETO]:[EXENTO]])</f>
        <v>1460</v>
      </c>
      <c r="M2495" s="55"/>
    </row>
    <row r="2496" spans="2:13" x14ac:dyDescent="0.3">
      <c r="B2496" s="223">
        <v>44845</v>
      </c>
      <c r="C2496" s="224">
        <v>6</v>
      </c>
      <c r="D2496" s="225">
        <v>10</v>
      </c>
      <c r="E2496" s="226">
        <v>43179</v>
      </c>
      <c r="F2496" s="227">
        <v>16009675</v>
      </c>
      <c r="G2496" s="1" t="s">
        <v>584</v>
      </c>
      <c r="H2496" s="60">
        <v>5280.98</v>
      </c>
      <c r="I2496" s="228">
        <v>1109</v>
      </c>
      <c r="J2496" s="229"/>
      <c r="K2496" s="229"/>
      <c r="L2496" s="229">
        <f>SUM(ventas_b_mes11[[#This Row],[IMPORTE NETO]:[EXENTO]])</f>
        <v>6389.98</v>
      </c>
      <c r="M2496" s="55"/>
    </row>
    <row r="2497" spans="2:13" x14ac:dyDescent="0.3">
      <c r="B2497" s="223">
        <v>44845</v>
      </c>
      <c r="C2497" s="224">
        <v>6</v>
      </c>
      <c r="D2497" s="225">
        <v>10</v>
      </c>
      <c r="E2497" s="226">
        <v>43180</v>
      </c>
      <c r="F2497" s="227">
        <v>0</v>
      </c>
      <c r="G2497" s="1"/>
      <c r="H2497" s="60">
        <v>487.6</v>
      </c>
      <c r="I2497" s="228">
        <v>102.4</v>
      </c>
      <c r="J2497" s="229"/>
      <c r="K2497" s="229"/>
      <c r="L2497" s="229">
        <f>SUM(ventas_b_mes11[[#This Row],[IMPORTE NETO]:[EXENTO]])</f>
        <v>590</v>
      </c>
      <c r="M2497" s="55"/>
    </row>
    <row r="2498" spans="2:13" x14ac:dyDescent="0.3">
      <c r="B2498" s="223">
        <v>44845</v>
      </c>
      <c r="C2498" s="224">
        <v>6</v>
      </c>
      <c r="D2498" s="225">
        <v>10</v>
      </c>
      <c r="E2498" s="226">
        <v>43181</v>
      </c>
      <c r="F2498" s="227">
        <v>0</v>
      </c>
      <c r="G2498" s="1"/>
      <c r="H2498" s="60">
        <v>1074.3800000000001</v>
      </c>
      <c r="I2498" s="228">
        <v>225.62</v>
      </c>
      <c r="J2498" s="229"/>
      <c r="K2498" s="229"/>
      <c r="L2498" s="229">
        <f>SUM(ventas_b_mes11[[#This Row],[IMPORTE NETO]:[EXENTO]])</f>
        <v>1300</v>
      </c>
      <c r="M2498" s="55"/>
    </row>
    <row r="2499" spans="2:13" x14ac:dyDescent="0.3">
      <c r="B2499" s="223">
        <v>44845</v>
      </c>
      <c r="C2499" s="224">
        <v>6</v>
      </c>
      <c r="D2499" s="225">
        <v>10</v>
      </c>
      <c r="E2499" s="226">
        <v>43182</v>
      </c>
      <c r="F2499" s="227">
        <v>27762548</v>
      </c>
      <c r="G2499" s="1" t="s">
        <v>583</v>
      </c>
      <c r="H2499" s="60">
        <v>4586.78</v>
      </c>
      <c r="I2499" s="228">
        <v>963.22</v>
      </c>
      <c r="J2499" s="229"/>
      <c r="K2499" s="229"/>
      <c r="L2499" s="229">
        <f>SUM(ventas_b_mes11[[#This Row],[IMPORTE NETO]:[EXENTO]])</f>
        <v>5550</v>
      </c>
      <c r="M2499" s="55"/>
    </row>
    <row r="2500" spans="2:13" x14ac:dyDescent="0.3">
      <c r="B2500" s="223" t="s">
        <v>109</v>
      </c>
      <c r="C2500" s="224">
        <v>6</v>
      </c>
      <c r="D2500" s="225">
        <v>10</v>
      </c>
      <c r="E2500" s="226">
        <v>43183</v>
      </c>
      <c r="F2500" s="227">
        <v>33325189</v>
      </c>
      <c r="G2500" s="1" t="s">
        <v>564</v>
      </c>
      <c r="H2500" s="60">
        <v>7520.66</v>
      </c>
      <c r="I2500" s="228">
        <v>1579.34</v>
      </c>
      <c r="J2500" s="229"/>
      <c r="K2500" s="229"/>
      <c r="L2500" s="229">
        <f>SUM(ventas_b_mes11[[#This Row],[IMPORTE NETO]:[EXENTO]])</f>
        <v>9100</v>
      </c>
      <c r="M2500" s="55"/>
    </row>
    <row r="2501" spans="2:13" x14ac:dyDescent="0.3">
      <c r="B2501" s="223" t="s">
        <v>109</v>
      </c>
      <c r="C2501" s="224">
        <v>6</v>
      </c>
      <c r="D2501" s="225">
        <v>10</v>
      </c>
      <c r="E2501" s="226">
        <v>43184</v>
      </c>
      <c r="F2501" s="227">
        <v>0</v>
      </c>
      <c r="G2501" s="1"/>
      <c r="H2501" s="60">
        <v>3322.31</v>
      </c>
      <c r="I2501" s="228">
        <v>697.69</v>
      </c>
      <c r="J2501" s="229"/>
      <c r="K2501" s="229"/>
      <c r="L2501" s="229">
        <f>SUM(ventas_b_mes11[[#This Row],[IMPORTE NETO]:[EXENTO]])</f>
        <v>4020</v>
      </c>
      <c r="M2501" s="55"/>
    </row>
    <row r="2502" spans="2:13" x14ac:dyDescent="0.3">
      <c r="B2502" s="223" t="s">
        <v>109</v>
      </c>
      <c r="C2502" s="224">
        <v>6</v>
      </c>
      <c r="D2502" s="225">
        <v>10</v>
      </c>
      <c r="E2502" s="226">
        <v>43185</v>
      </c>
      <c r="F2502" s="227">
        <v>0</v>
      </c>
      <c r="G2502" s="1"/>
      <c r="H2502" s="60">
        <v>1157.02</v>
      </c>
      <c r="I2502" s="228">
        <v>242.97</v>
      </c>
      <c r="J2502" s="229"/>
      <c r="K2502" s="229"/>
      <c r="L2502" s="229">
        <f>SUM(ventas_b_mes11[[#This Row],[IMPORTE NETO]:[EXENTO]])</f>
        <v>1399.99</v>
      </c>
      <c r="M2502" s="55"/>
    </row>
    <row r="2503" spans="2:13" x14ac:dyDescent="0.3">
      <c r="B2503" s="223" t="s">
        <v>109</v>
      </c>
      <c r="C2503" s="224">
        <v>6</v>
      </c>
      <c r="D2503" s="225">
        <v>10</v>
      </c>
      <c r="E2503" s="226">
        <v>43186</v>
      </c>
      <c r="F2503" s="227">
        <v>0</v>
      </c>
      <c r="G2503" s="1"/>
      <c r="H2503" s="60">
        <v>1611.57</v>
      </c>
      <c r="I2503" s="228">
        <v>338.43</v>
      </c>
      <c r="J2503" s="229"/>
      <c r="K2503" s="229"/>
      <c r="L2503" s="229">
        <f>SUM(ventas_b_mes11[[#This Row],[IMPORTE NETO]:[EXENTO]])</f>
        <v>1950</v>
      </c>
      <c r="M2503" s="55"/>
    </row>
    <row r="2504" spans="2:13" x14ac:dyDescent="0.3">
      <c r="B2504" s="223" t="s">
        <v>109</v>
      </c>
      <c r="C2504" s="224">
        <v>6</v>
      </c>
      <c r="D2504" s="225">
        <v>10</v>
      </c>
      <c r="E2504" s="226">
        <v>43187</v>
      </c>
      <c r="F2504" s="227">
        <v>0</v>
      </c>
      <c r="G2504" s="1"/>
      <c r="H2504" s="60">
        <v>735.54</v>
      </c>
      <c r="I2504" s="228">
        <v>154.46</v>
      </c>
      <c r="J2504" s="229"/>
      <c r="K2504" s="229"/>
      <c r="L2504" s="229">
        <f>SUM(ventas_b_mes11[[#This Row],[IMPORTE NETO]:[EXENTO]])</f>
        <v>890</v>
      </c>
      <c r="M2504" s="55"/>
    </row>
    <row r="2505" spans="2:13" x14ac:dyDescent="0.3">
      <c r="B2505" s="223" t="s">
        <v>109</v>
      </c>
      <c r="C2505" s="224">
        <v>6</v>
      </c>
      <c r="D2505" s="225">
        <v>10</v>
      </c>
      <c r="E2505" s="226">
        <v>43188</v>
      </c>
      <c r="F2505" s="227">
        <v>0</v>
      </c>
      <c r="G2505" s="1"/>
      <c r="H2505" s="60">
        <v>2471.0700000000002</v>
      </c>
      <c r="I2505" s="228">
        <v>518.92999999999995</v>
      </c>
      <c r="J2505" s="229"/>
      <c r="K2505" s="229"/>
      <c r="L2505" s="229">
        <f>SUM(ventas_b_mes11[[#This Row],[IMPORTE NETO]:[EXENTO]])</f>
        <v>2990</v>
      </c>
      <c r="M2505" s="55"/>
    </row>
    <row r="2506" spans="2:13" x14ac:dyDescent="0.3">
      <c r="B2506" s="223" t="s">
        <v>109</v>
      </c>
      <c r="C2506" s="224">
        <v>6</v>
      </c>
      <c r="D2506" s="225">
        <v>10</v>
      </c>
      <c r="E2506" s="226">
        <v>43189</v>
      </c>
      <c r="F2506" s="227">
        <v>0</v>
      </c>
      <c r="G2506" s="1"/>
      <c r="H2506" s="60">
        <v>3933.88</v>
      </c>
      <c r="I2506" s="228">
        <v>826.11</v>
      </c>
      <c r="J2506" s="229"/>
      <c r="K2506" s="229"/>
      <c r="L2506" s="229">
        <f>SUM(ventas_b_mes11[[#This Row],[IMPORTE NETO]:[EXENTO]])</f>
        <v>4759.99</v>
      </c>
      <c r="M2506" s="55"/>
    </row>
    <row r="2507" spans="2:13" x14ac:dyDescent="0.3">
      <c r="B2507" s="223">
        <v>44845</v>
      </c>
      <c r="C2507" s="224">
        <v>6</v>
      </c>
      <c r="D2507" s="225">
        <v>10</v>
      </c>
      <c r="E2507" s="226">
        <v>43190</v>
      </c>
      <c r="F2507" s="227">
        <v>0</v>
      </c>
      <c r="G2507" s="1"/>
      <c r="H2507" s="60">
        <v>2776.86</v>
      </c>
      <c r="I2507" s="228">
        <v>583.14</v>
      </c>
      <c r="J2507" s="229"/>
      <c r="K2507" s="229"/>
      <c r="L2507" s="229">
        <f>SUM(ventas_b_mes11[[#This Row],[IMPORTE NETO]:[EXENTO]])</f>
        <v>3360</v>
      </c>
      <c r="M2507" s="55"/>
    </row>
    <row r="2508" spans="2:13" x14ac:dyDescent="0.3">
      <c r="B2508" s="223">
        <v>44845</v>
      </c>
      <c r="C2508" s="224">
        <v>6</v>
      </c>
      <c r="D2508" s="225">
        <v>10</v>
      </c>
      <c r="E2508" s="226">
        <v>43191</v>
      </c>
      <c r="F2508" s="227">
        <v>24345447</v>
      </c>
      <c r="G2508" s="1" t="s">
        <v>541</v>
      </c>
      <c r="H2508" s="60">
        <v>5652.89</v>
      </c>
      <c r="I2508" s="228">
        <v>1187.1099999999999</v>
      </c>
      <c r="J2508" s="229"/>
      <c r="K2508" s="229"/>
      <c r="L2508" s="229">
        <f>SUM(ventas_b_mes11[[#This Row],[IMPORTE NETO]:[EXENTO]])</f>
        <v>6840</v>
      </c>
      <c r="M2508" s="55"/>
    </row>
    <row r="2509" spans="2:13" x14ac:dyDescent="0.3">
      <c r="B2509" s="223">
        <v>44845</v>
      </c>
      <c r="C2509" s="224">
        <v>6</v>
      </c>
      <c r="D2509" s="225">
        <v>10</v>
      </c>
      <c r="E2509" s="226">
        <v>43192</v>
      </c>
      <c r="F2509" s="227">
        <v>0</v>
      </c>
      <c r="G2509" s="1"/>
      <c r="H2509" s="60">
        <v>1975.21</v>
      </c>
      <c r="I2509" s="228">
        <v>414.8</v>
      </c>
      <c r="J2509" s="229"/>
      <c r="K2509" s="229"/>
      <c r="L2509" s="229">
        <f>SUM(ventas_b_mes11[[#This Row],[IMPORTE NETO]:[EXENTO]])</f>
        <v>2390.0100000000002</v>
      </c>
      <c r="M2509" s="55"/>
    </row>
    <row r="2510" spans="2:13" x14ac:dyDescent="0.3">
      <c r="B2510" s="223">
        <v>44845</v>
      </c>
      <c r="C2510" s="224">
        <v>6</v>
      </c>
      <c r="D2510" s="225">
        <v>10</v>
      </c>
      <c r="E2510" s="226">
        <v>43193</v>
      </c>
      <c r="F2510" s="227">
        <v>16549357</v>
      </c>
      <c r="G2510" s="1" t="s">
        <v>540</v>
      </c>
      <c r="H2510" s="60">
        <v>5041.32</v>
      </c>
      <c r="I2510" s="228">
        <v>1058.68</v>
      </c>
      <c r="J2510" s="229"/>
      <c r="K2510" s="229"/>
      <c r="L2510" s="229">
        <f>SUM(ventas_b_mes11[[#This Row],[IMPORTE NETO]:[EXENTO]])</f>
        <v>6100</v>
      </c>
      <c r="M2510" s="55"/>
    </row>
    <row r="2511" spans="2:13" x14ac:dyDescent="0.3">
      <c r="B2511" s="223">
        <v>44845</v>
      </c>
      <c r="C2511" s="224">
        <v>6</v>
      </c>
      <c r="D2511" s="225">
        <v>10</v>
      </c>
      <c r="E2511" s="226">
        <v>43194</v>
      </c>
      <c r="F2511" s="227">
        <v>16549357</v>
      </c>
      <c r="G2511" s="1" t="s">
        <v>540</v>
      </c>
      <c r="H2511" s="60">
        <v>11123.97</v>
      </c>
      <c r="I2511" s="228">
        <v>2336.0300000000002</v>
      </c>
      <c r="J2511" s="229"/>
      <c r="K2511" s="229"/>
      <c r="L2511" s="229">
        <f>SUM(ventas_b_mes11[[#This Row],[IMPORTE NETO]:[EXENTO]])</f>
        <v>13460</v>
      </c>
      <c r="M2511" s="55"/>
    </row>
    <row r="2512" spans="2:13" x14ac:dyDescent="0.3">
      <c r="B2512" s="223">
        <v>44845</v>
      </c>
      <c r="C2512" s="224">
        <v>6</v>
      </c>
      <c r="D2512" s="225">
        <v>10</v>
      </c>
      <c r="E2512" s="226">
        <v>43195</v>
      </c>
      <c r="F2512" s="227">
        <v>0</v>
      </c>
      <c r="G2512" s="1"/>
      <c r="H2512" s="60">
        <v>834.71</v>
      </c>
      <c r="I2512" s="228">
        <v>175.29</v>
      </c>
      <c r="J2512" s="229"/>
      <c r="K2512" s="229"/>
      <c r="L2512" s="229">
        <f>SUM(ventas_b_mes11[[#This Row],[IMPORTE NETO]:[EXENTO]])</f>
        <v>1010</v>
      </c>
      <c r="M2512" s="55"/>
    </row>
    <row r="2513" spans="2:13" x14ac:dyDescent="0.3">
      <c r="B2513" s="223">
        <v>44845</v>
      </c>
      <c r="C2513" s="224">
        <v>6</v>
      </c>
      <c r="D2513" s="225">
        <v>10</v>
      </c>
      <c r="E2513" s="226">
        <v>43196</v>
      </c>
      <c r="F2513" s="227">
        <v>0</v>
      </c>
      <c r="G2513" s="1"/>
      <c r="H2513" s="60">
        <v>1801.65</v>
      </c>
      <c r="I2513" s="228">
        <v>378.35</v>
      </c>
      <c r="J2513" s="229"/>
      <c r="K2513" s="229"/>
      <c r="L2513" s="229">
        <f>SUM(ventas_b_mes11[[#This Row],[IMPORTE NETO]:[EXENTO]])</f>
        <v>2180</v>
      </c>
      <c r="M2513" s="55"/>
    </row>
    <row r="2514" spans="2:13" x14ac:dyDescent="0.3">
      <c r="B2514" s="223">
        <v>44845</v>
      </c>
      <c r="C2514" s="224">
        <v>6</v>
      </c>
      <c r="D2514" s="225">
        <v>10</v>
      </c>
      <c r="E2514" s="226">
        <v>43197</v>
      </c>
      <c r="F2514" s="227">
        <v>0</v>
      </c>
      <c r="G2514" s="1"/>
      <c r="H2514" s="60">
        <v>876.03</v>
      </c>
      <c r="I2514" s="228">
        <v>183.97</v>
      </c>
      <c r="J2514" s="229"/>
      <c r="K2514" s="229"/>
      <c r="L2514" s="229">
        <f>SUM(ventas_b_mes11[[#This Row],[IMPORTE NETO]:[EXENTO]])</f>
        <v>1060</v>
      </c>
      <c r="M2514" s="55"/>
    </row>
    <row r="2515" spans="2:13" x14ac:dyDescent="0.3">
      <c r="B2515" s="223">
        <v>44845</v>
      </c>
      <c r="C2515" s="224">
        <v>6</v>
      </c>
      <c r="D2515" s="225">
        <v>10</v>
      </c>
      <c r="E2515" s="226">
        <v>43198</v>
      </c>
      <c r="F2515" s="227">
        <v>35273936</v>
      </c>
      <c r="G2515" s="1" t="s">
        <v>543</v>
      </c>
      <c r="H2515" s="60">
        <v>4834.71</v>
      </c>
      <c r="I2515" s="228">
        <v>1015.29</v>
      </c>
      <c r="J2515" s="229"/>
      <c r="K2515" s="229"/>
      <c r="L2515" s="229">
        <f>SUM(ventas_b_mes11[[#This Row],[IMPORTE NETO]:[EXENTO]])</f>
        <v>5850</v>
      </c>
      <c r="M2515" s="55"/>
    </row>
    <row r="2516" spans="2:13" x14ac:dyDescent="0.3">
      <c r="B2516" s="223">
        <v>44845</v>
      </c>
      <c r="C2516" s="224">
        <v>6</v>
      </c>
      <c r="D2516" s="225">
        <v>10</v>
      </c>
      <c r="E2516" s="226">
        <v>43199</v>
      </c>
      <c r="F2516" s="227">
        <v>0</v>
      </c>
      <c r="G2516" s="1"/>
      <c r="H2516" s="60">
        <v>2082.64</v>
      </c>
      <c r="I2516" s="228">
        <v>437.35</v>
      </c>
      <c r="J2516" s="229"/>
      <c r="K2516" s="229"/>
      <c r="L2516" s="229">
        <f>SUM(ventas_b_mes11[[#This Row],[IMPORTE NETO]:[EXENTO]])</f>
        <v>2519.9899999999998</v>
      </c>
      <c r="M2516" s="55"/>
    </row>
    <row r="2517" spans="2:13" x14ac:dyDescent="0.3">
      <c r="B2517" s="223">
        <v>44845</v>
      </c>
      <c r="C2517" s="224">
        <v>6</v>
      </c>
      <c r="D2517" s="225">
        <v>10</v>
      </c>
      <c r="E2517" s="226">
        <v>43200</v>
      </c>
      <c r="F2517" s="227">
        <v>0</v>
      </c>
      <c r="G2517" s="1"/>
      <c r="H2517" s="60">
        <v>2314.0300000000002</v>
      </c>
      <c r="I2517" s="228">
        <v>485.95</v>
      </c>
      <c r="J2517" s="229"/>
      <c r="K2517" s="229"/>
      <c r="L2517" s="229">
        <f>SUM(ventas_b_mes11[[#This Row],[IMPORTE NETO]:[EXENTO]])</f>
        <v>2799.98</v>
      </c>
      <c r="M2517" s="55"/>
    </row>
    <row r="2518" spans="2:13" x14ac:dyDescent="0.3">
      <c r="B2518" s="223">
        <v>44845</v>
      </c>
      <c r="C2518" s="224">
        <v>6</v>
      </c>
      <c r="D2518" s="225">
        <v>10</v>
      </c>
      <c r="E2518" s="226">
        <v>43201</v>
      </c>
      <c r="F2518" s="227">
        <v>0</v>
      </c>
      <c r="G2518" s="1"/>
      <c r="H2518" s="60">
        <v>3157.02</v>
      </c>
      <c r="I2518" s="228">
        <v>662.97</v>
      </c>
      <c r="J2518" s="229"/>
      <c r="K2518" s="229"/>
      <c r="L2518" s="229">
        <f>SUM(ventas_b_mes11[[#This Row],[IMPORTE NETO]:[EXENTO]])</f>
        <v>3819.99</v>
      </c>
      <c r="M2518" s="55"/>
    </row>
    <row r="2519" spans="2:13" x14ac:dyDescent="0.3">
      <c r="B2519" s="223">
        <v>44845</v>
      </c>
      <c r="C2519" s="224">
        <v>6</v>
      </c>
      <c r="D2519" s="225">
        <v>10</v>
      </c>
      <c r="E2519" s="226">
        <v>43202</v>
      </c>
      <c r="F2519" s="227">
        <v>0</v>
      </c>
      <c r="G2519" s="1"/>
      <c r="H2519" s="60">
        <v>1206.6099999999999</v>
      </c>
      <c r="I2519" s="228">
        <v>253.39</v>
      </c>
      <c r="J2519" s="229"/>
      <c r="K2519" s="229"/>
      <c r="L2519" s="229">
        <f>SUM(ventas_b_mes11[[#This Row],[IMPORTE NETO]:[EXENTO]])</f>
        <v>1460</v>
      </c>
      <c r="M2519" s="55"/>
    </row>
    <row r="2520" spans="2:13" x14ac:dyDescent="0.3">
      <c r="B2520" s="223">
        <v>44845</v>
      </c>
      <c r="C2520" s="224">
        <v>6</v>
      </c>
      <c r="D2520" s="225">
        <v>10</v>
      </c>
      <c r="E2520" s="226">
        <v>43203</v>
      </c>
      <c r="F2520" s="227">
        <v>0</v>
      </c>
      <c r="G2520" s="1"/>
      <c r="H2520" s="60">
        <v>2280.9899999999998</v>
      </c>
      <c r="I2520" s="228">
        <v>479.01</v>
      </c>
      <c r="J2520" s="229"/>
      <c r="K2520" s="229"/>
      <c r="L2520" s="229">
        <f>SUM(ventas_b_mes11[[#This Row],[IMPORTE NETO]:[EXENTO]])</f>
        <v>2760</v>
      </c>
      <c r="M2520" s="55"/>
    </row>
    <row r="2521" spans="2:13" x14ac:dyDescent="0.3">
      <c r="B2521" s="223">
        <v>44846</v>
      </c>
      <c r="C2521" s="224">
        <v>6</v>
      </c>
      <c r="D2521" s="225">
        <v>10</v>
      </c>
      <c r="E2521" s="226">
        <v>43204</v>
      </c>
      <c r="F2521" s="227">
        <v>18617689</v>
      </c>
      <c r="G2521" s="1" t="s">
        <v>618</v>
      </c>
      <c r="H2521" s="60">
        <v>8772.73</v>
      </c>
      <c r="I2521" s="228">
        <v>1842.27</v>
      </c>
      <c r="J2521" s="229"/>
      <c r="K2521" s="229"/>
      <c r="L2521" s="229">
        <f>SUM(ventas_b_mes11[[#This Row],[IMPORTE NETO]:[EXENTO]])</f>
        <v>10615</v>
      </c>
      <c r="M2521" s="55"/>
    </row>
    <row r="2522" spans="2:13" x14ac:dyDescent="0.3">
      <c r="B2522" s="223">
        <v>44846</v>
      </c>
      <c r="C2522" s="224">
        <v>6</v>
      </c>
      <c r="D2522" s="225">
        <v>10</v>
      </c>
      <c r="E2522" s="226">
        <v>43205</v>
      </c>
      <c r="F2522" s="227">
        <v>0</v>
      </c>
      <c r="G2522" s="1"/>
      <c r="H2522" s="60">
        <v>2148.7600000000002</v>
      </c>
      <c r="I2522" s="228">
        <v>451.24</v>
      </c>
      <c r="J2522" s="229"/>
      <c r="K2522" s="229"/>
      <c r="L2522" s="229">
        <f>SUM(ventas_b_mes11[[#This Row],[IMPORTE NETO]:[EXENTO]])</f>
        <v>2600</v>
      </c>
      <c r="M2522" s="55"/>
    </row>
    <row r="2523" spans="2:13" x14ac:dyDescent="0.3">
      <c r="B2523" s="223">
        <v>44846</v>
      </c>
      <c r="C2523" s="224">
        <v>6</v>
      </c>
      <c r="D2523" s="225">
        <v>10</v>
      </c>
      <c r="E2523" s="226">
        <v>43206</v>
      </c>
      <c r="F2523" s="227">
        <v>22696276</v>
      </c>
      <c r="G2523" s="1" t="s">
        <v>594</v>
      </c>
      <c r="H2523" s="60">
        <v>15975.19</v>
      </c>
      <c r="I2523" s="228">
        <v>3354.79</v>
      </c>
      <c r="J2523" s="229"/>
      <c r="K2523" s="229"/>
      <c r="L2523" s="229">
        <f>SUM(ventas_b_mes11[[#This Row],[IMPORTE NETO]:[EXENTO]])</f>
        <v>19329.98</v>
      </c>
      <c r="M2523" s="55"/>
    </row>
    <row r="2524" spans="2:13" x14ac:dyDescent="0.3">
      <c r="B2524" s="223">
        <v>44846</v>
      </c>
      <c r="C2524" s="224">
        <v>6</v>
      </c>
      <c r="D2524" s="225">
        <v>10</v>
      </c>
      <c r="E2524" s="226">
        <v>43207</v>
      </c>
      <c r="F2524" s="227">
        <v>25710904</v>
      </c>
      <c r="G2524" s="1" t="s">
        <v>615</v>
      </c>
      <c r="H2524" s="60">
        <v>30250.42</v>
      </c>
      <c r="I2524" s="228">
        <v>6352.59</v>
      </c>
      <c r="J2524" s="229"/>
      <c r="K2524" s="229"/>
      <c r="L2524" s="229">
        <f>SUM(ventas_b_mes11[[#This Row],[IMPORTE NETO]:[EXENTO]])</f>
        <v>36603.009999999995</v>
      </c>
      <c r="M2524" s="55"/>
    </row>
    <row r="2525" spans="2:13" x14ac:dyDescent="0.3">
      <c r="B2525" s="223">
        <v>44846</v>
      </c>
      <c r="C2525" s="224">
        <v>6</v>
      </c>
      <c r="D2525" s="225">
        <v>10</v>
      </c>
      <c r="E2525" s="226">
        <v>43208</v>
      </c>
      <c r="F2525" s="227">
        <v>12345687</v>
      </c>
      <c r="G2525" s="1" t="s">
        <v>302</v>
      </c>
      <c r="H2525" s="60">
        <v>9008.26</v>
      </c>
      <c r="I2525" s="228">
        <v>1891.74</v>
      </c>
      <c r="J2525" s="229"/>
      <c r="K2525" s="229"/>
      <c r="L2525" s="229">
        <f>SUM(ventas_b_mes11[[#This Row],[IMPORTE NETO]:[EXENTO]])</f>
        <v>10900</v>
      </c>
      <c r="M2525" s="55"/>
    </row>
    <row r="2526" spans="2:13" x14ac:dyDescent="0.3">
      <c r="B2526" s="223">
        <v>44846</v>
      </c>
      <c r="C2526" s="224">
        <v>6</v>
      </c>
      <c r="D2526" s="225">
        <v>10</v>
      </c>
      <c r="E2526" s="226">
        <v>43209</v>
      </c>
      <c r="F2526" s="227">
        <v>25869848</v>
      </c>
      <c r="G2526" s="1" t="s">
        <v>586</v>
      </c>
      <c r="H2526" s="60">
        <v>3603.31</v>
      </c>
      <c r="I2526" s="228">
        <v>756.69</v>
      </c>
      <c r="J2526" s="229"/>
      <c r="K2526" s="229"/>
      <c r="L2526" s="229">
        <f>SUM(ventas_b_mes11[[#This Row],[IMPORTE NETO]:[EXENTO]])</f>
        <v>4360</v>
      </c>
      <c r="M2526" s="55"/>
    </row>
    <row r="2527" spans="2:13" x14ac:dyDescent="0.3">
      <c r="B2527" s="223">
        <v>44846</v>
      </c>
      <c r="C2527" s="224">
        <v>6</v>
      </c>
      <c r="D2527" s="225">
        <v>10</v>
      </c>
      <c r="E2527" s="226">
        <v>43210</v>
      </c>
      <c r="F2527" s="227">
        <v>27054699315</v>
      </c>
      <c r="G2527" s="1" t="s">
        <v>587</v>
      </c>
      <c r="H2527" s="60">
        <v>8388.43</v>
      </c>
      <c r="I2527" s="228">
        <v>1761.57</v>
      </c>
      <c r="J2527" s="229"/>
      <c r="K2527" s="229"/>
      <c r="L2527" s="229">
        <f>SUM(ventas_b_mes11[[#This Row],[IMPORTE NETO]:[EXENTO]])</f>
        <v>10150</v>
      </c>
      <c r="M2527" s="55"/>
    </row>
    <row r="2528" spans="2:13" x14ac:dyDescent="0.3">
      <c r="B2528" s="223">
        <v>44846</v>
      </c>
      <c r="C2528" s="224">
        <v>6</v>
      </c>
      <c r="D2528" s="225">
        <v>10</v>
      </c>
      <c r="E2528" s="226">
        <v>43211</v>
      </c>
      <c r="F2528" s="227">
        <v>0</v>
      </c>
      <c r="G2528" s="1"/>
      <c r="H2528" s="60">
        <v>619.83000000000004</v>
      </c>
      <c r="I2528" s="228">
        <v>130.16999999999999</v>
      </c>
      <c r="J2528" s="229"/>
      <c r="K2528" s="229"/>
      <c r="L2528" s="229">
        <f>SUM(ventas_b_mes11[[#This Row],[IMPORTE NETO]:[EXENTO]])</f>
        <v>750</v>
      </c>
      <c r="M2528" s="55"/>
    </row>
    <row r="2529" spans="2:13" x14ac:dyDescent="0.3">
      <c r="B2529" s="223">
        <v>44846</v>
      </c>
      <c r="C2529" s="224">
        <v>6</v>
      </c>
      <c r="D2529" s="225">
        <v>10</v>
      </c>
      <c r="E2529" s="226">
        <v>43212</v>
      </c>
      <c r="F2529" s="227">
        <v>0</v>
      </c>
      <c r="G2529" s="1"/>
      <c r="H2529" s="60">
        <v>2975.21</v>
      </c>
      <c r="I2529" s="228">
        <v>624.79</v>
      </c>
      <c r="J2529" s="229"/>
      <c r="K2529" s="229"/>
      <c r="L2529" s="229">
        <f>SUM(ventas_b_mes11[[#This Row],[IMPORTE NETO]:[EXENTO]])</f>
        <v>3600</v>
      </c>
      <c r="M2529" s="55"/>
    </row>
    <row r="2530" spans="2:13" x14ac:dyDescent="0.3">
      <c r="B2530" s="223">
        <v>44846</v>
      </c>
      <c r="C2530" s="224">
        <v>6</v>
      </c>
      <c r="D2530" s="225">
        <v>10</v>
      </c>
      <c r="E2530" s="226">
        <v>43213</v>
      </c>
      <c r="F2530" s="227">
        <v>365788412</v>
      </c>
      <c r="G2530" s="1"/>
      <c r="H2530" s="60">
        <v>6818.18</v>
      </c>
      <c r="I2530" s="228">
        <v>1431.82</v>
      </c>
      <c r="J2530" s="229"/>
      <c r="K2530" s="229"/>
      <c r="L2530" s="229">
        <f>SUM(ventas_b_mes11[[#This Row],[IMPORTE NETO]:[EXENTO]])</f>
        <v>8250</v>
      </c>
      <c r="M2530" s="55"/>
    </row>
    <row r="2531" spans="2:13" x14ac:dyDescent="0.3">
      <c r="B2531" s="223">
        <v>44846</v>
      </c>
      <c r="C2531" s="224">
        <v>6</v>
      </c>
      <c r="D2531" s="225">
        <v>10</v>
      </c>
      <c r="E2531" s="226">
        <v>43214</v>
      </c>
      <c r="F2531" s="227">
        <v>38614825</v>
      </c>
      <c r="G2531" s="1" t="s">
        <v>602</v>
      </c>
      <c r="H2531" s="60">
        <v>4958.68</v>
      </c>
      <c r="I2531" s="228">
        <v>1041.32</v>
      </c>
      <c r="J2531" s="229"/>
      <c r="K2531" s="229"/>
      <c r="L2531" s="229">
        <f>SUM(ventas_b_mes11[[#This Row],[IMPORTE NETO]:[EXENTO]])</f>
        <v>6000</v>
      </c>
      <c r="M2531" s="55"/>
    </row>
    <row r="2532" spans="2:13" x14ac:dyDescent="0.3">
      <c r="B2532" s="223">
        <v>44846</v>
      </c>
      <c r="C2532" s="224">
        <v>6</v>
      </c>
      <c r="D2532" s="225">
        <v>10</v>
      </c>
      <c r="E2532" s="226">
        <v>43215</v>
      </c>
      <c r="F2532" s="227">
        <v>14560230</v>
      </c>
      <c r="G2532" s="1" t="s">
        <v>596</v>
      </c>
      <c r="H2532" s="60">
        <v>2479.34</v>
      </c>
      <c r="I2532" s="228">
        <v>520.66</v>
      </c>
      <c r="J2532" s="229"/>
      <c r="K2532" s="229"/>
      <c r="L2532" s="229">
        <f>SUM(ventas_b_mes11[[#This Row],[IMPORTE NETO]:[EXENTO]])</f>
        <v>3000</v>
      </c>
      <c r="M2532" s="55"/>
    </row>
    <row r="2533" spans="2:13" x14ac:dyDescent="0.3">
      <c r="B2533" s="223">
        <v>44846</v>
      </c>
      <c r="C2533" s="224">
        <v>6</v>
      </c>
      <c r="D2533" s="225">
        <v>10</v>
      </c>
      <c r="E2533" s="226">
        <v>43216</v>
      </c>
      <c r="F2533" s="227">
        <v>34999032089</v>
      </c>
      <c r="G2533" s="1" t="s">
        <v>568</v>
      </c>
      <c r="H2533" s="60">
        <v>4958.68</v>
      </c>
      <c r="I2533" s="228">
        <v>1041.32</v>
      </c>
      <c r="J2533" s="229"/>
      <c r="K2533" s="229"/>
      <c r="L2533" s="229">
        <f>SUM(ventas_b_mes11[[#This Row],[IMPORTE NETO]:[EXENTO]])</f>
        <v>6000</v>
      </c>
      <c r="M2533" s="55"/>
    </row>
    <row r="2534" spans="2:13" x14ac:dyDescent="0.3">
      <c r="B2534" s="223">
        <v>44846</v>
      </c>
      <c r="C2534" s="224">
        <v>6</v>
      </c>
      <c r="D2534" s="225">
        <v>10</v>
      </c>
      <c r="E2534" s="226">
        <v>43217</v>
      </c>
      <c r="F2534" s="227">
        <v>24551785</v>
      </c>
      <c r="G2534" s="1" t="s">
        <v>619</v>
      </c>
      <c r="H2534" s="60">
        <v>4958.68</v>
      </c>
      <c r="I2534" s="228">
        <v>1041.32</v>
      </c>
      <c r="J2534" s="229"/>
      <c r="K2534" s="229"/>
      <c r="L2534" s="229">
        <f>SUM(ventas_b_mes11[[#This Row],[IMPORTE NETO]:[EXENTO]])</f>
        <v>6000</v>
      </c>
      <c r="M2534" s="55"/>
    </row>
    <row r="2535" spans="2:13" x14ac:dyDescent="0.3">
      <c r="B2535" s="223">
        <v>44846</v>
      </c>
      <c r="C2535" s="224">
        <v>6</v>
      </c>
      <c r="D2535" s="225">
        <v>10</v>
      </c>
      <c r="E2535" s="226">
        <v>43218</v>
      </c>
      <c r="F2535" s="227">
        <v>27602253</v>
      </c>
      <c r="G2535" s="1" t="s">
        <v>207</v>
      </c>
      <c r="H2535" s="60">
        <v>2380.16</v>
      </c>
      <c r="I2535" s="228">
        <v>499.83</v>
      </c>
      <c r="J2535" s="229"/>
      <c r="K2535" s="229"/>
      <c r="L2535" s="229">
        <f>SUM(ventas_b_mes11[[#This Row],[IMPORTE NETO]:[EXENTO]])</f>
        <v>2879.99</v>
      </c>
      <c r="M2535" s="55"/>
    </row>
    <row r="2536" spans="2:13" x14ac:dyDescent="0.3">
      <c r="B2536" s="223">
        <v>44846</v>
      </c>
      <c r="C2536" s="224">
        <v>6</v>
      </c>
      <c r="D2536" s="225">
        <v>10</v>
      </c>
      <c r="E2536" s="226">
        <v>43219</v>
      </c>
      <c r="F2536" s="227">
        <v>23145698</v>
      </c>
      <c r="G2536" s="1" t="s">
        <v>617</v>
      </c>
      <c r="H2536" s="60">
        <v>20181.82</v>
      </c>
      <c r="I2536" s="228">
        <v>4238.18</v>
      </c>
      <c r="J2536" s="229"/>
      <c r="K2536" s="229"/>
      <c r="L2536" s="229">
        <f>SUM(ventas_b_mes11[[#This Row],[IMPORTE NETO]:[EXENTO]])</f>
        <v>24420</v>
      </c>
      <c r="M2536" s="55"/>
    </row>
    <row r="2537" spans="2:13" x14ac:dyDescent="0.3">
      <c r="B2537" s="223" t="s">
        <v>110</v>
      </c>
      <c r="C2537" s="224">
        <v>6</v>
      </c>
      <c r="D2537" s="225">
        <v>10</v>
      </c>
      <c r="E2537" s="226">
        <v>43220</v>
      </c>
      <c r="F2537" s="227">
        <v>22167708</v>
      </c>
      <c r="G2537" s="1" t="s">
        <v>599</v>
      </c>
      <c r="H2537" s="60">
        <v>6099.17</v>
      </c>
      <c r="I2537" s="228">
        <v>1280.83</v>
      </c>
      <c r="J2537" s="229"/>
      <c r="K2537" s="229"/>
      <c r="L2537" s="229">
        <f>SUM(ventas_b_mes11[[#This Row],[IMPORTE NETO]:[EXENTO]])</f>
        <v>7380</v>
      </c>
      <c r="M2537" s="55"/>
    </row>
    <row r="2538" spans="2:13" x14ac:dyDescent="0.3">
      <c r="B2538" s="223">
        <v>44846</v>
      </c>
      <c r="C2538" s="224">
        <v>6</v>
      </c>
      <c r="D2538" s="225">
        <v>10</v>
      </c>
      <c r="E2538" s="226">
        <v>43221</v>
      </c>
      <c r="F2538" s="227">
        <v>123456</v>
      </c>
      <c r="G2538" s="1"/>
      <c r="H2538" s="60">
        <v>3057.85</v>
      </c>
      <c r="I2538" s="228">
        <v>642.15</v>
      </c>
      <c r="J2538" s="229"/>
      <c r="K2538" s="229"/>
      <c r="L2538" s="229">
        <f>SUM(ventas_b_mes11[[#This Row],[IMPORTE NETO]:[EXENTO]])</f>
        <v>3700</v>
      </c>
      <c r="M2538" s="55"/>
    </row>
    <row r="2539" spans="2:13" x14ac:dyDescent="0.3">
      <c r="B2539" s="223">
        <v>44847</v>
      </c>
      <c r="C2539" s="224">
        <v>6</v>
      </c>
      <c r="D2539" s="225">
        <v>10</v>
      </c>
      <c r="E2539" s="226">
        <v>43222</v>
      </c>
      <c r="F2539" s="227">
        <v>27302842790</v>
      </c>
      <c r="G2539" s="1" t="s">
        <v>224</v>
      </c>
      <c r="H2539" s="60">
        <v>80807.009999999995</v>
      </c>
      <c r="I2539" s="228">
        <v>16969.47</v>
      </c>
      <c r="J2539" s="229"/>
      <c r="K2539" s="229"/>
      <c r="L2539" s="229">
        <f>SUM(ventas_b_mes11[[#This Row],[IMPORTE NETO]:[EXENTO]])</f>
        <v>97776.48</v>
      </c>
      <c r="M2539" s="55"/>
    </row>
    <row r="2540" spans="2:13" x14ac:dyDescent="0.3">
      <c r="B2540" s="223">
        <v>44847</v>
      </c>
      <c r="C2540" s="224">
        <v>6</v>
      </c>
      <c r="D2540" s="225">
        <v>10</v>
      </c>
      <c r="E2540" s="226">
        <v>43223</v>
      </c>
      <c r="F2540" s="227">
        <v>27289788722</v>
      </c>
      <c r="G2540" s="1" t="s">
        <v>206</v>
      </c>
      <c r="H2540" s="60">
        <v>30302.63</v>
      </c>
      <c r="I2540" s="228">
        <v>6363.55</v>
      </c>
      <c r="J2540" s="229"/>
      <c r="K2540" s="229"/>
      <c r="L2540" s="229">
        <f>SUM(ventas_b_mes11[[#This Row],[IMPORTE NETO]:[EXENTO]])</f>
        <v>36666.18</v>
      </c>
      <c r="M2540" s="55"/>
    </row>
    <row r="2541" spans="2:13" x14ac:dyDescent="0.3">
      <c r="B2541" s="223">
        <v>44847</v>
      </c>
      <c r="C2541" s="224">
        <v>6</v>
      </c>
      <c r="D2541" s="225">
        <v>10</v>
      </c>
      <c r="E2541" s="226">
        <v>43224</v>
      </c>
      <c r="F2541" s="227">
        <v>27289788722</v>
      </c>
      <c r="G2541" s="1" t="s">
        <v>206</v>
      </c>
      <c r="H2541" s="60">
        <v>14647.15</v>
      </c>
      <c r="I2541" s="228">
        <v>3075.9</v>
      </c>
      <c r="J2541" s="229"/>
      <c r="K2541" s="229"/>
      <c r="L2541" s="229">
        <f>SUM(ventas_b_mes11[[#This Row],[IMPORTE NETO]:[EXENTO]])</f>
        <v>17723.05</v>
      </c>
      <c r="M2541" s="55"/>
    </row>
    <row r="2542" spans="2:13" x14ac:dyDescent="0.3">
      <c r="B2542" s="223" t="s">
        <v>111</v>
      </c>
      <c r="C2542" s="224">
        <v>6</v>
      </c>
      <c r="D2542" s="225">
        <v>10</v>
      </c>
      <c r="E2542" s="226">
        <v>43225</v>
      </c>
      <c r="F2542" s="227">
        <v>20206152</v>
      </c>
      <c r="G2542" s="1" t="s">
        <v>230</v>
      </c>
      <c r="H2542" s="60">
        <v>4690.07</v>
      </c>
      <c r="I2542" s="228">
        <v>984.92</v>
      </c>
      <c r="J2542" s="229"/>
      <c r="K2542" s="229"/>
      <c r="L2542" s="229">
        <f>SUM(ventas_b_mes11[[#This Row],[IMPORTE NETO]:[EXENTO]])</f>
        <v>5674.99</v>
      </c>
      <c r="M2542" s="55"/>
    </row>
    <row r="2543" spans="2:13" x14ac:dyDescent="0.3">
      <c r="B2543" s="223">
        <v>44847</v>
      </c>
      <c r="C2543" s="224">
        <v>6</v>
      </c>
      <c r="D2543" s="225">
        <v>10</v>
      </c>
      <c r="E2543" s="226">
        <v>43226</v>
      </c>
      <c r="F2543" s="227">
        <v>92654748</v>
      </c>
      <c r="G2543" s="1" t="s">
        <v>138</v>
      </c>
      <c r="H2543" s="60">
        <v>21327.27</v>
      </c>
      <c r="I2543" s="228">
        <v>4478.7299999999996</v>
      </c>
      <c r="J2543" s="229"/>
      <c r="K2543" s="229"/>
      <c r="L2543" s="229">
        <f>SUM(ventas_b_mes11[[#This Row],[IMPORTE NETO]:[EXENTO]])</f>
        <v>25806</v>
      </c>
      <c r="M2543" s="55"/>
    </row>
    <row r="2544" spans="2:13" x14ac:dyDescent="0.3">
      <c r="B2544" s="223">
        <v>44847</v>
      </c>
      <c r="C2544" s="224">
        <v>6</v>
      </c>
      <c r="D2544" s="225">
        <v>10</v>
      </c>
      <c r="E2544" s="226">
        <v>43227</v>
      </c>
      <c r="F2544" s="227">
        <v>5903039</v>
      </c>
      <c r="G2544" s="1" t="s">
        <v>638</v>
      </c>
      <c r="H2544" s="60">
        <v>13144.63</v>
      </c>
      <c r="I2544" s="228">
        <v>2760.37</v>
      </c>
      <c r="J2544" s="229"/>
      <c r="K2544" s="229"/>
      <c r="L2544" s="229">
        <f>SUM(ventas_b_mes11[[#This Row],[IMPORTE NETO]:[EXENTO]])</f>
        <v>15905</v>
      </c>
      <c r="M2544" s="55"/>
    </row>
    <row r="2545" spans="2:13" x14ac:dyDescent="0.3">
      <c r="B2545" s="223">
        <v>44847</v>
      </c>
      <c r="C2545" s="224">
        <v>6</v>
      </c>
      <c r="D2545" s="225">
        <v>10</v>
      </c>
      <c r="E2545" s="226">
        <v>43228</v>
      </c>
      <c r="F2545" s="227">
        <v>29945819</v>
      </c>
      <c r="G2545" s="1"/>
      <c r="H2545" s="60">
        <v>7028.93</v>
      </c>
      <c r="I2545" s="228">
        <v>1476.07</v>
      </c>
      <c r="J2545" s="229"/>
      <c r="K2545" s="229"/>
      <c r="L2545" s="229">
        <f>SUM(ventas_b_mes11[[#This Row],[IMPORTE NETO]:[EXENTO]])</f>
        <v>8505</v>
      </c>
      <c r="M2545" s="55"/>
    </row>
    <row r="2546" spans="2:13" x14ac:dyDescent="0.3">
      <c r="B2546" s="223">
        <v>44847</v>
      </c>
      <c r="C2546" s="224">
        <v>6</v>
      </c>
      <c r="D2546" s="225">
        <v>10</v>
      </c>
      <c r="E2546" s="226">
        <v>43229</v>
      </c>
      <c r="F2546" s="227">
        <v>1760691</v>
      </c>
      <c r="G2546" s="1" t="s">
        <v>642</v>
      </c>
      <c r="H2546" s="60">
        <v>14710.74</v>
      </c>
      <c r="I2546" s="228">
        <v>3089.26</v>
      </c>
      <c r="J2546" s="229"/>
      <c r="K2546" s="229"/>
      <c r="L2546" s="229">
        <f>SUM(ventas_b_mes11[[#This Row],[IMPORTE NETO]:[EXENTO]])</f>
        <v>17800</v>
      </c>
      <c r="M2546" s="55"/>
    </row>
    <row r="2547" spans="2:13" x14ac:dyDescent="0.3">
      <c r="B2547" s="223">
        <v>44847</v>
      </c>
      <c r="C2547" s="224">
        <v>6</v>
      </c>
      <c r="D2547" s="225">
        <v>10</v>
      </c>
      <c r="E2547" s="226">
        <v>43230</v>
      </c>
      <c r="F2547" s="227">
        <v>18597462</v>
      </c>
      <c r="G2547" s="1" t="s">
        <v>243</v>
      </c>
      <c r="H2547" s="60">
        <v>4090.91</v>
      </c>
      <c r="I2547" s="228">
        <v>859.09</v>
      </c>
      <c r="J2547" s="229"/>
      <c r="K2547" s="229"/>
      <c r="L2547" s="229">
        <f>SUM(ventas_b_mes11[[#This Row],[IMPORTE NETO]:[EXENTO]])</f>
        <v>4950</v>
      </c>
      <c r="M2547" s="55"/>
    </row>
    <row r="2548" spans="2:13" x14ac:dyDescent="0.3">
      <c r="B2548" s="223">
        <v>44847</v>
      </c>
      <c r="C2548" s="224">
        <v>6</v>
      </c>
      <c r="D2548" s="225">
        <v>10</v>
      </c>
      <c r="E2548" s="226">
        <v>43231</v>
      </c>
      <c r="F2548" s="227">
        <v>0</v>
      </c>
      <c r="G2548" s="1"/>
      <c r="H2548" s="60">
        <v>3057.85</v>
      </c>
      <c r="I2548" s="228">
        <v>642.15</v>
      </c>
      <c r="J2548" s="229"/>
      <c r="K2548" s="229"/>
      <c r="L2548" s="229">
        <f>SUM(ventas_b_mes11[[#This Row],[IMPORTE NETO]:[EXENTO]])</f>
        <v>3700</v>
      </c>
      <c r="M2548" s="55"/>
    </row>
    <row r="2549" spans="2:13" x14ac:dyDescent="0.3">
      <c r="B2549" s="223">
        <v>44847</v>
      </c>
      <c r="C2549" s="224">
        <v>6</v>
      </c>
      <c r="D2549" s="225">
        <v>10</v>
      </c>
      <c r="E2549" s="226">
        <v>43232</v>
      </c>
      <c r="F2549" s="227">
        <v>33209127</v>
      </c>
      <c r="G2549" s="1" t="s">
        <v>646</v>
      </c>
      <c r="H2549" s="60">
        <v>21406.61</v>
      </c>
      <c r="I2549" s="228">
        <v>4495.3900000000003</v>
      </c>
      <c r="J2549" s="229"/>
      <c r="K2549" s="229"/>
      <c r="L2549" s="229">
        <f>SUM(ventas_b_mes11[[#This Row],[IMPORTE NETO]:[EXENTO]])</f>
        <v>25902</v>
      </c>
      <c r="M2549" s="55"/>
    </row>
    <row r="2550" spans="2:13" x14ac:dyDescent="0.3">
      <c r="B2550" s="223">
        <v>44847</v>
      </c>
      <c r="C2550" s="224">
        <v>6</v>
      </c>
      <c r="D2550" s="225">
        <v>10</v>
      </c>
      <c r="E2550" s="226">
        <v>43233</v>
      </c>
      <c r="F2550" s="227">
        <v>123456</v>
      </c>
      <c r="G2550" s="1"/>
      <c r="H2550" s="60">
        <v>4148.76</v>
      </c>
      <c r="I2550" s="228">
        <v>871.24</v>
      </c>
      <c r="J2550" s="229"/>
      <c r="K2550" s="229"/>
      <c r="L2550" s="229">
        <f>SUM(ventas_b_mes11[[#This Row],[IMPORTE NETO]:[EXENTO]])</f>
        <v>5020</v>
      </c>
      <c r="M2550" s="55"/>
    </row>
    <row r="2551" spans="2:13" x14ac:dyDescent="0.3">
      <c r="B2551" s="223">
        <v>44847</v>
      </c>
      <c r="C2551" s="224">
        <v>6</v>
      </c>
      <c r="D2551" s="225">
        <v>10</v>
      </c>
      <c r="E2551" s="226">
        <v>43234</v>
      </c>
      <c r="F2551" s="227">
        <v>20006210</v>
      </c>
      <c r="G2551" s="1" t="s">
        <v>629</v>
      </c>
      <c r="H2551" s="60">
        <v>1756.2</v>
      </c>
      <c r="I2551" s="228">
        <v>368.8</v>
      </c>
      <c r="J2551" s="229"/>
      <c r="K2551" s="229"/>
      <c r="L2551" s="229">
        <f>SUM(ventas_b_mes11[[#This Row],[IMPORTE NETO]:[EXENTO]])</f>
        <v>2125</v>
      </c>
      <c r="M2551" s="55"/>
    </row>
    <row r="2552" spans="2:13" x14ac:dyDescent="0.3">
      <c r="B2552" s="223">
        <v>44847</v>
      </c>
      <c r="C2552" s="224">
        <v>6</v>
      </c>
      <c r="D2552" s="225">
        <v>10</v>
      </c>
      <c r="E2552" s="226">
        <v>43235</v>
      </c>
      <c r="F2552" s="227">
        <v>20278928</v>
      </c>
      <c r="G2552" s="1" t="s">
        <v>641</v>
      </c>
      <c r="H2552" s="60">
        <v>11694.22</v>
      </c>
      <c r="I2552" s="228">
        <v>2455.79</v>
      </c>
      <c r="J2552" s="229"/>
      <c r="K2552" s="229"/>
      <c r="L2552" s="229">
        <f>SUM(ventas_b_mes11[[#This Row],[IMPORTE NETO]:[EXENTO]])</f>
        <v>14150.009999999998</v>
      </c>
      <c r="M2552" s="55"/>
    </row>
    <row r="2553" spans="2:13" x14ac:dyDescent="0.3">
      <c r="B2553" s="223">
        <v>44847</v>
      </c>
      <c r="C2553" s="224">
        <v>6</v>
      </c>
      <c r="D2553" s="225">
        <v>10</v>
      </c>
      <c r="E2553" s="226">
        <v>43236</v>
      </c>
      <c r="F2553" s="227">
        <v>123456</v>
      </c>
      <c r="G2553" s="1"/>
      <c r="H2553" s="60">
        <v>4966.9399999999996</v>
      </c>
      <c r="I2553" s="228">
        <v>1043.06</v>
      </c>
      <c r="J2553" s="229"/>
      <c r="K2553" s="229"/>
      <c r="L2553" s="229">
        <f>SUM(ventas_b_mes11[[#This Row],[IMPORTE NETO]:[EXENTO]])</f>
        <v>6010</v>
      </c>
      <c r="M2553" s="55"/>
    </row>
    <row r="2554" spans="2:13" x14ac:dyDescent="0.3">
      <c r="B2554" s="223">
        <v>44847</v>
      </c>
      <c r="C2554" s="224">
        <v>6</v>
      </c>
      <c r="D2554" s="225">
        <v>10</v>
      </c>
      <c r="E2554" s="226">
        <v>43237</v>
      </c>
      <c r="F2554" s="227">
        <v>23962248</v>
      </c>
      <c r="G2554" s="1" t="s">
        <v>637</v>
      </c>
      <c r="H2554" s="60">
        <v>4462.82</v>
      </c>
      <c r="I2554" s="228">
        <v>937.19</v>
      </c>
      <c r="J2554" s="229"/>
      <c r="K2554" s="229"/>
      <c r="L2554" s="229">
        <f>SUM(ventas_b_mes11[[#This Row],[IMPORTE NETO]:[EXENTO]])</f>
        <v>5400.01</v>
      </c>
      <c r="M2554" s="55"/>
    </row>
    <row r="2555" spans="2:13" x14ac:dyDescent="0.3">
      <c r="B2555" s="223">
        <v>44847</v>
      </c>
      <c r="C2555" s="224">
        <v>6</v>
      </c>
      <c r="D2555" s="225">
        <v>10</v>
      </c>
      <c r="E2555" s="226">
        <v>43238</v>
      </c>
      <c r="F2555" s="227">
        <v>23962248</v>
      </c>
      <c r="G2555" s="1" t="s">
        <v>637</v>
      </c>
      <c r="H2555" s="60">
        <v>2913.22</v>
      </c>
      <c r="I2555" s="228">
        <v>611.78</v>
      </c>
      <c r="J2555" s="229"/>
      <c r="K2555" s="229"/>
      <c r="L2555" s="229">
        <f>SUM(ventas_b_mes11[[#This Row],[IMPORTE NETO]:[EXENTO]])</f>
        <v>3525</v>
      </c>
      <c r="M2555" s="55"/>
    </row>
    <row r="2556" spans="2:13" x14ac:dyDescent="0.3">
      <c r="B2556" s="223">
        <v>44847</v>
      </c>
      <c r="C2556" s="224">
        <v>6</v>
      </c>
      <c r="D2556" s="225">
        <v>10</v>
      </c>
      <c r="E2556" s="226">
        <v>43239</v>
      </c>
      <c r="F2556" s="227">
        <v>38952354</v>
      </c>
      <c r="G2556" s="1" t="s">
        <v>645</v>
      </c>
      <c r="H2556" s="60">
        <v>3919.83</v>
      </c>
      <c r="I2556" s="228">
        <v>823.17</v>
      </c>
      <c r="J2556" s="229"/>
      <c r="K2556" s="229"/>
      <c r="L2556" s="229">
        <f>SUM(ventas_b_mes11[[#This Row],[IMPORTE NETO]:[EXENTO]])</f>
        <v>4743</v>
      </c>
      <c r="M2556" s="55"/>
    </row>
    <row r="2557" spans="2:13" x14ac:dyDescent="0.3">
      <c r="B2557" s="223">
        <v>44847</v>
      </c>
      <c r="C2557" s="224">
        <v>6</v>
      </c>
      <c r="D2557" s="225">
        <v>10</v>
      </c>
      <c r="E2557" s="226">
        <v>43240</v>
      </c>
      <c r="F2557" s="227">
        <v>34929602</v>
      </c>
      <c r="G2557" s="1" t="s">
        <v>631</v>
      </c>
      <c r="H2557" s="60">
        <v>384.3</v>
      </c>
      <c r="I2557" s="228">
        <v>80.7</v>
      </c>
      <c r="J2557" s="229"/>
      <c r="K2557" s="229"/>
      <c r="L2557" s="229">
        <f>SUM(ventas_b_mes11[[#This Row],[IMPORTE NETO]:[EXENTO]])</f>
        <v>465</v>
      </c>
      <c r="M2557" s="55"/>
    </row>
    <row r="2558" spans="2:13" x14ac:dyDescent="0.3">
      <c r="B2558" s="223">
        <v>44848</v>
      </c>
      <c r="C2558" s="224">
        <v>6</v>
      </c>
      <c r="D2558" s="225">
        <v>10</v>
      </c>
      <c r="E2558" s="226">
        <v>43241</v>
      </c>
      <c r="F2558" s="227">
        <v>27334264500</v>
      </c>
      <c r="G2558" s="1" t="s">
        <v>674</v>
      </c>
      <c r="H2558" s="60">
        <v>41033.879999999997</v>
      </c>
      <c r="I2558" s="228">
        <v>8617.1200000000008</v>
      </c>
      <c r="J2558" s="229"/>
      <c r="K2558" s="229"/>
      <c r="L2558" s="229">
        <f>SUM(ventas_b_mes11[[#This Row],[IMPORTE NETO]:[EXENTO]])</f>
        <v>49651</v>
      </c>
      <c r="M2558" s="55"/>
    </row>
    <row r="2559" spans="2:13" x14ac:dyDescent="0.3">
      <c r="B2559" s="223">
        <v>44848</v>
      </c>
      <c r="C2559" s="224">
        <v>6</v>
      </c>
      <c r="D2559" s="225">
        <v>10</v>
      </c>
      <c r="E2559" s="226">
        <v>43242</v>
      </c>
      <c r="F2559" s="227">
        <v>20312100267</v>
      </c>
      <c r="G2559" s="1" t="s">
        <v>675</v>
      </c>
      <c r="H2559" s="60">
        <v>30302.63</v>
      </c>
      <c r="I2559" s="228">
        <v>6363.55</v>
      </c>
      <c r="J2559" s="229"/>
      <c r="K2559" s="229"/>
      <c r="L2559" s="229">
        <f>SUM(ventas_b_mes11[[#This Row],[IMPORTE NETO]:[EXENTO]])</f>
        <v>36666.18</v>
      </c>
      <c r="M2559" s="55"/>
    </row>
    <row r="2560" spans="2:13" x14ac:dyDescent="0.3">
      <c r="B2560" s="223">
        <v>44848</v>
      </c>
      <c r="C2560" s="224">
        <v>6</v>
      </c>
      <c r="D2560" s="225">
        <v>10</v>
      </c>
      <c r="E2560" s="226">
        <v>43243</v>
      </c>
      <c r="F2560" s="227">
        <v>27222291661</v>
      </c>
      <c r="G2560" s="1"/>
      <c r="H2560" s="60">
        <v>60239.67</v>
      </c>
      <c r="I2560" s="228">
        <v>12650.33</v>
      </c>
      <c r="J2560" s="229"/>
      <c r="K2560" s="229"/>
      <c r="L2560" s="229">
        <f>SUM(ventas_b_mes11[[#This Row],[IMPORTE NETO]:[EXENTO]])</f>
        <v>72890</v>
      </c>
      <c r="M2560" s="55"/>
    </row>
    <row r="2561" spans="2:13" x14ac:dyDescent="0.3">
      <c r="B2561" s="223">
        <v>44848</v>
      </c>
      <c r="C2561" s="224">
        <v>6</v>
      </c>
      <c r="D2561" s="225">
        <v>10</v>
      </c>
      <c r="E2561" s="226">
        <v>43244</v>
      </c>
      <c r="F2561" s="227">
        <v>27222291661</v>
      </c>
      <c r="G2561" s="1"/>
      <c r="H2561" s="60">
        <v>51587.57</v>
      </c>
      <c r="I2561" s="228">
        <v>10833.39</v>
      </c>
      <c r="J2561" s="229"/>
      <c r="K2561" s="229"/>
      <c r="L2561" s="229">
        <f>SUM(ventas_b_mes11[[#This Row],[IMPORTE NETO]:[EXENTO]])</f>
        <v>62420.959999999999</v>
      </c>
      <c r="M2561" s="55"/>
    </row>
    <row r="2562" spans="2:13" x14ac:dyDescent="0.3">
      <c r="B2562" s="223">
        <v>44848</v>
      </c>
      <c r="C2562" s="224">
        <v>6</v>
      </c>
      <c r="D2562" s="225">
        <v>10</v>
      </c>
      <c r="E2562" s="226">
        <v>43245</v>
      </c>
      <c r="F2562" s="227">
        <v>27222291661</v>
      </c>
      <c r="G2562" s="1"/>
      <c r="H2562" s="60">
        <v>53072.75</v>
      </c>
      <c r="I2562" s="228">
        <v>11145.28</v>
      </c>
      <c r="J2562" s="229"/>
      <c r="K2562" s="229"/>
      <c r="L2562" s="229">
        <f>SUM(ventas_b_mes11[[#This Row],[IMPORTE NETO]:[EXENTO]])</f>
        <v>64218.03</v>
      </c>
      <c r="M2562" s="55"/>
    </row>
    <row r="2563" spans="2:13" x14ac:dyDescent="0.3">
      <c r="B2563" s="223">
        <v>44848</v>
      </c>
      <c r="C2563" s="224">
        <v>6</v>
      </c>
      <c r="D2563" s="225">
        <v>10</v>
      </c>
      <c r="E2563" s="226">
        <v>43246</v>
      </c>
      <c r="F2563" s="227">
        <v>27222291661</v>
      </c>
      <c r="G2563" s="1"/>
      <c r="H2563" s="60">
        <v>34899.17</v>
      </c>
      <c r="I2563" s="228">
        <v>7328.83</v>
      </c>
      <c r="J2563" s="229"/>
      <c r="K2563" s="229"/>
      <c r="L2563" s="229">
        <f>SUM(ventas_b_mes11[[#This Row],[IMPORTE NETO]:[EXENTO]])</f>
        <v>42228</v>
      </c>
      <c r="M2563" s="55"/>
    </row>
    <row r="2564" spans="2:13" x14ac:dyDescent="0.3">
      <c r="B2564" s="223">
        <v>44848</v>
      </c>
      <c r="C2564" s="224">
        <v>6</v>
      </c>
      <c r="D2564" s="225">
        <v>10</v>
      </c>
      <c r="E2564" s="226">
        <v>43247</v>
      </c>
      <c r="F2564" s="227">
        <v>27222291661</v>
      </c>
      <c r="G2564" s="1"/>
      <c r="H2564" s="60">
        <v>50354.55</v>
      </c>
      <c r="I2564" s="228">
        <v>10574.46</v>
      </c>
      <c r="J2564" s="229"/>
      <c r="K2564" s="229"/>
      <c r="L2564" s="229">
        <f>SUM(ventas_b_mes11[[#This Row],[IMPORTE NETO]:[EXENTO]])</f>
        <v>60929.01</v>
      </c>
      <c r="M2564" s="55"/>
    </row>
    <row r="2565" spans="2:13" x14ac:dyDescent="0.3">
      <c r="B2565" s="223">
        <v>44848</v>
      </c>
      <c r="C2565" s="224">
        <v>6</v>
      </c>
      <c r="D2565" s="225">
        <v>10</v>
      </c>
      <c r="E2565" s="226">
        <v>43248</v>
      </c>
      <c r="F2565" s="227">
        <v>95153984</v>
      </c>
      <c r="G2565" s="1" t="s">
        <v>668</v>
      </c>
      <c r="H2565" s="60">
        <v>45419.83</v>
      </c>
      <c r="I2565" s="228">
        <v>9538.16</v>
      </c>
      <c r="J2565" s="229"/>
      <c r="K2565" s="229"/>
      <c r="L2565" s="229">
        <f>SUM(ventas_b_mes11[[#This Row],[IMPORTE NETO]:[EXENTO]])</f>
        <v>54957.990000000005</v>
      </c>
      <c r="M2565" s="55"/>
    </row>
    <row r="2566" spans="2:13" x14ac:dyDescent="0.3">
      <c r="B2566" s="223">
        <v>44848</v>
      </c>
      <c r="C2566" s="224">
        <v>6</v>
      </c>
      <c r="D2566" s="225">
        <v>10</v>
      </c>
      <c r="E2566" s="226">
        <v>43249</v>
      </c>
      <c r="F2566" s="227">
        <v>95153984</v>
      </c>
      <c r="G2566" s="1" t="s">
        <v>668</v>
      </c>
      <c r="H2566" s="60">
        <v>30895.05</v>
      </c>
      <c r="I2566" s="228">
        <v>6487.96</v>
      </c>
      <c r="J2566" s="229"/>
      <c r="K2566" s="229"/>
      <c r="L2566" s="229">
        <f>SUM(ventas_b_mes11[[#This Row],[IMPORTE NETO]:[EXENTO]])</f>
        <v>37383.01</v>
      </c>
      <c r="M2566" s="55"/>
    </row>
    <row r="2567" spans="2:13" x14ac:dyDescent="0.3">
      <c r="B2567" s="223">
        <v>44848</v>
      </c>
      <c r="C2567" s="224">
        <v>6</v>
      </c>
      <c r="D2567" s="225">
        <v>10</v>
      </c>
      <c r="E2567" s="226">
        <v>43250</v>
      </c>
      <c r="F2567" s="227">
        <v>95153984</v>
      </c>
      <c r="G2567" s="1" t="s">
        <v>668</v>
      </c>
      <c r="H2567" s="60">
        <v>15207.24</v>
      </c>
      <c r="I2567" s="228">
        <v>3193.52</v>
      </c>
      <c r="J2567" s="229"/>
      <c r="K2567" s="229"/>
      <c r="L2567" s="229">
        <f>SUM(ventas_b_mes11[[#This Row],[IMPORTE NETO]:[EXENTO]])</f>
        <v>18400.759999999998</v>
      </c>
      <c r="M2567" s="55"/>
    </row>
    <row r="2568" spans="2:13" x14ac:dyDescent="0.3">
      <c r="B2568" s="223">
        <v>44848</v>
      </c>
      <c r="C2568" s="224">
        <v>6</v>
      </c>
      <c r="D2568" s="225">
        <v>10</v>
      </c>
      <c r="E2568" s="226">
        <v>43251</v>
      </c>
      <c r="F2568" s="227">
        <v>95153984</v>
      </c>
      <c r="G2568" s="1" t="s">
        <v>668</v>
      </c>
      <c r="H2568" s="60">
        <v>45453.94</v>
      </c>
      <c r="I2568" s="228">
        <v>9545.33</v>
      </c>
      <c r="J2568" s="229"/>
      <c r="K2568" s="229"/>
      <c r="L2568" s="229">
        <f>SUM(ventas_b_mes11[[#This Row],[IMPORTE NETO]:[EXENTO]])</f>
        <v>54999.270000000004</v>
      </c>
      <c r="M2568" s="55"/>
    </row>
    <row r="2569" spans="2:13" x14ac:dyDescent="0.3">
      <c r="B2569" s="223">
        <v>44848</v>
      </c>
      <c r="C2569" s="224">
        <v>6</v>
      </c>
      <c r="D2569" s="225">
        <v>10</v>
      </c>
      <c r="E2569" s="226">
        <v>43252</v>
      </c>
      <c r="F2569" s="227">
        <v>94160271</v>
      </c>
      <c r="G2569" s="1" t="s">
        <v>679</v>
      </c>
      <c r="H2569" s="60">
        <v>2648.76</v>
      </c>
      <c r="I2569" s="228">
        <v>556.24</v>
      </c>
      <c r="J2569" s="229"/>
      <c r="K2569" s="229"/>
      <c r="L2569" s="229">
        <f>SUM(ventas_b_mes11[[#This Row],[IMPORTE NETO]:[EXENTO]])</f>
        <v>3205</v>
      </c>
      <c r="M2569" s="55"/>
    </row>
    <row r="2570" spans="2:13" x14ac:dyDescent="0.3">
      <c r="B2570" s="223">
        <v>44848</v>
      </c>
      <c r="C2570" s="224">
        <v>6</v>
      </c>
      <c r="D2570" s="225">
        <v>10</v>
      </c>
      <c r="E2570" s="226">
        <v>43253</v>
      </c>
      <c r="F2570" s="227">
        <v>0</v>
      </c>
      <c r="G2570" s="1"/>
      <c r="H2570" s="60">
        <v>2892.56</v>
      </c>
      <c r="I2570" s="228">
        <v>607.44000000000005</v>
      </c>
      <c r="J2570" s="229"/>
      <c r="K2570" s="229"/>
      <c r="L2570" s="229">
        <f>SUM(ventas_b_mes11[[#This Row],[IMPORTE NETO]:[EXENTO]])</f>
        <v>3500</v>
      </c>
      <c r="M2570" s="55"/>
    </row>
    <row r="2571" spans="2:13" x14ac:dyDescent="0.3">
      <c r="B2571" s="223">
        <v>44848</v>
      </c>
      <c r="C2571" s="224">
        <v>6</v>
      </c>
      <c r="D2571" s="225">
        <v>10</v>
      </c>
      <c r="E2571" s="226">
        <v>43254</v>
      </c>
      <c r="F2571" s="227">
        <v>180571769</v>
      </c>
      <c r="G2571" s="1"/>
      <c r="H2571" s="60">
        <v>13255.95</v>
      </c>
      <c r="I2571" s="228">
        <v>2783.75</v>
      </c>
      <c r="J2571" s="229"/>
      <c r="K2571" s="229"/>
      <c r="L2571" s="229">
        <f>SUM(ventas_b_mes11[[#This Row],[IMPORTE NETO]:[EXENTO]])</f>
        <v>16039.7</v>
      </c>
      <c r="M2571" s="55"/>
    </row>
    <row r="2572" spans="2:13" x14ac:dyDescent="0.3">
      <c r="B2572" s="223">
        <v>44848</v>
      </c>
      <c r="C2572" s="224">
        <v>6</v>
      </c>
      <c r="D2572" s="225">
        <v>10</v>
      </c>
      <c r="E2572" s="226">
        <v>43255</v>
      </c>
      <c r="F2572" s="227">
        <v>123456</v>
      </c>
      <c r="G2572" s="1"/>
      <c r="H2572" s="60">
        <v>4958.68</v>
      </c>
      <c r="I2572" s="228">
        <v>1041.32</v>
      </c>
      <c r="J2572" s="229"/>
      <c r="K2572" s="229"/>
      <c r="L2572" s="229">
        <f>SUM(ventas_b_mes11[[#This Row],[IMPORTE NETO]:[EXENTO]])</f>
        <v>6000</v>
      </c>
      <c r="M2572" s="55"/>
    </row>
    <row r="2573" spans="2:13" x14ac:dyDescent="0.3">
      <c r="B2573" s="223">
        <v>44848</v>
      </c>
      <c r="C2573" s="224">
        <v>6</v>
      </c>
      <c r="D2573" s="225">
        <v>10</v>
      </c>
      <c r="E2573" s="226">
        <v>43256</v>
      </c>
      <c r="F2573" s="227">
        <v>180571769</v>
      </c>
      <c r="G2573" s="1"/>
      <c r="H2573" s="60">
        <v>2892.56</v>
      </c>
      <c r="I2573" s="228">
        <v>607.44000000000005</v>
      </c>
      <c r="J2573" s="229"/>
      <c r="K2573" s="229"/>
      <c r="L2573" s="229">
        <f>SUM(ventas_b_mes11[[#This Row],[IMPORTE NETO]:[EXENTO]])</f>
        <v>3500</v>
      </c>
      <c r="M2573" s="55"/>
    </row>
    <row r="2574" spans="2:13" x14ac:dyDescent="0.3">
      <c r="B2574" s="223">
        <v>44848</v>
      </c>
      <c r="C2574" s="224">
        <v>6</v>
      </c>
      <c r="D2574" s="225">
        <v>10</v>
      </c>
      <c r="E2574" s="226">
        <v>43257</v>
      </c>
      <c r="F2574" s="227">
        <v>18844956</v>
      </c>
      <c r="G2574" s="1" t="s">
        <v>678</v>
      </c>
      <c r="H2574" s="60">
        <v>4958.68</v>
      </c>
      <c r="I2574" s="228">
        <v>1041.32</v>
      </c>
      <c r="J2574" s="229"/>
      <c r="K2574" s="229"/>
      <c r="L2574" s="229">
        <f>SUM(ventas_b_mes11[[#This Row],[IMPORTE NETO]:[EXENTO]])</f>
        <v>6000</v>
      </c>
      <c r="M2574" s="55"/>
    </row>
    <row r="2575" spans="2:13" x14ac:dyDescent="0.3">
      <c r="B2575" s="223">
        <v>44848</v>
      </c>
      <c r="C2575" s="224">
        <v>6</v>
      </c>
      <c r="D2575" s="225">
        <v>10</v>
      </c>
      <c r="E2575" s="226">
        <v>43258</v>
      </c>
      <c r="F2575" s="227">
        <v>19048420</v>
      </c>
      <c r="G2575" s="1" t="s">
        <v>664</v>
      </c>
      <c r="H2575" s="60">
        <v>12896.69</v>
      </c>
      <c r="I2575" s="228">
        <v>2708.3</v>
      </c>
      <c r="J2575" s="229"/>
      <c r="K2575" s="229"/>
      <c r="L2575" s="229">
        <f>SUM(ventas_b_mes11[[#This Row],[IMPORTE NETO]:[EXENTO]])</f>
        <v>15604.990000000002</v>
      </c>
      <c r="M2575" s="55"/>
    </row>
    <row r="2576" spans="2:13" x14ac:dyDescent="0.3">
      <c r="B2576" s="223">
        <v>44848</v>
      </c>
      <c r="C2576" s="224">
        <v>6</v>
      </c>
      <c r="D2576" s="225">
        <v>10</v>
      </c>
      <c r="E2576" s="226">
        <v>43259</v>
      </c>
      <c r="F2576" s="227">
        <v>19048420</v>
      </c>
      <c r="G2576" s="1" t="s">
        <v>664</v>
      </c>
      <c r="H2576" s="60">
        <v>4088.43</v>
      </c>
      <c r="I2576" s="228">
        <v>858.57</v>
      </c>
      <c r="J2576" s="229"/>
      <c r="K2576" s="229"/>
      <c r="L2576" s="229">
        <f>SUM(ventas_b_mes11[[#This Row],[IMPORTE NETO]:[EXENTO]])</f>
        <v>4947</v>
      </c>
      <c r="M2576" s="55"/>
    </row>
    <row r="2577" spans="2:13" x14ac:dyDescent="0.3">
      <c r="B2577" s="223">
        <v>44848</v>
      </c>
      <c r="C2577" s="224">
        <v>6</v>
      </c>
      <c r="D2577" s="225">
        <v>10</v>
      </c>
      <c r="E2577" s="226">
        <v>43260</v>
      </c>
      <c r="F2577" s="227">
        <v>16070643</v>
      </c>
      <c r="G2577" s="1" t="s">
        <v>688</v>
      </c>
      <c r="H2577" s="60">
        <v>12495.87</v>
      </c>
      <c r="I2577" s="228">
        <v>2624.13</v>
      </c>
      <c r="J2577" s="229"/>
      <c r="K2577" s="229"/>
      <c r="L2577" s="229">
        <f>SUM(ventas_b_mes11[[#This Row],[IMPORTE NETO]:[EXENTO]])</f>
        <v>15120</v>
      </c>
      <c r="M2577" s="55"/>
    </row>
    <row r="2578" spans="2:13" x14ac:dyDescent="0.3">
      <c r="B2578" s="223">
        <v>44848</v>
      </c>
      <c r="C2578" s="224">
        <v>6</v>
      </c>
      <c r="D2578" s="225">
        <v>10</v>
      </c>
      <c r="E2578" s="226">
        <v>43261</v>
      </c>
      <c r="F2578" s="227">
        <v>27262185</v>
      </c>
      <c r="G2578" s="1" t="s">
        <v>671</v>
      </c>
      <c r="H2578" s="60">
        <v>9070.31</v>
      </c>
      <c r="I2578" s="228">
        <v>1904.77</v>
      </c>
      <c r="J2578" s="229"/>
      <c r="K2578" s="229"/>
      <c r="L2578" s="229">
        <f>SUM(ventas_b_mes11[[#This Row],[IMPORTE NETO]:[EXENTO]])</f>
        <v>10975.08</v>
      </c>
      <c r="M2578" s="55"/>
    </row>
    <row r="2579" spans="2:13" x14ac:dyDescent="0.3">
      <c r="B2579" s="223">
        <v>44848</v>
      </c>
      <c r="C2579" s="224">
        <v>6</v>
      </c>
      <c r="D2579" s="225">
        <v>10</v>
      </c>
      <c r="E2579" s="226">
        <v>43262</v>
      </c>
      <c r="F2579" s="227">
        <v>18211637</v>
      </c>
      <c r="G2579" s="1" t="s">
        <v>194</v>
      </c>
      <c r="H2579" s="60">
        <v>2568.59</v>
      </c>
      <c r="I2579" s="228">
        <v>539.4</v>
      </c>
      <c r="J2579" s="229"/>
      <c r="K2579" s="229"/>
      <c r="L2579" s="229">
        <f>SUM(ventas_b_mes11[[#This Row],[IMPORTE NETO]:[EXENTO]])</f>
        <v>3107.9900000000002</v>
      </c>
      <c r="M2579" s="55"/>
    </row>
    <row r="2580" spans="2:13" x14ac:dyDescent="0.3">
      <c r="B2580" s="223">
        <v>44848</v>
      </c>
      <c r="C2580" s="224">
        <v>6</v>
      </c>
      <c r="D2580" s="225">
        <v>10</v>
      </c>
      <c r="E2580" s="226">
        <v>43263</v>
      </c>
      <c r="F2580" s="227">
        <v>180571769</v>
      </c>
      <c r="G2580" s="1"/>
      <c r="H2580" s="60">
        <v>9315.7099999999991</v>
      </c>
      <c r="I2580" s="228">
        <v>1956.3</v>
      </c>
      <c r="J2580" s="229"/>
      <c r="K2580" s="229"/>
      <c r="L2580" s="229">
        <f>SUM(ventas_b_mes11[[#This Row],[IMPORTE NETO]:[EXENTO]])</f>
        <v>11272.009999999998</v>
      </c>
      <c r="M2580" s="55"/>
    </row>
    <row r="2581" spans="2:13" x14ac:dyDescent="0.3">
      <c r="B2581" s="223">
        <v>44848</v>
      </c>
      <c r="C2581" s="224">
        <v>6</v>
      </c>
      <c r="D2581" s="225">
        <v>10</v>
      </c>
      <c r="E2581" s="226">
        <v>43264</v>
      </c>
      <c r="F2581" s="227">
        <v>13739572</v>
      </c>
      <c r="G2581" s="1" t="s">
        <v>676</v>
      </c>
      <c r="H2581" s="60">
        <v>4462.8100000000004</v>
      </c>
      <c r="I2581" s="228">
        <v>937.19</v>
      </c>
      <c r="J2581" s="229"/>
      <c r="K2581" s="229"/>
      <c r="L2581" s="229">
        <f>SUM(ventas_b_mes11[[#This Row],[IMPORTE NETO]:[EXENTO]])</f>
        <v>5400</v>
      </c>
      <c r="M2581" s="55"/>
    </row>
    <row r="2582" spans="2:13" x14ac:dyDescent="0.3">
      <c r="B2582" s="223">
        <v>44848</v>
      </c>
      <c r="C2582" s="224">
        <v>6</v>
      </c>
      <c r="D2582" s="225">
        <v>10</v>
      </c>
      <c r="E2582" s="226">
        <v>43265</v>
      </c>
      <c r="F2582" s="227">
        <v>123456</v>
      </c>
      <c r="G2582" s="1"/>
      <c r="H2582" s="60">
        <v>3719.01</v>
      </c>
      <c r="I2582" s="228">
        <v>780.99</v>
      </c>
      <c r="J2582" s="229"/>
      <c r="K2582" s="229"/>
      <c r="L2582" s="229">
        <f>SUM(ventas_b_mes11[[#This Row],[IMPORTE NETO]:[EXENTO]])</f>
        <v>4500</v>
      </c>
      <c r="M2582" s="55"/>
    </row>
    <row r="2583" spans="2:13" x14ac:dyDescent="0.3">
      <c r="B2583" s="223">
        <v>44848</v>
      </c>
      <c r="C2583" s="224">
        <v>6</v>
      </c>
      <c r="D2583" s="225">
        <v>10</v>
      </c>
      <c r="E2583" s="226">
        <v>43266</v>
      </c>
      <c r="F2583" s="227">
        <v>0</v>
      </c>
      <c r="G2583" s="1"/>
      <c r="H2583" s="60">
        <v>2479.34</v>
      </c>
      <c r="I2583" s="228">
        <v>520.66</v>
      </c>
      <c r="J2583" s="229"/>
      <c r="K2583" s="229"/>
      <c r="L2583" s="229">
        <f>SUM(ventas_b_mes11[[#This Row],[IMPORTE NETO]:[EXENTO]])</f>
        <v>3000</v>
      </c>
      <c r="M2583" s="55"/>
    </row>
    <row r="2584" spans="2:13" x14ac:dyDescent="0.3">
      <c r="B2584" s="223">
        <v>44848</v>
      </c>
      <c r="C2584" s="224">
        <v>6</v>
      </c>
      <c r="D2584" s="225">
        <v>10</v>
      </c>
      <c r="E2584" s="226">
        <v>43267</v>
      </c>
      <c r="F2584" s="227">
        <v>12345678</v>
      </c>
      <c r="G2584" s="1"/>
      <c r="H2584" s="60">
        <v>2900.83</v>
      </c>
      <c r="I2584" s="228">
        <v>609.16999999999996</v>
      </c>
      <c r="J2584" s="229"/>
      <c r="K2584" s="229"/>
      <c r="L2584" s="229">
        <f>SUM(ventas_b_mes11[[#This Row],[IMPORTE NETO]:[EXENTO]])</f>
        <v>3510</v>
      </c>
      <c r="M2584" s="55"/>
    </row>
    <row r="2585" spans="2:13" x14ac:dyDescent="0.3">
      <c r="B2585" s="223">
        <v>44848</v>
      </c>
      <c r="C2585" s="224">
        <v>6</v>
      </c>
      <c r="D2585" s="225">
        <v>10</v>
      </c>
      <c r="E2585" s="226">
        <v>43268</v>
      </c>
      <c r="F2585" s="227">
        <v>27216830</v>
      </c>
      <c r="G2585" s="1" t="s">
        <v>682</v>
      </c>
      <c r="H2585" s="60">
        <v>4669.42</v>
      </c>
      <c r="I2585" s="228">
        <v>980.58</v>
      </c>
      <c r="J2585" s="229"/>
      <c r="K2585" s="229"/>
      <c r="L2585" s="229">
        <f>SUM(ventas_b_mes11[[#This Row],[IMPORTE NETO]:[EXENTO]])</f>
        <v>5650</v>
      </c>
      <c r="M2585" s="55"/>
    </row>
    <row r="2586" spans="2:13" x14ac:dyDescent="0.3">
      <c r="B2586" s="223">
        <v>44848</v>
      </c>
      <c r="C2586" s="224">
        <v>6</v>
      </c>
      <c r="D2586" s="225">
        <v>10</v>
      </c>
      <c r="E2586" s="226">
        <v>43269</v>
      </c>
      <c r="F2586" s="227">
        <v>34727311</v>
      </c>
      <c r="G2586" s="1" t="s">
        <v>689</v>
      </c>
      <c r="H2586" s="60">
        <v>25041.3</v>
      </c>
      <c r="I2586" s="228">
        <v>5258.67</v>
      </c>
      <c r="J2586" s="229"/>
      <c r="K2586" s="229"/>
      <c r="L2586" s="229">
        <f>SUM(ventas_b_mes11[[#This Row],[IMPORTE NETO]:[EXENTO]])</f>
        <v>30299.97</v>
      </c>
      <c r="M2586" s="55"/>
    </row>
    <row r="2587" spans="2:13" x14ac:dyDescent="0.3">
      <c r="B2587" s="223">
        <v>44848</v>
      </c>
      <c r="C2587" s="224">
        <v>6</v>
      </c>
      <c r="D2587" s="225">
        <v>10</v>
      </c>
      <c r="E2587" s="226">
        <v>43270</v>
      </c>
      <c r="F2587" s="227">
        <v>18597462</v>
      </c>
      <c r="G2587" s="1" t="s">
        <v>243</v>
      </c>
      <c r="H2587" s="60">
        <v>1611.57</v>
      </c>
      <c r="I2587" s="228">
        <v>338.43</v>
      </c>
      <c r="J2587" s="229"/>
      <c r="K2587" s="229"/>
      <c r="L2587" s="229">
        <f>SUM(ventas_b_mes11[[#This Row],[IMPORTE NETO]:[EXENTO]])</f>
        <v>1950</v>
      </c>
      <c r="M2587" s="55"/>
    </row>
    <row r="2588" spans="2:13" x14ac:dyDescent="0.3">
      <c r="B2588" s="223">
        <v>44848</v>
      </c>
      <c r="C2588" s="224">
        <v>6</v>
      </c>
      <c r="D2588" s="225">
        <v>10</v>
      </c>
      <c r="E2588" s="226">
        <v>43271</v>
      </c>
      <c r="F2588" s="227">
        <v>123456</v>
      </c>
      <c r="G2588" s="1"/>
      <c r="H2588" s="60">
        <v>4685.95</v>
      </c>
      <c r="I2588" s="228">
        <v>984.05</v>
      </c>
      <c r="J2588" s="229"/>
      <c r="K2588" s="229"/>
      <c r="L2588" s="229">
        <f>SUM(ventas_b_mes11[[#This Row],[IMPORTE NETO]:[EXENTO]])</f>
        <v>5670</v>
      </c>
      <c r="M2588" s="55"/>
    </row>
    <row r="2589" spans="2:13" x14ac:dyDescent="0.3">
      <c r="B2589" s="223">
        <v>44848</v>
      </c>
      <c r="C2589" s="224">
        <v>6</v>
      </c>
      <c r="D2589" s="225">
        <v>10</v>
      </c>
      <c r="E2589" s="226">
        <v>43272</v>
      </c>
      <c r="F2589" s="227">
        <v>0</v>
      </c>
      <c r="G2589" s="1"/>
      <c r="H2589" s="60">
        <v>1735.54</v>
      </c>
      <c r="I2589" s="228">
        <v>364.46</v>
      </c>
      <c r="J2589" s="229"/>
      <c r="K2589" s="229"/>
      <c r="L2589" s="229">
        <f>SUM(ventas_b_mes11[[#This Row],[IMPORTE NETO]:[EXENTO]])</f>
        <v>2100</v>
      </c>
      <c r="M2589" s="55"/>
    </row>
    <row r="2590" spans="2:13" x14ac:dyDescent="0.3">
      <c r="B2590" s="223">
        <v>44849</v>
      </c>
      <c r="C2590" s="224">
        <v>6</v>
      </c>
      <c r="D2590" s="225">
        <v>10</v>
      </c>
      <c r="E2590" s="226">
        <v>43273</v>
      </c>
      <c r="F2590" s="227">
        <v>28506840</v>
      </c>
      <c r="G2590" s="1" t="s">
        <v>711</v>
      </c>
      <c r="H2590" s="60">
        <v>2685.95</v>
      </c>
      <c r="I2590" s="228">
        <v>564.04999999999995</v>
      </c>
      <c r="J2590" s="229"/>
      <c r="K2590" s="229"/>
      <c r="L2590" s="229">
        <f>SUM(ventas_b_mes11[[#This Row],[IMPORTE NETO]:[EXENTO]])</f>
        <v>3250</v>
      </c>
      <c r="M2590" s="55"/>
    </row>
    <row r="2591" spans="2:13" x14ac:dyDescent="0.3">
      <c r="B2591" s="223">
        <v>44849</v>
      </c>
      <c r="C2591" s="224">
        <v>6</v>
      </c>
      <c r="D2591" s="225">
        <v>10</v>
      </c>
      <c r="E2591" s="226">
        <v>43274</v>
      </c>
      <c r="F2591" s="227">
        <v>0</v>
      </c>
      <c r="G2591" s="1"/>
      <c r="H2591" s="60">
        <v>2342.98</v>
      </c>
      <c r="I2591" s="228">
        <v>492.02</v>
      </c>
      <c r="J2591" s="229"/>
      <c r="K2591" s="229"/>
      <c r="L2591" s="229">
        <f>SUM(ventas_b_mes11[[#This Row],[IMPORTE NETO]:[EXENTO]])</f>
        <v>2835</v>
      </c>
      <c r="M2591" s="55"/>
    </row>
    <row r="2592" spans="2:13" x14ac:dyDescent="0.3">
      <c r="B2592" s="223">
        <v>44849</v>
      </c>
      <c r="C2592" s="224">
        <v>6</v>
      </c>
      <c r="D2592" s="225">
        <v>10</v>
      </c>
      <c r="E2592" s="226">
        <v>43275</v>
      </c>
      <c r="F2592" s="227">
        <v>28506840</v>
      </c>
      <c r="G2592" s="1" t="s">
        <v>711</v>
      </c>
      <c r="H2592" s="60">
        <v>1483.47</v>
      </c>
      <c r="I2592" s="228">
        <v>311.52999999999997</v>
      </c>
      <c r="J2592" s="229"/>
      <c r="K2592" s="229"/>
      <c r="L2592" s="229">
        <f>SUM(ventas_b_mes11[[#This Row],[IMPORTE NETO]:[EXENTO]])</f>
        <v>1795</v>
      </c>
      <c r="M2592" s="55"/>
    </row>
    <row r="2593" spans="2:13" x14ac:dyDescent="0.3">
      <c r="B2593" s="223">
        <v>44849</v>
      </c>
      <c r="C2593" s="224">
        <v>6</v>
      </c>
      <c r="D2593" s="225">
        <v>10</v>
      </c>
      <c r="E2593" s="226">
        <v>43276</v>
      </c>
      <c r="F2593" s="227">
        <v>94172260</v>
      </c>
      <c r="G2593" s="1" t="s">
        <v>387</v>
      </c>
      <c r="H2593" s="60">
        <v>7471.07</v>
      </c>
      <c r="I2593" s="228">
        <v>1568.93</v>
      </c>
      <c r="J2593" s="229"/>
      <c r="K2593" s="229"/>
      <c r="L2593" s="229">
        <f>SUM(ventas_b_mes11[[#This Row],[IMPORTE NETO]:[EXENTO]])</f>
        <v>9040</v>
      </c>
      <c r="M2593" s="55"/>
    </row>
    <row r="2594" spans="2:13" x14ac:dyDescent="0.3">
      <c r="B2594" s="223">
        <v>44849</v>
      </c>
      <c r="C2594" s="224">
        <v>6</v>
      </c>
      <c r="D2594" s="225">
        <v>10</v>
      </c>
      <c r="E2594" s="226">
        <v>43277</v>
      </c>
      <c r="F2594" s="227">
        <v>27230340213</v>
      </c>
      <c r="G2594" s="1" t="s">
        <v>220</v>
      </c>
      <c r="H2594" s="60">
        <v>57238.3</v>
      </c>
      <c r="I2594" s="228">
        <v>12020.04</v>
      </c>
      <c r="J2594" s="229"/>
      <c r="K2594" s="229"/>
      <c r="L2594" s="229">
        <f>SUM(ventas_b_mes11[[#This Row],[IMPORTE NETO]:[EXENTO]])</f>
        <v>69258.34</v>
      </c>
      <c r="M2594" s="55"/>
    </row>
    <row r="2595" spans="2:13" x14ac:dyDescent="0.3">
      <c r="B2595" s="223">
        <v>44849</v>
      </c>
      <c r="C2595" s="224">
        <v>6</v>
      </c>
      <c r="D2595" s="225">
        <v>10</v>
      </c>
      <c r="E2595" s="226">
        <v>43278</v>
      </c>
      <c r="F2595" s="227">
        <v>94126365</v>
      </c>
      <c r="G2595" s="1"/>
      <c r="H2595" s="60">
        <v>38864.639999999999</v>
      </c>
      <c r="I2595" s="228">
        <v>8161.58</v>
      </c>
      <c r="J2595" s="229"/>
      <c r="K2595" s="229"/>
      <c r="L2595" s="229">
        <f>SUM(ventas_b_mes11[[#This Row],[IMPORTE NETO]:[EXENTO]])</f>
        <v>47026.22</v>
      </c>
      <c r="M2595" s="55"/>
    </row>
    <row r="2596" spans="2:13" x14ac:dyDescent="0.3">
      <c r="B2596" s="223">
        <v>44849</v>
      </c>
      <c r="C2596" s="224">
        <v>6</v>
      </c>
      <c r="D2596" s="225">
        <v>10</v>
      </c>
      <c r="E2596" s="226">
        <v>43279</v>
      </c>
      <c r="F2596" s="227">
        <v>27119918389</v>
      </c>
      <c r="G2596" s="1" t="s">
        <v>705</v>
      </c>
      <c r="H2596" s="60">
        <v>53204.71</v>
      </c>
      <c r="I2596" s="228">
        <v>11172.99</v>
      </c>
      <c r="J2596" s="229"/>
      <c r="K2596" s="229"/>
      <c r="L2596" s="229">
        <f>SUM(ventas_b_mes11[[#This Row],[IMPORTE NETO]:[EXENTO]])</f>
        <v>64377.7</v>
      </c>
      <c r="M2596" s="55"/>
    </row>
    <row r="2597" spans="2:13" x14ac:dyDescent="0.3">
      <c r="B2597" s="223">
        <v>44849</v>
      </c>
      <c r="C2597" s="224">
        <v>6</v>
      </c>
      <c r="D2597" s="225">
        <v>10</v>
      </c>
      <c r="E2597" s="226">
        <v>43280</v>
      </c>
      <c r="F2597" s="227">
        <v>0</v>
      </c>
      <c r="G2597" s="1"/>
      <c r="H2597" s="60">
        <v>3057.85</v>
      </c>
      <c r="I2597" s="228">
        <v>642.15</v>
      </c>
      <c r="J2597" s="229"/>
      <c r="K2597" s="229"/>
      <c r="L2597" s="229">
        <f>SUM(ventas_b_mes11[[#This Row],[IMPORTE NETO]:[EXENTO]])</f>
        <v>3700</v>
      </c>
      <c r="M2597" s="55"/>
    </row>
    <row r="2598" spans="2:13" x14ac:dyDescent="0.3">
      <c r="B2598" s="223">
        <v>44849</v>
      </c>
      <c r="C2598" s="224">
        <v>6</v>
      </c>
      <c r="D2598" s="225">
        <v>10</v>
      </c>
      <c r="E2598" s="226">
        <v>43281</v>
      </c>
      <c r="F2598" s="227">
        <v>96162154</v>
      </c>
      <c r="G2598" s="1" t="s">
        <v>701</v>
      </c>
      <c r="H2598" s="60">
        <v>4595.04</v>
      </c>
      <c r="I2598" s="228">
        <v>964.96</v>
      </c>
      <c r="J2598" s="229"/>
      <c r="K2598" s="229"/>
      <c r="L2598" s="229">
        <f>SUM(ventas_b_mes11[[#This Row],[IMPORTE NETO]:[EXENTO]])</f>
        <v>5560</v>
      </c>
      <c r="M2598" s="55"/>
    </row>
    <row r="2599" spans="2:13" x14ac:dyDescent="0.3">
      <c r="B2599" s="223">
        <v>44849</v>
      </c>
      <c r="C2599" s="224">
        <v>6</v>
      </c>
      <c r="D2599" s="225">
        <v>10</v>
      </c>
      <c r="E2599" s="226">
        <v>43282</v>
      </c>
      <c r="F2599" s="227">
        <v>5485</v>
      </c>
      <c r="G2599" s="1"/>
      <c r="H2599" s="60">
        <v>12462.79</v>
      </c>
      <c r="I2599" s="228">
        <v>2617.19</v>
      </c>
      <c r="J2599" s="229"/>
      <c r="K2599" s="229"/>
      <c r="L2599" s="229">
        <f>SUM(ventas_b_mes11[[#This Row],[IMPORTE NETO]:[EXENTO]])</f>
        <v>15079.980000000001</v>
      </c>
      <c r="M2599" s="55"/>
    </row>
    <row r="2600" spans="2:13" x14ac:dyDescent="0.3">
      <c r="B2600" s="223">
        <v>44849</v>
      </c>
      <c r="C2600" s="224">
        <v>6</v>
      </c>
      <c r="D2600" s="225">
        <v>10</v>
      </c>
      <c r="E2600" s="226">
        <v>43283</v>
      </c>
      <c r="F2600" s="227">
        <v>26996097</v>
      </c>
      <c r="G2600" s="1" t="s">
        <v>713</v>
      </c>
      <c r="H2600" s="60">
        <v>6776.86</v>
      </c>
      <c r="I2600" s="228">
        <v>1423.14</v>
      </c>
      <c r="J2600" s="229"/>
      <c r="K2600" s="229"/>
      <c r="L2600" s="229">
        <f>SUM(ventas_b_mes11[[#This Row],[IMPORTE NETO]:[EXENTO]])</f>
        <v>8200</v>
      </c>
      <c r="M2600" s="55"/>
    </row>
    <row r="2601" spans="2:13" x14ac:dyDescent="0.3">
      <c r="B2601" s="223">
        <v>44849</v>
      </c>
      <c r="C2601" s="224">
        <v>6</v>
      </c>
      <c r="D2601" s="225">
        <v>10</v>
      </c>
      <c r="E2601" s="226">
        <v>43284</v>
      </c>
      <c r="F2601" s="227">
        <v>93456621</v>
      </c>
      <c r="G2601" s="1" t="s">
        <v>250</v>
      </c>
      <c r="H2601" s="60">
        <v>1909.09</v>
      </c>
      <c r="I2601" s="228">
        <v>400.91</v>
      </c>
      <c r="J2601" s="229"/>
      <c r="K2601" s="229"/>
      <c r="L2601" s="229">
        <f>SUM(ventas_b_mes11[[#This Row],[IMPORTE NETO]:[EXENTO]])</f>
        <v>2310</v>
      </c>
      <c r="M2601" s="55"/>
    </row>
    <row r="2602" spans="2:13" x14ac:dyDescent="0.3">
      <c r="B2602" s="223">
        <v>44849</v>
      </c>
      <c r="C2602" s="224">
        <v>6</v>
      </c>
      <c r="D2602" s="225">
        <v>10</v>
      </c>
      <c r="E2602" s="226">
        <v>43285</v>
      </c>
      <c r="F2602" s="227">
        <v>123456</v>
      </c>
      <c r="G2602" s="1"/>
      <c r="H2602" s="60">
        <v>5165.29</v>
      </c>
      <c r="I2602" s="228">
        <v>1084.71</v>
      </c>
      <c r="J2602" s="229"/>
      <c r="K2602" s="229"/>
      <c r="L2602" s="229">
        <f>SUM(ventas_b_mes11[[#This Row],[IMPORTE NETO]:[EXENTO]])</f>
        <v>6250</v>
      </c>
      <c r="M2602" s="55"/>
    </row>
    <row r="2603" spans="2:13" x14ac:dyDescent="0.3">
      <c r="B2603" s="223">
        <v>44849</v>
      </c>
      <c r="C2603" s="224">
        <v>6</v>
      </c>
      <c r="D2603" s="225">
        <v>10</v>
      </c>
      <c r="E2603" s="226">
        <v>43286</v>
      </c>
      <c r="F2603" s="227">
        <v>24379296</v>
      </c>
      <c r="G2603" s="1" t="s">
        <v>692</v>
      </c>
      <c r="H2603" s="60">
        <v>8264.4599999999991</v>
      </c>
      <c r="I2603" s="228">
        <v>1735.54</v>
      </c>
      <c r="J2603" s="229"/>
      <c r="K2603" s="229"/>
      <c r="L2603" s="229">
        <f>SUM(ventas_b_mes11[[#This Row],[IMPORTE NETO]:[EXENTO]])</f>
        <v>10000</v>
      </c>
      <c r="M2603" s="55"/>
    </row>
    <row r="2604" spans="2:13" x14ac:dyDescent="0.3">
      <c r="B2604" s="223">
        <v>44849</v>
      </c>
      <c r="C2604" s="224">
        <v>6</v>
      </c>
      <c r="D2604" s="225">
        <v>10</v>
      </c>
      <c r="E2604" s="226">
        <v>43287</v>
      </c>
      <c r="F2604" s="227">
        <v>0</v>
      </c>
      <c r="G2604" s="1"/>
      <c r="H2604" s="60">
        <v>2714.88</v>
      </c>
      <c r="I2604" s="228">
        <v>570.12</v>
      </c>
      <c r="J2604" s="229"/>
      <c r="K2604" s="229"/>
      <c r="L2604" s="229">
        <f>SUM(ventas_b_mes11[[#This Row],[IMPORTE NETO]:[EXENTO]])</f>
        <v>3285</v>
      </c>
      <c r="M2604" s="55"/>
    </row>
    <row r="2605" spans="2:13" x14ac:dyDescent="0.3">
      <c r="B2605" s="223">
        <v>44849</v>
      </c>
      <c r="C2605" s="224">
        <v>6</v>
      </c>
      <c r="D2605" s="225">
        <v>10</v>
      </c>
      <c r="E2605" s="226">
        <v>43288</v>
      </c>
      <c r="F2605" s="227">
        <v>95922923</v>
      </c>
      <c r="G2605" s="1" t="s">
        <v>717</v>
      </c>
      <c r="H2605" s="60">
        <v>3057.85</v>
      </c>
      <c r="I2605" s="228">
        <v>642.15</v>
      </c>
      <c r="J2605" s="229"/>
      <c r="K2605" s="229"/>
      <c r="L2605" s="229">
        <f>SUM(ventas_b_mes11[[#This Row],[IMPORTE NETO]:[EXENTO]])</f>
        <v>3700</v>
      </c>
      <c r="M2605" s="55"/>
    </row>
    <row r="2606" spans="2:13" x14ac:dyDescent="0.3">
      <c r="B2606" s="223">
        <v>44851</v>
      </c>
      <c r="C2606" s="224">
        <v>6</v>
      </c>
      <c r="D2606" s="225">
        <v>10</v>
      </c>
      <c r="E2606" s="226">
        <v>43289</v>
      </c>
      <c r="F2606" s="227">
        <v>2</v>
      </c>
      <c r="G2606" s="1"/>
      <c r="H2606" s="60">
        <v>4958.68</v>
      </c>
      <c r="I2606" s="228">
        <v>1041.32</v>
      </c>
      <c r="J2606" s="229"/>
      <c r="K2606" s="229"/>
      <c r="L2606" s="229">
        <f>SUM(ventas_b_mes11[[#This Row],[IMPORTE NETO]:[EXENTO]])</f>
        <v>6000</v>
      </c>
      <c r="M2606" s="55"/>
    </row>
    <row r="2607" spans="2:13" x14ac:dyDescent="0.3">
      <c r="B2607" s="223">
        <v>44851</v>
      </c>
      <c r="C2607" s="224">
        <v>6</v>
      </c>
      <c r="D2607" s="225">
        <v>10</v>
      </c>
      <c r="E2607" s="226">
        <v>43290</v>
      </c>
      <c r="F2607" s="227">
        <v>95922923</v>
      </c>
      <c r="G2607" s="1" t="s">
        <v>717</v>
      </c>
      <c r="H2607" s="60">
        <v>4958.68</v>
      </c>
      <c r="I2607" s="228">
        <v>1041.32</v>
      </c>
      <c r="J2607" s="229"/>
      <c r="K2607" s="229"/>
      <c r="L2607" s="229">
        <f>SUM(ventas_b_mes11[[#This Row],[IMPORTE NETO]:[EXENTO]])</f>
        <v>6000</v>
      </c>
      <c r="M2607" s="55"/>
    </row>
    <row r="2608" spans="2:13" x14ac:dyDescent="0.3">
      <c r="B2608" s="223">
        <v>44851</v>
      </c>
      <c r="C2608" s="224">
        <v>6</v>
      </c>
      <c r="D2608" s="225">
        <v>10</v>
      </c>
      <c r="E2608" s="226">
        <v>43291</v>
      </c>
      <c r="F2608" s="227">
        <v>40306702</v>
      </c>
      <c r="G2608" s="1" t="s">
        <v>731</v>
      </c>
      <c r="H2608" s="60">
        <v>4958.68</v>
      </c>
      <c r="I2608" s="228">
        <v>1041.32</v>
      </c>
      <c r="J2608" s="229"/>
      <c r="K2608" s="229"/>
      <c r="L2608" s="229">
        <f>SUM(ventas_b_mes11[[#This Row],[IMPORTE NETO]:[EXENTO]])</f>
        <v>6000</v>
      </c>
      <c r="M2608" s="55"/>
    </row>
    <row r="2609" spans="2:13" x14ac:dyDescent="0.3">
      <c r="B2609" s="223">
        <v>44851</v>
      </c>
      <c r="C2609" s="224">
        <v>6</v>
      </c>
      <c r="D2609" s="225">
        <v>10</v>
      </c>
      <c r="E2609" s="226">
        <v>43292</v>
      </c>
      <c r="F2609" s="227">
        <v>92522197</v>
      </c>
      <c r="G2609" s="1" t="s">
        <v>741</v>
      </c>
      <c r="H2609" s="60">
        <v>7438.02</v>
      </c>
      <c r="I2609" s="228">
        <v>1561.98</v>
      </c>
      <c r="J2609" s="229"/>
      <c r="K2609" s="229"/>
      <c r="L2609" s="229">
        <f>SUM(ventas_b_mes11[[#This Row],[IMPORTE NETO]:[EXENTO]])</f>
        <v>9000</v>
      </c>
      <c r="M2609" s="55"/>
    </row>
    <row r="2610" spans="2:13" x14ac:dyDescent="0.3">
      <c r="B2610" s="223">
        <v>44851</v>
      </c>
      <c r="C2610" s="224">
        <v>6</v>
      </c>
      <c r="D2610" s="225">
        <v>10</v>
      </c>
      <c r="E2610" s="226">
        <v>43293</v>
      </c>
      <c r="F2610" s="227">
        <v>28989654</v>
      </c>
      <c r="G2610" s="1" t="s">
        <v>742</v>
      </c>
      <c r="H2610" s="60">
        <v>2231.41</v>
      </c>
      <c r="I2610" s="228">
        <v>468.6</v>
      </c>
      <c r="J2610" s="229"/>
      <c r="K2610" s="229"/>
      <c r="L2610" s="229">
        <f>SUM(ventas_b_mes11[[#This Row],[IMPORTE NETO]:[EXENTO]])</f>
        <v>2700.0099999999998</v>
      </c>
      <c r="M2610" s="55"/>
    </row>
    <row r="2611" spans="2:13" x14ac:dyDescent="0.3">
      <c r="B2611" s="223">
        <v>44851</v>
      </c>
      <c r="C2611" s="224">
        <v>6</v>
      </c>
      <c r="D2611" s="225">
        <v>10</v>
      </c>
      <c r="E2611" s="226">
        <v>43294</v>
      </c>
      <c r="F2611" s="227">
        <v>93456621</v>
      </c>
      <c r="G2611" s="1" t="s">
        <v>250</v>
      </c>
      <c r="H2611" s="60">
        <v>2550.41</v>
      </c>
      <c r="I2611" s="228">
        <v>535.59</v>
      </c>
      <c r="J2611" s="229"/>
      <c r="K2611" s="229"/>
      <c r="L2611" s="229">
        <f>SUM(ventas_b_mes11[[#This Row],[IMPORTE NETO]:[EXENTO]])</f>
        <v>3086</v>
      </c>
      <c r="M2611" s="55"/>
    </row>
    <row r="2612" spans="2:13" x14ac:dyDescent="0.3">
      <c r="B2612" s="223">
        <v>44851</v>
      </c>
      <c r="C2612" s="224">
        <v>6</v>
      </c>
      <c r="D2612" s="225">
        <v>10</v>
      </c>
      <c r="E2612" s="226">
        <v>43295</v>
      </c>
      <c r="F2612" s="227">
        <v>92902402</v>
      </c>
      <c r="G2612" s="1" t="s">
        <v>461</v>
      </c>
      <c r="H2612" s="60">
        <v>4958.68</v>
      </c>
      <c r="I2612" s="228">
        <v>1041.32</v>
      </c>
      <c r="J2612" s="229"/>
      <c r="K2612" s="229"/>
      <c r="L2612" s="229">
        <f>SUM(ventas_b_mes11[[#This Row],[IMPORTE NETO]:[EXENTO]])</f>
        <v>6000</v>
      </c>
      <c r="M2612" s="55"/>
    </row>
    <row r="2613" spans="2:13" x14ac:dyDescent="0.3">
      <c r="B2613" s="223">
        <v>44851</v>
      </c>
      <c r="C2613" s="224">
        <v>6</v>
      </c>
      <c r="D2613" s="225">
        <v>10</v>
      </c>
      <c r="E2613" s="226">
        <v>43296</v>
      </c>
      <c r="F2613" s="227">
        <v>36779187</v>
      </c>
      <c r="G2613" s="1" t="s">
        <v>734</v>
      </c>
      <c r="H2613" s="60">
        <v>4958.68</v>
      </c>
      <c r="I2613" s="228">
        <v>1041.32</v>
      </c>
      <c r="J2613" s="229"/>
      <c r="K2613" s="229"/>
      <c r="L2613" s="229">
        <f>SUM(ventas_b_mes11[[#This Row],[IMPORTE NETO]:[EXENTO]])</f>
        <v>6000</v>
      </c>
      <c r="M2613" s="55"/>
    </row>
    <row r="2614" spans="2:13" x14ac:dyDescent="0.3">
      <c r="B2614" s="223">
        <v>44851</v>
      </c>
      <c r="C2614" s="224">
        <v>6</v>
      </c>
      <c r="D2614" s="225">
        <v>10</v>
      </c>
      <c r="E2614" s="226">
        <v>43297</v>
      </c>
      <c r="F2614" s="227">
        <v>14873764</v>
      </c>
      <c r="G2614" s="1"/>
      <c r="H2614" s="60">
        <v>4958.68</v>
      </c>
      <c r="I2614" s="228">
        <v>1041.32</v>
      </c>
      <c r="J2614" s="229"/>
      <c r="K2614" s="229"/>
      <c r="L2614" s="229">
        <f>SUM(ventas_b_mes11[[#This Row],[IMPORTE NETO]:[EXENTO]])</f>
        <v>6000</v>
      </c>
      <c r="M2614" s="55"/>
    </row>
    <row r="2615" spans="2:13" x14ac:dyDescent="0.3">
      <c r="B2615" s="223">
        <v>44851</v>
      </c>
      <c r="C2615" s="224">
        <v>6</v>
      </c>
      <c r="D2615" s="225">
        <v>10</v>
      </c>
      <c r="E2615" s="226">
        <v>43298</v>
      </c>
      <c r="F2615" s="227">
        <v>123456</v>
      </c>
      <c r="G2615" s="1"/>
      <c r="H2615" s="60">
        <v>2454.54</v>
      </c>
      <c r="I2615" s="228">
        <v>515.45000000000005</v>
      </c>
      <c r="J2615" s="229"/>
      <c r="K2615" s="229"/>
      <c r="L2615" s="229">
        <f>SUM(ventas_b_mes11[[#This Row],[IMPORTE NETO]:[EXENTO]])</f>
        <v>2969.99</v>
      </c>
      <c r="M2615" s="55"/>
    </row>
    <row r="2616" spans="2:13" x14ac:dyDescent="0.3">
      <c r="B2616" s="223">
        <v>44851</v>
      </c>
      <c r="C2616" s="224">
        <v>6</v>
      </c>
      <c r="D2616" s="225">
        <v>10</v>
      </c>
      <c r="E2616" s="226">
        <v>43299</v>
      </c>
      <c r="F2616" s="227">
        <v>92902402</v>
      </c>
      <c r="G2616" s="1" t="s">
        <v>461</v>
      </c>
      <c r="H2616" s="60">
        <v>8669.4</v>
      </c>
      <c r="I2616" s="228">
        <v>1820.57</v>
      </c>
      <c r="J2616" s="229"/>
      <c r="K2616" s="229"/>
      <c r="L2616" s="229">
        <f>SUM(ventas_b_mes11[[#This Row],[IMPORTE NETO]:[EXENTO]])</f>
        <v>10489.97</v>
      </c>
      <c r="M2616" s="55"/>
    </row>
    <row r="2617" spans="2:13" x14ac:dyDescent="0.3">
      <c r="B2617" s="223">
        <v>44851</v>
      </c>
      <c r="C2617" s="224">
        <v>6</v>
      </c>
      <c r="D2617" s="225">
        <v>10</v>
      </c>
      <c r="E2617" s="226">
        <v>43300</v>
      </c>
      <c r="F2617" s="227">
        <v>14873764</v>
      </c>
      <c r="G2617" s="1"/>
      <c r="H2617" s="60">
        <v>8088.83</v>
      </c>
      <c r="I2617" s="228">
        <v>1698.66</v>
      </c>
      <c r="J2617" s="229"/>
      <c r="K2617" s="229"/>
      <c r="L2617" s="229">
        <f>SUM(ventas_b_mes11[[#This Row],[IMPORTE NETO]:[EXENTO]])</f>
        <v>9787.49</v>
      </c>
      <c r="M2617" s="55"/>
    </row>
    <row r="2618" spans="2:13" x14ac:dyDescent="0.3">
      <c r="B2618" s="223">
        <v>44851</v>
      </c>
      <c r="C2618" s="224">
        <v>6</v>
      </c>
      <c r="D2618" s="225">
        <v>10</v>
      </c>
      <c r="E2618" s="226">
        <v>43301</v>
      </c>
      <c r="F2618" s="227">
        <v>92902402</v>
      </c>
      <c r="G2618" s="1" t="s">
        <v>461</v>
      </c>
      <c r="H2618" s="60">
        <v>2107.44</v>
      </c>
      <c r="I2618" s="228">
        <v>442.56</v>
      </c>
      <c r="J2618" s="229"/>
      <c r="K2618" s="229"/>
      <c r="L2618" s="229">
        <f>SUM(ventas_b_mes11[[#This Row],[IMPORTE NETO]:[EXENTO]])</f>
        <v>2550</v>
      </c>
      <c r="M2618" s="55"/>
    </row>
    <row r="2619" spans="2:13" x14ac:dyDescent="0.3">
      <c r="B2619" s="223">
        <v>44851</v>
      </c>
      <c r="C2619" s="224">
        <v>6</v>
      </c>
      <c r="D2619" s="225">
        <v>10</v>
      </c>
      <c r="E2619" s="226">
        <v>43302</v>
      </c>
      <c r="F2619" s="227">
        <v>22990791</v>
      </c>
      <c r="G2619" s="1" t="s">
        <v>744</v>
      </c>
      <c r="H2619" s="60">
        <v>6153.72</v>
      </c>
      <c r="I2619" s="228">
        <v>1292.28</v>
      </c>
      <c r="J2619" s="229"/>
      <c r="K2619" s="229"/>
      <c r="L2619" s="229">
        <f>SUM(ventas_b_mes11[[#This Row],[IMPORTE NETO]:[EXENTO]])</f>
        <v>7446</v>
      </c>
      <c r="M2619" s="55"/>
    </row>
    <row r="2620" spans="2:13" x14ac:dyDescent="0.3">
      <c r="B2620" s="223">
        <v>44851</v>
      </c>
      <c r="C2620" s="224">
        <v>6</v>
      </c>
      <c r="D2620" s="225">
        <v>10</v>
      </c>
      <c r="E2620" s="226">
        <v>43303</v>
      </c>
      <c r="F2620" s="227">
        <v>23560455</v>
      </c>
      <c r="G2620" s="1" t="s">
        <v>723</v>
      </c>
      <c r="H2620" s="60">
        <v>4390.5</v>
      </c>
      <c r="I2620" s="228">
        <v>922</v>
      </c>
      <c r="J2620" s="229"/>
      <c r="K2620" s="229"/>
      <c r="L2620" s="229">
        <f>SUM(ventas_b_mes11[[#This Row],[IMPORTE NETO]:[EXENTO]])</f>
        <v>5312.5</v>
      </c>
      <c r="M2620" s="55"/>
    </row>
    <row r="2621" spans="2:13" x14ac:dyDescent="0.3">
      <c r="B2621" s="223">
        <v>44851</v>
      </c>
      <c r="C2621" s="224">
        <v>6</v>
      </c>
      <c r="D2621" s="225">
        <v>10</v>
      </c>
      <c r="E2621" s="226">
        <v>43304</v>
      </c>
      <c r="F2621" s="227">
        <v>53049257</v>
      </c>
      <c r="G2621" s="1" t="s">
        <v>729</v>
      </c>
      <c r="H2621" s="60">
        <v>16353.72</v>
      </c>
      <c r="I2621" s="228">
        <v>3434.28</v>
      </c>
      <c r="J2621" s="229"/>
      <c r="K2621" s="229"/>
      <c r="L2621" s="229">
        <f>SUM(ventas_b_mes11[[#This Row],[IMPORTE NETO]:[EXENTO]])</f>
        <v>19788</v>
      </c>
      <c r="M2621" s="55"/>
    </row>
    <row r="2622" spans="2:13" x14ac:dyDescent="0.3">
      <c r="B2622" s="223">
        <v>44851</v>
      </c>
      <c r="C2622" s="224">
        <v>6</v>
      </c>
      <c r="D2622" s="225">
        <v>10</v>
      </c>
      <c r="E2622" s="226">
        <v>43305</v>
      </c>
      <c r="F2622" s="227">
        <v>28398350</v>
      </c>
      <c r="G2622" s="1" t="s">
        <v>738</v>
      </c>
      <c r="H2622" s="60">
        <v>4545.45</v>
      </c>
      <c r="I2622" s="228">
        <v>954.55</v>
      </c>
      <c r="J2622" s="229"/>
      <c r="K2622" s="229"/>
      <c r="L2622" s="229">
        <f>SUM(ventas_b_mes11[[#This Row],[IMPORTE NETO]:[EXENTO]])</f>
        <v>5500</v>
      </c>
      <c r="M2622" s="55"/>
    </row>
    <row r="2623" spans="2:13" x14ac:dyDescent="0.3">
      <c r="B2623" s="223">
        <v>44851</v>
      </c>
      <c r="C2623" s="224">
        <v>6</v>
      </c>
      <c r="D2623" s="225">
        <v>10</v>
      </c>
      <c r="E2623" s="226">
        <v>43306</v>
      </c>
      <c r="F2623" s="227">
        <v>20956396</v>
      </c>
      <c r="G2623" s="1"/>
      <c r="H2623" s="60">
        <v>4545.45</v>
      </c>
      <c r="I2623" s="228">
        <v>954.55</v>
      </c>
      <c r="J2623" s="229"/>
      <c r="K2623" s="229"/>
      <c r="L2623" s="229">
        <f>SUM(ventas_b_mes11[[#This Row],[IMPORTE NETO]:[EXENTO]])</f>
        <v>5500</v>
      </c>
      <c r="M2623" s="55"/>
    </row>
    <row r="2624" spans="2:13" x14ac:dyDescent="0.3">
      <c r="B2624" s="223">
        <v>44851</v>
      </c>
      <c r="C2624" s="224">
        <v>6</v>
      </c>
      <c r="D2624" s="225">
        <v>10</v>
      </c>
      <c r="E2624" s="226">
        <v>43307</v>
      </c>
      <c r="F2624" s="227">
        <v>34888600</v>
      </c>
      <c r="G2624" s="1" t="s">
        <v>722</v>
      </c>
      <c r="H2624" s="60">
        <v>4545.45</v>
      </c>
      <c r="I2624" s="228">
        <v>954.55</v>
      </c>
      <c r="J2624" s="229"/>
      <c r="K2624" s="229"/>
      <c r="L2624" s="229">
        <f>SUM(ventas_b_mes11[[#This Row],[IMPORTE NETO]:[EXENTO]])</f>
        <v>5500</v>
      </c>
      <c r="M2624" s="55"/>
    </row>
    <row r="2625" spans="2:13" x14ac:dyDescent="0.3">
      <c r="B2625" s="223">
        <v>44851</v>
      </c>
      <c r="C2625" s="224">
        <v>6</v>
      </c>
      <c r="D2625" s="225">
        <v>10</v>
      </c>
      <c r="E2625" s="226">
        <v>43308</v>
      </c>
      <c r="F2625" s="227">
        <v>34888600</v>
      </c>
      <c r="G2625" s="1" t="s">
        <v>722</v>
      </c>
      <c r="H2625" s="60">
        <v>24.79</v>
      </c>
      <c r="I2625" s="228">
        <v>5.21</v>
      </c>
      <c r="J2625" s="229"/>
      <c r="K2625" s="229"/>
      <c r="L2625" s="229">
        <f>SUM(ventas_b_mes11[[#This Row],[IMPORTE NETO]:[EXENTO]])</f>
        <v>30</v>
      </c>
      <c r="M2625" s="55"/>
    </row>
    <row r="2626" spans="2:13" x14ac:dyDescent="0.3">
      <c r="B2626" s="223">
        <v>44851</v>
      </c>
      <c r="C2626" s="224">
        <v>6</v>
      </c>
      <c r="D2626" s="225">
        <v>10</v>
      </c>
      <c r="E2626" s="226">
        <v>43309</v>
      </c>
      <c r="F2626" s="227">
        <v>22402097</v>
      </c>
      <c r="G2626" s="1" t="s">
        <v>727</v>
      </c>
      <c r="H2626" s="60">
        <v>17040.71</v>
      </c>
      <c r="I2626" s="228">
        <v>3578.55</v>
      </c>
      <c r="J2626" s="229"/>
      <c r="K2626" s="229"/>
      <c r="L2626" s="229">
        <f>SUM(ventas_b_mes11[[#This Row],[IMPORTE NETO]:[EXENTO]])</f>
        <v>20619.259999999998</v>
      </c>
      <c r="M2626" s="55"/>
    </row>
    <row r="2627" spans="2:13" x14ac:dyDescent="0.3">
      <c r="B2627" s="223">
        <v>44851</v>
      </c>
      <c r="C2627" s="224">
        <v>6</v>
      </c>
      <c r="D2627" s="225">
        <v>10</v>
      </c>
      <c r="E2627" s="226">
        <v>43310</v>
      </c>
      <c r="F2627" s="227">
        <v>94054778</v>
      </c>
      <c r="G2627" s="1" t="s">
        <v>170</v>
      </c>
      <c r="H2627" s="60">
        <v>1822.31</v>
      </c>
      <c r="I2627" s="228">
        <v>382.69</v>
      </c>
      <c r="J2627" s="229"/>
      <c r="K2627" s="229"/>
      <c r="L2627" s="229">
        <f>SUM(ventas_b_mes11[[#This Row],[IMPORTE NETO]:[EXENTO]])</f>
        <v>2205</v>
      </c>
      <c r="M2627" s="55"/>
    </row>
    <row r="2628" spans="2:13" x14ac:dyDescent="0.3">
      <c r="B2628" s="223">
        <v>44851</v>
      </c>
      <c r="C2628" s="224">
        <v>6</v>
      </c>
      <c r="D2628" s="225">
        <v>10</v>
      </c>
      <c r="E2628" s="226">
        <v>43311</v>
      </c>
      <c r="F2628" s="227">
        <v>30765291</v>
      </c>
      <c r="G2628" s="1" t="s">
        <v>736</v>
      </c>
      <c r="H2628" s="60">
        <v>3688.02</v>
      </c>
      <c r="I2628" s="228">
        <v>774.48</v>
      </c>
      <c r="J2628" s="229"/>
      <c r="K2628" s="229"/>
      <c r="L2628" s="229">
        <f>SUM(ventas_b_mes11[[#This Row],[IMPORTE NETO]:[EXENTO]])</f>
        <v>4462.5</v>
      </c>
      <c r="M2628" s="55"/>
    </row>
    <row r="2629" spans="2:13" x14ac:dyDescent="0.3">
      <c r="B2629" s="223">
        <v>44852</v>
      </c>
      <c r="C2629" s="224">
        <v>6</v>
      </c>
      <c r="D2629" s="225">
        <v>10</v>
      </c>
      <c r="E2629" s="226">
        <v>43312</v>
      </c>
      <c r="F2629" s="227">
        <v>13776090</v>
      </c>
      <c r="G2629" s="1" t="s">
        <v>223</v>
      </c>
      <c r="H2629" s="60">
        <v>6020.25</v>
      </c>
      <c r="I2629" s="228">
        <v>1264.25</v>
      </c>
      <c r="J2629" s="229"/>
      <c r="K2629" s="229"/>
      <c r="L2629" s="229">
        <f>SUM(ventas_b_mes11[[#This Row],[IMPORTE NETO]:[EXENTO]])</f>
        <v>7284.5</v>
      </c>
      <c r="M2629" s="55"/>
    </row>
    <row r="2630" spans="2:13" x14ac:dyDescent="0.3">
      <c r="B2630" s="223">
        <v>44852</v>
      </c>
      <c r="C2630" s="224">
        <v>6</v>
      </c>
      <c r="D2630" s="225">
        <v>10</v>
      </c>
      <c r="E2630" s="226">
        <v>43313</v>
      </c>
      <c r="F2630" s="227">
        <v>13776090</v>
      </c>
      <c r="G2630" s="1" t="s">
        <v>223</v>
      </c>
      <c r="H2630" s="60">
        <v>5282.65</v>
      </c>
      <c r="I2630" s="228">
        <v>1109.3599999999999</v>
      </c>
      <c r="J2630" s="229"/>
      <c r="K2630" s="229"/>
      <c r="L2630" s="229">
        <f>SUM(ventas_b_mes11[[#This Row],[IMPORTE NETO]:[EXENTO]])</f>
        <v>6392.0099999999993</v>
      </c>
      <c r="M2630" s="55"/>
    </row>
    <row r="2631" spans="2:13" x14ac:dyDescent="0.3">
      <c r="B2631" s="223">
        <v>44852</v>
      </c>
      <c r="C2631" s="224">
        <v>6</v>
      </c>
      <c r="D2631" s="225">
        <v>10</v>
      </c>
      <c r="E2631" s="226">
        <v>43314</v>
      </c>
      <c r="F2631" s="227">
        <v>24729552</v>
      </c>
      <c r="G2631" s="1" t="s">
        <v>760</v>
      </c>
      <c r="H2631" s="60">
        <v>4958.68</v>
      </c>
      <c r="I2631" s="228">
        <v>1041.32</v>
      </c>
      <c r="J2631" s="229"/>
      <c r="K2631" s="229"/>
      <c r="L2631" s="229">
        <f>SUM(ventas_b_mes11[[#This Row],[IMPORTE NETO]:[EXENTO]])</f>
        <v>6000</v>
      </c>
      <c r="M2631" s="55"/>
    </row>
    <row r="2632" spans="2:13" x14ac:dyDescent="0.3">
      <c r="B2632" s="223">
        <v>44852</v>
      </c>
      <c r="C2632" s="224">
        <v>6</v>
      </c>
      <c r="D2632" s="225">
        <v>10</v>
      </c>
      <c r="E2632" s="226">
        <v>43315</v>
      </c>
      <c r="F2632" s="227">
        <v>125478365</v>
      </c>
      <c r="G2632" s="1"/>
      <c r="H2632" s="60">
        <v>4958.68</v>
      </c>
      <c r="I2632" s="228">
        <v>1041.32</v>
      </c>
      <c r="J2632" s="229"/>
      <c r="K2632" s="229"/>
      <c r="L2632" s="229">
        <f>SUM(ventas_b_mes11[[#This Row],[IMPORTE NETO]:[EXENTO]])</f>
        <v>6000</v>
      </c>
      <c r="M2632" s="55"/>
    </row>
    <row r="2633" spans="2:13" x14ac:dyDescent="0.3">
      <c r="B2633" s="223">
        <v>44852</v>
      </c>
      <c r="C2633" s="224">
        <v>6</v>
      </c>
      <c r="D2633" s="225">
        <v>10</v>
      </c>
      <c r="E2633" s="226">
        <v>43316</v>
      </c>
      <c r="F2633" s="227">
        <v>28459253</v>
      </c>
      <c r="G2633" s="1" t="s">
        <v>772</v>
      </c>
      <c r="H2633" s="60">
        <v>4776.8599999999997</v>
      </c>
      <c r="I2633" s="228">
        <v>1003.14</v>
      </c>
      <c r="J2633" s="229"/>
      <c r="K2633" s="229"/>
      <c r="L2633" s="229">
        <f>SUM(ventas_b_mes11[[#This Row],[IMPORTE NETO]:[EXENTO]])</f>
        <v>5780</v>
      </c>
      <c r="M2633" s="55"/>
    </row>
    <row r="2634" spans="2:13" x14ac:dyDescent="0.3">
      <c r="B2634" s="223">
        <v>44852</v>
      </c>
      <c r="C2634" s="224">
        <v>6</v>
      </c>
      <c r="D2634" s="225">
        <v>10</v>
      </c>
      <c r="E2634" s="226">
        <v>43317</v>
      </c>
      <c r="F2634" s="227">
        <v>36740872</v>
      </c>
      <c r="G2634" s="1" t="s">
        <v>774</v>
      </c>
      <c r="H2634" s="60">
        <v>2634.3</v>
      </c>
      <c r="I2634" s="228">
        <v>553.20000000000005</v>
      </c>
      <c r="J2634" s="229"/>
      <c r="K2634" s="229"/>
      <c r="L2634" s="229">
        <f>SUM(ventas_b_mes11[[#This Row],[IMPORTE NETO]:[EXENTO]])</f>
        <v>3187.5</v>
      </c>
      <c r="M2634" s="55"/>
    </row>
    <row r="2635" spans="2:13" x14ac:dyDescent="0.3">
      <c r="B2635" s="223">
        <v>44852</v>
      </c>
      <c r="C2635" s="224">
        <v>6</v>
      </c>
      <c r="D2635" s="225">
        <v>10</v>
      </c>
      <c r="E2635" s="226">
        <v>43318</v>
      </c>
      <c r="F2635" s="227">
        <v>27602253</v>
      </c>
      <c r="G2635" s="1" t="s">
        <v>207</v>
      </c>
      <c r="H2635" s="60">
        <v>3758.26</v>
      </c>
      <c r="I2635" s="228">
        <v>789.24</v>
      </c>
      <c r="J2635" s="229"/>
      <c r="K2635" s="229"/>
      <c r="L2635" s="229">
        <f>SUM(ventas_b_mes11[[#This Row],[IMPORTE NETO]:[EXENTO]])</f>
        <v>4547.5</v>
      </c>
      <c r="M2635" s="55"/>
    </row>
    <row r="2636" spans="2:13" x14ac:dyDescent="0.3">
      <c r="B2636" s="223">
        <v>44852</v>
      </c>
      <c r="C2636" s="224">
        <v>6</v>
      </c>
      <c r="D2636" s="225">
        <v>10</v>
      </c>
      <c r="E2636" s="226">
        <v>43319</v>
      </c>
      <c r="F2636" s="227">
        <v>18597462</v>
      </c>
      <c r="G2636" s="1" t="s">
        <v>243</v>
      </c>
      <c r="H2636" s="60">
        <v>4309.92</v>
      </c>
      <c r="I2636" s="228">
        <v>905.08</v>
      </c>
      <c r="J2636" s="229"/>
      <c r="K2636" s="229"/>
      <c r="L2636" s="229">
        <f>SUM(ventas_b_mes11[[#This Row],[IMPORTE NETO]:[EXENTO]])</f>
        <v>5215</v>
      </c>
      <c r="M2636" s="55"/>
    </row>
    <row r="2637" spans="2:13" x14ac:dyDescent="0.3">
      <c r="B2637" s="223">
        <v>44852</v>
      </c>
      <c r="C2637" s="224">
        <v>6</v>
      </c>
      <c r="D2637" s="225">
        <v>10</v>
      </c>
      <c r="E2637" s="226">
        <v>43320</v>
      </c>
      <c r="F2637" s="227">
        <v>25869848</v>
      </c>
      <c r="G2637" s="1" t="s">
        <v>586</v>
      </c>
      <c r="H2637" s="60">
        <v>13972.31</v>
      </c>
      <c r="I2637" s="228">
        <v>2934.19</v>
      </c>
      <c r="J2637" s="229"/>
      <c r="K2637" s="229"/>
      <c r="L2637" s="229">
        <f>SUM(ventas_b_mes11[[#This Row],[IMPORTE NETO]:[EXENTO]])</f>
        <v>16906.5</v>
      </c>
      <c r="M2637" s="55"/>
    </row>
    <row r="2638" spans="2:13" x14ac:dyDescent="0.3">
      <c r="B2638" s="223">
        <v>44852</v>
      </c>
      <c r="C2638" s="224">
        <v>6</v>
      </c>
      <c r="D2638" s="225">
        <v>10</v>
      </c>
      <c r="E2638" s="226">
        <v>43321</v>
      </c>
      <c r="F2638" s="227">
        <v>49560225</v>
      </c>
      <c r="G2638" s="1" t="s">
        <v>768</v>
      </c>
      <c r="H2638" s="60">
        <v>4958.68</v>
      </c>
      <c r="I2638" s="228">
        <v>1041.32</v>
      </c>
      <c r="J2638" s="229"/>
      <c r="K2638" s="229"/>
      <c r="L2638" s="229">
        <f>SUM(ventas_b_mes11[[#This Row],[IMPORTE NETO]:[EXENTO]])</f>
        <v>6000</v>
      </c>
      <c r="M2638" s="55"/>
    </row>
    <row r="2639" spans="2:13" x14ac:dyDescent="0.3">
      <c r="B2639" s="223">
        <v>44852</v>
      </c>
      <c r="C2639" s="224">
        <v>6</v>
      </c>
      <c r="D2639" s="225">
        <v>10</v>
      </c>
      <c r="E2639" s="226">
        <v>43322</v>
      </c>
      <c r="F2639" s="227">
        <v>17352391</v>
      </c>
      <c r="G2639" s="1" t="s">
        <v>761</v>
      </c>
      <c r="H2639" s="60">
        <v>5142.1499999999996</v>
      </c>
      <c r="I2639" s="228">
        <v>1079.8499999999999</v>
      </c>
      <c r="J2639" s="229"/>
      <c r="K2639" s="229"/>
      <c r="L2639" s="229">
        <f>SUM(ventas_b_mes11[[#This Row],[IMPORTE NETO]:[EXENTO]])</f>
        <v>6222</v>
      </c>
      <c r="M2639" s="55"/>
    </row>
    <row r="2640" spans="2:13" x14ac:dyDescent="0.3">
      <c r="B2640" s="223">
        <v>44852</v>
      </c>
      <c r="C2640" s="224">
        <v>6</v>
      </c>
      <c r="D2640" s="225">
        <v>10</v>
      </c>
      <c r="E2640" s="226">
        <v>43323</v>
      </c>
      <c r="F2640" s="227">
        <v>0</v>
      </c>
      <c r="G2640" s="1"/>
      <c r="H2640" s="60">
        <v>3161.16</v>
      </c>
      <c r="I2640" s="228">
        <v>663.84</v>
      </c>
      <c r="J2640" s="229"/>
      <c r="K2640" s="229"/>
      <c r="L2640" s="229">
        <f>SUM(ventas_b_mes11[[#This Row],[IMPORTE NETO]:[EXENTO]])</f>
        <v>3825</v>
      </c>
      <c r="M2640" s="55"/>
    </row>
    <row r="2641" spans="2:13" x14ac:dyDescent="0.3">
      <c r="B2641" s="223">
        <v>44852</v>
      </c>
      <c r="C2641" s="224">
        <v>6</v>
      </c>
      <c r="D2641" s="225">
        <v>10</v>
      </c>
      <c r="E2641" s="226">
        <v>43324</v>
      </c>
      <c r="F2641" s="227">
        <v>22294443</v>
      </c>
      <c r="G2641" s="1" t="s">
        <v>748</v>
      </c>
      <c r="H2641" s="60">
        <v>6357.44</v>
      </c>
      <c r="I2641" s="228">
        <v>1335.06</v>
      </c>
      <c r="J2641" s="229"/>
      <c r="K2641" s="229"/>
      <c r="L2641" s="229">
        <f>SUM(ventas_b_mes11[[#This Row],[IMPORTE NETO]:[EXENTO]])</f>
        <v>7692.5</v>
      </c>
      <c r="M2641" s="55"/>
    </row>
    <row r="2642" spans="2:13" x14ac:dyDescent="0.3">
      <c r="B2642" s="223">
        <v>44852</v>
      </c>
      <c r="C2642" s="224">
        <v>6</v>
      </c>
      <c r="D2642" s="225">
        <v>10</v>
      </c>
      <c r="E2642" s="226">
        <v>43325</v>
      </c>
      <c r="F2642" s="227">
        <v>25905574</v>
      </c>
      <c r="G2642" s="1" t="s">
        <v>749</v>
      </c>
      <c r="H2642" s="60">
        <v>9132.23</v>
      </c>
      <c r="I2642" s="228">
        <v>1917.77</v>
      </c>
      <c r="J2642" s="229"/>
      <c r="K2642" s="229"/>
      <c r="L2642" s="229">
        <f>SUM(ventas_b_mes11[[#This Row],[IMPORTE NETO]:[EXENTO]])</f>
        <v>11050</v>
      </c>
      <c r="M2642" s="55"/>
    </row>
    <row r="2643" spans="2:13" x14ac:dyDescent="0.3">
      <c r="B2643" s="223">
        <v>44852</v>
      </c>
      <c r="C2643" s="224">
        <v>6</v>
      </c>
      <c r="D2643" s="225">
        <v>10</v>
      </c>
      <c r="E2643" s="226">
        <v>43326</v>
      </c>
      <c r="F2643" s="227">
        <v>27280955391</v>
      </c>
      <c r="G2643" s="1"/>
      <c r="H2643" s="60">
        <v>51425.78</v>
      </c>
      <c r="I2643" s="228">
        <v>10799.41</v>
      </c>
      <c r="J2643" s="229"/>
      <c r="K2643" s="229"/>
      <c r="L2643" s="229">
        <f>SUM(ventas_b_mes11[[#This Row],[IMPORTE NETO]:[EXENTO]])</f>
        <v>62225.19</v>
      </c>
      <c r="M2643" s="55"/>
    </row>
    <row r="2644" spans="2:13" x14ac:dyDescent="0.3">
      <c r="B2644" s="223">
        <v>44852</v>
      </c>
      <c r="C2644" s="224">
        <v>6</v>
      </c>
      <c r="D2644" s="225">
        <v>10</v>
      </c>
      <c r="E2644" s="226">
        <v>43327</v>
      </c>
      <c r="F2644" s="227">
        <v>30712238190</v>
      </c>
      <c r="G2644" s="1" t="s">
        <v>343</v>
      </c>
      <c r="H2644" s="60">
        <v>30302.63</v>
      </c>
      <c r="I2644" s="228">
        <v>6363.55</v>
      </c>
      <c r="J2644" s="229"/>
      <c r="K2644" s="229"/>
      <c r="L2644" s="229">
        <f>SUM(ventas_b_mes11[[#This Row],[IMPORTE NETO]:[EXENTO]])</f>
        <v>36666.18</v>
      </c>
      <c r="M2644" s="55"/>
    </row>
    <row r="2645" spans="2:13" x14ac:dyDescent="0.3">
      <c r="B2645" s="223">
        <v>44852</v>
      </c>
      <c r="C2645" s="224">
        <v>6</v>
      </c>
      <c r="D2645" s="225">
        <v>10</v>
      </c>
      <c r="E2645" s="226">
        <v>43328</v>
      </c>
      <c r="F2645" s="227">
        <v>30712238190</v>
      </c>
      <c r="G2645" s="1" t="s">
        <v>343</v>
      </c>
      <c r="H2645" s="60">
        <v>23071.24</v>
      </c>
      <c r="I2645" s="228">
        <v>4844.96</v>
      </c>
      <c r="J2645" s="229"/>
      <c r="K2645" s="229"/>
      <c r="L2645" s="229">
        <f>SUM(ventas_b_mes11[[#This Row],[IMPORTE NETO]:[EXENTO]])</f>
        <v>27916.2</v>
      </c>
      <c r="M2645" s="55"/>
    </row>
    <row r="2646" spans="2:13" x14ac:dyDescent="0.3">
      <c r="B2646" s="223">
        <v>44852</v>
      </c>
      <c r="C2646" s="224">
        <v>6</v>
      </c>
      <c r="D2646" s="225">
        <v>10</v>
      </c>
      <c r="E2646" s="226">
        <v>43329</v>
      </c>
      <c r="F2646" s="227">
        <v>30712238190</v>
      </c>
      <c r="G2646" s="1" t="s">
        <v>343</v>
      </c>
      <c r="H2646" s="60">
        <v>13813.15</v>
      </c>
      <c r="I2646" s="228">
        <v>2900.76</v>
      </c>
      <c r="J2646" s="229"/>
      <c r="K2646" s="229"/>
      <c r="L2646" s="229">
        <f>SUM(ventas_b_mes11[[#This Row],[IMPORTE NETO]:[EXENTO]])</f>
        <v>16713.91</v>
      </c>
      <c r="M2646" s="55"/>
    </row>
    <row r="2647" spans="2:13" x14ac:dyDescent="0.3">
      <c r="B2647" s="223">
        <v>44852</v>
      </c>
      <c r="C2647" s="224">
        <v>6</v>
      </c>
      <c r="D2647" s="225">
        <v>10</v>
      </c>
      <c r="E2647" s="226">
        <v>43330</v>
      </c>
      <c r="F2647" s="227">
        <v>30712238190</v>
      </c>
      <c r="G2647" s="1" t="s">
        <v>343</v>
      </c>
      <c r="H2647" s="60">
        <v>7427.69</v>
      </c>
      <c r="I2647" s="228">
        <v>1559.81</v>
      </c>
      <c r="J2647" s="229"/>
      <c r="K2647" s="229"/>
      <c r="L2647" s="229">
        <f>SUM(ventas_b_mes11[[#This Row],[IMPORTE NETO]:[EXENTO]])</f>
        <v>8987.5</v>
      </c>
      <c r="M2647" s="55"/>
    </row>
    <row r="2648" spans="2:13" x14ac:dyDescent="0.3">
      <c r="B2648" s="223">
        <v>44852</v>
      </c>
      <c r="C2648" s="224">
        <v>6</v>
      </c>
      <c r="D2648" s="225">
        <v>10</v>
      </c>
      <c r="E2648" s="226">
        <v>43331</v>
      </c>
      <c r="F2648" s="227">
        <v>94085236</v>
      </c>
      <c r="G2648" s="1" t="s">
        <v>751</v>
      </c>
      <c r="H2648" s="60">
        <v>1227.27</v>
      </c>
      <c r="I2648" s="228">
        <v>257.73</v>
      </c>
      <c r="J2648" s="229"/>
      <c r="K2648" s="229"/>
      <c r="L2648" s="229">
        <f>SUM(ventas_b_mes11[[#This Row],[IMPORTE NETO]:[EXENTO]])</f>
        <v>1485</v>
      </c>
      <c r="M2648" s="55"/>
    </row>
    <row r="2649" spans="2:13" x14ac:dyDescent="0.3">
      <c r="B2649" s="223">
        <v>44853</v>
      </c>
      <c r="C2649" s="224">
        <v>6</v>
      </c>
      <c r="D2649" s="225">
        <v>10</v>
      </c>
      <c r="E2649" s="226">
        <v>43332</v>
      </c>
      <c r="F2649" s="227">
        <v>13776090</v>
      </c>
      <c r="G2649" s="1" t="s">
        <v>223</v>
      </c>
      <c r="H2649" s="60">
        <v>1475.21</v>
      </c>
      <c r="I2649" s="228">
        <v>309.79000000000002</v>
      </c>
      <c r="J2649" s="229"/>
      <c r="K2649" s="229"/>
      <c r="L2649" s="229">
        <f>SUM(ventas_b_mes11[[#This Row],[IMPORTE NETO]:[EXENTO]])</f>
        <v>1785</v>
      </c>
      <c r="M2649" s="55"/>
    </row>
    <row r="2650" spans="2:13" x14ac:dyDescent="0.3">
      <c r="B2650" s="223">
        <v>44853</v>
      </c>
      <c r="C2650" s="224">
        <v>6</v>
      </c>
      <c r="D2650" s="225">
        <v>10</v>
      </c>
      <c r="E2650" s="226">
        <v>43333</v>
      </c>
      <c r="F2650" s="227">
        <v>25662371</v>
      </c>
      <c r="G2650" s="1" t="s">
        <v>807</v>
      </c>
      <c r="H2650" s="60">
        <v>6195.87</v>
      </c>
      <c r="I2650" s="228">
        <v>1301.1300000000001</v>
      </c>
      <c r="J2650" s="229"/>
      <c r="K2650" s="229"/>
      <c r="L2650" s="229">
        <f>SUM(ventas_b_mes11[[#This Row],[IMPORTE NETO]:[EXENTO]])</f>
        <v>7497</v>
      </c>
      <c r="M2650" s="55"/>
    </row>
    <row r="2651" spans="2:13" x14ac:dyDescent="0.3">
      <c r="B2651" s="223">
        <v>44853</v>
      </c>
      <c r="C2651" s="224">
        <v>6</v>
      </c>
      <c r="D2651" s="225">
        <v>10</v>
      </c>
      <c r="E2651" s="226">
        <v>43334</v>
      </c>
      <c r="F2651" s="227">
        <v>14873764</v>
      </c>
      <c r="G2651" s="1"/>
      <c r="H2651" s="60">
        <v>19478.97</v>
      </c>
      <c r="I2651" s="228">
        <v>4090.58</v>
      </c>
      <c r="J2651" s="229"/>
      <c r="K2651" s="229"/>
      <c r="L2651" s="229">
        <f>SUM(ventas_b_mes11[[#This Row],[IMPORTE NETO]:[EXENTO]])</f>
        <v>23569.550000000003</v>
      </c>
      <c r="M2651" s="55"/>
    </row>
    <row r="2652" spans="2:13" x14ac:dyDescent="0.3">
      <c r="B2652" s="223">
        <v>44853</v>
      </c>
      <c r="C2652" s="224">
        <v>6</v>
      </c>
      <c r="D2652" s="225">
        <v>10</v>
      </c>
      <c r="E2652" s="226">
        <v>43335</v>
      </c>
      <c r="F2652" s="227">
        <v>92902402</v>
      </c>
      <c r="G2652" s="1" t="s">
        <v>461</v>
      </c>
      <c r="H2652" s="60">
        <v>1561.98</v>
      </c>
      <c r="I2652" s="228">
        <v>328.02</v>
      </c>
      <c r="J2652" s="229"/>
      <c r="K2652" s="229"/>
      <c r="L2652" s="229">
        <f>SUM(ventas_b_mes11[[#This Row],[IMPORTE NETO]:[EXENTO]])</f>
        <v>1890</v>
      </c>
      <c r="M2652" s="55"/>
    </row>
    <row r="2653" spans="2:13" x14ac:dyDescent="0.3">
      <c r="B2653" s="223">
        <v>44853</v>
      </c>
      <c r="C2653" s="224">
        <v>6</v>
      </c>
      <c r="D2653" s="225">
        <v>10</v>
      </c>
      <c r="E2653" s="226">
        <v>43336</v>
      </c>
      <c r="F2653" s="227">
        <v>92795455</v>
      </c>
      <c r="G2653" s="1" t="s">
        <v>787</v>
      </c>
      <c r="H2653" s="60">
        <v>5258.49</v>
      </c>
      <c r="I2653" s="228">
        <v>1104.28</v>
      </c>
      <c r="J2653" s="229"/>
      <c r="K2653" s="229"/>
      <c r="L2653" s="229">
        <f>SUM(ventas_b_mes11[[#This Row],[IMPORTE NETO]:[EXENTO]])</f>
        <v>6362.7699999999995</v>
      </c>
      <c r="M2653" s="55"/>
    </row>
    <row r="2654" spans="2:13" x14ac:dyDescent="0.3">
      <c r="B2654" s="223">
        <v>44853</v>
      </c>
      <c r="C2654" s="224">
        <v>6</v>
      </c>
      <c r="D2654" s="225">
        <v>10</v>
      </c>
      <c r="E2654" s="226">
        <v>43337</v>
      </c>
      <c r="F2654" s="227">
        <v>29332286</v>
      </c>
      <c r="G2654" s="1" t="s">
        <v>278</v>
      </c>
      <c r="H2654" s="60">
        <v>5212.3999999999996</v>
      </c>
      <c r="I2654" s="228">
        <v>1094.5999999999999</v>
      </c>
      <c r="J2654" s="229"/>
      <c r="K2654" s="229"/>
      <c r="L2654" s="229">
        <f>SUM(ventas_b_mes11[[#This Row],[IMPORTE NETO]:[EXENTO]])</f>
        <v>6307</v>
      </c>
      <c r="M2654" s="55"/>
    </row>
    <row r="2655" spans="2:13" x14ac:dyDescent="0.3">
      <c r="B2655" s="223">
        <v>44853</v>
      </c>
      <c r="C2655" s="224">
        <v>6</v>
      </c>
      <c r="D2655" s="225">
        <v>10</v>
      </c>
      <c r="E2655" s="226">
        <v>43338</v>
      </c>
      <c r="F2655" s="227">
        <v>0</v>
      </c>
      <c r="G2655" s="1"/>
      <c r="H2655" s="60">
        <v>1561.98</v>
      </c>
      <c r="I2655" s="228">
        <v>328.02</v>
      </c>
      <c r="J2655" s="229"/>
      <c r="K2655" s="229"/>
      <c r="L2655" s="229">
        <f>SUM(ventas_b_mes11[[#This Row],[IMPORTE NETO]:[EXENTO]])</f>
        <v>1890</v>
      </c>
      <c r="M2655" s="55"/>
    </row>
    <row r="2656" spans="2:13" x14ac:dyDescent="0.3">
      <c r="B2656" s="223" t="s">
        <v>112</v>
      </c>
      <c r="C2656" s="224">
        <v>6</v>
      </c>
      <c r="D2656" s="225">
        <v>10</v>
      </c>
      <c r="E2656" s="226">
        <v>43339</v>
      </c>
      <c r="F2656" s="227">
        <v>14569328</v>
      </c>
      <c r="G2656" s="1" t="s">
        <v>784</v>
      </c>
      <c r="H2656" s="60">
        <v>4685.53</v>
      </c>
      <c r="I2656" s="228">
        <v>983.96</v>
      </c>
      <c r="J2656" s="229"/>
      <c r="K2656" s="229"/>
      <c r="L2656" s="229">
        <f>SUM(ventas_b_mes11[[#This Row],[IMPORTE NETO]:[EXENTO]])</f>
        <v>5669.49</v>
      </c>
      <c r="M2656" s="55"/>
    </row>
    <row r="2657" spans="2:13" x14ac:dyDescent="0.3">
      <c r="B2657" s="223">
        <v>44853</v>
      </c>
      <c r="C2657" s="224">
        <v>6</v>
      </c>
      <c r="D2657" s="225">
        <v>10</v>
      </c>
      <c r="E2657" s="226">
        <v>43340</v>
      </c>
      <c r="F2657" s="227">
        <v>27602253</v>
      </c>
      <c r="G2657" s="1" t="s">
        <v>207</v>
      </c>
      <c r="H2657" s="60">
        <v>5458.26</v>
      </c>
      <c r="I2657" s="228">
        <v>1146.24</v>
      </c>
      <c r="J2657" s="229"/>
      <c r="K2657" s="229"/>
      <c r="L2657" s="229">
        <f>SUM(ventas_b_mes11[[#This Row],[IMPORTE NETO]:[EXENTO]])</f>
        <v>6604.5</v>
      </c>
      <c r="M2657" s="55"/>
    </row>
    <row r="2658" spans="2:13" x14ac:dyDescent="0.3">
      <c r="B2658" s="223">
        <v>44853</v>
      </c>
      <c r="C2658" s="224">
        <v>6</v>
      </c>
      <c r="D2658" s="225">
        <v>10</v>
      </c>
      <c r="E2658" s="226">
        <v>43341</v>
      </c>
      <c r="F2658" s="227">
        <v>12975912</v>
      </c>
      <c r="G2658" s="1" t="s">
        <v>153</v>
      </c>
      <c r="H2658" s="60">
        <v>4088.43</v>
      </c>
      <c r="I2658" s="228">
        <v>858.57</v>
      </c>
      <c r="J2658" s="229"/>
      <c r="K2658" s="229"/>
      <c r="L2658" s="229">
        <f>SUM(ventas_b_mes11[[#This Row],[IMPORTE NETO]:[EXENTO]])</f>
        <v>4947</v>
      </c>
      <c r="M2658" s="55"/>
    </row>
    <row r="2659" spans="2:13" x14ac:dyDescent="0.3">
      <c r="B2659" s="223">
        <v>44853</v>
      </c>
      <c r="C2659" s="224">
        <v>6</v>
      </c>
      <c r="D2659" s="225">
        <v>10</v>
      </c>
      <c r="E2659" s="226">
        <v>43342</v>
      </c>
      <c r="F2659" s="227">
        <v>92826047</v>
      </c>
      <c r="G2659" s="1" t="s">
        <v>820</v>
      </c>
      <c r="H2659" s="60">
        <v>8619.42</v>
      </c>
      <c r="I2659" s="228">
        <v>1810.08</v>
      </c>
      <c r="J2659" s="229"/>
      <c r="K2659" s="229"/>
      <c r="L2659" s="229">
        <f>SUM(ventas_b_mes11[[#This Row],[IMPORTE NETO]:[EXENTO]])</f>
        <v>10429.5</v>
      </c>
      <c r="M2659" s="55"/>
    </row>
    <row r="2660" spans="2:13" x14ac:dyDescent="0.3">
      <c r="B2660" s="223">
        <v>44853</v>
      </c>
      <c r="C2660" s="224">
        <v>6</v>
      </c>
      <c r="D2660" s="225">
        <v>10</v>
      </c>
      <c r="E2660" s="226">
        <v>43343</v>
      </c>
      <c r="F2660" s="227">
        <v>38952354</v>
      </c>
      <c r="G2660" s="1" t="s">
        <v>645</v>
      </c>
      <c r="H2660" s="60">
        <v>4545.45</v>
      </c>
      <c r="I2660" s="228">
        <v>954.55</v>
      </c>
      <c r="J2660" s="229"/>
      <c r="K2660" s="229"/>
      <c r="L2660" s="229">
        <f>SUM(ventas_b_mes11[[#This Row],[IMPORTE NETO]:[EXENTO]])</f>
        <v>5500</v>
      </c>
      <c r="M2660" s="55"/>
    </row>
    <row r="2661" spans="2:13" x14ac:dyDescent="0.3">
      <c r="B2661" s="223">
        <v>44853</v>
      </c>
      <c r="C2661" s="224">
        <v>6</v>
      </c>
      <c r="D2661" s="225">
        <v>10</v>
      </c>
      <c r="E2661" s="226">
        <v>43344</v>
      </c>
      <c r="F2661" s="227">
        <v>20007416</v>
      </c>
      <c r="G2661" s="1" t="s">
        <v>152</v>
      </c>
      <c r="H2661" s="60">
        <v>8176.86</v>
      </c>
      <c r="I2661" s="228">
        <v>1717.14</v>
      </c>
      <c r="J2661" s="229"/>
      <c r="K2661" s="229"/>
      <c r="L2661" s="229">
        <f>SUM(ventas_b_mes11[[#This Row],[IMPORTE NETO]:[EXENTO]])</f>
        <v>9894</v>
      </c>
      <c r="M2661" s="55"/>
    </row>
    <row r="2662" spans="2:13" x14ac:dyDescent="0.3">
      <c r="B2662" s="223">
        <v>44853</v>
      </c>
      <c r="C2662" s="224">
        <v>6</v>
      </c>
      <c r="D2662" s="225">
        <v>10</v>
      </c>
      <c r="E2662" s="226">
        <v>43345</v>
      </c>
      <c r="F2662" s="227">
        <v>24636456</v>
      </c>
      <c r="G2662" s="1" t="s">
        <v>150</v>
      </c>
      <c r="H2662" s="60">
        <v>4177.6899999999996</v>
      </c>
      <c r="I2662" s="228">
        <v>877.31</v>
      </c>
      <c r="J2662" s="229"/>
      <c r="K2662" s="229"/>
      <c r="L2662" s="229">
        <f>SUM(ventas_b_mes11[[#This Row],[IMPORTE NETO]:[EXENTO]])</f>
        <v>5055</v>
      </c>
      <c r="M2662" s="55"/>
    </row>
    <row r="2663" spans="2:13" x14ac:dyDescent="0.3">
      <c r="B2663" s="223">
        <v>44853</v>
      </c>
      <c r="C2663" s="224">
        <v>6</v>
      </c>
      <c r="D2663" s="225">
        <v>10</v>
      </c>
      <c r="E2663" s="226">
        <v>43346</v>
      </c>
      <c r="F2663" s="227">
        <v>17541346</v>
      </c>
      <c r="G2663" s="1" t="s">
        <v>800</v>
      </c>
      <c r="H2663" s="60">
        <v>4088.43</v>
      </c>
      <c r="I2663" s="228">
        <v>858.57</v>
      </c>
      <c r="J2663" s="229"/>
      <c r="K2663" s="229"/>
      <c r="L2663" s="229">
        <f>SUM(ventas_b_mes11[[#This Row],[IMPORTE NETO]:[EXENTO]])</f>
        <v>4947</v>
      </c>
      <c r="M2663" s="55"/>
    </row>
    <row r="2664" spans="2:13" x14ac:dyDescent="0.3">
      <c r="B2664" s="223">
        <v>44853</v>
      </c>
      <c r="C2664" s="224">
        <v>6</v>
      </c>
      <c r="D2664" s="225">
        <v>10</v>
      </c>
      <c r="E2664" s="226">
        <v>43347</v>
      </c>
      <c r="F2664" s="227">
        <v>2146545</v>
      </c>
      <c r="G2664" s="1"/>
      <c r="H2664" s="60">
        <v>4460.74</v>
      </c>
      <c r="I2664" s="228">
        <v>936.76</v>
      </c>
      <c r="J2664" s="229"/>
      <c r="K2664" s="229"/>
      <c r="L2664" s="229">
        <f>SUM(ventas_b_mes11[[#This Row],[IMPORTE NETO]:[EXENTO]])</f>
        <v>5397.5</v>
      </c>
      <c r="M2664" s="55"/>
    </row>
    <row r="2665" spans="2:13" x14ac:dyDescent="0.3">
      <c r="B2665" s="223">
        <v>44853</v>
      </c>
      <c r="C2665" s="224">
        <v>6</v>
      </c>
      <c r="D2665" s="225">
        <v>10</v>
      </c>
      <c r="E2665" s="226">
        <v>43348</v>
      </c>
      <c r="F2665" s="227">
        <v>26460965</v>
      </c>
      <c r="G2665" s="1" t="s">
        <v>550</v>
      </c>
      <c r="H2665" s="60">
        <v>7024.8</v>
      </c>
      <c r="I2665" s="228">
        <v>1475.21</v>
      </c>
      <c r="J2665" s="229"/>
      <c r="K2665" s="229"/>
      <c r="L2665" s="229">
        <f>SUM(ventas_b_mes11[[#This Row],[IMPORTE NETO]:[EXENTO]])</f>
        <v>8500.01</v>
      </c>
      <c r="M2665" s="55"/>
    </row>
    <row r="2666" spans="2:13" x14ac:dyDescent="0.3">
      <c r="B2666" s="223">
        <v>44853</v>
      </c>
      <c r="C2666" s="224">
        <v>6</v>
      </c>
      <c r="D2666" s="225">
        <v>10</v>
      </c>
      <c r="E2666" s="226">
        <v>43349</v>
      </c>
      <c r="F2666" s="227">
        <v>53049257</v>
      </c>
      <c r="G2666" s="1" t="s">
        <v>729</v>
      </c>
      <c r="H2666" s="60">
        <v>8176.86</v>
      </c>
      <c r="I2666" s="228">
        <v>1717.14</v>
      </c>
      <c r="J2666" s="229"/>
      <c r="K2666" s="229"/>
      <c r="L2666" s="229">
        <f>SUM(ventas_b_mes11[[#This Row],[IMPORTE NETO]:[EXENTO]])</f>
        <v>9894</v>
      </c>
      <c r="M2666" s="55"/>
    </row>
    <row r="2667" spans="2:13" x14ac:dyDescent="0.3">
      <c r="B2667" s="223">
        <v>44853</v>
      </c>
      <c r="C2667" s="224">
        <v>6</v>
      </c>
      <c r="D2667" s="225">
        <v>10</v>
      </c>
      <c r="E2667" s="226">
        <v>43350</v>
      </c>
      <c r="F2667" s="227">
        <v>27181966330</v>
      </c>
      <c r="G2667" s="1" t="s">
        <v>113</v>
      </c>
      <c r="H2667" s="60">
        <v>35796.22</v>
      </c>
      <c r="I2667" s="228">
        <v>7517.21</v>
      </c>
      <c r="J2667" s="229"/>
      <c r="K2667" s="229"/>
      <c r="L2667" s="229">
        <f>SUM(ventas_b_mes11[[#This Row],[IMPORTE NETO]:[EXENTO]])</f>
        <v>43313.43</v>
      </c>
      <c r="M2667" s="55"/>
    </row>
    <row r="2668" spans="2:13" x14ac:dyDescent="0.3">
      <c r="B2668" s="223">
        <v>44853</v>
      </c>
      <c r="C2668" s="224">
        <v>6</v>
      </c>
      <c r="D2668" s="225">
        <v>10</v>
      </c>
      <c r="E2668" s="226">
        <v>43351</v>
      </c>
      <c r="F2668" s="227">
        <v>27181966330</v>
      </c>
      <c r="G2668" s="1" t="s">
        <v>113</v>
      </c>
      <c r="H2668" s="60">
        <v>10335.94</v>
      </c>
      <c r="I2668" s="228">
        <v>2170.5500000000002</v>
      </c>
      <c r="J2668" s="229"/>
      <c r="K2668" s="229"/>
      <c r="L2668" s="229">
        <f>SUM(ventas_b_mes11[[#This Row],[IMPORTE NETO]:[EXENTO]])</f>
        <v>12506.490000000002</v>
      </c>
      <c r="M2668" s="55"/>
    </row>
    <row r="2669" spans="2:13" x14ac:dyDescent="0.3">
      <c r="B2669" s="223">
        <v>44853</v>
      </c>
      <c r="C2669" s="224">
        <v>6</v>
      </c>
      <c r="D2669" s="225">
        <v>10</v>
      </c>
      <c r="E2669" s="226">
        <v>43352</v>
      </c>
      <c r="F2669" s="227">
        <v>27181966330</v>
      </c>
      <c r="G2669" s="1" t="s">
        <v>113</v>
      </c>
      <c r="H2669" s="60">
        <v>2600.83</v>
      </c>
      <c r="I2669" s="228">
        <v>546.16999999999996</v>
      </c>
      <c r="J2669" s="229"/>
      <c r="K2669" s="229"/>
      <c r="L2669" s="229">
        <f>SUM(ventas_b_mes11[[#This Row],[IMPORTE NETO]:[EXENTO]])</f>
        <v>3147</v>
      </c>
      <c r="M2669" s="55"/>
    </row>
    <row r="2670" spans="2:13" x14ac:dyDescent="0.3">
      <c r="B2670" s="223">
        <v>44853</v>
      </c>
      <c r="C2670" s="224">
        <v>6</v>
      </c>
      <c r="D2670" s="225">
        <v>10</v>
      </c>
      <c r="E2670" s="226">
        <v>43353</v>
      </c>
      <c r="F2670" s="227">
        <v>27181966330</v>
      </c>
      <c r="G2670" s="1" t="s">
        <v>113</v>
      </c>
      <c r="H2670" s="60">
        <v>57238.3</v>
      </c>
      <c r="I2670" s="228">
        <v>12020.04</v>
      </c>
      <c r="J2670" s="229"/>
      <c r="K2670" s="229"/>
      <c r="L2670" s="229">
        <f>SUM(ventas_b_mes11[[#This Row],[IMPORTE NETO]:[EXENTO]])</f>
        <v>69258.34</v>
      </c>
      <c r="M2670" s="55"/>
    </row>
    <row r="2671" spans="2:13" x14ac:dyDescent="0.3">
      <c r="B2671" s="223">
        <v>44853</v>
      </c>
      <c r="C2671" s="224">
        <v>6</v>
      </c>
      <c r="D2671" s="225">
        <v>10</v>
      </c>
      <c r="E2671" s="226">
        <v>43354</v>
      </c>
      <c r="F2671" s="227">
        <v>24588991</v>
      </c>
      <c r="G2671" s="1"/>
      <c r="H2671" s="60">
        <v>7165.29</v>
      </c>
      <c r="I2671" s="228">
        <v>1504.71</v>
      </c>
      <c r="J2671" s="229"/>
      <c r="K2671" s="229"/>
      <c r="L2671" s="229">
        <f>SUM(ventas_b_mes11[[#This Row],[IMPORTE NETO]:[EXENTO]])</f>
        <v>8670</v>
      </c>
      <c r="M2671" s="55"/>
    </row>
    <row r="2672" spans="2:13" x14ac:dyDescent="0.3">
      <c r="B2672" s="223">
        <v>44853</v>
      </c>
      <c r="C2672" s="224">
        <v>6</v>
      </c>
      <c r="D2672" s="225">
        <v>10</v>
      </c>
      <c r="E2672" s="226">
        <v>43355</v>
      </c>
      <c r="F2672" s="227">
        <v>23270876</v>
      </c>
      <c r="G2672" s="1" t="s">
        <v>779</v>
      </c>
      <c r="H2672" s="60">
        <v>13553.72</v>
      </c>
      <c r="I2672" s="228">
        <v>2846.28</v>
      </c>
      <c r="J2672" s="229"/>
      <c r="K2672" s="229"/>
      <c r="L2672" s="229">
        <f>SUM(ventas_b_mes11[[#This Row],[IMPORTE NETO]:[EXENTO]])</f>
        <v>16400</v>
      </c>
      <c r="M2672" s="55"/>
    </row>
    <row r="2673" spans="2:13" x14ac:dyDescent="0.3">
      <c r="B2673" s="223">
        <v>44853</v>
      </c>
      <c r="C2673" s="224">
        <v>6</v>
      </c>
      <c r="D2673" s="225">
        <v>10</v>
      </c>
      <c r="E2673" s="226">
        <v>43356</v>
      </c>
      <c r="F2673" s="227">
        <v>0</v>
      </c>
      <c r="G2673" s="1"/>
      <c r="H2673" s="60">
        <v>3414.05</v>
      </c>
      <c r="I2673" s="228">
        <v>716.95</v>
      </c>
      <c r="J2673" s="229"/>
      <c r="K2673" s="229"/>
      <c r="L2673" s="229">
        <f>SUM(ventas_b_mes11[[#This Row],[IMPORTE NETO]:[EXENTO]])</f>
        <v>4131</v>
      </c>
      <c r="M2673" s="55"/>
    </row>
    <row r="2674" spans="2:13" x14ac:dyDescent="0.3">
      <c r="B2674" s="223">
        <v>44853</v>
      </c>
      <c r="C2674" s="224">
        <v>6</v>
      </c>
      <c r="D2674" s="225">
        <v>10</v>
      </c>
      <c r="E2674" s="226">
        <v>43357</v>
      </c>
      <c r="F2674" s="227">
        <v>18459442</v>
      </c>
      <c r="G2674" s="1" t="s">
        <v>814</v>
      </c>
      <c r="H2674" s="60">
        <v>14716.94</v>
      </c>
      <c r="I2674" s="228">
        <v>3090.56</v>
      </c>
      <c r="J2674" s="229"/>
      <c r="K2674" s="229"/>
      <c r="L2674" s="229">
        <f>SUM(ventas_b_mes11[[#This Row],[IMPORTE NETO]:[EXENTO]])</f>
        <v>17807.5</v>
      </c>
      <c r="M2674" s="55"/>
    </row>
    <row r="2675" spans="2:13" x14ac:dyDescent="0.3">
      <c r="B2675" s="223">
        <v>44853</v>
      </c>
      <c r="C2675" s="224">
        <v>6</v>
      </c>
      <c r="D2675" s="225">
        <v>10</v>
      </c>
      <c r="E2675" s="226">
        <v>43358</v>
      </c>
      <c r="F2675" s="227">
        <v>17541346</v>
      </c>
      <c r="G2675" s="1" t="s">
        <v>800</v>
      </c>
      <c r="H2675" s="60">
        <v>6055.37</v>
      </c>
      <c r="I2675" s="228">
        <v>1271.6300000000001</v>
      </c>
      <c r="J2675" s="229"/>
      <c r="K2675" s="229"/>
      <c r="L2675" s="229">
        <f>SUM(ventas_b_mes11[[#This Row],[IMPORTE NETO]:[EXENTO]])</f>
        <v>7327</v>
      </c>
      <c r="M2675" s="55"/>
    </row>
    <row r="2676" spans="2:13" x14ac:dyDescent="0.3">
      <c r="B2676" s="223">
        <v>44853</v>
      </c>
      <c r="C2676" s="224">
        <v>6</v>
      </c>
      <c r="D2676" s="225">
        <v>10</v>
      </c>
      <c r="E2676" s="226">
        <v>43359</v>
      </c>
      <c r="F2676" s="227">
        <v>0</v>
      </c>
      <c r="G2676" s="1"/>
      <c r="H2676" s="60">
        <v>4013.83</v>
      </c>
      <c r="I2676" s="228">
        <v>842.9</v>
      </c>
      <c r="J2676" s="229"/>
      <c r="K2676" s="229"/>
      <c r="L2676" s="229">
        <f>SUM(ventas_b_mes11[[#This Row],[IMPORTE NETO]:[EXENTO]])</f>
        <v>4856.7299999999996</v>
      </c>
      <c r="M2676" s="55"/>
    </row>
    <row r="2677" spans="2:13" x14ac:dyDescent="0.3">
      <c r="B2677" s="223">
        <v>44853</v>
      </c>
      <c r="C2677" s="224">
        <v>6</v>
      </c>
      <c r="D2677" s="225">
        <v>10</v>
      </c>
      <c r="E2677" s="226">
        <v>43360</v>
      </c>
      <c r="F2677" s="227">
        <v>94085236</v>
      </c>
      <c r="G2677" s="1" t="s">
        <v>751</v>
      </c>
      <c r="H2677" s="60">
        <v>4214.88</v>
      </c>
      <c r="I2677" s="228">
        <v>885.12</v>
      </c>
      <c r="J2677" s="229"/>
      <c r="K2677" s="229"/>
      <c r="L2677" s="229">
        <f>SUM(ventas_b_mes11[[#This Row],[IMPORTE NETO]:[EXENTO]])</f>
        <v>5100</v>
      </c>
      <c r="M2677" s="55"/>
    </row>
    <row r="2678" spans="2:13" x14ac:dyDescent="0.3">
      <c r="B2678" s="223">
        <v>44853</v>
      </c>
      <c r="C2678" s="224">
        <v>6</v>
      </c>
      <c r="D2678" s="225">
        <v>10</v>
      </c>
      <c r="E2678" s="226">
        <v>43361</v>
      </c>
      <c r="F2678" s="227">
        <v>20206152</v>
      </c>
      <c r="G2678" s="1" t="s">
        <v>230</v>
      </c>
      <c r="H2678" s="60">
        <v>6055.37</v>
      </c>
      <c r="I2678" s="228">
        <v>1271.6300000000001</v>
      </c>
      <c r="J2678" s="229"/>
      <c r="K2678" s="229"/>
      <c r="L2678" s="229">
        <f>SUM(ventas_b_mes11[[#This Row],[IMPORTE NETO]:[EXENTO]])</f>
        <v>7327</v>
      </c>
      <c r="M2678" s="55"/>
    </row>
    <row r="2679" spans="2:13" x14ac:dyDescent="0.3">
      <c r="B2679" s="223">
        <v>44853</v>
      </c>
      <c r="C2679" s="224">
        <v>6</v>
      </c>
      <c r="D2679" s="225">
        <v>10</v>
      </c>
      <c r="E2679" s="226">
        <v>43362</v>
      </c>
      <c r="F2679" s="227">
        <v>13277007</v>
      </c>
      <c r="G2679" s="1" t="s">
        <v>795</v>
      </c>
      <c r="H2679" s="60">
        <v>4088.43</v>
      </c>
      <c r="I2679" s="228">
        <v>858.57</v>
      </c>
      <c r="J2679" s="229"/>
      <c r="K2679" s="229"/>
      <c r="L2679" s="229">
        <f>SUM(ventas_b_mes11[[#This Row],[IMPORTE NETO]:[EXENTO]])</f>
        <v>4947</v>
      </c>
      <c r="M2679" s="55"/>
    </row>
    <row r="2680" spans="2:13" x14ac:dyDescent="0.3">
      <c r="B2680" s="223">
        <v>44853</v>
      </c>
      <c r="C2680" s="224">
        <v>6</v>
      </c>
      <c r="D2680" s="225">
        <v>10</v>
      </c>
      <c r="E2680" s="226">
        <v>43363</v>
      </c>
      <c r="F2680" s="227">
        <v>24485654</v>
      </c>
      <c r="G2680" s="1" t="s">
        <v>289</v>
      </c>
      <c r="H2680" s="60">
        <v>6490.91</v>
      </c>
      <c r="I2680" s="228">
        <v>1363.09</v>
      </c>
      <c r="J2680" s="229"/>
      <c r="K2680" s="229"/>
      <c r="L2680" s="229">
        <f>SUM(ventas_b_mes11[[#This Row],[IMPORTE NETO]:[EXENTO]])</f>
        <v>7854</v>
      </c>
      <c r="M2680" s="55"/>
    </row>
    <row r="2681" spans="2:13" x14ac:dyDescent="0.3">
      <c r="B2681" s="223">
        <v>44853</v>
      </c>
      <c r="C2681" s="224">
        <v>6</v>
      </c>
      <c r="D2681" s="225">
        <v>10</v>
      </c>
      <c r="E2681" s="226">
        <v>43364</v>
      </c>
      <c r="F2681" s="227">
        <v>23103065</v>
      </c>
      <c r="G2681" s="1" t="s">
        <v>825</v>
      </c>
      <c r="H2681" s="60">
        <v>9181.41</v>
      </c>
      <c r="I2681" s="228">
        <v>1928.1</v>
      </c>
      <c r="J2681" s="229"/>
      <c r="K2681" s="229"/>
      <c r="L2681" s="229">
        <f>SUM(ventas_b_mes11[[#This Row],[IMPORTE NETO]:[EXENTO]])</f>
        <v>11109.51</v>
      </c>
      <c r="M2681" s="55"/>
    </row>
    <row r="2682" spans="2:13" x14ac:dyDescent="0.3">
      <c r="B2682" s="223">
        <v>44853</v>
      </c>
      <c r="C2682" s="224">
        <v>6</v>
      </c>
      <c r="D2682" s="225">
        <v>10</v>
      </c>
      <c r="E2682" s="226">
        <v>43365</v>
      </c>
      <c r="F2682" s="227">
        <v>26460965</v>
      </c>
      <c r="G2682" s="1" t="s">
        <v>550</v>
      </c>
      <c r="H2682" s="60">
        <v>1194.21</v>
      </c>
      <c r="I2682" s="228">
        <v>250.79</v>
      </c>
      <c r="J2682" s="229"/>
      <c r="K2682" s="229"/>
      <c r="L2682" s="229">
        <f>SUM(ventas_b_mes11[[#This Row],[IMPORTE NETO]:[EXENTO]])</f>
        <v>1445</v>
      </c>
      <c r="M2682" s="55"/>
    </row>
    <row r="2683" spans="2:13" x14ac:dyDescent="0.3">
      <c r="B2683" s="223">
        <v>44853</v>
      </c>
      <c r="C2683" s="224">
        <v>6</v>
      </c>
      <c r="D2683" s="225">
        <v>10</v>
      </c>
      <c r="E2683" s="226">
        <v>43366</v>
      </c>
      <c r="F2683" s="227">
        <v>27144671800</v>
      </c>
      <c r="G2683" s="1" t="s">
        <v>801</v>
      </c>
      <c r="H2683" s="60">
        <v>8195.8700000000008</v>
      </c>
      <c r="I2683" s="228">
        <v>1721.13</v>
      </c>
      <c r="J2683" s="229"/>
      <c r="K2683" s="229"/>
      <c r="L2683" s="229">
        <f>SUM(ventas_b_mes11[[#This Row],[IMPORTE NETO]:[EXENTO]])</f>
        <v>9917</v>
      </c>
      <c r="M2683" s="55"/>
    </row>
    <row r="2684" spans="2:13" x14ac:dyDescent="0.3">
      <c r="B2684" s="223">
        <v>44853</v>
      </c>
      <c r="C2684" s="224">
        <v>6</v>
      </c>
      <c r="D2684" s="225">
        <v>10</v>
      </c>
      <c r="E2684" s="226">
        <v>43367</v>
      </c>
      <c r="F2684" s="227">
        <v>12932076</v>
      </c>
      <c r="G2684" s="1" t="s">
        <v>582</v>
      </c>
      <c r="H2684" s="60">
        <v>17646.28</v>
      </c>
      <c r="I2684" s="228">
        <v>3705.72</v>
      </c>
      <c r="J2684" s="229"/>
      <c r="K2684" s="229"/>
      <c r="L2684" s="229">
        <f>SUM(ventas_b_mes11[[#This Row],[IMPORTE NETO]:[EXENTO]])</f>
        <v>21352</v>
      </c>
      <c r="M2684" s="55"/>
    </row>
    <row r="2685" spans="2:13" x14ac:dyDescent="0.3">
      <c r="B2685" s="223">
        <v>44853</v>
      </c>
      <c r="C2685" s="224">
        <v>6</v>
      </c>
      <c r="D2685" s="225">
        <v>10</v>
      </c>
      <c r="E2685" s="226">
        <v>43368</v>
      </c>
      <c r="F2685" s="227">
        <v>34454281</v>
      </c>
      <c r="G2685" s="1" t="s">
        <v>151</v>
      </c>
      <c r="H2685" s="60">
        <v>3196.28</v>
      </c>
      <c r="I2685" s="228">
        <v>671.22</v>
      </c>
      <c r="J2685" s="229"/>
      <c r="K2685" s="229"/>
      <c r="L2685" s="229">
        <f>SUM(ventas_b_mes11[[#This Row],[IMPORTE NETO]:[EXENTO]])</f>
        <v>3867.5</v>
      </c>
      <c r="M2685" s="55"/>
    </row>
    <row r="2686" spans="2:13" x14ac:dyDescent="0.3">
      <c r="B2686" s="223">
        <v>44853</v>
      </c>
      <c r="C2686" s="224">
        <v>6</v>
      </c>
      <c r="D2686" s="225">
        <v>10</v>
      </c>
      <c r="E2686" s="226">
        <v>43369</v>
      </c>
      <c r="F2686" s="227">
        <v>0</v>
      </c>
      <c r="G2686" s="1"/>
      <c r="H2686" s="60">
        <v>2880.17</v>
      </c>
      <c r="I2686" s="228">
        <v>604.84</v>
      </c>
      <c r="J2686" s="229"/>
      <c r="K2686" s="229"/>
      <c r="L2686" s="229">
        <f>SUM(ventas_b_mes11[[#This Row],[IMPORTE NETO]:[EXENTO]])</f>
        <v>3485.01</v>
      </c>
      <c r="M2686" s="55"/>
    </row>
    <row r="2687" spans="2:13" x14ac:dyDescent="0.3">
      <c r="B2687" s="223">
        <v>44854</v>
      </c>
      <c r="C2687" s="224">
        <v>6</v>
      </c>
      <c r="D2687" s="225">
        <v>10</v>
      </c>
      <c r="E2687" s="226">
        <v>43370</v>
      </c>
      <c r="F2687" s="227">
        <v>93954679</v>
      </c>
      <c r="G2687" s="1" t="s">
        <v>847</v>
      </c>
      <c r="H2687" s="60">
        <v>15214.88</v>
      </c>
      <c r="I2687" s="228">
        <v>3195.13</v>
      </c>
      <c r="J2687" s="229"/>
      <c r="K2687" s="229"/>
      <c r="L2687" s="229">
        <f>SUM(ventas_b_mes11[[#This Row],[IMPORTE NETO]:[EXENTO]])</f>
        <v>18410.009999999998</v>
      </c>
      <c r="M2687" s="55"/>
    </row>
    <row r="2688" spans="2:13" x14ac:dyDescent="0.3">
      <c r="B2688" s="223">
        <v>44854</v>
      </c>
      <c r="C2688" s="224">
        <v>6</v>
      </c>
      <c r="D2688" s="225">
        <v>10</v>
      </c>
      <c r="E2688" s="226">
        <v>43371</v>
      </c>
      <c r="F2688" s="227">
        <v>96162154</v>
      </c>
      <c r="G2688" s="1" t="s">
        <v>701</v>
      </c>
      <c r="H2688" s="60">
        <v>4958.68</v>
      </c>
      <c r="I2688" s="228">
        <v>1041.32</v>
      </c>
      <c r="J2688" s="229"/>
      <c r="K2688" s="229"/>
      <c r="L2688" s="229">
        <f>SUM(ventas_b_mes11[[#This Row],[IMPORTE NETO]:[EXENTO]])</f>
        <v>6000</v>
      </c>
      <c r="M2688" s="55"/>
    </row>
    <row r="2689" spans="2:13" x14ac:dyDescent="0.3">
      <c r="B2689" s="223">
        <v>44854</v>
      </c>
      <c r="C2689" s="224">
        <v>6</v>
      </c>
      <c r="D2689" s="225">
        <v>10</v>
      </c>
      <c r="E2689" s="226">
        <v>43372</v>
      </c>
      <c r="F2689" s="227">
        <v>30044859</v>
      </c>
      <c r="G2689" s="1" t="s">
        <v>850</v>
      </c>
      <c r="H2689" s="60">
        <v>7847.11</v>
      </c>
      <c r="I2689" s="228">
        <v>1647.89</v>
      </c>
      <c r="J2689" s="229"/>
      <c r="K2689" s="229"/>
      <c r="L2689" s="229">
        <f>SUM(ventas_b_mes11[[#This Row],[IMPORTE NETO]:[EXENTO]])</f>
        <v>9495</v>
      </c>
      <c r="M2689" s="55"/>
    </row>
    <row r="2690" spans="2:13" x14ac:dyDescent="0.3">
      <c r="B2690" s="223">
        <v>44854</v>
      </c>
      <c r="C2690" s="224">
        <v>6</v>
      </c>
      <c r="D2690" s="225">
        <v>10</v>
      </c>
      <c r="E2690" s="226">
        <v>43373</v>
      </c>
      <c r="F2690" s="227">
        <v>0</v>
      </c>
      <c r="G2690" s="1"/>
      <c r="H2690" s="60">
        <v>2603.31</v>
      </c>
      <c r="I2690" s="228">
        <v>546.69000000000005</v>
      </c>
      <c r="J2690" s="229"/>
      <c r="K2690" s="229"/>
      <c r="L2690" s="229">
        <f>SUM(ventas_b_mes11[[#This Row],[IMPORTE NETO]:[EXENTO]])</f>
        <v>3150</v>
      </c>
      <c r="M2690" s="55"/>
    </row>
    <row r="2691" spans="2:13" x14ac:dyDescent="0.3">
      <c r="B2691" s="223">
        <v>44854</v>
      </c>
      <c r="C2691" s="224">
        <v>6</v>
      </c>
      <c r="D2691" s="225">
        <v>10</v>
      </c>
      <c r="E2691" s="226">
        <v>43374</v>
      </c>
      <c r="F2691" s="227">
        <v>22402097</v>
      </c>
      <c r="G2691" s="1" t="s">
        <v>727</v>
      </c>
      <c r="H2691" s="60">
        <v>28508.33</v>
      </c>
      <c r="I2691" s="228">
        <v>5986.75</v>
      </c>
      <c r="J2691" s="229"/>
      <c r="K2691" s="229"/>
      <c r="L2691" s="229">
        <f>SUM(ventas_b_mes11[[#This Row],[IMPORTE NETO]:[EXENTO]])</f>
        <v>34495.08</v>
      </c>
      <c r="M2691" s="55"/>
    </row>
    <row r="2692" spans="2:13" x14ac:dyDescent="0.3">
      <c r="B2692" s="223">
        <v>44854</v>
      </c>
      <c r="C2692" s="224">
        <v>6</v>
      </c>
      <c r="D2692" s="225">
        <v>10</v>
      </c>
      <c r="E2692" s="226">
        <v>43375</v>
      </c>
      <c r="F2692" s="227">
        <v>33781159</v>
      </c>
      <c r="G2692" s="1" t="s">
        <v>841</v>
      </c>
      <c r="H2692" s="60">
        <v>4018.18</v>
      </c>
      <c r="I2692" s="228">
        <v>843.82</v>
      </c>
      <c r="J2692" s="229"/>
      <c r="K2692" s="229"/>
      <c r="L2692" s="229">
        <f>SUM(ventas_b_mes11[[#This Row],[IMPORTE NETO]:[EXENTO]])</f>
        <v>4862</v>
      </c>
      <c r="M2692" s="55"/>
    </row>
    <row r="2693" spans="2:13" x14ac:dyDescent="0.3">
      <c r="B2693" s="223">
        <v>44854</v>
      </c>
      <c r="C2693" s="224">
        <v>6</v>
      </c>
      <c r="D2693" s="225">
        <v>10</v>
      </c>
      <c r="E2693" s="226">
        <v>43376</v>
      </c>
      <c r="F2693" s="227">
        <v>23213793284</v>
      </c>
      <c r="G2693" s="1" t="s">
        <v>855</v>
      </c>
      <c r="H2693" s="60">
        <v>34982.080000000002</v>
      </c>
      <c r="I2693" s="228">
        <v>7346.24</v>
      </c>
      <c r="J2693" s="229"/>
      <c r="K2693" s="229"/>
      <c r="L2693" s="229">
        <f>SUM(ventas_b_mes11[[#This Row],[IMPORTE NETO]:[EXENTO]])</f>
        <v>42328.32</v>
      </c>
      <c r="M2693" s="55"/>
    </row>
    <row r="2694" spans="2:13" x14ac:dyDescent="0.3">
      <c r="B2694" s="223">
        <v>44854</v>
      </c>
      <c r="C2694" s="224">
        <v>6</v>
      </c>
      <c r="D2694" s="225">
        <v>10</v>
      </c>
      <c r="E2694" s="226">
        <v>43377</v>
      </c>
      <c r="F2694" s="227">
        <v>27298351760</v>
      </c>
      <c r="G2694" s="1" t="s">
        <v>828</v>
      </c>
      <c r="H2694" s="60">
        <v>35063.01</v>
      </c>
      <c r="I2694" s="228">
        <v>7363.23</v>
      </c>
      <c r="J2694" s="229"/>
      <c r="K2694" s="229"/>
      <c r="L2694" s="229">
        <f>SUM(ventas_b_mes11[[#This Row],[IMPORTE NETO]:[EXENTO]])</f>
        <v>42426.240000000005</v>
      </c>
      <c r="M2694" s="55"/>
    </row>
    <row r="2695" spans="2:13" x14ac:dyDescent="0.3">
      <c r="B2695" s="223">
        <v>44854</v>
      </c>
      <c r="C2695" s="224">
        <v>6</v>
      </c>
      <c r="D2695" s="225">
        <v>10</v>
      </c>
      <c r="E2695" s="226">
        <v>43378</v>
      </c>
      <c r="F2695" s="227">
        <v>21321366</v>
      </c>
      <c r="G2695" s="1" t="s">
        <v>852</v>
      </c>
      <c r="H2695" s="60">
        <v>9904.9599999999991</v>
      </c>
      <c r="I2695" s="228">
        <v>2080.04</v>
      </c>
      <c r="J2695" s="229"/>
      <c r="K2695" s="229"/>
      <c r="L2695" s="229">
        <f>SUM(ventas_b_mes11[[#This Row],[IMPORTE NETO]:[EXENTO]])</f>
        <v>11985</v>
      </c>
      <c r="M2695" s="55"/>
    </row>
    <row r="2696" spans="2:13" x14ac:dyDescent="0.3">
      <c r="B2696" s="223">
        <v>44854</v>
      </c>
      <c r="C2696" s="224">
        <v>6</v>
      </c>
      <c r="D2696" s="225">
        <v>10</v>
      </c>
      <c r="E2696" s="226">
        <v>43379</v>
      </c>
      <c r="F2696" s="227">
        <v>25560978</v>
      </c>
      <c r="G2696" s="1" t="s">
        <v>851</v>
      </c>
      <c r="H2696" s="60">
        <v>4958.68</v>
      </c>
      <c r="I2696" s="228">
        <v>1041.32</v>
      </c>
      <c r="J2696" s="229"/>
      <c r="K2696" s="229"/>
      <c r="L2696" s="229">
        <f>SUM(ventas_b_mes11[[#This Row],[IMPORTE NETO]:[EXENTO]])</f>
        <v>6000</v>
      </c>
      <c r="M2696" s="55"/>
    </row>
    <row r="2697" spans="2:13" x14ac:dyDescent="0.3">
      <c r="B2697" s="223">
        <v>44854</v>
      </c>
      <c r="C2697" s="224">
        <v>6</v>
      </c>
      <c r="D2697" s="225">
        <v>10</v>
      </c>
      <c r="E2697" s="226">
        <v>43380</v>
      </c>
      <c r="F2697" s="227">
        <v>12345669</v>
      </c>
      <c r="G2697" s="1" t="s">
        <v>373</v>
      </c>
      <c r="H2697" s="60">
        <v>5619.83</v>
      </c>
      <c r="I2697" s="228">
        <v>1180.17</v>
      </c>
      <c r="J2697" s="229"/>
      <c r="K2697" s="229"/>
      <c r="L2697" s="229">
        <f>SUM(ventas_b_mes11[[#This Row],[IMPORTE NETO]:[EXENTO]])</f>
        <v>6800</v>
      </c>
      <c r="M2697" s="55"/>
    </row>
    <row r="2698" spans="2:13" x14ac:dyDescent="0.3">
      <c r="B2698" s="223">
        <v>44854</v>
      </c>
      <c r="C2698" s="224">
        <v>6</v>
      </c>
      <c r="D2698" s="225">
        <v>10</v>
      </c>
      <c r="E2698" s="226">
        <v>43381</v>
      </c>
      <c r="F2698" s="227">
        <v>92701798</v>
      </c>
      <c r="G2698" s="1" t="s">
        <v>860</v>
      </c>
      <c r="H2698" s="60">
        <v>6783.47</v>
      </c>
      <c r="I2698" s="228">
        <v>1424.53</v>
      </c>
      <c r="J2698" s="229"/>
      <c r="K2698" s="229"/>
      <c r="L2698" s="229">
        <f>SUM(ventas_b_mes11[[#This Row],[IMPORTE NETO]:[EXENTO]])</f>
        <v>8208</v>
      </c>
      <c r="M2698" s="55"/>
    </row>
    <row r="2699" spans="2:13" x14ac:dyDescent="0.3">
      <c r="B2699" s="223">
        <v>44854</v>
      </c>
      <c r="C2699" s="224">
        <v>6</v>
      </c>
      <c r="D2699" s="225">
        <v>10</v>
      </c>
      <c r="E2699" s="226">
        <v>43382</v>
      </c>
      <c r="F2699" s="227">
        <v>17541346</v>
      </c>
      <c r="G2699" s="1" t="s">
        <v>800</v>
      </c>
      <c r="H2699" s="60">
        <v>9611.57</v>
      </c>
      <c r="I2699" s="228">
        <v>2018.43</v>
      </c>
      <c r="J2699" s="229"/>
      <c r="K2699" s="229"/>
      <c r="L2699" s="229">
        <f>SUM(ventas_b_mes11[[#This Row],[IMPORTE NETO]:[EXENTO]])</f>
        <v>11630</v>
      </c>
      <c r="M2699" s="55"/>
    </row>
    <row r="2700" spans="2:13" x14ac:dyDescent="0.3">
      <c r="B2700" s="223">
        <v>44854</v>
      </c>
      <c r="C2700" s="224">
        <v>6</v>
      </c>
      <c r="D2700" s="225">
        <v>10</v>
      </c>
      <c r="E2700" s="226">
        <v>43383</v>
      </c>
      <c r="F2700" s="227">
        <v>0</v>
      </c>
      <c r="G2700" s="1"/>
      <c r="H2700" s="60">
        <v>2743.8</v>
      </c>
      <c r="I2700" s="228">
        <v>576.20000000000005</v>
      </c>
      <c r="J2700" s="229"/>
      <c r="K2700" s="229"/>
      <c r="L2700" s="229">
        <f>SUM(ventas_b_mes11[[#This Row],[IMPORTE NETO]:[EXENTO]])</f>
        <v>3320</v>
      </c>
      <c r="M2700" s="55"/>
    </row>
    <row r="2701" spans="2:13" x14ac:dyDescent="0.3">
      <c r="B2701" s="223">
        <v>44854</v>
      </c>
      <c r="C2701" s="224">
        <v>6</v>
      </c>
      <c r="D2701" s="225">
        <v>10</v>
      </c>
      <c r="E2701" s="226">
        <v>43384</v>
      </c>
      <c r="F2701" s="227">
        <v>0</v>
      </c>
      <c r="G2701" s="1"/>
      <c r="H2701" s="60">
        <v>1159.0899999999999</v>
      </c>
      <c r="I2701" s="228">
        <v>243.41</v>
      </c>
      <c r="J2701" s="229"/>
      <c r="K2701" s="229"/>
      <c r="L2701" s="229">
        <f>SUM(ventas_b_mes11[[#This Row],[IMPORTE NETO]:[EXENTO]])</f>
        <v>1402.5</v>
      </c>
      <c r="M2701" s="55"/>
    </row>
    <row r="2702" spans="2:13" x14ac:dyDescent="0.3">
      <c r="B2702" s="223">
        <v>44854</v>
      </c>
      <c r="C2702" s="224">
        <v>6</v>
      </c>
      <c r="D2702" s="225">
        <v>10</v>
      </c>
      <c r="E2702" s="226">
        <v>43385</v>
      </c>
      <c r="F2702" s="227">
        <v>38602298</v>
      </c>
      <c r="G2702" s="1" t="s">
        <v>836</v>
      </c>
      <c r="H2702" s="60">
        <v>5661.16</v>
      </c>
      <c r="I2702" s="228">
        <v>1188.8399999999999</v>
      </c>
      <c r="J2702" s="229"/>
      <c r="K2702" s="229"/>
      <c r="L2702" s="229">
        <f>SUM(ventas_b_mes11[[#This Row],[IMPORTE NETO]:[EXENTO]])</f>
        <v>6850</v>
      </c>
      <c r="M2702" s="55"/>
    </row>
    <row r="2703" spans="2:13" x14ac:dyDescent="0.3">
      <c r="B2703" s="223">
        <v>44854</v>
      </c>
      <c r="C2703" s="224">
        <v>6</v>
      </c>
      <c r="D2703" s="225">
        <v>10</v>
      </c>
      <c r="E2703" s="226">
        <v>43386</v>
      </c>
      <c r="F2703" s="227">
        <v>27144671800</v>
      </c>
      <c r="G2703" s="1" t="s">
        <v>801</v>
      </c>
      <c r="H2703" s="60">
        <v>2677.69</v>
      </c>
      <c r="I2703" s="228">
        <v>562.30999999999995</v>
      </c>
      <c r="J2703" s="229"/>
      <c r="K2703" s="229"/>
      <c r="L2703" s="229">
        <f>SUM(ventas_b_mes11[[#This Row],[IMPORTE NETO]:[EXENTO]])</f>
        <v>3240</v>
      </c>
      <c r="M2703" s="55"/>
    </row>
    <row r="2704" spans="2:13" x14ac:dyDescent="0.3">
      <c r="B2704" s="223">
        <v>44854</v>
      </c>
      <c r="C2704" s="224">
        <v>6</v>
      </c>
      <c r="D2704" s="225">
        <v>10</v>
      </c>
      <c r="E2704" s="226">
        <v>43387</v>
      </c>
      <c r="F2704" s="227">
        <v>27144671800</v>
      </c>
      <c r="G2704" s="1" t="s">
        <v>801</v>
      </c>
      <c r="H2704" s="60">
        <v>6595.04</v>
      </c>
      <c r="I2704" s="228">
        <v>1384.96</v>
      </c>
      <c r="J2704" s="229"/>
      <c r="K2704" s="229"/>
      <c r="L2704" s="229">
        <f>SUM(ventas_b_mes11[[#This Row],[IMPORTE NETO]:[EXENTO]])</f>
        <v>7980</v>
      </c>
      <c r="M2704" s="55"/>
    </row>
    <row r="2705" spans="2:13" x14ac:dyDescent="0.3">
      <c r="B2705" s="223">
        <v>44854</v>
      </c>
      <c r="C2705" s="224">
        <v>6</v>
      </c>
      <c r="D2705" s="225">
        <v>10</v>
      </c>
      <c r="E2705" s="226">
        <v>43388</v>
      </c>
      <c r="F2705" s="227">
        <v>27144671800</v>
      </c>
      <c r="G2705" s="1" t="s">
        <v>801</v>
      </c>
      <c r="H2705" s="60">
        <v>27904.959999999999</v>
      </c>
      <c r="I2705" s="228">
        <v>5860.04</v>
      </c>
      <c r="J2705" s="229"/>
      <c r="K2705" s="229"/>
      <c r="L2705" s="229">
        <f>SUM(ventas_b_mes11[[#This Row],[IMPORTE NETO]:[EXENTO]])</f>
        <v>33765</v>
      </c>
      <c r="M2705" s="55"/>
    </row>
    <row r="2706" spans="2:13" x14ac:dyDescent="0.3">
      <c r="B2706" s="223">
        <v>44854</v>
      </c>
      <c r="C2706" s="224">
        <v>6</v>
      </c>
      <c r="D2706" s="225">
        <v>10</v>
      </c>
      <c r="E2706" s="226">
        <v>43389</v>
      </c>
      <c r="F2706" s="227">
        <v>27144671800</v>
      </c>
      <c r="G2706" s="1" t="s">
        <v>801</v>
      </c>
      <c r="H2706" s="60">
        <v>26677.69</v>
      </c>
      <c r="I2706" s="228">
        <v>5602.31</v>
      </c>
      <c r="J2706" s="229"/>
      <c r="K2706" s="229"/>
      <c r="L2706" s="229">
        <f>SUM(ventas_b_mes11[[#This Row],[IMPORTE NETO]:[EXENTO]])</f>
        <v>32280</v>
      </c>
      <c r="M2706" s="55"/>
    </row>
    <row r="2707" spans="2:13" x14ac:dyDescent="0.3">
      <c r="B2707" s="223">
        <v>44854</v>
      </c>
      <c r="C2707" s="224">
        <v>6</v>
      </c>
      <c r="D2707" s="225">
        <v>10</v>
      </c>
      <c r="E2707" s="226">
        <v>43390</v>
      </c>
      <c r="F2707" s="227">
        <v>27144671800</v>
      </c>
      <c r="G2707" s="1" t="s">
        <v>801</v>
      </c>
      <c r="H2707" s="60">
        <v>10865.29</v>
      </c>
      <c r="I2707" s="228">
        <v>2281.71</v>
      </c>
      <c r="J2707" s="229"/>
      <c r="K2707" s="229"/>
      <c r="L2707" s="229">
        <f>SUM(ventas_b_mes11[[#This Row],[IMPORTE NETO]:[EXENTO]])</f>
        <v>13147</v>
      </c>
      <c r="M2707" s="55"/>
    </row>
    <row r="2708" spans="2:13" x14ac:dyDescent="0.3">
      <c r="B2708" s="223">
        <v>44854</v>
      </c>
      <c r="C2708" s="224">
        <v>6</v>
      </c>
      <c r="D2708" s="225">
        <v>10</v>
      </c>
      <c r="E2708" s="226">
        <v>43391</v>
      </c>
      <c r="F2708" s="227">
        <v>0</v>
      </c>
      <c r="G2708" s="1"/>
      <c r="H2708" s="60">
        <v>2347.11</v>
      </c>
      <c r="I2708" s="228">
        <v>492.89</v>
      </c>
      <c r="J2708" s="229"/>
      <c r="K2708" s="229"/>
      <c r="L2708" s="229">
        <f>SUM(ventas_b_mes11[[#This Row],[IMPORTE NETO]:[EXENTO]])</f>
        <v>2840</v>
      </c>
      <c r="M2708" s="55"/>
    </row>
    <row r="2709" spans="2:13" x14ac:dyDescent="0.3">
      <c r="B2709" s="223">
        <v>44854</v>
      </c>
      <c r="C2709" s="224">
        <v>6</v>
      </c>
      <c r="D2709" s="225">
        <v>10</v>
      </c>
      <c r="E2709" s="226">
        <v>43392</v>
      </c>
      <c r="F2709" s="227">
        <v>0</v>
      </c>
      <c r="G2709" s="1"/>
      <c r="H2709" s="60">
        <v>2347.11</v>
      </c>
      <c r="I2709" s="228">
        <v>492.89</v>
      </c>
      <c r="J2709" s="229"/>
      <c r="K2709" s="229"/>
      <c r="L2709" s="229">
        <f>SUM(ventas_b_mes11[[#This Row],[IMPORTE NETO]:[EXENTO]])</f>
        <v>2840</v>
      </c>
      <c r="M2709" s="55"/>
    </row>
    <row r="2710" spans="2:13" x14ac:dyDescent="0.3">
      <c r="B2710" s="223">
        <v>44854</v>
      </c>
      <c r="C2710" s="224">
        <v>6</v>
      </c>
      <c r="D2710" s="225">
        <v>10</v>
      </c>
      <c r="E2710" s="226">
        <v>43393</v>
      </c>
      <c r="F2710" s="227">
        <v>0</v>
      </c>
      <c r="G2710" s="1"/>
      <c r="H2710" s="60">
        <v>595.04</v>
      </c>
      <c r="I2710" s="228">
        <v>124.96</v>
      </c>
      <c r="J2710" s="229"/>
      <c r="K2710" s="229"/>
      <c r="L2710" s="229">
        <f>SUM(ventas_b_mes11[[#This Row],[IMPORTE NETO]:[EXENTO]])</f>
        <v>720</v>
      </c>
      <c r="M2710" s="55"/>
    </row>
    <row r="2711" spans="2:13" x14ac:dyDescent="0.3">
      <c r="B2711" s="223">
        <v>44854</v>
      </c>
      <c r="C2711" s="224">
        <v>6</v>
      </c>
      <c r="D2711" s="225">
        <v>10</v>
      </c>
      <c r="E2711" s="226">
        <v>43394</v>
      </c>
      <c r="F2711" s="227">
        <v>222</v>
      </c>
      <c r="G2711" s="1"/>
      <c r="H2711" s="60">
        <v>12396.69</v>
      </c>
      <c r="I2711" s="228">
        <v>2603.31</v>
      </c>
      <c r="J2711" s="229"/>
      <c r="K2711" s="229"/>
      <c r="L2711" s="229">
        <f>SUM(ventas_b_mes11[[#This Row],[IMPORTE NETO]:[EXENTO]])</f>
        <v>15000</v>
      </c>
      <c r="M2711" s="55"/>
    </row>
    <row r="2712" spans="2:13" x14ac:dyDescent="0.3">
      <c r="B2712" s="223">
        <v>44854</v>
      </c>
      <c r="C2712" s="224">
        <v>6</v>
      </c>
      <c r="D2712" s="225">
        <v>10</v>
      </c>
      <c r="E2712" s="226">
        <v>43395</v>
      </c>
      <c r="F2712" s="227">
        <v>222</v>
      </c>
      <c r="G2712" s="1"/>
      <c r="H2712" s="60">
        <v>9545.4500000000007</v>
      </c>
      <c r="I2712" s="228">
        <v>2004.55</v>
      </c>
      <c r="J2712" s="229"/>
      <c r="K2712" s="229"/>
      <c r="L2712" s="229">
        <f>SUM(ventas_b_mes11[[#This Row],[IMPORTE NETO]:[EXENTO]])</f>
        <v>11550</v>
      </c>
      <c r="M2712" s="55"/>
    </row>
    <row r="2713" spans="2:13" x14ac:dyDescent="0.3">
      <c r="B2713" s="223">
        <v>44854</v>
      </c>
      <c r="C2713" s="224">
        <v>6</v>
      </c>
      <c r="D2713" s="225">
        <v>10</v>
      </c>
      <c r="E2713" s="226">
        <v>43396</v>
      </c>
      <c r="F2713" s="227">
        <v>5485</v>
      </c>
      <c r="G2713" s="1"/>
      <c r="H2713" s="60">
        <v>18909.09</v>
      </c>
      <c r="I2713" s="228">
        <v>3970.91</v>
      </c>
      <c r="J2713" s="229"/>
      <c r="K2713" s="229"/>
      <c r="L2713" s="229">
        <f>SUM(ventas_b_mes11[[#This Row],[IMPORTE NETO]:[EXENTO]])</f>
        <v>22880</v>
      </c>
      <c r="M2713" s="55"/>
    </row>
    <row r="2714" spans="2:13" x14ac:dyDescent="0.3">
      <c r="B2714" s="223">
        <v>44854</v>
      </c>
      <c r="C2714" s="224">
        <v>6</v>
      </c>
      <c r="D2714" s="225">
        <v>10</v>
      </c>
      <c r="E2714" s="226">
        <v>43397</v>
      </c>
      <c r="F2714" s="227">
        <v>5485</v>
      </c>
      <c r="G2714" s="1"/>
      <c r="H2714" s="60">
        <v>3801.65</v>
      </c>
      <c r="I2714" s="228">
        <v>798.35</v>
      </c>
      <c r="J2714" s="229"/>
      <c r="K2714" s="229"/>
      <c r="L2714" s="229">
        <f>SUM(ventas_b_mes11[[#This Row],[IMPORTE NETO]:[EXENTO]])</f>
        <v>4600</v>
      </c>
      <c r="M2714" s="55"/>
    </row>
    <row r="2715" spans="2:13" x14ac:dyDescent="0.3">
      <c r="B2715" s="223">
        <v>44854</v>
      </c>
      <c r="C2715" s="224">
        <v>6</v>
      </c>
      <c r="D2715" s="225">
        <v>10</v>
      </c>
      <c r="E2715" s="226">
        <v>43398</v>
      </c>
      <c r="F2715" s="227">
        <v>27342152800</v>
      </c>
      <c r="G2715" s="1"/>
      <c r="H2715" s="60">
        <v>1570.25</v>
      </c>
      <c r="I2715" s="228">
        <v>329.75</v>
      </c>
      <c r="J2715" s="229"/>
      <c r="K2715" s="229"/>
      <c r="L2715" s="229">
        <f>SUM(ventas_b_mes11[[#This Row],[IMPORTE NETO]:[EXENTO]])</f>
        <v>1900</v>
      </c>
      <c r="M2715" s="55"/>
    </row>
    <row r="2716" spans="2:13" x14ac:dyDescent="0.3">
      <c r="B2716" s="223">
        <v>44854</v>
      </c>
      <c r="C2716" s="224">
        <v>6</v>
      </c>
      <c r="D2716" s="225">
        <v>10</v>
      </c>
      <c r="E2716" s="226">
        <v>43399</v>
      </c>
      <c r="F2716" s="227">
        <v>38602298</v>
      </c>
      <c r="G2716" s="1" t="s">
        <v>836</v>
      </c>
      <c r="H2716" s="60">
        <v>5865.7</v>
      </c>
      <c r="I2716" s="228">
        <v>1231.8</v>
      </c>
      <c r="J2716" s="229"/>
      <c r="K2716" s="229"/>
      <c r="L2716" s="229">
        <f>SUM(ventas_b_mes11[[#This Row],[IMPORTE NETO]:[EXENTO]])</f>
        <v>7097.5</v>
      </c>
      <c r="M2716" s="55"/>
    </row>
    <row r="2717" spans="2:13" x14ac:dyDescent="0.3">
      <c r="B2717" s="223">
        <v>44855</v>
      </c>
      <c r="C2717" s="224">
        <v>6</v>
      </c>
      <c r="D2717" s="225">
        <v>10</v>
      </c>
      <c r="E2717" s="226">
        <v>43400</v>
      </c>
      <c r="F2717" s="227">
        <v>33373122</v>
      </c>
      <c r="G2717" s="1" t="s">
        <v>187</v>
      </c>
      <c r="H2717" s="60">
        <v>1983.47</v>
      </c>
      <c r="I2717" s="228">
        <v>416.53</v>
      </c>
      <c r="J2717" s="229"/>
      <c r="K2717" s="229"/>
      <c r="L2717" s="229">
        <f>SUM(ventas_b_mes11[[#This Row],[IMPORTE NETO]:[EXENTO]])</f>
        <v>2400</v>
      </c>
      <c r="M2717" s="55"/>
    </row>
    <row r="2718" spans="2:13" x14ac:dyDescent="0.3">
      <c r="B2718" s="223">
        <v>44855</v>
      </c>
      <c r="C2718" s="224">
        <v>6</v>
      </c>
      <c r="D2718" s="225">
        <v>10</v>
      </c>
      <c r="E2718" s="226">
        <v>43401</v>
      </c>
      <c r="F2718" s="227">
        <v>33373122</v>
      </c>
      <c r="G2718" s="1" t="s">
        <v>187</v>
      </c>
      <c r="H2718" s="60">
        <v>12383.47</v>
      </c>
      <c r="I2718" s="228">
        <v>2600.5300000000002</v>
      </c>
      <c r="J2718" s="229"/>
      <c r="K2718" s="229"/>
      <c r="L2718" s="229">
        <f>SUM(ventas_b_mes11[[#This Row],[IMPORTE NETO]:[EXENTO]])</f>
        <v>14984</v>
      </c>
      <c r="M2718" s="55"/>
    </row>
    <row r="2719" spans="2:13" x14ac:dyDescent="0.3">
      <c r="B2719" s="223">
        <v>44855</v>
      </c>
      <c r="C2719" s="224">
        <v>6</v>
      </c>
      <c r="D2719" s="225">
        <v>10</v>
      </c>
      <c r="E2719" s="226">
        <v>43402</v>
      </c>
      <c r="F2719" s="227">
        <v>232359987</v>
      </c>
      <c r="G2719" s="1"/>
      <c r="H2719" s="60">
        <v>4958.68</v>
      </c>
      <c r="I2719" s="228">
        <v>1041.32</v>
      </c>
      <c r="J2719" s="229"/>
      <c r="K2719" s="229"/>
      <c r="L2719" s="229">
        <f>SUM(ventas_b_mes11[[#This Row],[IMPORTE NETO]:[EXENTO]])</f>
        <v>6000</v>
      </c>
      <c r="M2719" s="55"/>
    </row>
    <row r="2720" spans="2:13" x14ac:dyDescent="0.3">
      <c r="B2720" s="223">
        <v>44855</v>
      </c>
      <c r="C2720" s="224">
        <v>6</v>
      </c>
      <c r="D2720" s="225">
        <v>10</v>
      </c>
      <c r="E2720" s="226">
        <v>43403</v>
      </c>
      <c r="F2720" s="227">
        <v>32546432</v>
      </c>
      <c r="G2720" s="1" t="s">
        <v>877</v>
      </c>
      <c r="H2720" s="60">
        <v>25051.24</v>
      </c>
      <c r="I2720" s="228">
        <v>5260.76</v>
      </c>
      <c r="J2720" s="229"/>
      <c r="K2720" s="229"/>
      <c r="L2720" s="229">
        <f>SUM(ventas_b_mes11[[#This Row],[IMPORTE NETO]:[EXENTO]])</f>
        <v>30312</v>
      </c>
      <c r="M2720" s="55"/>
    </row>
    <row r="2721" spans="2:13" x14ac:dyDescent="0.3">
      <c r="B2721" s="223">
        <v>44855</v>
      </c>
      <c r="C2721" s="224">
        <v>6</v>
      </c>
      <c r="D2721" s="225">
        <v>10</v>
      </c>
      <c r="E2721" s="226">
        <v>43404</v>
      </c>
      <c r="F2721" s="227">
        <v>45413213</v>
      </c>
      <c r="G2721" s="1" t="s">
        <v>862</v>
      </c>
      <c r="H2721" s="60">
        <v>11239.67</v>
      </c>
      <c r="I2721" s="228">
        <v>2360.33</v>
      </c>
      <c r="J2721" s="229"/>
      <c r="K2721" s="229"/>
      <c r="L2721" s="229">
        <f>SUM(ventas_b_mes11[[#This Row],[IMPORTE NETO]:[EXENTO]])</f>
        <v>13600</v>
      </c>
      <c r="M2721" s="55"/>
    </row>
    <row r="2722" spans="2:13" x14ac:dyDescent="0.3">
      <c r="B2722" s="223">
        <v>44855</v>
      </c>
      <c r="C2722" s="224">
        <v>6</v>
      </c>
      <c r="D2722" s="225">
        <v>10</v>
      </c>
      <c r="E2722" s="226">
        <v>43405</v>
      </c>
      <c r="F2722" s="227">
        <v>45413213</v>
      </c>
      <c r="G2722" s="1" t="s">
        <v>862</v>
      </c>
      <c r="H2722" s="60">
        <v>1289.26</v>
      </c>
      <c r="I2722" s="228">
        <v>270.74</v>
      </c>
      <c r="J2722" s="229"/>
      <c r="K2722" s="229"/>
      <c r="L2722" s="229">
        <f>SUM(ventas_b_mes11[[#This Row],[IMPORTE NETO]:[EXENTO]])</f>
        <v>1560</v>
      </c>
      <c r="M2722" s="55"/>
    </row>
    <row r="2723" spans="2:13" x14ac:dyDescent="0.3">
      <c r="B2723" s="223">
        <v>44855</v>
      </c>
      <c r="C2723" s="224">
        <v>6</v>
      </c>
      <c r="D2723" s="225">
        <v>10</v>
      </c>
      <c r="E2723" s="226">
        <v>43406</v>
      </c>
      <c r="F2723" s="227">
        <v>26917748</v>
      </c>
      <c r="G2723" s="1" t="s">
        <v>873</v>
      </c>
      <c r="H2723" s="60">
        <v>4958.68</v>
      </c>
      <c r="I2723" s="228">
        <v>1041.32</v>
      </c>
      <c r="J2723" s="229"/>
      <c r="K2723" s="229"/>
      <c r="L2723" s="229">
        <f>SUM(ventas_b_mes11[[#This Row],[IMPORTE NETO]:[EXENTO]])</f>
        <v>6000</v>
      </c>
      <c r="M2723" s="55"/>
    </row>
    <row r="2724" spans="2:13" x14ac:dyDescent="0.3">
      <c r="B2724" s="223">
        <v>44855</v>
      </c>
      <c r="C2724" s="224">
        <v>6</v>
      </c>
      <c r="D2724" s="225">
        <v>10</v>
      </c>
      <c r="E2724" s="226">
        <v>43407</v>
      </c>
      <c r="F2724" s="227">
        <v>17005512</v>
      </c>
      <c r="G2724" s="1" t="s">
        <v>869</v>
      </c>
      <c r="H2724" s="60">
        <v>4958.68</v>
      </c>
      <c r="I2724" s="228">
        <v>1041.32</v>
      </c>
      <c r="J2724" s="229"/>
      <c r="K2724" s="229"/>
      <c r="L2724" s="229">
        <f>SUM(ventas_b_mes11[[#This Row],[IMPORTE NETO]:[EXENTO]])</f>
        <v>6000</v>
      </c>
      <c r="M2724" s="55"/>
    </row>
    <row r="2725" spans="2:13" x14ac:dyDescent="0.3">
      <c r="B2725" s="223">
        <v>44855</v>
      </c>
      <c r="C2725" s="224">
        <v>6</v>
      </c>
      <c r="D2725" s="225">
        <v>10</v>
      </c>
      <c r="E2725" s="226">
        <v>43408</v>
      </c>
      <c r="F2725" s="227">
        <v>21815624</v>
      </c>
      <c r="G2725" s="1" t="s">
        <v>872</v>
      </c>
      <c r="H2725" s="60">
        <v>7841.32</v>
      </c>
      <c r="I2725" s="228">
        <v>1646.68</v>
      </c>
      <c r="J2725" s="229"/>
      <c r="K2725" s="229"/>
      <c r="L2725" s="229">
        <f>SUM(ventas_b_mes11[[#This Row],[IMPORTE NETO]:[EXENTO]])</f>
        <v>9488</v>
      </c>
      <c r="M2725" s="55"/>
    </row>
    <row r="2726" spans="2:13" x14ac:dyDescent="0.3">
      <c r="B2726" s="223">
        <v>44855</v>
      </c>
      <c r="C2726" s="224">
        <v>6</v>
      </c>
      <c r="D2726" s="225">
        <v>10</v>
      </c>
      <c r="E2726" s="226">
        <v>43409</v>
      </c>
      <c r="F2726" s="227">
        <v>54643513</v>
      </c>
      <c r="G2726" s="1" t="s">
        <v>885</v>
      </c>
      <c r="H2726" s="60">
        <v>6526.03</v>
      </c>
      <c r="I2726" s="228">
        <v>1370.47</v>
      </c>
      <c r="J2726" s="229"/>
      <c r="K2726" s="229"/>
      <c r="L2726" s="229">
        <f>SUM(ventas_b_mes11[[#This Row],[IMPORTE NETO]:[EXENTO]])</f>
        <v>7896.5</v>
      </c>
      <c r="M2726" s="55"/>
    </row>
    <row r="2727" spans="2:13" x14ac:dyDescent="0.3">
      <c r="B2727" s="223">
        <v>44855</v>
      </c>
      <c r="C2727" s="224">
        <v>6</v>
      </c>
      <c r="D2727" s="225">
        <v>10</v>
      </c>
      <c r="E2727" s="226">
        <v>43410</v>
      </c>
      <c r="F2727" s="227">
        <v>16277726</v>
      </c>
      <c r="G2727" s="1" t="s">
        <v>863</v>
      </c>
      <c r="H2727" s="60">
        <v>7952.07</v>
      </c>
      <c r="I2727" s="228">
        <v>1669.93</v>
      </c>
      <c r="J2727" s="229"/>
      <c r="K2727" s="229"/>
      <c r="L2727" s="229">
        <f>SUM(ventas_b_mes11[[#This Row],[IMPORTE NETO]:[EXENTO]])</f>
        <v>9622</v>
      </c>
      <c r="M2727" s="55"/>
    </row>
    <row r="2728" spans="2:13" x14ac:dyDescent="0.3">
      <c r="B2728" s="223">
        <v>44855</v>
      </c>
      <c r="C2728" s="224">
        <v>6</v>
      </c>
      <c r="D2728" s="225">
        <v>10</v>
      </c>
      <c r="E2728" s="226">
        <v>43411</v>
      </c>
      <c r="F2728" s="227">
        <v>32704068</v>
      </c>
      <c r="G2728" s="1" t="s">
        <v>875</v>
      </c>
      <c r="H2728" s="60">
        <v>30400</v>
      </c>
      <c r="I2728" s="228">
        <v>6384</v>
      </c>
      <c r="J2728" s="229"/>
      <c r="K2728" s="229"/>
      <c r="L2728" s="229">
        <f>SUM(ventas_b_mes11[[#This Row],[IMPORTE NETO]:[EXENTO]])</f>
        <v>36784</v>
      </c>
      <c r="M2728" s="55"/>
    </row>
    <row r="2729" spans="2:13" x14ac:dyDescent="0.3">
      <c r="B2729" s="223">
        <v>44855</v>
      </c>
      <c r="C2729" s="224">
        <v>6</v>
      </c>
      <c r="D2729" s="225">
        <v>10</v>
      </c>
      <c r="E2729" s="226">
        <v>43412</v>
      </c>
      <c r="F2729" s="227">
        <v>35465463</v>
      </c>
      <c r="G2729" s="1" t="s">
        <v>881</v>
      </c>
      <c r="H2729" s="60">
        <v>10413.219999999999</v>
      </c>
      <c r="I2729" s="228">
        <v>2186.7800000000002</v>
      </c>
      <c r="J2729" s="229"/>
      <c r="K2729" s="229"/>
      <c r="L2729" s="229">
        <f>SUM(ventas_b_mes11[[#This Row],[IMPORTE NETO]:[EXENTO]])</f>
        <v>12600</v>
      </c>
      <c r="M2729" s="55"/>
    </row>
    <row r="2730" spans="2:13" x14ac:dyDescent="0.3">
      <c r="B2730" s="223">
        <v>44855</v>
      </c>
      <c r="C2730" s="224">
        <v>6</v>
      </c>
      <c r="D2730" s="225">
        <v>10</v>
      </c>
      <c r="E2730" s="226">
        <v>43413</v>
      </c>
      <c r="F2730" s="227">
        <v>14680490</v>
      </c>
      <c r="G2730" s="1" t="s">
        <v>880</v>
      </c>
      <c r="H2730" s="60">
        <v>2425.62</v>
      </c>
      <c r="I2730" s="228">
        <v>509.38</v>
      </c>
      <c r="J2730" s="229"/>
      <c r="K2730" s="229"/>
      <c r="L2730" s="229">
        <f>SUM(ventas_b_mes11[[#This Row],[IMPORTE NETO]:[EXENTO]])</f>
        <v>2935</v>
      </c>
      <c r="M2730" s="55"/>
    </row>
    <row r="2731" spans="2:13" x14ac:dyDescent="0.3">
      <c r="B2731" s="223">
        <v>44855</v>
      </c>
      <c r="C2731" s="224">
        <v>6</v>
      </c>
      <c r="D2731" s="225">
        <v>10</v>
      </c>
      <c r="E2731" s="226">
        <v>43414</v>
      </c>
      <c r="F2731" s="227">
        <v>25710904</v>
      </c>
      <c r="G2731" s="1" t="s">
        <v>615</v>
      </c>
      <c r="H2731" s="60">
        <v>24172.31</v>
      </c>
      <c r="I2731" s="228">
        <v>5076.1899999999996</v>
      </c>
      <c r="J2731" s="229"/>
      <c r="K2731" s="229"/>
      <c r="L2731" s="229">
        <f>SUM(ventas_b_mes11[[#This Row],[IMPORTE NETO]:[EXENTO]])</f>
        <v>29248.5</v>
      </c>
      <c r="M2731" s="55"/>
    </row>
    <row r="2732" spans="2:13" x14ac:dyDescent="0.3">
      <c r="B2732" s="223">
        <v>44855</v>
      </c>
      <c r="C2732" s="224">
        <v>6</v>
      </c>
      <c r="D2732" s="225">
        <v>10</v>
      </c>
      <c r="E2732" s="226">
        <v>43415</v>
      </c>
      <c r="F2732" s="227">
        <v>23293619</v>
      </c>
      <c r="G2732" s="1" t="s">
        <v>314</v>
      </c>
      <c r="H2732" s="60">
        <v>3266.53</v>
      </c>
      <c r="I2732" s="228">
        <v>685.97</v>
      </c>
      <c r="J2732" s="229"/>
      <c r="K2732" s="229"/>
      <c r="L2732" s="229">
        <f>SUM(ventas_b_mes11[[#This Row],[IMPORTE NETO]:[EXENTO]])</f>
        <v>3952.5</v>
      </c>
      <c r="M2732" s="55"/>
    </row>
    <row r="2733" spans="2:13" x14ac:dyDescent="0.3">
      <c r="B2733" s="223">
        <v>44855</v>
      </c>
      <c r="C2733" s="224">
        <v>6</v>
      </c>
      <c r="D2733" s="225">
        <v>10</v>
      </c>
      <c r="E2733" s="226">
        <v>43416</v>
      </c>
      <c r="F2733" s="227">
        <v>26317347</v>
      </c>
      <c r="G2733" s="1" t="s">
        <v>364</v>
      </c>
      <c r="H2733" s="60">
        <v>5233.47</v>
      </c>
      <c r="I2733" s="228">
        <v>1099.03</v>
      </c>
      <c r="J2733" s="229"/>
      <c r="K2733" s="229"/>
      <c r="L2733" s="229">
        <f>SUM(ventas_b_mes11[[#This Row],[IMPORTE NETO]:[EXENTO]])</f>
        <v>6332.5</v>
      </c>
      <c r="M2733" s="55"/>
    </row>
    <row r="2734" spans="2:13" x14ac:dyDescent="0.3">
      <c r="B2734" s="223">
        <v>44855</v>
      </c>
      <c r="C2734" s="224">
        <v>6</v>
      </c>
      <c r="D2734" s="225">
        <v>10</v>
      </c>
      <c r="E2734" s="226">
        <v>43417</v>
      </c>
      <c r="F2734" s="227">
        <v>27216830</v>
      </c>
      <c r="G2734" s="1" t="s">
        <v>682</v>
      </c>
      <c r="H2734" s="60">
        <v>13900.84</v>
      </c>
      <c r="I2734" s="228">
        <v>2919.18</v>
      </c>
      <c r="J2734" s="229"/>
      <c r="K2734" s="229"/>
      <c r="L2734" s="229">
        <f>SUM(ventas_b_mes11[[#This Row],[IMPORTE NETO]:[EXENTO]])</f>
        <v>16820.02</v>
      </c>
      <c r="M2734" s="55"/>
    </row>
    <row r="2735" spans="2:13" x14ac:dyDescent="0.3">
      <c r="B2735" s="223">
        <v>44855</v>
      </c>
      <c r="C2735" s="224">
        <v>6</v>
      </c>
      <c r="D2735" s="225">
        <v>10</v>
      </c>
      <c r="E2735" s="226">
        <v>43418</v>
      </c>
      <c r="F2735" s="227">
        <v>27216830</v>
      </c>
      <c r="G2735" s="1" t="s">
        <v>682</v>
      </c>
      <c r="H2735" s="60">
        <v>702.48</v>
      </c>
      <c r="I2735" s="228">
        <v>147.52000000000001</v>
      </c>
      <c r="J2735" s="229"/>
      <c r="K2735" s="229"/>
      <c r="L2735" s="229">
        <f>SUM(ventas_b_mes11[[#This Row],[IMPORTE NETO]:[EXENTO]])</f>
        <v>850</v>
      </c>
      <c r="M2735" s="55"/>
    </row>
    <row r="2736" spans="2:13" x14ac:dyDescent="0.3">
      <c r="B2736" s="223">
        <v>44855</v>
      </c>
      <c r="C2736" s="224">
        <v>6</v>
      </c>
      <c r="D2736" s="225">
        <v>10</v>
      </c>
      <c r="E2736" s="226">
        <v>43419</v>
      </c>
      <c r="F2736" s="227">
        <v>22448090</v>
      </c>
      <c r="G2736" s="1" t="s">
        <v>883</v>
      </c>
      <c r="H2736" s="60">
        <v>4741.74</v>
      </c>
      <c r="I2736" s="228">
        <v>995.76</v>
      </c>
      <c r="J2736" s="229"/>
      <c r="K2736" s="229"/>
      <c r="L2736" s="229">
        <f>SUM(ventas_b_mes11[[#This Row],[IMPORTE NETO]:[EXENTO]])</f>
        <v>5737.5</v>
      </c>
      <c r="M2736" s="55"/>
    </row>
    <row r="2737" spans="2:13" x14ac:dyDescent="0.3">
      <c r="B2737" s="223">
        <v>44855</v>
      </c>
      <c r="C2737" s="224">
        <v>6</v>
      </c>
      <c r="D2737" s="225">
        <v>10</v>
      </c>
      <c r="E2737" s="226">
        <v>43420</v>
      </c>
      <c r="F2737" s="227">
        <v>24588991</v>
      </c>
      <c r="G2737" s="1"/>
      <c r="H2737" s="60">
        <v>7270.66</v>
      </c>
      <c r="I2737" s="228">
        <v>1526.84</v>
      </c>
      <c r="J2737" s="229"/>
      <c r="K2737" s="229"/>
      <c r="L2737" s="229">
        <f>SUM(ventas_b_mes11[[#This Row],[IMPORTE NETO]:[EXENTO]])</f>
        <v>8797.5</v>
      </c>
      <c r="M2737" s="55"/>
    </row>
    <row r="2738" spans="2:13" x14ac:dyDescent="0.3">
      <c r="B2738" s="223">
        <v>44855</v>
      </c>
      <c r="C2738" s="224">
        <v>6</v>
      </c>
      <c r="D2738" s="225">
        <v>10</v>
      </c>
      <c r="E2738" s="226">
        <v>43421</v>
      </c>
      <c r="F2738" s="227">
        <v>94085236</v>
      </c>
      <c r="G2738" s="1" t="s">
        <v>751</v>
      </c>
      <c r="H2738" s="60">
        <v>9433.89</v>
      </c>
      <c r="I2738" s="228">
        <v>1981.12</v>
      </c>
      <c r="J2738" s="229"/>
      <c r="K2738" s="229"/>
      <c r="L2738" s="229">
        <f>SUM(ventas_b_mes11[[#This Row],[IMPORTE NETO]:[EXENTO]])</f>
        <v>11415.009999999998</v>
      </c>
      <c r="M2738" s="55"/>
    </row>
    <row r="2739" spans="2:13" x14ac:dyDescent="0.3">
      <c r="B2739" s="223">
        <v>44855</v>
      </c>
      <c r="C2739" s="224">
        <v>6</v>
      </c>
      <c r="D2739" s="225">
        <v>10</v>
      </c>
      <c r="E2739" s="226">
        <v>43422</v>
      </c>
      <c r="F2739" s="227">
        <v>92703955</v>
      </c>
      <c r="G2739" s="1" t="s">
        <v>870</v>
      </c>
      <c r="H2739" s="60">
        <v>12623.14</v>
      </c>
      <c r="I2739" s="228">
        <v>2650.86</v>
      </c>
      <c r="J2739" s="229"/>
      <c r="K2739" s="229"/>
      <c r="L2739" s="229">
        <f>SUM(ventas_b_mes11[[#This Row],[IMPORTE NETO]:[EXENTO]])</f>
        <v>15274</v>
      </c>
      <c r="M2739" s="55"/>
    </row>
    <row r="2740" spans="2:13" x14ac:dyDescent="0.3">
      <c r="B2740" s="223">
        <v>44855</v>
      </c>
      <c r="C2740" s="224">
        <v>6</v>
      </c>
      <c r="D2740" s="225">
        <v>10</v>
      </c>
      <c r="E2740" s="226">
        <v>43423</v>
      </c>
      <c r="F2740" s="227">
        <v>16450773</v>
      </c>
      <c r="G2740" s="1" t="s">
        <v>132</v>
      </c>
      <c r="H2740" s="60">
        <v>4545.45</v>
      </c>
      <c r="I2740" s="228">
        <v>954.55</v>
      </c>
      <c r="J2740" s="229"/>
      <c r="K2740" s="229"/>
      <c r="L2740" s="229">
        <f>SUM(ventas_b_mes11[[#This Row],[IMPORTE NETO]:[EXENTO]])</f>
        <v>5500</v>
      </c>
      <c r="M2740" s="55"/>
    </row>
    <row r="2741" spans="2:13" x14ac:dyDescent="0.3">
      <c r="B2741" s="223">
        <v>44855</v>
      </c>
      <c r="C2741" s="224">
        <v>6</v>
      </c>
      <c r="D2741" s="225">
        <v>10</v>
      </c>
      <c r="E2741" s="226">
        <v>43424</v>
      </c>
      <c r="F2741" s="227">
        <v>18211637</v>
      </c>
      <c r="G2741" s="1" t="s">
        <v>194</v>
      </c>
      <c r="H2741" s="60">
        <v>8585.1200000000008</v>
      </c>
      <c r="I2741" s="228">
        <v>1802.88</v>
      </c>
      <c r="J2741" s="229"/>
      <c r="K2741" s="229"/>
      <c r="L2741" s="229">
        <f>SUM(ventas_b_mes11[[#This Row],[IMPORTE NETO]:[EXENTO]])</f>
        <v>10388</v>
      </c>
      <c r="M2741" s="55"/>
    </row>
    <row r="2742" spans="2:13" x14ac:dyDescent="0.3">
      <c r="B2742" s="223">
        <v>44855</v>
      </c>
      <c r="C2742" s="224">
        <v>6</v>
      </c>
      <c r="D2742" s="225">
        <v>10</v>
      </c>
      <c r="E2742" s="226">
        <v>43425</v>
      </c>
      <c r="F2742" s="227">
        <v>546543</v>
      </c>
      <c r="G2742" s="1"/>
      <c r="H2742" s="60">
        <v>5685.95</v>
      </c>
      <c r="I2742" s="228">
        <v>1194.05</v>
      </c>
      <c r="J2742" s="229"/>
      <c r="K2742" s="229"/>
      <c r="L2742" s="229">
        <f>SUM(ventas_b_mes11[[#This Row],[IMPORTE NETO]:[EXENTO]])</f>
        <v>6880</v>
      </c>
      <c r="M2742" s="55"/>
    </row>
    <row r="2743" spans="2:13" x14ac:dyDescent="0.3">
      <c r="B2743" s="223">
        <v>44855</v>
      </c>
      <c r="C2743" s="224">
        <v>6</v>
      </c>
      <c r="D2743" s="225">
        <v>10</v>
      </c>
      <c r="E2743" s="226">
        <v>43426</v>
      </c>
      <c r="F2743" s="227">
        <v>5453112</v>
      </c>
      <c r="G2743" s="1"/>
      <c r="H2743" s="60">
        <v>10677.69</v>
      </c>
      <c r="I2743" s="228">
        <v>2242.31</v>
      </c>
      <c r="J2743" s="229"/>
      <c r="K2743" s="229"/>
      <c r="L2743" s="229">
        <f>SUM(ventas_b_mes11[[#This Row],[IMPORTE NETO]:[EXENTO]])</f>
        <v>12920</v>
      </c>
      <c r="M2743" s="55"/>
    </row>
    <row r="2744" spans="2:13" x14ac:dyDescent="0.3">
      <c r="B2744" s="223">
        <v>44855</v>
      </c>
      <c r="C2744" s="224">
        <v>6</v>
      </c>
      <c r="D2744" s="225">
        <v>10</v>
      </c>
      <c r="E2744" s="226">
        <v>43427</v>
      </c>
      <c r="F2744" s="227">
        <v>13992101</v>
      </c>
      <c r="G2744" s="1" t="s">
        <v>864</v>
      </c>
      <c r="H2744" s="60">
        <v>8731.82</v>
      </c>
      <c r="I2744" s="228">
        <v>1833.68</v>
      </c>
      <c r="J2744" s="229"/>
      <c r="K2744" s="229"/>
      <c r="L2744" s="229">
        <f>SUM(ventas_b_mes11[[#This Row],[IMPORTE NETO]:[EXENTO]])</f>
        <v>10565.5</v>
      </c>
      <c r="M2744" s="55"/>
    </row>
    <row r="2745" spans="2:13" x14ac:dyDescent="0.3">
      <c r="B2745" s="223">
        <v>44856</v>
      </c>
      <c r="C2745" s="224">
        <v>6</v>
      </c>
      <c r="D2745" s="225">
        <v>10</v>
      </c>
      <c r="E2745" s="226">
        <v>43428</v>
      </c>
      <c r="F2745" s="227">
        <v>41826777</v>
      </c>
      <c r="G2745" s="1" t="s">
        <v>901</v>
      </c>
      <c r="H2745" s="60">
        <v>4958.68</v>
      </c>
      <c r="I2745" s="228">
        <v>1041.32</v>
      </c>
      <c r="J2745" s="229"/>
      <c r="K2745" s="229"/>
      <c r="L2745" s="229">
        <f>SUM(ventas_b_mes11[[#This Row],[IMPORTE NETO]:[EXENTO]])</f>
        <v>6000</v>
      </c>
      <c r="M2745" s="55"/>
    </row>
    <row r="2746" spans="2:13" x14ac:dyDescent="0.3">
      <c r="B2746" s="223">
        <v>44856</v>
      </c>
      <c r="C2746" s="224">
        <v>6</v>
      </c>
      <c r="D2746" s="225">
        <v>10</v>
      </c>
      <c r="E2746" s="226">
        <v>43429</v>
      </c>
      <c r="F2746" s="227">
        <v>39321330</v>
      </c>
      <c r="G2746" s="1" t="s">
        <v>393</v>
      </c>
      <c r="H2746" s="60">
        <v>4088.43</v>
      </c>
      <c r="I2746" s="228">
        <v>858.57</v>
      </c>
      <c r="J2746" s="229"/>
      <c r="K2746" s="229"/>
      <c r="L2746" s="229">
        <f>SUM(ventas_b_mes11[[#This Row],[IMPORTE NETO]:[EXENTO]])</f>
        <v>4947</v>
      </c>
      <c r="M2746" s="55"/>
    </row>
    <row r="2747" spans="2:13" x14ac:dyDescent="0.3">
      <c r="B2747" s="223">
        <v>44856</v>
      </c>
      <c r="C2747" s="224">
        <v>6</v>
      </c>
      <c r="D2747" s="225">
        <v>10</v>
      </c>
      <c r="E2747" s="226">
        <v>43430</v>
      </c>
      <c r="F2747" s="227">
        <v>34454281</v>
      </c>
      <c r="G2747" s="1" t="s">
        <v>151</v>
      </c>
      <c r="H2747" s="60">
        <v>4545.45</v>
      </c>
      <c r="I2747" s="228">
        <v>954.55</v>
      </c>
      <c r="J2747" s="229"/>
      <c r="K2747" s="229"/>
      <c r="L2747" s="229">
        <f>SUM(ventas_b_mes11[[#This Row],[IMPORTE NETO]:[EXENTO]])</f>
        <v>5500</v>
      </c>
      <c r="M2747" s="55"/>
    </row>
    <row r="2748" spans="2:13" x14ac:dyDescent="0.3">
      <c r="B2748" s="223">
        <v>44856</v>
      </c>
      <c r="C2748" s="224">
        <v>6</v>
      </c>
      <c r="D2748" s="225">
        <v>10</v>
      </c>
      <c r="E2748" s="226">
        <v>43431</v>
      </c>
      <c r="F2748" s="227">
        <v>0</v>
      </c>
      <c r="G2748" s="1"/>
      <c r="H2748" s="60">
        <v>2066.12</v>
      </c>
      <c r="I2748" s="228">
        <v>433.88</v>
      </c>
      <c r="J2748" s="229"/>
      <c r="K2748" s="229"/>
      <c r="L2748" s="229">
        <f>SUM(ventas_b_mes11[[#This Row],[IMPORTE NETO]:[EXENTO]])</f>
        <v>2500</v>
      </c>
      <c r="M2748" s="55"/>
    </row>
    <row r="2749" spans="2:13" x14ac:dyDescent="0.3">
      <c r="B2749" s="223">
        <v>44856</v>
      </c>
      <c r="C2749" s="224">
        <v>6</v>
      </c>
      <c r="D2749" s="225">
        <v>10</v>
      </c>
      <c r="E2749" s="226">
        <v>43432</v>
      </c>
      <c r="F2749" s="227">
        <v>35969790</v>
      </c>
      <c r="G2749" s="1" t="s">
        <v>376</v>
      </c>
      <c r="H2749" s="60">
        <v>5409.1</v>
      </c>
      <c r="I2749" s="228">
        <v>1135.9100000000001</v>
      </c>
      <c r="J2749" s="229"/>
      <c r="K2749" s="229"/>
      <c r="L2749" s="229">
        <f>SUM(ventas_b_mes11[[#This Row],[IMPORTE NETO]:[EXENTO]])</f>
        <v>6545.01</v>
      </c>
      <c r="M2749" s="55"/>
    </row>
    <row r="2750" spans="2:13" x14ac:dyDescent="0.3">
      <c r="B2750" s="223">
        <v>44856</v>
      </c>
      <c r="C2750" s="224">
        <v>6</v>
      </c>
      <c r="D2750" s="225">
        <v>10</v>
      </c>
      <c r="E2750" s="226">
        <v>43433</v>
      </c>
      <c r="F2750" s="227">
        <v>34454281</v>
      </c>
      <c r="G2750" s="1" t="s">
        <v>151</v>
      </c>
      <c r="H2750" s="60">
        <v>322.31</v>
      </c>
      <c r="I2750" s="228">
        <v>67.69</v>
      </c>
      <c r="J2750" s="229"/>
      <c r="K2750" s="229"/>
      <c r="L2750" s="229">
        <f>SUM(ventas_b_mes11[[#This Row],[IMPORTE NETO]:[EXENTO]])</f>
        <v>390</v>
      </c>
      <c r="M2750" s="55"/>
    </row>
    <row r="2751" spans="2:13" x14ac:dyDescent="0.3">
      <c r="B2751" s="223">
        <v>44856</v>
      </c>
      <c r="C2751" s="224">
        <v>6</v>
      </c>
      <c r="D2751" s="225">
        <v>10</v>
      </c>
      <c r="E2751" s="226">
        <v>43434</v>
      </c>
      <c r="F2751" s="227">
        <v>16277726</v>
      </c>
      <c r="G2751" s="1" t="s">
        <v>863</v>
      </c>
      <c r="H2751" s="60">
        <v>1138.02</v>
      </c>
      <c r="I2751" s="228">
        <v>238.98</v>
      </c>
      <c r="J2751" s="229"/>
      <c r="K2751" s="229"/>
      <c r="L2751" s="229">
        <f>SUM(ventas_b_mes11[[#This Row],[IMPORTE NETO]:[EXENTO]])</f>
        <v>1377</v>
      </c>
      <c r="M2751" s="55"/>
    </row>
    <row r="2752" spans="2:13" x14ac:dyDescent="0.3">
      <c r="B2752" s="223">
        <v>44856</v>
      </c>
      <c r="C2752" s="224">
        <v>6</v>
      </c>
      <c r="D2752" s="225">
        <v>10</v>
      </c>
      <c r="E2752" s="226">
        <v>43435</v>
      </c>
      <c r="F2752" s="227">
        <v>25912917</v>
      </c>
      <c r="G2752" s="1" t="s">
        <v>265</v>
      </c>
      <c r="H2752" s="60">
        <v>1652.89</v>
      </c>
      <c r="I2752" s="228">
        <v>347.11</v>
      </c>
      <c r="J2752" s="229"/>
      <c r="K2752" s="229"/>
      <c r="L2752" s="229">
        <f>SUM(ventas_b_mes11[[#This Row],[IMPORTE NETO]:[EXENTO]])</f>
        <v>2000</v>
      </c>
      <c r="M2752" s="55"/>
    </row>
    <row r="2753" spans="2:13" x14ac:dyDescent="0.3">
      <c r="B2753" s="223">
        <v>44856</v>
      </c>
      <c r="C2753" s="224">
        <v>6</v>
      </c>
      <c r="D2753" s="225">
        <v>10</v>
      </c>
      <c r="E2753" s="226">
        <v>43436</v>
      </c>
      <c r="F2753" s="227">
        <v>20922416</v>
      </c>
      <c r="G2753" s="1" t="s">
        <v>888</v>
      </c>
      <c r="H2753" s="60">
        <v>4543.3999999999996</v>
      </c>
      <c r="I2753" s="228">
        <v>954.11</v>
      </c>
      <c r="J2753" s="229"/>
      <c r="K2753" s="229"/>
      <c r="L2753" s="229">
        <f>SUM(ventas_b_mes11[[#This Row],[IMPORTE NETO]:[EXENTO]])</f>
        <v>5497.5099999999993</v>
      </c>
      <c r="M2753" s="55"/>
    </row>
    <row r="2754" spans="2:13" x14ac:dyDescent="0.3">
      <c r="B2754" s="223">
        <v>44856</v>
      </c>
      <c r="C2754" s="224">
        <v>6</v>
      </c>
      <c r="D2754" s="225">
        <v>10</v>
      </c>
      <c r="E2754" s="226">
        <v>43437</v>
      </c>
      <c r="F2754" s="227">
        <v>20823543</v>
      </c>
      <c r="G2754" s="1"/>
      <c r="H2754" s="60">
        <v>10270.25</v>
      </c>
      <c r="I2754" s="228">
        <v>2156.75</v>
      </c>
      <c r="J2754" s="229"/>
      <c r="K2754" s="229"/>
      <c r="L2754" s="229">
        <f>SUM(ventas_b_mes11[[#This Row],[IMPORTE NETO]:[EXENTO]])</f>
        <v>12427</v>
      </c>
      <c r="M2754" s="55"/>
    </row>
    <row r="2755" spans="2:13" x14ac:dyDescent="0.3">
      <c r="B2755" s="223">
        <v>44856</v>
      </c>
      <c r="C2755" s="224">
        <v>6</v>
      </c>
      <c r="D2755" s="225">
        <v>10</v>
      </c>
      <c r="E2755" s="226">
        <v>43438</v>
      </c>
      <c r="F2755" s="227">
        <v>43238525</v>
      </c>
      <c r="G2755" s="1" t="s">
        <v>898</v>
      </c>
      <c r="H2755" s="60">
        <v>4958.68</v>
      </c>
      <c r="I2755" s="228">
        <v>1041.32</v>
      </c>
      <c r="J2755" s="229"/>
      <c r="K2755" s="229"/>
      <c r="L2755" s="229">
        <f>SUM(ventas_b_mes11[[#This Row],[IMPORTE NETO]:[EXENTO]])</f>
        <v>6000</v>
      </c>
      <c r="M2755" s="55"/>
    </row>
    <row r="2756" spans="2:13" x14ac:dyDescent="0.3">
      <c r="B2756" s="223">
        <v>44856</v>
      </c>
      <c r="C2756" s="224">
        <v>6</v>
      </c>
      <c r="D2756" s="225">
        <v>10</v>
      </c>
      <c r="E2756" s="226">
        <v>43439</v>
      </c>
      <c r="F2756" s="227">
        <v>92703955</v>
      </c>
      <c r="G2756" s="1" t="s">
        <v>870</v>
      </c>
      <c r="H2756" s="60">
        <v>9778.51</v>
      </c>
      <c r="I2756" s="228">
        <v>2053.4899999999998</v>
      </c>
      <c r="J2756" s="229"/>
      <c r="K2756" s="229"/>
      <c r="L2756" s="229">
        <f>SUM(ventas_b_mes11[[#This Row],[IMPORTE NETO]:[EXENTO]])</f>
        <v>11832</v>
      </c>
      <c r="M2756" s="55"/>
    </row>
    <row r="2757" spans="2:13" x14ac:dyDescent="0.3">
      <c r="B2757" s="223">
        <v>44856</v>
      </c>
      <c r="C2757" s="224">
        <v>6</v>
      </c>
      <c r="D2757" s="225">
        <v>10</v>
      </c>
      <c r="E2757" s="226">
        <v>43440</v>
      </c>
      <c r="F2757" s="227">
        <v>0</v>
      </c>
      <c r="G2757" s="1"/>
      <c r="H2757" s="60">
        <v>1652.89</v>
      </c>
      <c r="I2757" s="228">
        <v>347.11</v>
      </c>
      <c r="J2757" s="229"/>
      <c r="K2757" s="229"/>
      <c r="L2757" s="229">
        <f>SUM(ventas_b_mes11[[#This Row],[IMPORTE NETO]:[EXENTO]])</f>
        <v>2000</v>
      </c>
      <c r="M2757" s="55"/>
    </row>
    <row r="2758" spans="2:13" x14ac:dyDescent="0.3">
      <c r="B2758" s="223">
        <v>44856</v>
      </c>
      <c r="C2758" s="224">
        <v>6</v>
      </c>
      <c r="D2758" s="225">
        <v>10</v>
      </c>
      <c r="E2758" s="226">
        <v>43441</v>
      </c>
      <c r="F2758" s="227">
        <v>35969790</v>
      </c>
      <c r="G2758" s="1" t="s">
        <v>376</v>
      </c>
      <c r="H2758" s="60">
        <v>5654.97</v>
      </c>
      <c r="I2758" s="228">
        <v>1187.54</v>
      </c>
      <c r="J2758" s="229"/>
      <c r="K2758" s="229"/>
      <c r="L2758" s="229">
        <f>SUM(ventas_b_mes11[[#This Row],[IMPORTE NETO]:[EXENTO]])</f>
        <v>6842.51</v>
      </c>
      <c r="M2758" s="55"/>
    </row>
    <row r="2759" spans="2:13" x14ac:dyDescent="0.3">
      <c r="B2759" s="223">
        <v>44856</v>
      </c>
      <c r="C2759" s="224">
        <v>6</v>
      </c>
      <c r="D2759" s="225">
        <v>10</v>
      </c>
      <c r="E2759" s="226">
        <v>43442</v>
      </c>
      <c r="F2759" s="227">
        <v>10460257</v>
      </c>
      <c r="G2759" s="1" t="s">
        <v>890</v>
      </c>
      <c r="H2759" s="60">
        <v>5866.89</v>
      </c>
      <c r="I2759" s="228">
        <v>1232.05</v>
      </c>
      <c r="J2759" s="229"/>
      <c r="K2759" s="229"/>
      <c r="L2759" s="229">
        <f>SUM(ventas_b_mes11[[#This Row],[IMPORTE NETO]:[EXENTO]])</f>
        <v>7098.9400000000005</v>
      </c>
      <c r="M2759" s="55"/>
    </row>
    <row r="2760" spans="2:13" x14ac:dyDescent="0.3">
      <c r="B2760" s="223">
        <v>44856</v>
      </c>
      <c r="C2760" s="224">
        <v>6</v>
      </c>
      <c r="D2760" s="225">
        <v>10</v>
      </c>
      <c r="E2760" s="226">
        <v>43443</v>
      </c>
      <c r="F2760" s="227">
        <v>14596392</v>
      </c>
      <c r="G2760" s="1" t="s">
        <v>899</v>
      </c>
      <c r="H2760" s="60">
        <v>5431.82</v>
      </c>
      <c r="I2760" s="228">
        <v>1140.68</v>
      </c>
      <c r="J2760" s="229"/>
      <c r="K2760" s="229"/>
      <c r="L2760" s="229">
        <f>SUM(ventas_b_mes11[[#This Row],[IMPORTE NETO]:[EXENTO]])</f>
        <v>6572.5</v>
      </c>
      <c r="M2760" s="55"/>
    </row>
    <row r="2761" spans="2:13" x14ac:dyDescent="0.3">
      <c r="B2761" s="223">
        <v>44858</v>
      </c>
      <c r="C2761" s="224">
        <v>6</v>
      </c>
      <c r="D2761" s="225">
        <v>10</v>
      </c>
      <c r="E2761" s="226">
        <v>43444</v>
      </c>
      <c r="F2761" s="227">
        <v>27200979872</v>
      </c>
      <c r="G2761" s="1" t="s">
        <v>235</v>
      </c>
      <c r="H2761" s="60">
        <v>54324.83</v>
      </c>
      <c r="I2761" s="228">
        <v>11408.22</v>
      </c>
      <c r="J2761" s="229"/>
      <c r="K2761" s="229"/>
      <c r="L2761" s="229">
        <f>SUM(ventas_b_mes11[[#This Row],[IMPORTE NETO]:[EXENTO]])</f>
        <v>65733.05</v>
      </c>
      <c r="M2761" s="55"/>
    </row>
    <row r="2762" spans="2:13" x14ac:dyDescent="0.3">
      <c r="B2762" s="223">
        <v>44858</v>
      </c>
      <c r="C2762" s="224">
        <v>6</v>
      </c>
      <c r="D2762" s="225">
        <v>10</v>
      </c>
      <c r="E2762" s="226">
        <v>43445</v>
      </c>
      <c r="F2762" s="227">
        <v>20307263670</v>
      </c>
      <c r="G2762" s="1" t="s">
        <v>944</v>
      </c>
      <c r="H2762" s="60">
        <v>21521.14</v>
      </c>
      <c r="I2762" s="228">
        <v>4519.4399999999996</v>
      </c>
      <c r="J2762" s="229"/>
      <c r="K2762" s="229"/>
      <c r="L2762" s="229">
        <f>SUM(ventas_b_mes11[[#This Row],[IMPORTE NETO]:[EXENTO]])</f>
        <v>26040.579999999998</v>
      </c>
      <c r="M2762" s="55"/>
    </row>
    <row r="2763" spans="2:13" x14ac:dyDescent="0.3">
      <c r="B2763" s="223">
        <v>44858</v>
      </c>
      <c r="C2763" s="224">
        <v>6</v>
      </c>
      <c r="D2763" s="225">
        <v>10</v>
      </c>
      <c r="E2763" s="226">
        <v>43446</v>
      </c>
      <c r="F2763" s="227">
        <v>0</v>
      </c>
      <c r="G2763" s="1"/>
      <c r="H2763" s="60">
        <v>2119.84</v>
      </c>
      <c r="I2763" s="228">
        <v>445.17</v>
      </c>
      <c r="J2763" s="229"/>
      <c r="K2763" s="229"/>
      <c r="L2763" s="229">
        <f>SUM(ventas_b_mes11[[#This Row],[IMPORTE NETO]:[EXENTO]])</f>
        <v>2565.0100000000002</v>
      </c>
      <c r="M2763" s="55"/>
    </row>
    <row r="2764" spans="2:13" x14ac:dyDescent="0.3">
      <c r="B2764" s="223">
        <v>44858</v>
      </c>
      <c r="C2764" s="224">
        <v>6</v>
      </c>
      <c r="D2764" s="225">
        <v>10</v>
      </c>
      <c r="E2764" s="226">
        <v>43447</v>
      </c>
      <c r="F2764" s="227">
        <v>92815527</v>
      </c>
      <c r="G2764" s="1" t="s">
        <v>938</v>
      </c>
      <c r="H2764" s="60">
        <v>10454.969999999999</v>
      </c>
      <c r="I2764" s="228">
        <v>2195.54</v>
      </c>
      <c r="J2764" s="229"/>
      <c r="K2764" s="229"/>
      <c r="L2764" s="229">
        <f>SUM(ventas_b_mes11[[#This Row],[IMPORTE NETO]:[EXENTO]])</f>
        <v>12650.509999999998</v>
      </c>
      <c r="M2764" s="55"/>
    </row>
    <row r="2765" spans="2:13" x14ac:dyDescent="0.3">
      <c r="B2765" s="223">
        <v>44858</v>
      </c>
      <c r="C2765" s="224">
        <v>6</v>
      </c>
      <c r="D2765" s="225">
        <v>10</v>
      </c>
      <c r="E2765" s="226">
        <v>43448</v>
      </c>
      <c r="F2765" s="227">
        <v>35416541</v>
      </c>
      <c r="G2765" s="1" t="s">
        <v>906</v>
      </c>
      <c r="H2765" s="60">
        <v>10129.75</v>
      </c>
      <c r="I2765" s="228">
        <v>2127.25</v>
      </c>
      <c r="J2765" s="229"/>
      <c r="K2765" s="229"/>
      <c r="L2765" s="229">
        <f>SUM(ventas_b_mes11[[#This Row],[IMPORTE NETO]:[EXENTO]])</f>
        <v>12257</v>
      </c>
      <c r="M2765" s="55"/>
    </row>
    <row r="2766" spans="2:13" x14ac:dyDescent="0.3">
      <c r="B2766" s="223">
        <v>44858</v>
      </c>
      <c r="C2766" s="224">
        <v>6</v>
      </c>
      <c r="D2766" s="225">
        <v>10</v>
      </c>
      <c r="E2766" s="226">
        <v>43449</v>
      </c>
      <c r="F2766" s="227">
        <v>30155329</v>
      </c>
      <c r="G2766" s="1" t="s">
        <v>922</v>
      </c>
      <c r="H2766" s="60">
        <v>22737.19</v>
      </c>
      <c r="I2766" s="228">
        <v>4774.8100000000004</v>
      </c>
      <c r="J2766" s="229"/>
      <c r="K2766" s="229"/>
      <c r="L2766" s="229">
        <f>SUM(ventas_b_mes11[[#This Row],[IMPORTE NETO]:[EXENTO]])</f>
        <v>27512</v>
      </c>
      <c r="M2766" s="55"/>
    </row>
    <row r="2767" spans="2:13" x14ac:dyDescent="0.3">
      <c r="B2767" s="223">
        <v>44858</v>
      </c>
      <c r="C2767" s="224">
        <v>6</v>
      </c>
      <c r="D2767" s="225">
        <v>10</v>
      </c>
      <c r="E2767" s="226">
        <v>43450</v>
      </c>
      <c r="F2767" s="227">
        <v>13799905</v>
      </c>
      <c r="G2767" s="1" t="s">
        <v>905</v>
      </c>
      <c r="H2767" s="60">
        <v>6055.37</v>
      </c>
      <c r="I2767" s="228">
        <v>1271.6300000000001</v>
      </c>
      <c r="J2767" s="229"/>
      <c r="K2767" s="229"/>
      <c r="L2767" s="229">
        <f>SUM(ventas_b_mes11[[#This Row],[IMPORTE NETO]:[EXENTO]])</f>
        <v>7327</v>
      </c>
      <c r="M2767" s="55"/>
    </row>
    <row r="2768" spans="2:13" x14ac:dyDescent="0.3">
      <c r="B2768" s="223">
        <v>44858</v>
      </c>
      <c r="C2768" s="224">
        <v>6</v>
      </c>
      <c r="D2768" s="225">
        <v>10</v>
      </c>
      <c r="E2768" s="226">
        <v>43451</v>
      </c>
      <c r="F2768" s="227">
        <v>20529816</v>
      </c>
      <c r="G2768" s="1" t="s">
        <v>939</v>
      </c>
      <c r="H2768" s="60">
        <v>5439.5</v>
      </c>
      <c r="I2768" s="228">
        <v>1142.29</v>
      </c>
      <c r="J2768" s="229"/>
      <c r="K2768" s="229"/>
      <c r="L2768" s="229">
        <f>SUM(ventas_b_mes11[[#This Row],[IMPORTE NETO]:[EXENTO]])</f>
        <v>6581.79</v>
      </c>
      <c r="M2768" s="55"/>
    </row>
    <row r="2769" spans="2:13" x14ac:dyDescent="0.3">
      <c r="B2769" s="223">
        <v>44858</v>
      </c>
      <c r="C2769" s="224">
        <v>6</v>
      </c>
      <c r="D2769" s="225">
        <v>10</v>
      </c>
      <c r="E2769" s="226">
        <v>43452</v>
      </c>
      <c r="F2769" s="227">
        <v>13799905</v>
      </c>
      <c r="G2769" s="1" t="s">
        <v>905</v>
      </c>
      <c r="H2769" s="60">
        <v>1652.89</v>
      </c>
      <c r="I2769" s="228">
        <v>347.11</v>
      </c>
      <c r="J2769" s="229"/>
      <c r="K2769" s="229"/>
      <c r="L2769" s="229">
        <f>SUM(ventas_b_mes11[[#This Row],[IMPORTE NETO]:[EXENTO]])</f>
        <v>2000</v>
      </c>
      <c r="M2769" s="55"/>
    </row>
    <row r="2770" spans="2:13" x14ac:dyDescent="0.3">
      <c r="B2770" s="223">
        <v>44858</v>
      </c>
      <c r="C2770" s="224">
        <v>6</v>
      </c>
      <c r="D2770" s="225">
        <v>10</v>
      </c>
      <c r="E2770" s="226">
        <v>43453</v>
      </c>
      <c r="F2770" s="227">
        <v>21587219</v>
      </c>
      <c r="G2770" s="1" t="s">
        <v>930</v>
      </c>
      <c r="H2770" s="60">
        <v>9652.07</v>
      </c>
      <c r="I2770" s="228">
        <v>2026.93</v>
      </c>
      <c r="J2770" s="229"/>
      <c r="K2770" s="229"/>
      <c r="L2770" s="229">
        <f>SUM(ventas_b_mes11[[#This Row],[IMPORTE NETO]:[EXENTO]])</f>
        <v>11679</v>
      </c>
      <c r="M2770" s="55"/>
    </row>
    <row r="2771" spans="2:13" x14ac:dyDescent="0.3">
      <c r="B2771" s="223">
        <v>44858</v>
      </c>
      <c r="C2771" s="224">
        <v>6</v>
      </c>
      <c r="D2771" s="225">
        <v>10</v>
      </c>
      <c r="E2771" s="226">
        <v>43454</v>
      </c>
      <c r="F2771" s="227">
        <v>5432246</v>
      </c>
      <c r="G2771" s="1" t="s">
        <v>946</v>
      </c>
      <c r="H2771" s="60">
        <v>3648.75</v>
      </c>
      <c r="I2771" s="228">
        <v>766.24</v>
      </c>
      <c r="J2771" s="229"/>
      <c r="K2771" s="229"/>
      <c r="L2771" s="229">
        <f>SUM(ventas_b_mes11[[#This Row],[IMPORTE NETO]:[EXENTO]])</f>
        <v>4414.99</v>
      </c>
      <c r="M2771" s="55"/>
    </row>
    <row r="2772" spans="2:13" x14ac:dyDescent="0.3">
      <c r="B2772" s="223">
        <v>44858</v>
      </c>
      <c r="C2772" s="224">
        <v>6</v>
      </c>
      <c r="D2772" s="225">
        <v>10</v>
      </c>
      <c r="E2772" s="226">
        <v>43455</v>
      </c>
      <c r="F2772" s="227">
        <v>6546546</v>
      </c>
      <c r="G2772" s="1" t="s">
        <v>940</v>
      </c>
      <c r="H2772" s="60">
        <v>8074.37</v>
      </c>
      <c r="I2772" s="228">
        <v>1695.62</v>
      </c>
      <c r="J2772" s="229"/>
      <c r="K2772" s="229"/>
      <c r="L2772" s="229">
        <f>SUM(ventas_b_mes11[[#This Row],[IMPORTE NETO]:[EXENTO]])</f>
        <v>9769.99</v>
      </c>
      <c r="M2772" s="55"/>
    </row>
    <row r="2773" spans="2:13" x14ac:dyDescent="0.3">
      <c r="B2773" s="223">
        <v>44858</v>
      </c>
      <c r="C2773" s="224">
        <v>6</v>
      </c>
      <c r="D2773" s="225">
        <v>10</v>
      </c>
      <c r="E2773" s="226">
        <v>43456</v>
      </c>
      <c r="F2773" s="227">
        <v>16277726</v>
      </c>
      <c r="G2773" s="1" t="s">
        <v>863</v>
      </c>
      <c r="H2773" s="60">
        <v>1088.8399999999999</v>
      </c>
      <c r="I2773" s="228">
        <v>228.66</v>
      </c>
      <c r="J2773" s="229"/>
      <c r="K2773" s="229"/>
      <c r="L2773" s="229">
        <f>SUM(ventas_b_mes11[[#This Row],[IMPORTE NETO]:[EXENTO]])</f>
        <v>1317.5</v>
      </c>
      <c r="M2773" s="55"/>
    </row>
    <row r="2774" spans="2:13" x14ac:dyDescent="0.3">
      <c r="B2774" s="223">
        <v>44858</v>
      </c>
      <c r="C2774" s="224">
        <v>6</v>
      </c>
      <c r="D2774" s="225">
        <v>10</v>
      </c>
      <c r="E2774" s="226">
        <v>43457</v>
      </c>
      <c r="F2774" s="227">
        <v>23560453</v>
      </c>
      <c r="G2774" s="1" t="s">
        <v>259</v>
      </c>
      <c r="H2774" s="60">
        <v>15208.67</v>
      </c>
      <c r="I2774" s="228">
        <v>3193.82</v>
      </c>
      <c r="J2774" s="229"/>
      <c r="K2774" s="229"/>
      <c r="L2774" s="229">
        <f>SUM(ventas_b_mes11[[#This Row],[IMPORTE NETO]:[EXENTO]])</f>
        <v>18402.490000000002</v>
      </c>
      <c r="M2774" s="55"/>
    </row>
    <row r="2775" spans="2:13" x14ac:dyDescent="0.3">
      <c r="B2775" s="223">
        <v>44858</v>
      </c>
      <c r="C2775" s="224">
        <v>6</v>
      </c>
      <c r="D2775" s="225">
        <v>10</v>
      </c>
      <c r="E2775" s="226">
        <v>43458</v>
      </c>
      <c r="F2775" s="227">
        <v>35969790</v>
      </c>
      <c r="G2775" s="1" t="s">
        <v>376</v>
      </c>
      <c r="H2775" s="60">
        <v>4545.45</v>
      </c>
      <c r="I2775" s="228">
        <v>954.55</v>
      </c>
      <c r="J2775" s="229"/>
      <c r="K2775" s="229"/>
      <c r="L2775" s="229">
        <f>SUM(ventas_b_mes11[[#This Row],[IMPORTE NETO]:[EXENTO]])</f>
        <v>5500</v>
      </c>
      <c r="M2775" s="55"/>
    </row>
    <row r="2776" spans="2:13" x14ac:dyDescent="0.3">
      <c r="B2776" s="223">
        <v>44858</v>
      </c>
      <c r="C2776" s="224">
        <v>6</v>
      </c>
      <c r="D2776" s="225">
        <v>10</v>
      </c>
      <c r="E2776" s="226">
        <v>43459</v>
      </c>
      <c r="F2776" s="227">
        <v>23336946174</v>
      </c>
      <c r="G2776" s="1"/>
      <c r="H2776" s="60">
        <v>48071.12</v>
      </c>
      <c r="I2776" s="228">
        <v>10094.94</v>
      </c>
      <c r="J2776" s="229"/>
      <c r="K2776" s="229"/>
      <c r="L2776" s="229">
        <f>SUM(ventas_b_mes11[[#This Row],[IMPORTE NETO]:[EXENTO]])</f>
        <v>58166.060000000005</v>
      </c>
      <c r="M2776" s="55"/>
    </row>
    <row r="2777" spans="2:13" x14ac:dyDescent="0.3">
      <c r="B2777" s="223">
        <v>44858</v>
      </c>
      <c r="C2777" s="224">
        <v>6</v>
      </c>
      <c r="D2777" s="225">
        <v>10</v>
      </c>
      <c r="E2777" s="226">
        <v>43460</v>
      </c>
      <c r="F2777" s="227">
        <v>23336946174</v>
      </c>
      <c r="G2777" s="1"/>
      <c r="H2777" s="60">
        <v>59658.77</v>
      </c>
      <c r="I2777" s="228">
        <v>12528.34</v>
      </c>
      <c r="J2777" s="229"/>
      <c r="K2777" s="229"/>
      <c r="L2777" s="229">
        <f>SUM(ventas_b_mes11[[#This Row],[IMPORTE NETO]:[EXENTO]])</f>
        <v>72187.11</v>
      </c>
      <c r="M2777" s="55"/>
    </row>
    <row r="2778" spans="2:13" x14ac:dyDescent="0.3">
      <c r="B2778" s="223">
        <v>44858</v>
      </c>
      <c r="C2778" s="224">
        <v>6</v>
      </c>
      <c r="D2778" s="225">
        <v>10</v>
      </c>
      <c r="E2778" s="226">
        <v>43461</v>
      </c>
      <c r="F2778" s="227">
        <v>27271107434</v>
      </c>
      <c r="G2778" s="1" t="s">
        <v>232</v>
      </c>
      <c r="H2778" s="60">
        <v>97175.34</v>
      </c>
      <c r="I2778" s="228">
        <v>20406.82</v>
      </c>
      <c r="J2778" s="229"/>
      <c r="K2778" s="229"/>
      <c r="L2778" s="229">
        <f>SUM(ventas_b_mes11[[#This Row],[IMPORTE NETO]:[EXENTO]])</f>
        <v>117582.16</v>
      </c>
      <c r="M2778" s="55"/>
    </row>
    <row r="2779" spans="2:13" x14ac:dyDescent="0.3">
      <c r="B2779" s="223">
        <v>44858</v>
      </c>
      <c r="C2779" s="224">
        <v>6</v>
      </c>
      <c r="D2779" s="225">
        <v>10</v>
      </c>
      <c r="E2779" s="226">
        <v>43462</v>
      </c>
      <c r="F2779" s="227">
        <v>24348286699</v>
      </c>
      <c r="G2779" s="1" t="s">
        <v>346</v>
      </c>
      <c r="H2779" s="60">
        <v>58287.519999999997</v>
      </c>
      <c r="I2779" s="228">
        <v>12240.38</v>
      </c>
      <c r="J2779" s="229"/>
      <c r="K2779" s="229"/>
      <c r="L2779" s="229">
        <f>SUM(ventas_b_mes11[[#This Row],[IMPORTE NETO]:[EXENTO]])</f>
        <v>70527.899999999994</v>
      </c>
      <c r="M2779" s="55"/>
    </row>
    <row r="2780" spans="2:13" x14ac:dyDescent="0.3">
      <c r="B2780" s="223">
        <v>44858</v>
      </c>
      <c r="C2780" s="224">
        <v>6</v>
      </c>
      <c r="D2780" s="225">
        <v>10</v>
      </c>
      <c r="E2780" s="226">
        <v>43463</v>
      </c>
      <c r="F2780" s="227">
        <v>2547886</v>
      </c>
      <c r="G2780" s="1"/>
      <c r="H2780" s="60">
        <v>4842.9799999999996</v>
      </c>
      <c r="I2780" s="228">
        <v>1017.02</v>
      </c>
      <c r="J2780" s="229"/>
      <c r="K2780" s="229"/>
      <c r="L2780" s="229">
        <f>SUM(ventas_b_mes11[[#This Row],[IMPORTE NETO]:[EXENTO]])</f>
        <v>5860</v>
      </c>
      <c r="M2780" s="55"/>
    </row>
    <row r="2781" spans="2:13" x14ac:dyDescent="0.3">
      <c r="B2781" s="223">
        <v>44858</v>
      </c>
      <c r="C2781" s="224">
        <v>6</v>
      </c>
      <c r="D2781" s="225">
        <v>10</v>
      </c>
      <c r="E2781" s="226">
        <v>43464</v>
      </c>
      <c r="F2781" s="227">
        <v>5903039</v>
      </c>
      <c r="G2781" s="1" t="s">
        <v>638</v>
      </c>
      <c r="H2781" s="60">
        <v>4269.42</v>
      </c>
      <c r="I2781" s="228">
        <v>896.58</v>
      </c>
      <c r="J2781" s="229"/>
      <c r="K2781" s="229"/>
      <c r="L2781" s="229">
        <f>SUM(ventas_b_mes11[[#This Row],[IMPORTE NETO]:[EXENTO]])</f>
        <v>5166</v>
      </c>
      <c r="M2781" s="55"/>
    </row>
    <row r="2782" spans="2:13" x14ac:dyDescent="0.3">
      <c r="B2782" s="223">
        <v>44858</v>
      </c>
      <c r="C2782" s="224">
        <v>6</v>
      </c>
      <c r="D2782" s="225">
        <v>10</v>
      </c>
      <c r="E2782" s="226">
        <v>43465</v>
      </c>
      <c r="F2782" s="227">
        <v>16950810</v>
      </c>
      <c r="G2782" s="1" t="s">
        <v>248</v>
      </c>
      <c r="H2782" s="60">
        <v>3280.99</v>
      </c>
      <c r="I2782" s="228">
        <v>689.01</v>
      </c>
      <c r="J2782" s="229"/>
      <c r="K2782" s="229"/>
      <c r="L2782" s="229">
        <f>SUM(ventas_b_mes11[[#This Row],[IMPORTE NETO]:[EXENTO]])</f>
        <v>3970</v>
      </c>
      <c r="M2782" s="55"/>
    </row>
    <row r="2783" spans="2:13" x14ac:dyDescent="0.3">
      <c r="B2783" s="223">
        <v>44858</v>
      </c>
      <c r="C2783" s="224">
        <v>6</v>
      </c>
      <c r="D2783" s="225">
        <v>10</v>
      </c>
      <c r="E2783" s="226">
        <v>43466</v>
      </c>
      <c r="F2783" s="227">
        <v>265478185</v>
      </c>
      <c r="G2783" s="1"/>
      <c r="H2783" s="60">
        <v>10909.09</v>
      </c>
      <c r="I2783" s="228">
        <v>2290.91</v>
      </c>
      <c r="J2783" s="229"/>
      <c r="K2783" s="229"/>
      <c r="L2783" s="229">
        <f>SUM(ventas_b_mes11[[#This Row],[IMPORTE NETO]:[EXENTO]])</f>
        <v>13200</v>
      </c>
      <c r="M2783" s="55"/>
    </row>
    <row r="2784" spans="2:13" x14ac:dyDescent="0.3">
      <c r="B2784" s="223">
        <v>44858</v>
      </c>
      <c r="C2784" s="224">
        <v>6</v>
      </c>
      <c r="D2784" s="225">
        <v>10</v>
      </c>
      <c r="E2784" s="226">
        <v>43467</v>
      </c>
      <c r="F2784" s="227">
        <v>21432743</v>
      </c>
      <c r="G2784" s="1" t="s">
        <v>924</v>
      </c>
      <c r="H2784" s="60">
        <v>2066.12</v>
      </c>
      <c r="I2784" s="228">
        <v>433.88</v>
      </c>
      <c r="J2784" s="229"/>
      <c r="K2784" s="229"/>
      <c r="L2784" s="229">
        <f>SUM(ventas_b_mes11[[#This Row],[IMPORTE NETO]:[EXENTO]])</f>
        <v>2500</v>
      </c>
      <c r="M2784" s="55"/>
    </row>
    <row r="2785" spans="2:13" x14ac:dyDescent="0.3">
      <c r="B2785" s="223">
        <v>44858</v>
      </c>
      <c r="C2785" s="224">
        <v>6</v>
      </c>
      <c r="D2785" s="225">
        <v>10</v>
      </c>
      <c r="E2785" s="226">
        <v>43468</v>
      </c>
      <c r="F2785" s="227">
        <v>1357175</v>
      </c>
      <c r="G2785" s="1" t="s">
        <v>928</v>
      </c>
      <c r="H2785" s="60">
        <v>2066.12</v>
      </c>
      <c r="I2785" s="228">
        <v>433.88</v>
      </c>
      <c r="J2785" s="229"/>
      <c r="K2785" s="229"/>
      <c r="L2785" s="229">
        <f>SUM(ventas_b_mes11[[#This Row],[IMPORTE NETO]:[EXENTO]])</f>
        <v>2500</v>
      </c>
      <c r="M2785" s="55"/>
    </row>
    <row r="2786" spans="2:13" x14ac:dyDescent="0.3">
      <c r="B2786" s="223">
        <v>44858</v>
      </c>
      <c r="C2786" s="224">
        <v>6</v>
      </c>
      <c r="D2786" s="225">
        <v>10</v>
      </c>
      <c r="E2786" s="226">
        <v>43469</v>
      </c>
      <c r="F2786" s="227">
        <v>0</v>
      </c>
      <c r="G2786" s="1"/>
      <c r="H2786" s="60">
        <v>1652.89</v>
      </c>
      <c r="I2786" s="228">
        <v>347.11</v>
      </c>
      <c r="J2786" s="229"/>
      <c r="K2786" s="229"/>
      <c r="L2786" s="229">
        <f>SUM(ventas_b_mes11[[#This Row],[IMPORTE NETO]:[EXENTO]])</f>
        <v>2000</v>
      </c>
      <c r="M2786" s="55"/>
    </row>
    <row r="2787" spans="2:13" x14ac:dyDescent="0.3">
      <c r="B2787" s="223">
        <v>44858</v>
      </c>
      <c r="C2787" s="224">
        <v>6</v>
      </c>
      <c r="D2787" s="225">
        <v>10</v>
      </c>
      <c r="E2787" s="226">
        <v>43470</v>
      </c>
      <c r="F2787" s="227">
        <v>22990791</v>
      </c>
      <c r="G2787" s="1" t="s">
        <v>744</v>
      </c>
      <c r="H2787" s="60">
        <v>8514.0499999999993</v>
      </c>
      <c r="I2787" s="228">
        <v>1787.95</v>
      </c>
      <c r="J2787" s="229"/>
      <c r="K2787" s="229"/>
      <c r="L2787" s="229">
        <f>SUM(ventas_b_mes11[[#This Row],[IMPORTE NETO]:[EXENTO]])</f>
        <v>10302</v>
      </c>
      <c r="M2787" s="55"/>
    </row>
    <row r="2788" spans="2:13" x14ac:dyDescent="0.3">
      <c r="B2788" s="223">
        <v>44858</v>
      </c>
      <c r="C2788" s="224">
        <v>6</v>
      </c>
      <c r="D2788" s="225">
        <v>10</v>
      </c>
      <c r="E2788" s="226">
        <v>43471</v>
      </c>
      <c r="F2788" s="227">
        <v>12932076</v>
      </c>
      <c r="G2788" s="1" t="s">
        <v>582</v>
      </c>
      <c r="H2788" s="60">
        <v>3195.87</v>
      </c>
      <c r="I2788" s="228">
        <v>671.13</v>
      </c>
      <c r="J2788" s="229"/>
      <c r="K2788" s="229"/>
      <c r="L2788" s="229">
        <f>SUM(ventas_b_mes11[[#This Row],[IMPORTE NETO]:[EXENTO]])</f>
        <v>3867</v>
      </c>
      <c r="M2788" s="55"/>
    </row>
    <row r="2789" spans="2:13" x14ac:dyDescent="0.3">
      <c r="B2789" s="223">
        <v>44858</v>
      </c>
      <c r="C2789" s="224">
        <v>6</v>
      </c>
      <c r="D2789" s="225">
        <v>10</v>
      </c>
      <c r="E2789" s="226">
        <v>43472</v>
      </c>
      <c r="F2789" s="227">
        <v>12932076</v>
      </c>
      <c r="G2789" s="1" t="s">
        <v>582</v>
      </c>
      <c r="H2789" s="60">
        <v>3111.57</v>
      </c>
      <c r="I2789" s="228">
        <v>653.42999999999995</v>
      </c>
      <c r="J2789" s="229"/>
      <c r="K2789" s="229"/>
      <c r="L2789" s="229">
        <f>SUM(ventas_b_mes11[[#This Row],[IMPORTE NETO]:[EXENTO]])</f>
        <v>3765</v>
      </c>
      <c r="M2789" s="55"/>
    </row>
    <row r="2790" spans="2:13" x14ac:dyDescent="0.3">
      <c r="B2790" s="223">
        <v>44858</v>
      </c>
      <c r="C2790" s="224">
        <v>6</v>
      </c>
      <c r="D2790" s="225">
        <v>10</v>
      </c>
      <c r="E2790" s="226">
        <v>43473</v>
      </c>
      <c r="F2790" s="227">
        <v>95938560</v>
      </c>
      <c r="G2790" s="1" t="s">
        <v>171</v>
      </c>
      <c r="H2790" s="60">
        <v>2276.86</v>
      </c>
      <c r="I2790" s="228">
        <v>478.14</v>
      </c>
      <c r="J2790" s="229"/>
      <c r="K2790" s="229"/>
      <c r="L2790" s="229">
        <f>SUM(ventas_b_mes11[[#This Row],[IMPORTE NETO]:[EXENTO]])</f>
        <v>2755</v>
      </c>
      <c r="M2790" s="55"/>
    </row>
    <row r="2791" spans="2:13" x14ac:dyDescent="0.3">
      <c r="B2791" s="223">
        <v>44858</v>
      </c>
      <c r="C2791" s="224">
        <v>6</v>
      </c>
      <c r="D2791" s="225">
        <v>10</v>
      </c>
      <c r="E2791" s="226">
        <v>43474</v>
      </c>
      <c r="F2791" s="227">
        <v>35272348</v>
      </c>
      <c r="G2791" s="1" t="s">
        <v>911</v>
      </c>
      <c r="H2791" s="60">
        <v>4958.68</v>
      </c>
      <c r="I2791" s="228">
        <v>1041.32</v>
      </c>
      <c r="J2791" s="229"/>
      <c r="K2791" s="229"/>
      <c r="L2791" s="229">
        <f>SUM(ventas_b_mes11[[#This Row],[IMPORTE NETO]:[EXENTO]])</f>
        <v>6000</v>
      </c>
      <c r="M2791" s="55"/>
    </row>
    <row r="2792" spans="2:13" x14ac:dyDescent="0.3">
      <c r="B2792" s="223">
        <v>44858</v>
      </c>
      <c r="C2792" s="224">
        <v>6</v>
      </c>
      <c r="D2792" s="225">
        <v>10</v>
      </c>
      <c r="E2792" s="226">
        <v>43475</v>
      </c>
      <c r="F2792" s="227">
        <v>28299794</v>
      </c>
      <c r="G2792" s="1" t="s">
        <v>927</v>
      </c>
      <c r="H2792" s="60">
        <v>4545.45</v>
      </c>
      <c r="I2792" s="228">
        <v>954.55</v>
      </c>
      <c r="J2792" s="229"/>
      <c r="K2792" s="229"/>
      <c r="L2792" s="229">
        <f>SUM(ventas_b_mes11[[#This Row],[IMPORTE NETO]:[EXENTO]])</f>
        <v>5500</v>
      </c>
      <c r="M2792" s="55"/>
    </row>
    <row r="2793" spans="2:13" x14ac:dyDescent="0.3">
      <c r="B2793" s="223">
        <v>44858</v>
      </c>
      <c r="C2793" s="224">
        <v>6</v>
      </c>
      <c r="D2793" s="225">
        <v>10</v>
      </c>
      <c r="E2793" s="226">
        <v>43476</v>
      </c>
      <c r="F2793" s="227">
        <v>96126657</v>
      </c>
      <c r="G2793" s="1" t="s">
        <v>921</v>
      </c>
      <c r="H2793" s="60">
        <v>1227.27</v>
      </c>
      <c r="I2793" s="228">
        <v>257.73</v>
      </c>
      <c r="J2793" s="229"/>
      <c r="K2793" s="229"/>
      <c r="L2793" s="229">
        <f>SUM(ventas_b_mes11[[#This Row],[IMPORTE NETO]:[EXENTO]])</f>
        <v>1485</v>
      </c>
      <c r="M2793" s="55"/>
    </row>
    <row r="2794" spans="2:13" x14ac:dyDescent="0.3">
      <c r="B2794" s="223">
        <v>44858</v>
      </c>
      <c r="C2794" s="224">
        <v>6</v>
      </c>
      <c r="D2794" s="225">
        <v>10</v>
      </c>
      <c r="E2794" s="226">
        <v>43477</v>
      </c>
      <c r="F2794" s="227">
        <v>28299794</v>
      </c>
      <c r="G2794" s="1" t="s">
        <v>927</v>
      </c>
      <c r="H2794" s="60">
        <v>3336.78</v>
      </c>
      <c r="I2794" s="228">
        <v>700.72</v>
      </c>
      <c r="J2794" s="229"/>
      <c r="K2794" s="229"/>
      <c r="L2794" s="229">
        <f>SUM(ventas_b_mes11[[#This Row],[IMPORTE NETO]:[EXENTO]])</f>
        <v>4037.5</v>
      </c>
      <c r="M2794" s="55"/>
    </row>
    <row r="2795" spans="2:13" x14ac:dyDescent="0.3">
      <c r="B2795" s="223">
        <v>44858</v>
      </c>
      <c r="C2795" s="224">
        <v>6</v>
      </c>
      <c r="D2795" s="225">
        <v>10</v>
      </c>
      <c r="E2795" s="226">
        <v>43478</v>
      </c>
      <c r="F2795" s="227">
        <v>1254873</v>
      </c>
      <c r="G2795" s="1"/>
      <c r="H2795" s="60">
        <v>3933.88</v>
      </c>
      <c r="I2795" s="228">
        <v>826.12</v>
      </c>
      <c r="J2795" s="229"/>
      <c r="K2795" s="229"/>
      <c r="L2795" s="229">
        <f>SUM(ventas_b_mes11[[#This Row],[IMPORTE NETO]:[EXENTO]])</f>
        <v>4760</v>
      </c>
      <c r="M2795" s="55"/>
    </row>
    <row r="2796" spans="2:13" x14ac:dyDescent="0.3">
      <c r="B2796" s="223">
        <v>44858</v>
      </c>
      <c r="C2796" s="224">
        <v>6</v>
      </c>
      <c r="D2796" s="225">
        <v>10</v>
      </c>
      <c r="E2796" s="226">
        <v>43479</v>
      </c>
      <c r="F2796" s="227">
        <v>1254873</v>
      </c>
      <c r="G2796" s="1"/>
      <c r="H2796" s="60">
        <v>611.57000000000005</v>
      </c>
      <c r="I2796" s="228">
        <v>128.43</v>
      </c>
      <c r="J2796" s="229"/>
      <c r="K2796" s="229"/>
      <c r="L2796" s="229">
        <f>SUM(ventas_b_mes11[[#This Row],[IMPORTE NETO]:[EXENTO]])</f>
        <v>740</v>
      </c>
      <c r="M2796" s="55"/>
    </row>
    <row r="2797" spans="2:13" x14ac:dyDescent="0.3">
      <c r="B2797" s="223">
        <v>44858</v>
      </c>
      <c r="C2797" s="224">
        <v>6</v>
      </c>
      <c r="D2797" s="225">
        <v>10</v>
      </c>
      <c r="E2797" s="226">
        <v>43480</v>
      </c>
      <c r="F2797" s="227">
        <v>21587219</v>
      </c>
      <c r="G2797" s="1" t="s">
        <v>930</v>
      </c>
      <c r="H2797" s="60">
        <v>5295.87</v>
      </c>
      <c r="I2797" s="228">
        <v>1112.1300000000001</v>
      </c>
      <c r="J2797" s="229"/>
      <c r="K2797" s="229"/>
      <c r="L2797" s="229">
        <f>SUM(ventas_b_mes11[[#This Row],[IMPORTE NETO]:[EXENTO]])</f>
        <v>6408</v>
      </c>
      <c r="M2797" s="55"/>
    </row>
    <row r="2798" spans="2:13" x14ac:dyDescent="0.3">
      <c r="B2798" s="223">
        <v>44858</v>
      </c>
      <c r="C2798" s="224">
        <v>6</v>
      </c>
      <c r="D2798" s="225">
        <v>10</v>
      </c>
      <c r="E2798" s="226">
        <v>43481</v>
      </c>
      <c r="F2798" s="227">
        <v>21587219</v>
      </c>
      <c r="G2798" s="1" t="s">
        <v>930</v>
      </c>
      <c r="H2798" s="60">
        <v>4039.26</v>
      </c>
      <c r="I2798" s="228">
        <v>848.24</v>
      </c>
      <c r="J2798" s="229"/>
      <c r="K2798" s="229"/>
      <c r="L2798" s="229">
        <f>SUM(ventas_b_mes11[[#This Row],[IMPORTE NETO]:[EXENTO]])</f>
        <v>4887.5</v>
      </c>
      <c r="M2798" s="55"/>
    </row>
    <row r="2799" spans="2:13" x14ac:dyDescent="0.3">
      <c r="B2799" s="223">
        <v>44858</v>
      </c>
      <c r="C2799" s="224">
        <v>6</v>
      </c>
      <c r="D2799" s="225">
        <v>10</v>
      </c>
      <c r="E2799" s="226">
        <v>43482</v>
      </c>
      <c r="F2799" s="227">
        <v>17352391</v>
      </c>
      <c r="G2799" s="1" t="s">
        <v>761</v>
      </c>
      <c r="H2799" s="60">
        <v>3966.94</v>
      </c>
      <c r="I2799" s="228">
        <v>833.06</v>
      </c>
      <c r="J2799" s="229"/>
      <c r="K2799" s="229"/>
      <c r="L2799" s="229">
        <f>SUM(ventas_b_mes11[[#This Row],[IMPORTE NETO]:[EXENTO]])</f>
        <v>4800</v>
      </c>
      <c r="M2799" s="55"/>
    </row>
    <row r="2800" spans="2:13" x14ac:dyDescent="0.3">
      <c r="B2800" s="223">
        <v>44858</v>
      </c>
      <c r="C2800" s="224">
        <v>6</v>
      </c>
      <c r="D2800" s="225">
        <v>10</v>
      </c>
      <c r="E2800" s="226">
        <v>43483</v>
      </c>
      <c r="F2800" s="227">
        <v>41395509</v>
      </c>
      <c r="G2800" s="1" t="s">
        <v>916</v>
      </c>
      <c r="H2800" s="60">
        <v>6966.94</v>
      </c>
      <c r="I2800" s="228">
        <v>1463.06</v>
      </c>
      <c r="J2800" s="229"/>
      <c r="K2800" s="229"/>
      <c r="L2800" s="229">
        <f>SUM(ventas_b_mes11[[#This Row],[IMPORTE NETO]:[EXENTO]])</f>
        <v>8430</v>
      </c>
      <c r="M2800" s="55"/>
    </row>
    <row r="2801" spans="2:13" x14ac:dyDescent="0.3">
      <c r="B2801" s="223">
        <v>44858</v>
      </c>
      <c r="C2801" s="224">
        <v>6</v>
      </c>
      <c r="D2801" s="225">
        <v>10</v>
      </c>
      <c r="E2801" s="226">
        <v>43484</v>
      </c>
      <c r="F2801" s="227">
        <v>21848517</v>
      </c>
      <c r="G2801" s="1" t="s">
        <v>915</v>
      </c>
      <c r="H2801" s="60">
        <v>2776.86</v>
      </c>
      <c r="I2801" s="228">
        <v>583.14</v>
      </c>
      <c r="J2801" s="229"/>
      <c r="K2801" s="229"/>
      <c r="L2801" s="229">
        <f>SUM(ventas_b_mes11[[#This Row],[IMPORTE NETO]:[EXENTO]])</f>
        <v>3360</v>
      </c>
      <c r="M2801" s="55"/>
    </row>
    <row r="2802" spans="2:13" x14ac:dyDescent="0.3">
      <c r="B2802" s="223">
        <v>44859</v>
      </c>
      <c r="C2802" s="224">
        <v>6</v>
      </c>
      <c r="D2802" s="225">
        <v>10</v>
      </c>
      <c r="E2802" s="226">
        <v>43485</v>
      </c>
      <c r="F2802" s="227">
        <v>38625937</v>
      </c>
      <c r="G2802" s="1" t="s">
        <v>144</v>
      </c>
      <c r="H2802" s="60">
        <v>4545.45</v>
      </c>
      <c r="I2802" s="228">
        <v>954.55</v>
      </c>
      <c r="J2802" s="229"/>
      <c r="K2802" s="229"/>
      <c r="L2802" s="229">
        <f>SUM(ventas_b_mes11[[#This Row],[IMPORTE NETO]:[EXENTO]])</f>
        <v>5500</v>
      </c>
      <c r="M2802" s="55"/>
    </row>
    <row r="2803" spans="2:13" x14ac:dyDescent="0.3">
      <c r="B2803" s="223">
        <v>44859</v>
      </c>
      <c r="C2803" s="224">
        <v>6</v>
      </c>
      <c r="D2803" s="225">
        <v>10</v>
      </c>
      <c r="E2803" s="226">
        <v>43486</v>
      </c>
      <c r="F2803" s="227">
        <v>14289684</v>
      </c>
      <c r="G2803" s="1" t="s">
        <v>950</v>
      </c>
      <c r="H2803" s="60">
        <v>5725.21</v>
      </c>
      <c r="I2803" s="228">
        <v>1202.29</v>
      </c>
      <c r="J2803" s="229"/>
      <c r="K2803" s="229"/>
      <c r="L2803" s="229">
        <f>SUM(ventas_b_mes11[[#This Row],[IMPORTE NETO]:[EXENTO]])</f>
        <v>6927.5</v>
      </c>
      <c r="M2803" s="55"/>
    </row>
    <row r="2804" spans="2:13" x14ac:dyDescent="0.3">
      <c r="B2804" s="223">
        <v>44859</v>
      </c>
      <c r="C2804" s="224">
        <v>6</v>
      </c>
      <c r="D2804" s="225">
        <v>10</v>
      </c>
      <c r="E2804" s="226">
        <v>43487</v>
      </c>
      <c r="F2804" s="227">
        <v>92654748</v>
      </c>
      <c r="G2804" s="1" t="s">
        <v>138</v>
      </c>
      <c r="H2804" s="60">
        <v>11127.27</v>
      </c>
      <c r="I2804" s="228">
        <v>2336.73</v>
      </c>
      <c r="J2804" s="229"/>
      <c r="K2804" s="229"/>
      <c r="L2804" s="229">
        <f>SUM(ventas_b_mes11[[#This Row],[IMPORTE NETO]:[EXENTO]])</f>
        <v>13464</v>
      </c>
      <c r="M2804" s="55"/>
    </row>
    <row r="2805" spans="2:13" x14ac:dyDescent="0.3">
      <c r="B2805" s="223">
        <v>44859</v>
      </c>
      <c r="C2805" s="224">
        <v>6</v>
      </c>
      <c r="D2805" s="225">
        <v>10</v>
      </c>
      <c r="E2805" s="226">
        <v>43488</v>
      </c>
      <c r="F2805" s="227">
        <v>34672826</v>
      </c>
      <c r="G2805" s="1" t="s">
        <v>968</v>
      </c>
      <c r="H2805" s="60">
        <v>11551.66</v>
      </c>
      <c r="I2805" s="228">
        <v>2425.85</v>
      </c>
      <c r="J2805" s="229"/>
      <c r="K2805" s="229"/>
      <c r="L2805" s="229">
        <f>SUM(ventas_b_mes11[[#This Row],[IMPORTE NETO]:[EXENTO]])</f>
        <v>13977.51</v>
      </c>
      <c r="M2805" s="55"/>
    </row>
    <row r="2806" spans="2:13" x14ac:dyDescent="0.3">
      <c r="B2806" s="223">
        <v>44859</v>
      </c>
      <c r="C2806" s="224">
        <v>6</v>
      </c>
      <c r="D2806" s="225">
        <v>10</v>
      </c>
      <c r="E2806" s="226">
        <v>43489</v>
      </c>
      <c r="F2806" s="227">
        <v>5485</v>
      </c>
      <c r="G2806" s="1"/>
      <c r="H2806" s="60">
        <v>6476.86</v>
      </c>
      <c r="I2806" s="228">
        <v>1360.14</v>
      </c>
      <c r="J2806" s="229"/>
      <c r="K2806" s="229"/>
      <c r="L2806" s="229">
        <f>SUM(ventas_b_mes11[[#This Row],[IMPORTE NETO]:[EXENTO]])</f>
        <v>7837</v>
      </c>
      <c r="M2806" s="55"/>
    </row>
    <row r="2807" spans="2:13" x14ac:dyDescent="0.3">
      <c r="B2807" s="223">
        <v>44859</v>
      </c>
      <c r="C2807" s="224">
        <v>6</v>
      </c>
      <c r="D2807" s="225">
        <v>10</v>
      </c>
      <c r="E2807" s="226">
        <v>43490</v>
      </c>
      <c r="F2807" s="227">
        <v>365788412</v>
      </c>
      <c r="G2807" s="1"/>
      <c r="H2807" s="60">
        <v>15911.16</v>
      </c>
      <c r="I2807" s="228">
        <v>3341.34</v>
      </c>
      <c r="J2807" s="229"/>
      <c r="K2807" s="229"/>
      <c r="L2807" s="229">
        <f>SUM(ventas_b_mes11[[#This Row],[IMPORTE NETO]:[EXENTO]])</f>
        <v>19252.5</v>
      </c>
      <c r="M2807" s="55"/>
    </row>
    <row r="2808" spans="2:13" x14ac:dyDescent="0.3">
      <c r="B2808" s="223">
        <v>44859</v>
      </c>
      <c r="C2808" s="224">
        <v>6</v>
      </c>
      <c r="D2808" s="225">
        <v>10</v>
      </c>
      <c r="E2808" s="226">
        <v>43491</v>
      </c>
      <c r="F2808" s="227">
        <v>203612644</v>
      </c>
      <c r="G2808" s="1"/>
      <c r="H2808" s="60">
        <v>10929.75</v>
      </c>
      <c r="I2808" s="228">
        <v>2295.25</v>
      </c>
      <c r="J2808" s="229"/>
      <c r="K2808" s="229"/>
      <c r="L2808" s="229">
        <f>SUM(ventas_b_mes11[[#This Row],[IMPORTE NETO]:[EXENTO]])</f>
        <v>13225</v>
      </c>
      <c r="M2808" s="55"/>
    </row>
    <row r="2809" spans="2:13" x14ac:dyDescent="0.3">
      <c r="B2809" s="223">
        <v>44859</v>
      </c>
      <c r="C2809" s="224">
        <v>6</v>
      </c>
      <c r="D2809" s="225">
        <v>10</v>
      </c>
      <c r="E2809" s="226">
        <v>43492</v>
      </c>
      <c r="F2809" s="227">
        <v>65451</v>
      </c>
      <c r="G2809" s="1"/>
      <c r="H2809" s="60">
        <v>5282.64</v>
      </c>
      <c r="I2809" s="228">
        <v>1109.3599999999999</v>
      </c>
      <c r="J2809" s="229"/>
      <c r="K2809" s="229"/>
      <c r="L2809" s="229">
        <f>SUM(ventas_b_mes11[[#This Row],[IMPORTE NETO]:[EXENTO]])</f>
        <v>6392</v>
      </c>
      <c r="M2809" s="55"/>
    </row>
    <row r="2810" spans="2:13" x14ac:dyDescent="0.3">
      <c r="B2810" s="223">
        <v>44859</v>
      </c>
      <c r="C2810" s="224">
        <v>6</v>
      </c>
      <c r="D2810" s="225">
        <v>10</v>
      </c>
      <c r="E2810" s="226">
        <v>43493</v>
      </c>
      <c r="F2810" s="227">
        <v>21432743</v>
      </c>
      <c r="G2810" s="1" t="s">
        <v>924</v>
      </c>
      <c r="H2810" s="60">
        <v>4636.37</v>
      </c>
      <c r="I2810" s="228">
        <v>973.64</v>
      </c>
      <c r="J2810" s="229"/>
      <c r="K2810" s="229"/>
      <c r="L2810" s="229">
        <f>SUM(ventas_b_mes11[[#This Row],[IMPORTE NETO]:[EXENTO]])</f>
        <v>5610.01</v>
      </c>
      <c r="M2810" s="55"/>
    </row>
    <row r="2811" spans="2:13" x14ac:dyDescent="0.3">
      <c r="B2811" s="223">
        <v>44859</v>
      </c>
      <c r="C2811" s="224">
        <v>6</v>
      </c>
      <c r="D2811" s="225">
        <v>10</v>
      </c>
      <c r="E2811" s="226">
        <v>43494</v>
      </c>
      <c r="F2811" s="227">
        <v>215478631</v>
      </c>
      <c r="G2811" s="1"/>
      <c r="H2811" s="60">
        <v>8176.86</v>
      </c>
      <c r="I2811" s="228">
        <v>1717.14</v>
      </c>
      <c r="J2811" s="229"/>
      <c r="K2811" s="229"/>
      <c r="L2811" s="229">
        <f>SUM(ventas_b_mes11[[#This Row],[IMPORTE NETO]:[EXENTO]])</f>
        <v>9894</v>
      </c>
      <c r="M2811" s="55"/>
    </row>
    <row r="2812" spans="2:13" x14ac:dyDescent="0.3">
      <c r="B2812" s="223">
        <v>44859</v>
      </c>
      <c r="C2812" s="224">
        <v>6</v>
      </c>
      <c r="D2812" s="225">
        <v>10</v>
      </c>
      <c r="E2812" s="226">
        <v>43495</v>
      </c>
      <c r="F2812" s="227">
        <v>1514546658</v>
      </c>
      <c r="G2812" s="1"/>
      <c r="H2812" s="60">
        <v>16206.2</v>
      </c>
      <c r="I2812" s="228">
        <v>3403.3</v>
      </c>
      <c r="J2812" s="229"/>
      <c r="K2812" s="229"/>
      <c r="L2812" s="229">
        <f>SUM(ventas_b_mes11[[#This Row],[IMPORTE NETO]:[EXENTO]])</f>
        <v>19609.5</v>
      </c>
      <c r="M2812" s="55"/>
    </row>
    <row r="2813" spans="2:13" x14ac:dyDescent="0.3">
      <c r="B2813" s="223">
        <v>44859</v>
      </c>
      <c r="C2813" s="224">
        <v>6</v>
      </c>
      <c r="D2813" s="225">
        <v>10</v>
      </c>
      <c r="E2813" s="226">
        <v>43496</v>
      </c>
      <c r="F2813" s="227">
        <v>1514546658</v>
      </c>
      <c r="G2813" s="1"/>
      <c r="H2813" s="60">
        <v>16206.2</v>
      </c>
      <c r="I2813" s="228">
        <v>3403.3</v>
      </c>
      <c r="J2813" s="229"/>
      <c r="K2813" s="229"/>
      <c r="L2813" s="229">
        <f>SUM(ventas_b_mes11[[#This Row],[IMPORTE NETO]:[EXENTO]])</f>
        <v>19609.5</v>
      </c>
      <c r="M2813" s="55"/>
    </row>
    <row r="2814" spans="2:13" x14ac:dyDescent="0.3">
      <c r="B2814" s="223">
        <v>44859</v>
      </c>
      <c r="C2814" s="224">
        <v>6</v>
      </c>
      <c r="D2814" s="225">
        <v>10</v>
      </c>
      <c r="E2814" s="226">
        <v>43497</v>
      </c>
      <c r="F2814" s="227">
        <v>23133591494</v>
      </c>
      <c r="G2814" s="1" t="s">
        <v>954</v>
      </c>
      <c r="H2814" s="60">
        <v>3495.87</v>
      </c>
      <c r="I2814" s="228">
        <v>734.13</v>
      </c>
      <c r="J2814" s="229"/>
      <c r="K2814" s="229"/>
      <c r="L2814" s="229">
        <f>SUM(ventas_b_mes11[[#This Row],[IMPORTE NETO]:[EXENTO]])</f>
        <v>4230</v>
      </c>
      <c r="M2814" s="55"/>
    </row>
    <row r="2815" spans="2:13" x14ac:dyDescent="0.3">
      <c r="B2815" s="223">
        <v>44859</v>
      </c>
      <c r="C2815" s="224">
        <v>6</v>
      </c>
      <c r="D2815" s="225">
        <v>10</v>
      </c>
      <c r="E2815" s="226">
        <v>43498</v>
      </c>
      <c r="F2815" s="227">
        <v>32704068</v>
      </c>
      <c r="G2815" s="1" t="s">
        <v>875</v>
      </c>
      <c r="H2815" s="60">
        <v>6315.29</v>
      </c>
      <c r="I2815" s="228">
        <v>1326.21</v>
      </c>
      <c r="J2815" s="229"/>
      <c r="K2815" s="229"/>
      <c r="L2815" s="229">
        <f>SUM(ventas_b_mes11[[#This Row],[IMPORTE NETO]:[EXENTO]])</f>
        <v>7641.5</v>
      </c>
      <c r="M2815" s="55"/>
    </row>
    <row r="2816" spans="2:13" x14ac:dyDescent="0.3">
      <c r="B2816" s="223">
        <v>44859</v>
      </c>
      <c r="C2816" s="224">
        <v>6</v>
      </c>
      <c r="D2816" s="225">
        <v>10</v>
      </c>
      <c r="E2816" s="226">
        <v>43499</v>
      </c>
      <c r="F2816" s="227">
        <v>0</v>
      </c>
      <c r="G2816" s="1"/>
      <c r="H2816" s="60">
        <v>3235.54</v>
      </c>
      <c r="I2816" s="228">
        <v>679.46</v>
      </c>
      <c r="J2816" s="229"/>
      <c r="K2816" s="229"/>
      <c r="L2816" s="229">
        <f>SUM(ventas_b_mes11[[#This Row],[IMPORTE NETO]:[EXENTO]])</f>
        <v>3915</v>
      </c>
      <c r="M2816" s="55"/>
    </row>
    <row r="2817" spans="2:13" x14ac:dyDescent="0.3">
      <c r="B2817" s="223">
        <v>44859</v>
      </c>
      <c r="C2817" s="224">
        <v>6</v>
      </c>
      <c r="D2817" s="225">
        <v>10</v>
      </c>
      <c r="E2817" s="226">
        <v>43500</v>
      </c>
      <c r="F2817" s="227">
        <v>44787776</v>
      </c>
      <c r="G2817" s="1" t="s">
        <v>449</v>
      </c>
      <c r="H2817" s="60">
        <v>3266.54</v>
      </c>
      <c r="I2817" s="228">
        <v>685.97</v>
      </c>
      <c r="J2817" s="229"/>
      <c r="K2817" s="229"/>
      <c r="L2817" s="229">
        <f>SUM(ventas_b_mes11[[#This Row],[IMPORTE NETO]:[EXENTO]])</f>
        <v>3952.51</v>
      </c>
      <c r="M2817" s="55"/>
    </row>
    <row r="2818" spans="2:13" x14ac:dyDescent="0.3">
      <c r="B2818" s="223">
        <v>44859</v>
      </c>
      <c r="C2818" s="224">
        <v>6</v>
      </c>
      <c r="D2818" s="225">
        <v>10</v>
      </c>
      <c r="E2818" s="226">
        <v>43501</v>
      </c>
      <c r="F2818" s="227">
        <v>27602253</v>
      </c>
      <c r="G2818" s="1" t="s">
        <v>207</v>
      </c>
      <c r="H2818" s="60">
        <v>4320.25</v>
      </c>
      <c r="I2818" s="228">
        <v>907.25</v>
      </c>
      <c r="J2818" s="229"/>
      <c r="K2818" s="229"/>
      <c r="L2818" s="229">
        <f>SUM(ventas_b_mes11[[#This Row],[IMPORTE NETO]:[EXENTO]])</f>
        <v>5227.5</v>
      </c>
      <c r="M2818" s="55"/>
    </row>
    <row r="2819" spans="2:13" x14ac:dyDescent="0.3">
      <c r="B2819" s="223">
        <v>44859</v>
      </c>
      <c r="C2819" s="224">
        <v>6</v>
      </c>
      <c r="D2819" s="225">
        <v>10</v>
      </c>
      <c r="E2819" s="226">
        <v>43502</v>
      </c>
      <c r="F2819" s="227">
        <v>0</v>
      </c>
      <c r="G2819" s="1"/>
      <c r="H2819" s="60">
        <v>3421.07</v>
      </c>
      <c r="I2819" s="228">
        <v>718.43</v>
      </c>
      <c r="J2819" s="229"/>
      <c r="K2819" s="229"/>
      <c r="L2819" s="229">
        <f>SUM(ventas_b_mes11[[#This Row],[IMPORTE NETO]:[EXENTO]])</f>
        <v>4139.5</v>
      </c>
      <c r="M2819" s="55"/>
    </row>
    <row r="2820" spans="2:13" x14ac:dyDescent="0.3">
      <c r="B2820" s="223">
        <v>44859</v>
      </c>
      <c r="C2820" s="224">
        <v>6</v>
      </c>
      <c r="D2820" s="225">
        <v>10</v>
      </c>
      <c r="E2820" s="226">
        <v>43503</v>
      </c>
      <c r="F2820" s="227">
        <v>1254</v>
      </c>
      <c r="G2820" s="1"/>
      <c r="H2820" s="60">
        <v>2152.0700000000002</v>
      </c>
      <c r="I2820" s="228">
        <v>451.93</v>
      </c>
      <c r="J2820" s="229"/>
      <c r="K2820" s="229"/>
      <c r="L2820" s="229">
        <f>SUM(ventas_b_mes11[[#This Row],[IMPORTE NETO]:[EXENTO]])</f>
        <v>2604</v>
      </c>
      <c r="M2820" s="55"/>
    </row>
    <row r="2821" spans="2:13" x14ac:dyDescent="0.3">
      <c r="B2821" s="223">
        <v>44859</v>
      </c>
      <c r="C2821" s="224">
        <v>6</v>
      </c>
      <c r="D2821" s="225">
        <v>10</v>
      </c>
      <c r="E2821" s="226">
        <v>43504</v>
      </c>
      <c r="F2821" s="227">
        <v>1254</v>
      </c>
      <c r="G2821" s="1"/>
      <c r="H2821" s="60">
        <v>1747.11</v>
      </c>
      <c r="I2821" s="228">
        <v>366.89</v>
      </c>
      <c r="J2821" s="229"/>
      <c r="K2821" s="229"/>
      <c r="L2821" s="229">
        <f>SUM(ventas_b_mes11[[#This Row],[IMPORTE NETO]:[EXENTO]])</f>
        <v>2114</v>
      </c>
      <c r="M2821" s="55"/>
    </row>
    <row r="2822" spans="2:13" x14ac:dyDescent="0.3">
      <c r="B2822" s="223">
        <v>44859</v>
      </c>
      <c r="C2822" s="224">
        <v>6</v>
      </c>
      <c r="D2822" s="225">
        <v>10</v>
      </c>
      <c r="E2822" s="226">
        <v>43505</v>
      </c>
      <c r="F2822" s="227">
        <v>20823543</v>
      </c>
      <c r="G2822" s="1"/>
      <c r="H2822" s="60">
        <v>1475.21</v>
      </c>
      <c r="I2822" s="228">
        <v>309.79000000000002</v>
      </c>
      <c r="J2822" s="229"/>
      <c r="K2822" s="229"/>
      <c r="L2822" s="229">
        <f>SUM(ventas_b_mes11[[#This Row],[IMPORTE NETO]:[EXENTO]])</f>
        <v>1785</v>
      </c>
      <c r="M2822" s="55"/>
    </row>
    <row r="2823" spans="2:13" x14ac:dyDescent="0.3">
      <c r="B2823" s="223">
        <v>44859</v>
      </c>
      <c r="C2823" s="224">
        <v>6</v>
      </c>
      <c r="D2823" s="225">
        <v>10</v>
      </c>
      <c r="E2823" s="226">
        <v>43506</v>
      </c>
      <c r="F2823" s="227">
        <v>1254</v>
      </c>
      <c r="G2823" s="1"/>
      <c r="H2823" s="60">
        <v>3014.05</v>
      </c>
      <c r="I2823" s="228">
        <v>632.95000000000005</v>
      </c>
      <c r="J2823" s="229"/>
      <c r="K2823" s="229"/>
      <c r="L2823" s="229">
        <f>SUM(ventas_b_mes11[[#This Row],[IMPORTE NETO]:[EXENTO]])</f>
        <v>3647</v>
      </c>
      <c r="M2823" s="55"/>
    </row>
    <row r="2824" spans="2:13" x14ac:dyDescent="0.3">
      <c r="B2824" s="223">
        <v>44859</v>
      </c>
      <c r="C2824" s="224">
        <v>6</v>
      </c>
      <c r="D2824" s="225">
        <v>10</v>
      </c>
      <c r="E2824" s="226">
        <v>43507</v>
      </c>
      <c r="F2824" s="227">
        <v>27220670878</v>
      </c>
      <c r="G2824" s="1" t="s">
        <v>347</v>
      </c>
      <c r="H2824" s="60">
        <v>3675.39</v>
      </c>
      <c r="I2824" s="228">
        <v>771.83</v>
      </c>
      <c r="J2824" s="229"/>
      <c r="K2824" s="229"/>
      <c r="L2824" s="229">
        <f>SUM(ventas_b_mes11[[#This Row],[IMPORTE NETO]:[EXENTO]])</f>
        <v>4447.22</v>
      </c>
      <c r="M2824" s="55"/>
    </row>
    <row r="2825" spans="2:13" x14ac:dyDescent="0.3">
      <c r="B2825" s="223">
        <v>44859</v>
      </c>
      <c r="C2825" s="224">
        <v>6</v>
      </c>
      <c r="D2825" s="225">
        <v>10</v>
      </c>
      <c r="E2825" s="226">
        <v>43508</v>
      </c>
      <c r="F2825" s="227">
        <v>27220670878</v>
      </c>
      <c r="G2825" s="1" t="s">
        <v>347</v>
      </c>
      <c r="H2825" s="60">
        <v>58902.19</v>
      </c>
      <c r="I2825" s="228">
        <v>12369.46</v>
      </c>
      <c r="J2825" s="229"/>
      <c r="K2825" s="229"/>
      <c r="L2825" s="229">
        <f>SUM(ventas_b_mes11[[#This Row],[IMPORTE NETO]:[EXENTO]])</f>
        <v>71271.649999999994</v>
      </c>
      <c r="M2825" s="55"/>
    </row>
    <row r="2826" spans="2:13" x14ac:dyDescent="0.3">
      <c r="B2826" s="223">
        <v>44859</v>
      </c>
      <c r="C2826" s="224">
        <v>6</v>
      </c>
      <c r="D2826" s="225">
        <v>10</v>
      </c>
      <c r="E2826" s="226">
        <v>43509</v>
      </c>
      <c r="F2826" s="227">
        <v>27358751054</v>
      </c>
      <c r="G2826" s="1" t="s">
        <v>955</v>
      </c>
      <c r="H2826" s="60">
        <v>86053.72</v>
      </c>
      <c r="I2826" s="228">
        <v>18071.28</v>
      </c>
      <c r="J2826" s="229"/>
      <c r="K2826" s="229"/>
      <c r="L2826" s="229">
        <f>SUM(ventas_b_mes11[[#This Row],[IMPORTE NETO]:[EXENTO]])</f>
        <v>104125</v>
      </c>
      <c r="M2826" s="55"/>
    </row>
    <row r="2827" spans="2:13" x14ac:dyDescent="0.3">
      <c r="B2827" s="223">
        <v>44860</v>
      </c>
      <c r="C2827" s="224">
        <v>6</v>
      </c>
      <c r="D2827" s="225">
        <v>10</v>
      </c>
      <c r="E2827" s="226">
        <v>43510</v>
      </c>
      <c r="F2827" s="227">
        <v>13277007</v>
      </c>
      <c r="G2827" s="1" t="s">
        <v>795</v>
      </c>
      <c r="H2827" s="60">
        <v>4285.13</v>
      </c>
      <c r="I2827" s="228">
        <v>899.88</v>
      </c>
      <c r="J2827" s="229"/>
      <c r="K2827" s="229"/>
      <c r="L2827" s="229">
        <f>SUM(ventas_b_mes11[[#This Row],[IMPORTE NETO]:[EXENTO]])</f>
        <v>5185.01</v>
      </c>
      <c r="M2827" s="55"/>
    </row>
    <row r="2828" spans="2:13" x14ac:dyDescent="0.3">
      <c r="B2828" s="223">
        <v>44860</v>
      </c>
      <c r="C2828" s="224">
        <v>6</v>
      </c>
      <c r="D2828" s="225">
        <v>10</v>
      </c>
      <c r="E2828" s="226">
        <v>43511</v>
      </c>
      <c r="F2828" s="227">
        <v>13569997</v>
      </c>
      <c r="G2828" s="1" t="s">
        <v>984</v>
      </c>
      <c r="H2828" s="60">
        <v>3022.46</v>
      </c>
      <c r="I2828" s="228">
        <v>634.72</v>
      </c>
      <c r="J2828" s="229"/>
      <c r="K2828" s="229"/>
      <c r="L2828" s="229">
        <f>SUM(ventas_b_mes11[[#This Row],[IMPORTE NETO]:[EXENTO]])</f>
        <v>3657.1800000000003</v>
      </c>
      <c r="M2828" s="55"/>
    </row>
    <row r="2829" spans="2:13" x14ac:dyDescent="0.3">
      <c r="B2829" s="223">
        <v>44860</v>
      </c>
      <c r="C2829" s="224">
        <v>6</v>
      </c>
      <c r="D2829" s="225">
        <v>10</v>
      </c>
      <c r="E2829" s="226">
        <v>43512</v>
      </c>
      <c r="F2829" s="227">
        <v>13569997</v>
      </c>
      <c r="G2829" s="1" t="s">
        <v>984</v>
      </c>
      <c r="H2829" s="60">
        <v>28464.46</v>
      </c>
      <c r="I2829" s="228">
        <v>5977.54</v>
      </c>
      <c r="J2829" s="229"/>
      <c r="K2829" s="229"/>
      <c r="L2829" s="229">
        <f>SUM(ventas_b_mes11[[#This Row],[IMPORTE NETO]:[EXENTO]])</f>
        <v>34442</v>
      </c>
      <c r="M2829" s="55"/>
    </row>
    <row r="2830" spans="2:13" x14ac:dyDescent="0.3">
      <c r="B2830" s="223">
        <v>44860</v>
      </c>
      <c r="C2830" s="224">
        <v>6</v>
      </c>
      <c r="D2830" s="225">
        <v>10</v>
      </c>
      <c r="E2830" s="226">
        <v>43513</v>
      </c>
      <c r="F2830" s="227">
        <v>45413213</v>
      </c>
      <c r="G2830" s="1" t="s">
        <v>862</v>
      </c>
      <c r="H2830" s="60">
        <v>8074.37</v>
      </c>
      <c r="I2830" s="228">
        <v>1695.62</v>
      </c>
      <c r="J2830" s="229"/>
      <c r="K2830" s="229"/>
      <c r="L2830" s="229">
        <f>SUM(ventas_b_mes11[[#This Row],[IMPORTE NETO]:[EXENTO]])</f>
        <v>9769.99</v>
      </c>
      <c r="M2830" s="55"/>
    </row>
    <row r="2831" spans="2:13" x14ac:dyDescent="0.3">
      <c r="B2831" s="223">
        <v>44860</v>
      </c>
      <c r="C2831" s="224">
        <v>6</v>
      </c>
      <c r="D2831" s="225">
        <v>10</v>
      </c>
      <c r="E2831" s="226">
        <v>43514</v>
      </c>
      <c r="F2831" s="227">
        <v>5746869</v>
      </c>
      <c r="G2831" s="1"/>
      <c r="H2831" s="60">
        <v>5654.96</v>
      </c>
      <c r="I2831" s="228">
        <v>1187.54</v>
      </c>
      <c r="J2831" s="229"/>
      <c r="K2831" s="229"/>
      <c r="L2831" s="229">
        <f>SUM(ventas_b_mes11[[#This Row],[IMPORTE NETO]:[EXENTO]])</f>
        <v>6842.5</v>
      </c>
      <c r="M2831" s="55"/>
    </row>
    <row r="2832" spans="2:13" x14ac:dyDescent="0.3">
      <c r="B2832" s="223">
        <v>44860</v>
      </c>
      <c r="C2832" s="224">
        <v>6</v>
      </c>
      <c r="D2832" s="225">
        <v>10</v>
      </c>
      <c r="E2832" s="226">
        <v>43515</v>
      </c>
      <c r="F2832" s="227">
        <v>28964046</v>
      </c>
      <c r="G2832" s="1" t="s">
        <v>1017</v>
      </c>
      <c r="H2832" s="60">
        <v>19128.52</v>
      </c>
      <c r="I2832" s="228">
        <v>4016.99</v>
      </c>
      <c r="J2832" s="229"/>
      <c r="K2832" s="229"/>
      <c r="L2832" s="229">
        <f>SUM(ventas_b_mes11[[#This Row],[IMPORTE NETO]:[EXENTO]])</f>
        <v>23145.510000000002</v>
      </c>
      <c r="M2832" s="55"/>
    </row>
    <row r="2833" spans="2:13" x14ac:dyDescent="0.3">
      <c r="B2833" s="223">
        <v>44860</v>
      </c>
      <c r="C2833" s="224">
        <v>6</v>
      </c>
      <c r="D2833" s="225">
        <v>10</v>
      </c>
      <c r="E2833" s="226">
        <v>43516</v>
      </c>
      <c r="F2833" s="227">
        <v>20171230269</v>
      </c>
      <c r="G2833" s="1"/>
      <c r="H2833" s="60">
        <v>5082.62</v>
      </c>
      <c r="I2833" s="228">
        <v>1067.3499999999999</v>
      </c>
      <c r="J2833" s="229"/>
      <c r="K2833" s="229"/>
      <c r="L2833" s="229">
        <f>SUM(ventas_b_mes11[[#This Row],[IMPORTE NETO]:[EXENTO]])</f>
        <v>6149.9699999999993</v>
      </c>
      <c r="M2833" s="55"/>
    </row>
    <row r="2834" spans="2:13" x14ac:dyDescent="0.3">
      <c r="B2834" s="223">
        <v>44860</v>
      </c>
      <c r="C2834" s="224">
        <v>6</v>
      </c>
      <c r="D2834" s="225">
        <v>10</v>
      </c>
      <c r="E2834" s="226">
        <v>43517</v>
      </c>
      <c r="F2834" s="227">
        <v>20171230269</v>
      </c>
      <c r="G2834" s="1"/>
      <c r="H2834" s="60">
        <v>40504.959999999999</v>
      </c>
      <c r="I2834" s="228">
        <v>8506.0400000000009</v>
      </c>
      <c r="J2834" s="229"/>
      <c r="K2834" s="229"/>
      <c r="L2834" s="229">
        <f>SUM(ventas_b_mes11[[#This Row],[IMPORTE NETO]:[EXENTO]])</f>
        <v>49011</v>
      </c>
      <c r="M2834" s="55"/>
    </row>
    <row r="2835" spans="2:13" x14ac:dyDescent="0.3">
      <c r="B2835" s="223">
        <v>44860</v>
      </c>
      <c r="C2835" s="224">
        <v>6</v>
      </c>
      <c r="D2835" s="225">
        <v>10</v>
      </c>
      <c r="E2835" s="226">
        <v>43518</v>
      </c>
      <c r="F2835" s="227">
        <v>16579114</v>
      </c>
      <c r="G2835" s="1" t="s">
        <v>1024</v>
      </c>
      <c r="H2835" s="60">
        <v>26061.96</v>
      </c>
      <c r="I2835" s="228">
        <v>5473.01</v>
      </c>
      <c r="J2835" s="229"/>
      <c r="K2835" s="229"/>
      <c r="L2835" s="229">
        <f>SUM(ventas_b_mes11[[#This Row],[IMPORTE NETO]:[EXENTO]])</f>
        <v>31534.97</v>
      </c>
      <c r="M2835" s="55"/>
    </row>
    <row r="2836" spans="2:13" x14ac:dyDescent="0.3">
      <c r="B2836" s="223">
        <v>44860</v>
      </c>
      <c r="C2836" s="224">
        <v>6</v>
      </c>
      <c r="D2836" s="225">
        <v>10</v>
      </c>
      <c r="E2836" s="226">
        <v>43519</v>
      </c>
      <c r="F2836" s="227">
        <v>53049257</v>
      </c>
      <c r="G2836" s="1" t="s">
        <v>729</v>
      </c>
      <c r="H2836" s="60">
        <v>2851.24</v>
      </c>
      <c r="I2836" s="228">
        <v>598.76</v>
      </c>
      <c r="J2836" s="229"/>
      <c r="K2836" s="229"/>
      <c r="L2836" s="229">
        <f>SUM(ventas_b_mes11[[#This Row],[IMPORTE NETO]:[EXENTO]])</f>
        <v>3450</v>
      </c>
      <c r="M2836" s="55"/>
    </row>
    <row r="2837" spans="2:13" x14ac:dyDescent="0.3">
      <c r="B2837" s="223">
        <v>44860</v>
      </c>
      <c r="C2837" s="224">
        <v>6</v>
      </c>
      <c r="D2837" s="225">
        <v>10</v>
      </c>
      <c r="E2837" s="226">
        <v>43520</v>
      </c>
      <c r="F2837" s="227">
        <v>0</v>
      </c>
      <c r="G2837" s="1"/>
      <c r="H2837" s="60">
        <v>2066.12</v>
      </c>
      <c r="I2837" s="228">
        <v>433.88</v>
      </c>
      <c r="J2837" s="229"/>
      <c r="K2837" s="229"/>
      <c r="L2837" s="229">
        <f>SUM(ventas_b_mes11[[#This Row],[IMPORTE NETO]:[EXENTO]])</f>
        <v>2500</v>
      </c>
      <c r="M2837" s="55"/>
    </row>
    <row r="2838" spans="2:13" x14ac:dyDescent="0.3">
      <c r="B2838" s="223">
        <v>44860</v>
      </c>
      <c r="C2838" s="224">
        <v>6</v>
      </c>
      <c r="D2838" s="225">
        <v>10</v>
      </c>
      <c r="E2838" s="226">
        <v>43521</v>
      </c>
      <c r="F2838" s="227">
        <v>25869848</v>
      </c>
      <c r="G2838" s="1" t="s">
        <v>586</v>
      </c>
      <c r="H2838" s="60">
        <v>7256.61</v>
      </c>
      <c r="I2838" s="228">
        <v>1523.89</v>
      </c>
      <c r="J2838" s="229"/>
      <c r="K2838" s="229"/>
      <c r="L2838" s="229">
        <f>SUM(ventas_b_mes11[[#This Row],[IMPORTE NETO]:[EXENTO]])</f>
        <v>8780.5</v>
      </c>
      <c r="M2838" s="55"/>
    </row>
    <row r="2839" spans="2:13" x14ac:dyDescent="0.3">
      <c r="B2839" s="223">
        <v>44860</v>
      </c>
      <c r="C2839" s="224">
        <v>6</v>
      </c>
      <c r="D2839" s="225">
        <v>10</v>
      </c>
      <c r="E2839" s="226">
        <v>43522</v>
      </c>
      <c r="F2839" s="227">
        <v>18590873</v>
      </c>
      <c r="G2839" s="1" t="s">
        <v>319</v>
      </c>
      <c r="H2839" s="60">
        <v>10846.28</v>
      </c>
      <c r="I2839" s="228">
        <v>2277.7199999999998</v>
      </c>
      <c r="J2839" s="229"/>
      <c r="K2839" s="229"/>
      <c r="L2839" s="229">
        <f>SUM(ventas_b_mes11[[#This Row],[IMPORTE NETO]:[EXENTO]])</f>
        <v>13124</v>
      </c>
      <c r="M2839" s="55"/>
    </row>
    <row r="2840" spans="2:13" x14ac:dyDescent="0.3">
      <c r="B2840" s="223">
        <v>44860</v>
      </c>
      <c r="C2840" s="224">
        <v>6</v>
      </c>
      <c r="D2840" s="225">
        <v>10</v>
      </c>
      <c r="E2840" s="226">
        <v>43523</v>
      </c>
      <c r="F2840" s="227">
        <v>22560894</v>
      </c>
      <c r="G2840" s="1" t="s">
        <v>1009</v>
      </c>
      <c r="H2840" s="60">
        <v>9202.49</v>
      </c>
      <c r="I2840" s="228">
        <v>1932.52</v>
      </c>
      <c r="J2840" s="229"/>
      <c r="K2840" s="229"/>
      <c r="L2840" s="229">
        <f>SUM(ventas_b_mes11[[#This Row],[IMPORTE NETO]:[EXENTO]])</f>
        <v>11135.01</v>
      </c>
      <c r="M2840" s="55"/>
    </row>
    <row r="2841" spans="2:13" x14ac:dyDescent="0.3">
      <c r="B2841" s="223">
        <v>44860</v>
      </c>
      <c r="C2841" s="224">
        <v>6</v>
      </c>
      <c r="D2841" s="225">
        <v>10</v>
      </c>
      <c r="E2841" s="226">
        <v>43524</v>
      </c>
      <c r="F2841" s="227">
        <v>17015006</v>
      </c>
      <c r="G2841" s="1" t="s">
        <v>1005</v>
      </c>
      <c r="H2841" s="60">
        <v>27652.47</v>
      </c>
      <c r="I2841" s="228">
        <v>5807.02</v>
      </c>
      <c r="J2841" s="229"/>
      <c r="K2841" s="229"/>
      <c r="L2841" s="229">
        <f>SUM(ventas_b_mes11[[#This Row],[IMPORTE NETO]:[EXENTO]])</f>
        <v>33459.490000000005</v>
      </c>
      <c r="M2841" s="55"/>
    </row>
    <row r="2842" spans="2:13" x14ac:dyDescent="0.3">
      <c r="B2842" s="223">
        <v>44860</v>
      </c>
      <c r="C2842" s="224">
        <v>6</v>
      </c>
      <c r="D2842" s="225">
        <v>10</v>
      </c>
      <c r="E2842" s="226">
        <v>43525</v>
      </c>
      <c r="F2842" s="227">
        <v>0</v>
      </c>
      <c r="G2842" s="1"/>
      <c r="H2842" s="60">
        <v>1138.02</v>
      </c>
      <c r="I2842" s="228">
        <v>238.98</v>
      </c>
      <c r="J2842" s="229"/>
      <c r="K2842" s="229"/>
      <c r="L2842" s="229">
        <f>SUM(ventas_b_mes11[[#This Row],[IMPORTE NETO]:[EXENTO]])</f>
        <v>1377</v>
      </c>
      <c r="M2842" s="55"/>
    </row>
    <row r="2843" spans="2:13" x14ac:dyDescent="0.3">
      <c r="B2843" s="223">
        <v>44860</v>
      </c>
      <c r="C2843" s="224">
        <v>6</v>
      </c>
      <c r="D2843" s="225">
        <v>10</v>
      </c>
      <c r="E2843" s="226">
        <v>43526</v>
      </c>
      <c r="F2843" s="227">
        <v>5307055</v>
      </c>
      <c r="G2843" s="1" t="s">
        <v>989</v>
      </c>
      <c r="H2843" s="60">
        <v>5690.08</v>
      </c>
      <c r="I2843" s="228">
        <v>1194.92</v>
      </c>
      <c r="J2843" s="229"/>
      <c r="K2843" s="229"/>
      <c r="L2843" s="229">
        <f>SUM(ventas_b_mes11[[#This Row],[IMPORTE NETO]:[EXENTO]])</f>
        <v>6885</v>
      </c>
      <c r="M2843" s="55"/>
    </row>
    <row r="2844" spans="2:13" x14ac:dyDescent="0.3">
      <c r="B2844" s="223">
        <v>44860</v>
      </c>
      <c r="C2844" s="224">
        <v>6</v>
      </c>
      <c r="D2844" s="225">
        <v>10</v>
      </c>
      <c r="E2844" s="226">
        <v>43527</v>
      </c>
      <c r="F2844" s="227">
        <v>1234567</v>
      </c>
      <c r="G2844" s="1"/>
      <c r="H2844" s="60">
        <v>9342.98</v>
      </c>
      <c r="I2844" s="228">
        <v>1962.02</v>
      </c>
      <c r="J2844" s="229"/>
      <c r="K2844" s="229"/>
      <c r="L2844" s="229">
        <f>SUM(ventas_b_mes11[[#This Row],[IMPORTE NETO]:[EXENTO]])</f>
        <v>11305</v>
      </c>
      <c r="M2844" s="55"/>
    </row>
    <row r="2845" spans="2:13" x14ac:dyDescent="0.3">
      <c r="B2845" s="223">
        <v>44860</v>
      </c>
      <c r="C2845" s="224">
        <v>6</v>
      </c>
      <c r="D2845" s="225">
        <v>10</v>
      </c>
      <c r="E2845" s="226">
        <v>43528</v>
      </c>
      <c r="F2845" s="227">
        <v>0</v>
      </c>
      <c r="G2845" s="1"/>
      <c r="H2845" s="60">
        <v>2066.12</v>
      </c>
      <c r="I2845" s="228">
        <v>433.88</v>
      </c>
      <c r="J2845" s="229"/>
      <c r="K2845" s="229"/>
      <c r="L2845" s="229">
        <f>SUM(ventas_b_mes11[[#This Row],[IMPORTE NETO]:[EXENTO]])</f>
        <v>2500</v>
      </c>
      <c r="M2845" s="55"/>
    </row>
    <row r="2846" spans="2:13" x14ac:dyDescent="0.3">
      <c r="B2846" s="223">
        <v>44860</v>
      </c>
      <c r="C2846" s="224">
        <v>6</v>
      </c>
      <c r="D2846" s="225">
        <v>10</v>
      </c>
      <c r="E2846" s="226">
        <v>43529</v>
      </c>
      <c r="F2846" s="227">
        <v>28280766</v>
      </c>
      <c r="G2846" s="1"/>
      <c r="H2846" s="60">
        <v>4958.68</v>
      </c>
      <c r="I2846" s="228">
        <v>1041.32</v>
      </c>
      <c r="J2846" s="229"/>
      <c r="K2846" s="229"/>
      <c r="L2846" s="229">
        <f>SUM(ventas_b_mes11[[#This Row],[IMPORTE NETO]:[EXENTO]])</f>
        <v>6000</v>
      </c>
      <c r="M2846" s="55"/>
    </row>
    <row r="2847" spans="2:13" x14ac:dyDescent="0.3">
      <c r="B2847" s="223">
        <v>44860</v>
      </c>
      <c r="C2847" s="224">
        <v>6</v>
      </c>
      <c r="D2847" s="225">
        <v>10</v>
      </c>
      <c r="E2847" s="226">
        <v>43530</v>
      </c>
      <c r="F2847" s="227">
        <v>31830059</v>
      </c>
      <c r="G2847" s="1" t="s">
        <v>1016</v>
      </c>
      <c r="H2847" s="60">
        <v>4958.68</v>
      </c>
      <c r="I2847" s="228">
        <v>1041.32</v>
      </c>
      <c r="J2847" s="229"/>
      <c r="K2847" s="229"/>
      <c r="L2847" s="229">
        <f>SUM(ventas_b_mes11[[#This Row],[IMPORTE NETO]:[EXENTO]])</f>
        <v>6000</v>
      </c>
      <c r="M2847" s="55"/>
    </row>
    <row r="2848" spans="2:13" x14ac:dyDescent="0.3">
      <c r="B2848" s="223">
        <v>44860</v>
      </c>
      <c r="C2848" s="224">
        <v>6</v>
      </c>
      <c r="D2848" s="225">
        <v>10</v>
      </c>
      <c r="E2848" s="226">
        <v>43531</v>
      </c>
      <c r="F2848" s="227">
        <v>23159787</v>
      </c>
      <c r="G2848" s="1" t="s">
        <v>287</v>
      </c>
      <c r="H2848" s="60">
        <v>4958.68</v>
      </c>
      <c r="I2848" s="228">
        <v>1041.32</v>
      </c>
      <c r="J2848" s="229"/>
      <c r="K2848" s="229"/>
      <c r="L2848" s="229">
        <f>SUM(ventas_b_mes11[[#This Row],[IMPORTE NETO]:[EXENTO]])</f>
        <v>6000</v>
      </c>
      <c r="M2848" s="55"/>
    </row>
    <row r="2849" spans="2:13" x14ac:dyDescent="0.3">
      <c r="B2849" s="223">
        <v>44860</v>
      </c>
      <c r="C2849" s="224">
        <v>6</v>
      </c>
      <c r="D2849" s="225">
        <v>10</v>
      </c>
      <c r="E2849" s="226">
        <v>43532</v>
      </c>
      <c r="F2849" s="227">
        <v>22470656</v>
      </c>
      <c r="G2849" s="1" t="s">
        <v>971</v>
      </c>
      <c r="H2849" s="60">
        <v>4250</v>
      </c>
      <c r="I2849" s="228">
        <v>892.5</v>
      </c>
      <c r="J2849" s="229"/>
      <c r="K2849" s="229"/>
      <c r="L2849" s="229">
        <f>SUM(ventas_b_mes11[[#This Row],[IMPORTE NETO]:[EXENTO]])</f>
        <v>5142.5</v>
      </c>
      <c r="M2849" s="55"/>
    </row>
    <row r="2850" spans="2:13" x14ac:dyDescent="0.3">
      <c r="B2850" s="223">
        <v>44860</v>
      </c>
      <c r="C2850" s="224">
        <v>6</v>
      </c>
      <c r="D2850" s="225">
        <v>10</v>
      </c>
      <c r="E2850" s="226">
        <v>43533</v>
      </c>
      <c r="F2850" s="227">
        <v>79428102</v>
      </c>
      <c r="G2850" s="1"/>
      <c r="H2850" s="60">
        <v>4958.68</v>
      </c>
      <c r="I2850" s="228">
        <v>1041.32</v>
      </c>
      <c r="J2850" s="229"/>
      <c r="K2850" s="229"/>
      <c r="L2850" s="229">
        <f>SUM(ventas_b_mes11[[#This Row],[IMPORTE NETO]:[EXENTO]])</f>
        <v>6000</v>
      </c>
      <c r="M2850" s="55"/>
    </row>
    <row r="2851" spans="2:13" x14ac:dyDescent="0.3">
      <c r="B2851" s="223">
        <v>44860</v>
      </c>
      <c r="C2851" s="224">
        <v>6</v>
      </c>
      <c r="D2851" s="225">
        <v>10</v>
      </c>
      <c r="E2851" s="226">
        <v>43534</v>
      </c>
      <c r="F2851" s="227">
        <v>28506840</v>
      </c>
      <c r="G2851" s="1" t="s">
        <v>711</v>
      </c>
      <c r="H2851" s="60">
        <v>4958.68</v>
      </c>
      <c r="I2851" s="228">
        <v>1041.32</v>
      </c>
      <c r="J2851" s="229"/>
      <c r="K2851" s="229"/>
      <c r="L2851" s="229">
        <f>SUM(ventas_b_mes11[[#This Row],[IMPORTE NETO]:[EXENTO]])</f>
        <v>6000</v>
      </c>
      <c r="M2851" s="55"/>
    </row>
    <row r="2852" spans="2:13" x14ac:dyDescent="0.3">
      <c r="B2852" s="223">
        <v>44860</v>
      </c>
      <c r="C2852" s="224">
        <v>6</v>
      </c>
      <c r="D2852" s="225">
        <v>10</v>
      </c>
      <c r="E2852" s="226">
        <v>43535</v>
      </c>
      <c r="F2852" s="227">
        <v>22402097</v>
      </c>
      <c r="G2852" s="1" t="s">
        <v>727</v>
      </c>
      <c r="H2852" s="60">
        <v>3719.01</v>
      </c>
      <c r="I2852" s="228">
        <v>780.99</v>
      </c>
      <c r="J2852" s="229"/>
      <c r="K2852" s="229"/>
      <c r="L2852" s="229">
        <f>SUM(ventas_b_mes11[[#This Row],[IMPORTE NETO]:[EXENTO]])</f>
        <v>4500</v>
      </c>
      <c r="M2852" s="55"/>
    </row>
    <row r="2853" spans="2:13" x14ac:dyDescent="0.3">
      <c r="B2853" s="223">
        <v>44860</v>
      </c>
      <c r="C2853" s="224">
        <v>6</v>
      </c>
      <c r="D2853" s="225">
        <v>10</v>
      </c>
      <c r="E2853" s="226">
        <v>43536</v>
      </c>
      <c r="F2853" s="227">
        <v>22402097</v>
      </c>
      <c r="G2853" s="1" t="s">
        <v>727</v>
      </c>
      <c r="H2853" s="60">
        <v>4545.45</v>
      </c>
      <c r="I2853" s="228">
        <v>954.55</v>
      </c>
      <c r="J2853" s="229"/>
      <c r="K2853" s="229"/>
      <c r="L2853" s="229">
        <f>SUM(ventas_b_mes11[[#This Row],[IMPORTE NETO]:[EXENTO]])</f>
        <v>5500</v>
      </c>
      <c r="M2853" s="55"/>
    </row>
    <row r="2854" spans="2:13" x14ac:dyDescent="0.3">
      <c r="B2854" s="223">
        <v>44860</v>
      </c>
      <c r="C2854" s="224">
        <v>6</v>
      </c>
      <c r="D2854" s="225">
        <v>10</v>
      </c>
      <c r="E2854" s="226">
        <v>43537</v>
      </c>
      <c r="F2854" s="227">
        <v>216549697</v>
      </c>
      <c r="G2854" s="1"/>
      <c r="H2854" s="60">
        <v>4958.68</v>
      </c>
      <c r="I2854" s="228">
        <v>1041.32</v>
      </c>
      <c r="J2854" s="229"/>
      <c r="K2854" s="229"/>
      <c r="L2854" s="229">
        <f>SUM(ventas_b_mes11[[#This Row],[IMPORTE NETO]:[EXENTO]])</f>
        <v>6000</v>
      </c>
      <c r="M2854" s="55"/>
    </row>
    <row r="2855" spans="2:13" x14ac:dyDescent="0.3">
      <c r="B2855" s="223">
        <v>44860</v>
      </c>
      <c r="C2855" s="224">
        <v>6</v>
      </c>
      <c r="D2855" s="225">
        <v>10</v>
      </c>
      <c r="E2855" s="226">
        <v>43538</v>
      </c>
      <c r="F2855" s="227">
        <v>12547889</v>
      </c>
      <c r="G2855" s="1" t="s">
        <v>992</v>
      </c>
      <c r="H2855" s="60">
        <v>4958.68</v>
      </c>
      <c r="I2855" s="228">
        <v>1041.32</v>
      </c>
      <c r="J2855" s="229"/>
      <c r="K2855" s="229"/>
      <c r="L2855" s="229">
        <f>SUM(ventas_b_mes11[[#This Row],[IMPORTE NETO]:[EXENTO]])</f>
        <v>6000</v>
      </c>
      <c r="M2855" s="55"/>
    </row>
    <row r="2856" spans="2:13" x14ac:dyDescent="0.3">
      <c r="B2856" s="223">
        <v>44860</v>
      </c>
      <c r="C2856" s="224">
        <v>6</v>
      </c>
      <c r="D2856" s="225">
        <v>10</v>
      </c>
      <c r="E2856" s="226">
        <v>43539</v>
      </c>
      <c r="F2856" s="227">
        <v>24619104</v>
      </c>
      <c r="G2856" s="1" t="s">
        <v>1007</v>
      </c>
      <c r="H2856" s="60">
        <v>4958.68</v>
      </c>
      <c r="I2856" s="228">
        <v>1041.32</v>
      </c>
      <c r="J2856" s="229"/>
      <c r="K2856" s="229"/>
      <c r="L2856" s="229">
        <f>SUM(ventas_b_mes11[[#This Row],[IMPORTE NETO]:[EXENTO]])</f>
        <v>6000</v>
      </c>
      <c r="M2856" s="55"/>
    </row>
    <row r="2857" spans="2:13" x14ac:dyDescent="0.3">
      <c r="B2857" s="223">
        <v>44860</v>
      </c>
      <c r="C2857" s="224">
        <v>6</v>
      </c>
      <c r="D2857" s="225">
        <v>10</v>
      </c>
      <c r="E2857" s="226">
        <v>43540</v>
      </c>
      <c r="F2857" s="227">
        <v>28382261</v>
      </c>
      <c r="G2857" s="1" t="s">
        <v>395</v>
      </c>
      <c r="H2857" s="60">
        <v>4545.45</v>
      </c>
      <c r="I2857" s="228">
        <v>954.55</v>
      </c>
      <c r="J2857" s="229"/>
      <c r="K2857" s="229"/>
      <c r="L2857" s="229">
        <f>SUM(ventas_b_mes11[[#This Row],[IMPORTE NETO]:[EXENTO]])</f>
        <v>5500</v>
      </c>
      <c r="M2857" s="55"/>
    </row>
    <row r="2858" spans="2:13" x14ac:dyDescent="0.3">
      <c r="B2858" s="223">
        <v>44860</v>
      </c>
      <c r="C2858" s="224">
        <v>6</v>
      </c>
      <c r="D2858" s="225">
        <v>10</v>
      </c>
      <c r="E2858" s="226">
        <v>43541</v>
      </c>
      <c r="F2858" s="227">
        <v>27222291661</v>
      </c>
      <c r="G2858" s="1"/>
      <c r="H2858" s="60">
        <v>64879.63</v>
      </c>
      <c r="I2858" s="228">
        <v>13624.72</v>
      </c>
      <c r="J2858" s="229"/>
      <c r="K2858" s="229"/>
      <c r="L2858" s="229">
        <f>SUM(ventas_b_mes11[[#This Row],[IMPORTE NETO]:[EXENTO]])</f>
        <v>78504.349999999991</v>
      </c>
      <c r="M2858" s="55"/>
    </row>
    <row r="2859" spans="2:13" x14ac:dyDescent="0.3">
      <c r="B2859" s="223">
        <v>44860</v>
      </c>
      <c r="C2859" s="224">
        <v>6</v>
      </c>
      <c r="D2859" s="225">
        <v>10</v>
      </c>
      <c r="E2859" s="226">
        <v>43542</v>
      </c>
      <c r="F2859" s="227">
        <v>27222291661</v>
      </c>
      <c r="G2859" s="1"/>
      <c r="H2859" s="60">
        <v>89022.37</v>
      </c>
      <c r="I2859" s="228">
        <v>18694.7</v>
      </c>
      <c r="J2859" s="229"/>
      <c r="K2859" s="229"/>
      <c r="L2859" s="229">
        <f>SUM(ventas_b_mes11[[#This Row],[IMPORTE NETO]:[EXENTO]])</f>
        <v>107717.06999999999</v>
      </c>
      <c r="M2859" s="55"/>
    </row>
    <row r="2860" spans="2:13" x14ac:dyDescent="0.3">
      <c r="B2860" s="223">
        <v>44860</v>
      </c>
      <c r="C2860" s="224">
        <v>6</v>
      </c>
      <c r="D2860" s="225">
        <v>10</v>
      </c>
      <c r="E2860" s="226">
        <v>43543</v>
      </c>
      <c r="F2860" s="227">
        <v>27222291661</v>
      </c>
      <c r="G2860" s="1"/>
      <c r="H2860" s="60">
        <v>45235.44</v>
      </c>
      <c r="I2860" s="228">
        <v>9499.44</v>
      </c>
      <c r="J2860" s="229"/>
      <c r="K2860" s="229"/>
      <c r="L2860" s="229">
        <f>SUM(ventas_b_mes11[[#This Row],[IMPORTE NETO]:[EXENTO]])</f>
        <v>54734.880000000005</v>
      </c>
      <c r="M2860" s="55"/>
    </row>
    <row r="2861" spans="2:13" x14ac:dyDescent="0.3">
      <c r="B2861" s="223">
        <v>44860</v>
      </c>
      <c r="C2861" s="224">
        <v>6</v>
      </c>
      <c r="D2861" s="225">
        <v>10</v>
      </c>
      <c r="E2861" s="226">
        <v>43544</v>
      </c>
      <c r="F2861" s="227">
        <v>26468795</v>
      </c>
      <c r="G2861" s="1" t="s">
        <v>987</v>
      </c>
      <c r="H2861" s="60">
        <v>4958.68</v>
      </c>
      <c r="I2861" s="228">
        <v>1041.32</v>
      </c>
      <c r="J2861" s="229"/>
      <c r="K2861" s="229"/>
      <c r="L2861" s="229">
        <f>SUM(ventas_b_mes11[[#This Row],[IMPORTE NETO]:[EXENTO]])</f>
        <v>6000</v>
      </c>
      <c r="M2861" s="55"/>
    </row>
    <row r="2862" spans="2:13" x14ac:dyDescent="0.3">
      <c r="B2862" s="223">
        <v>44860</v>
      </c>
      <c r="C2862" s="224">
        <v>6</v>
      </c>
      <c r="D2862" s="225">
        <v>10</v>
      </c>
      <c r="E2862" s="226">
        <v>43545</v>
      </c>
      <c r="F2862" s="227">
        <v>95944680</v>
      </c>
      <c r="G2862" s="1" t="s">
        <v>975</v>
      </c>
      <c r="H2862" s="60">
        <v>4545.45</v>
      </c>
      <c r="I2862" s="228">
        <v>954.55</v>
      </c>
      <c r="J2862" s="229"/>
      <c r="K2862" s="229"/>
      <c r="L2862" s="229">
        <f>SUM(ventas_b_mes11[[#This Row],[IMPORTE NETO]:[EXENTO]])</f>
        <v>5500</v>
      </c>
      <c r="M2862" s="55"/>
    </row>
    <row r="2863" spans="2:13" x14ac:dyDescent="0.3">
      <c r="B2863" s="223">
        <v>44860</v>
      </c>
      <c r="C2863" s="224">
        <v>6</v>
      </c>
      <c r="D2863" s="225">
        <v>10</v>
      </c>
      <c r="E2863" s="226">
        <v>43546</v>
      </c>
      <c r="F2863" s="227">
        <v>95944680</v>
      </c>
      <c r="G2863" s="1" t="s">
        <v>975</v>
      </c>
      <c r="H2863" s="60">
        <v>4545.45</v>
      </c>
      <c r="I2863" s="228">
        <v>954.55</v>
      </c>
      <c r="J2863" s="229"/>
      <c r="K2863" s="229"/>
      <c r="L2863" s="229">
        <f>SUM(ventas_b_mes11[[#This Row],[IMPORTE NETO]:[EXENTO]])</f>
        <v>5500</v>
      </c>
      <c r="M2863" s="55"/>
    </row>
    <row r="2864" spans="2:13" x14ac:dyDescent="0.3">
      <c r="B2864" s="223">
        <v>44860</v>
      </c>
      <c r="C2864" s="224">
        <v>6</v>
      </c>
      <c r="D2864" s="225">
        <v>10</v>
      </c>
      <c r="E2864" s="226">
        <v>43547</v>
      </c>
      <c r="F2864" s="227">
        <v>20007416</v>
      </c>
      <c r="G2864" s="1" t="s">
        <v>152</v>
      </c>
      <c r="H2864" s="60">
        <v>4958.68</v>
      </c>
      <c r="I2864" s="228">
        <v>1041.32</v>
      </c>
      <c r="J2864" s="229"/>
      <c r="K2864" s="229"/>
      <c r="L2864" s="229">
        <f>SUM(ventas_b_mes11[[#This Row],[IMPORTE NETO]:[EXENTO]])</f>
        <v>6000</v>
      </c>
      <c r="M2864" s="55"/>
    </row>
    <row r="2865" spans="2:13" x14ac:dyDescent="0.3">
      <c r="B2865" s="223">
        <v>44860</v>
      </c>
      <c r="C2865" s="224">
        <v>6</v>
      </c>
      <c r="D2865" s="225">
        <v>10</v>
      </c>
      <c r="E2865" s="226">
        <v>43548</v>
      </c>
      <c r="F2865" s="227">
        <v>95934088</v>
      </c>
      <c r="G2865" s="1" t="s">
        <v>996</v>
      </c>
      <c r="H2865" s="60">
        <v>4958.68</v>
      </c>
      <c r="I2865" s="228">
        <v>1041.32</v>
      </c>
      <c r="J2865" s="229"/>
      <c r="K2865" s="229"/>
      <c r="L2865" s="229">
        <f>SUM(ventas_b_mes11[[#This Row],[IMPORTE NETO]:[EXENTO]])</f>
        <v>6000</v>
      </c>
      <c r="M2865" s="55"/>
    </row>
    <row r="2866" spans="2:13" x14ac:dyDescent="0.3">
      <c r="B2866" s="223">
        <v>44860</v>
      </c>
      <c r="C2866" s="224">
        <v>6</v>
      </c>
      <c r="D2866" s="225">
        <v>10</v>
      </c>
      <c r="E2866" s="226">
        <v>43549</v>
      </c>
      <c r="F2866" s="227">
        <v>28989654</v>
      </c>
      <c r="G2866" s="1" t="s">
        <v>742</v>
      </c>
      <c r="H2866" s="60">
        <v>1652.89</v>
      </c>
      <c r="I2866" s="228">
        <v>347.11</v>
      </c>
      <c r="J2866" s="229"/>
      <c r="K2866" s="229"/>
      <c r="L2866" s="229">
        <f>SUM(ventas_b_mes11[[#This Row],[IMPORTE NETO]:[EXENTO]])</f>
        <v>2000</v>
      </c>
      <c r="M2866" s="55"/>
    </row>
    <row r="2867" spans="2:13" x14ac:dyDescent="0.3">
      <c r="B2867" s="223">
        <v>44860</v>
      </c>
      <c r="C2867" s="224">
        <v>6</v>
      </c>
      <c r="D2867" s="225">
        <v>10</v>
      </c>
      <c r="E2867" s="226">
        <v>43550</v>
      </c>
      <c r="F2867" s="227">
        <v>14289684</v>
      </c>
      <c r="G2867" s="1" t="s">
        <v>950</v>
      </c>
      <c r="H2867" s="60">
        <v>653.52</v>
      </c>
      <c r="I2867" s="228">
        <v>137.24</v>
      </c>
      <c r="J2867" s="229"/>
      <c r="K2867" s="229"/>
      <c r="L2867" s="229">
        <f>SUM(ventas_b_mes11[[#This Row],[IMPORTE NETO]:[EXENTO]])</f>
        <v>790.76</v>
      </c>
      <c r="M2867" s="55"/>
    </row>
    <row r="2868" spans="2:13" x14ac:dyDescent="0.3">
      <c r="B2868" s="223">
        <v>44860</v>
      </c>
      <c r="C2868" s="224">
        <v>6</v>
      </c>
      <c r="D2868" s="225">
        <v>10</v>
      </c>
      <c r="E2868" s="226">
        <v>43551</v>
      </c>
      <c r="F2868" s="227">
        <v>36740872</v>
      </c>
      <c r="G2868" s="1" t="s">
        <v>774</v>
      </c>
      <c r="H2868" s="60">
        <v>1652.89</v>
      </c>
      <c r="I2868" s="228">
        <v>347.11</v>
      </c>
      <c r="J2868" s="229"/>
      <c r="K2868" s="229"/>
      <c r="L2868" s="229">
        <f>SUM(ventas_b_mes11[[#This Row],[IMPORTE NETO]:[EXENTO]])</f>
        <v>2000</v>
      </c>
      <c r="M2868" s="55"/>
    </row>
    <row r="2869" spans="2:13" x14ac:dyDescent="0.3">
      <c r="B2869" s="223">
        <v>44860</v>
      </c>
      <c r="C2869" s="224">
        <v>6</v>
      </c>
      <c r="D2869" s="225">
        <v>10</v>
      </c>
      <c r="E2869" s="226">
        <v>43552</v>
      </c>
      <c r="F2869" s="227">
        <v>22849323</v>
      </c>
      <c r="G2869" s="1" t="s">
        <v>983</v>
      </c>
      <c r="H2869" s="60">
        <v>4958.68</v>
      </c>
      <c r="I2869" s="228">
        <v>1041.32</v>
      </c>
      <c r="J2869" s="229"/>
      <c r="K2869" s="229"/>
      <c r="L2869" s="229">
        <f>SUM(ventas_b_mes11[[#This Row],[IMPORTE NETO]:[EXENTO]])</f>
        <v>6000</v>
      </c>
      <c r="M2869" s="55"/>
    </row>
    <row r="2870" spans="2:13" x14ac:dyDescent="0.3">
      <c r="B2870" s="223">
        <v>44860</v>
      </c>
      <c r="C2870" s="224">
        <v>6</v>
      </c>
      <c r="D2870" s="225">
        <v>10</v>
      </c>
      <c r="E2870" s="226">
        <v>43553</v>
      </c>
      <c r="F2870" s="227">
        <v>12953716</v>
      </c>
      <c r="G2870" s="1" t="s">
        <v>383</v>
      </c>
      <c r="H2870" s="60">
        <v>1055.3</v>
      </c>
      <c r="I2870" s="228">
        <v>221.61</v>
      </c>
      <c r="J2870" s="229"/>
      <c r="K2870" s="229"/>
      <c r="L2870" s="229">
        <f>SUM(ventas_b_mes11[[#This Row],[IMPORTE NETO]:[EXENTO]])</f>
        <v>1276.9099999999999</v>
      </c>
      <c r="M2870" s="55"/>
    </row>
    <row r="2871" spans="2:13" x14ac:dyDescent="0.3">
      <c r="B2871" s="223">
        <v>44860</v>
      </c>
      <c r="C2871" s="224">
        <v>6</v>
      </c>
      <c r="D2871" s="225">
        <v>10</v>
      </c>
      <c r="E2871" s="226">
        <v>43554</v>
      </c>
      <c r="F2871" s="227">
        <v>10138113</v>
      </c>
      <c r="G2871" s="1" t="s">
        <v>982</v>
      </c>
      <c r="H2871" s="60">
        <v>2945.45</v>
      </c>
      <c r="I2871" s="228">
        <v>618.54999999999995</v>
      </c>
      <c r="J2871" s="229"/>
      <c r="K2871" s="229"/>
      <c r="L2871" s="229">
        <f>SUM(ventas_b_mes11[[#This Row],[IMPORTE NETO]:[EXENTO]])</f>
        <v>3564</v>
      </c>
      <c r="M2871" s="55"/>
    </row>
    <row r="2872" spans="2:13" x14ac:dyDescent="0.3">
      <c r="B2872" s="223">
        <v>44860</v>
      </c>
      <c r="C2872" s="224">
        <v>6</v>
      </c>
      <c r="D2872" s="225">
        <v>10</v>
      </c>
      <c r="E2872" s="226">
        <v>43555</v>
      </c>
      <c r="F2872" s="227">
        <v>93953494</v>
      </c>
      <c r="G2872" s="1" t="s">
        <v>972</v>
      </c>
      <c r="H2872" s="60">
        <v>4958.68</v>
      </c>
      <c r="I2872" s="228">
        <v>1041.32</v>
      </c>
      <c r="J2872" s="229"/>
      <c r="K2872" s="229"/>
      <c r="L2872" s="229">
        <f>SUM(ventas_b_mes11[[#This Row],[IMPORTE NETO]:[EXENTO]])</f>
        <v>6000</v>
      </c>
      <c r="M2872" s="55"/>
    </row>
    <row r="2873" spans="2:13" x14ac:dyDescent="0.3">
      <c r="B2873" s="223">
        <v>44860</v>
      </c>
      <c r="C2873" s="224">
        <v>6</v>
      </c>
      <c r="D2873" s="225">
        <v>10</v>
      </c>
      <c r="E2873" s="226">
        <v>43556</v>
      </c>
      <c r="F2873" s="227">
        <v>29332286</v>
      </c>
      <c r="G2873" s="1" t="s">
        <v>278</v>
      </c>
      <c r="H2873" s="60">
        <v>740.29</v>
      </c>
      <c r="I2873" s="228">
        <v>155.46</v>
      </c>
      <c r="J2873" s="229"/>
      <c r="K2873" s="229"/>
      <c r="L2873" s="229">
        <f>SUM(ventas_b_mes11[[#This Row],[IMPORTE NETO]:[EXENTO]])</f>
        <v>895.75</v>
      </c>
      <c r="M2873" s="55"/>
    </row>
    <row r="2874" spans="2:13" x14ac:dyDescent="0.3">
      <c r="B2874" s="223">
        <v>44860</v>
      </c>
      <c r="C2874" s="224">
        <v>6</v>
      </c>
      <c r="D2874" s="225">
        <v>10</v>
      </c>
      <c r="E2874" s="226">
        <v>43557</v>
      </c>
      <c r="F2874" s="227">
        <v>34999032089</v>
      </c>
      <c r="G2874" s="1" t="s">
        <v>568</v>
      </c>
      <c r="H2874" s="60">
        <v>1297.52</v>
      </c>
      <c r="I2874" s="228">
        <v>272.48</v>
      </c>
      <c r="J2874" s="229"/>
      <c r="K2874" s="229"/>
      <c r="L2874" s="229">
        <f>SUM(ventas_b_mes11[[#This Row],[IMPORTE NETO]:[EXENTO]])</f>
        <v>1570</v>
      </c>
      <c r="M2874" s="55"/>
    </row>
    <row r="2875" spans="2:13" x14ac:dyDescent="0.3">
      <c r="B2875" s="223">
        <v>44860</v>
      </c>
      <c r="C2875" s="224">
        <v>6</v>
      </c>
      <c r="D2875" s="225">
        <v>10</v>
      </c>
      <c r="E2875" s="226">
        <v>43558</v>
      </c>
      <c r="F2875" s="227">
        <v>16450773</v>
      </c>
      <c r="G2875" s="1" t="s">
        <v>132</v>
      </c>
      <c r="H2875" s="60">
        <v>4545.45</v>
      </c>
      <c r="I2875" s="228">
        <v>954.55</v>
      </c>
      <c r="J2875" s="229"/>
      <c r="K2875" s="229"/>
      <c r="L2875" s="229">
        <f>SUM(ventas_b_mes11[[#This Row],[IMPORTE NETO]:[EXENTO]])</f>
        <v>5500</v>
      </c>
      <c r="M2875" s="55"/>
    </row>
    <row r="2876" spans="2:13" x14ac:dyDescent="0.3">
      <c r="B2876" s="223">
        <v>44860</v>
      </c>
      <c r="C2876" s="224">
        <v>6</v>
      </c>
      <c r="D2876" s="225">
        <v>10</v>
      </c>
      <c r="E2876" s="226">
        <v>43559</v>
      </c>
      <c r="F2876" s="227">
        <v>43176443</v>
      </c>
      <c r="G2876" s="1" t="s">
        <v>973</v>
      </c>
      <c r="H2876" s="60">
        <v>4545.45</v>
      </c>
      <c r="I2876" s="228">
        <v>954.55</v>
      </c>
      <c r="J2876" s="229"/>
      <c r="K2876" s="229"/>
      <c r="L2876" s="229">
        <f>SUM(ventas_b_mes11[[#This Row],[IMPORTE NETO]:[EXENTO]])</f>
        <v>5500</v>
      </c>
      <c r="M2876" s="55"/>
    </row>
    <row r="2877" spans="2:13" x14ac:dyDescent="0.3">
      <c r="B2877" s="223">
        <v>44860</v>
      </c>
      <c r="C2877" s="224">
        <v>6</v>
      </c>
      <c r="D2877" s="225">
        <v>10</v>
      </c>
      <c r="E2877" s="226">
        <v>43560</v>
      </c>
      <c r="F2877" s="227">
        <v>27602253</v>
      </c>
      <c r="G2877" s="1" t="s">
        <v>207</v>
      </c>
      <c r="H2877" s="60">
        <v>4545.45</v>
      </c>
      <c r="I2877" s="228">
        <v>954.55</v>
      </c>
      <c r="J2877" s="229"/>
      <c r="K2877" s="229"/>
      <c r="L2877" s="229">
        <f>SUM(ventas_b_mes11[[#This Row],[IMPORTE NETO]:[EXENTO]])</f>
        <v>5500</v>
      </c>
      <c r="M2877" s="55"/>
    </row>
    <row r="2878" spans="2:13" x14ac:dyDescent="0.3">
      <c r="B2878" s="223">
        <v>44860</v>
      </c>
      <c r="C2878" s="224">
        <v>6</v>
      </c>
      <c r="D2878" s="225">
        <v>10</v>
      </c>
      <c r="E2878" s="226">
        <v>43561</v>
      </c>
      <c r="F2878" s="227">
        <v>22431985</v>
      </c>
      <c r="G2878" s="1" t="s">
        <v>1027</v>
      </c>
      <c r="H2878" s="60">
        <v>4110.87</v>
      </c>
      <c r="I2878" s="228">
        <v>863.28</v>
      </c>
      <c r="J2878" s="229"/>
      <c r="K2878" s="229"/>
      <c r="L2878" s="229">
        <f>SUM(ventas_b_mes11[[#This Row],[IMPORTE NETO]:[EXENTO]])</f>
        <v>4974.1499999999996</v>
      </c>
      <c r="M2878" s="55"/>
    </row>
    <row r="2879" spans="2:13" x14ac:dyDescent="0.3">
      <c r="B2879" s="223">
        <v>44860</v>
      </c>
      <c r="C2879" s="224">
        <v>6</v>
      </c>
      <c r="D2879" s="225">
        <v>10</v>
      </c>
      <c r="E2879" s="226">
        <v>43562</v>
      </c>
      <c r="F2879" s="227">
        <v>13071873</v>
      </c>
      <c r="G2879" s="1" t="s">
        <v>1026</v>
      </c>
      <c r="H2879" s="60">
        <v>5429.75</v>
      </c>
      <c r="I2879" s="228">
        <v>1140.25</v>
      </c>
      <c r="J2879" s="229"/>
      <c r="K2879" s="229"/>
      <c r="L2879" s="229">
        <f>SUM(ventas_b_mes11[[#This Row],[IMPORTE NETO]:[EXENTO]])</f>
        <v>6570</v>
      </c>
      <c r="M2879" s="55"/>
    </row>
    <row r="2880" spans="2:13" x14ac:dyDescent="0.3">
      <c r="B2880" s="223">
        <v>44860</v>
      </c>
      <c r="C2880" s="224">
        <v>6</v>
      </c>
      <c r="D2880" s="225">
        <v>10</v>
      </c>
      <c r="E2880" s="226">
        <v>43563</v>
      </c>
      <c r="F2880" s="227">
        <v>20007416</v>
      </c>
      <c r="G2880" s="1" t="s">
        <v>152</v>
      </c>
      <c r="H2880" s="60">
        <v>4958.68</v>
      </c>
      <c r="I2880" s="228">
        <v>1041.32</v>
      </c>
      <c r="J2880" s="229"/>
      <c r="K2880" s="229"/>
      <c r="L2880" s="229">
        <f>SUM(ventas_b_mes11[[#This Row],[IMPORTE NETO]:[EXENTO]])</f>
        <v>6000</v>
      </c>
      <c r="M2880" s="55"/>
    </row>
    <row r="2881" spans="2:13" x14ac:dyDescent="0.3">
      <c r="B2881" s="223">
        <v>44860</v>
      </c>
      <c r="C2881" s="224">
        <v>6</v>
      </c>
      <c r="D2881" s="225">
        <v>10</v>
      </c>
      <c r="E2881" s="226">
        <v>43564</v>
      </c>
      <c r="F2881" s="227">
        <v>29332286</v>
      </c>
      <c r="G2881" s="1" t="s">
        <v>278</v>
      </c>
      <c r="H2881" s="60">
        <v>2254.86</v>
      </c>
      <c r="I2881" s="228">
        <v>473.52</v>
      </c>
      <c r="J2881" s="229"/>
      <c r="K2881" s="229"/>
      <c r="L2881" s="229">
        <f>SUM(ventas_b_mes11[[#This Row],[IMPORTE NETO]:[EXENTO]])</f>
        <v>2728.38</v>
      </c>
      <c r="M2881" s="55"/>
    </row>
    <row r="2882" spans="2:13" x14ac:dyDescent="0.3">
      <c r="B2882" s="223">
        <v>44860</v>
      </c>
      <c r="C2882" s="224">
        <v>6</v>
      </c>
      <c r="D2882" s="225">
        <v>10</v>
      </c>
      <c r="E2882" s="226">
        <v>43565</v>
      </c>
      <c r="F2882" s="227">
        <v>17015006</v>
      </c>
      <c r="G2882" s="1" t="s">
        <v>1005</v>
      </c>
      <c r="H2882" s="60">
        <v>1783.8</v>
      </c>
      <c r="I2882" s="228">
        <v>374.6</v>
      </c>
      <c r="J2882" s="229"/>
      <c r="K2882" s="229"/>
      <c r="L2882" s="229">
        <f>SUM(ventas_b_mes11[[#This Row],[IMPORTE NETO]:[EXENTO]])</f>
        <v>2158.4</v>
      </c>
      <c r="M2882" s="55"/>
    </row>
    <row r="2883" spans="2:13" x14ac:dyDescent="0.3">
      <c r="B2883" s="223">
        <v>44860</v>
      </c>
      <c r="C2883" s="224">
        <v>6</v>
      </c>
      <c r="D2883" s="225">
        <v>10</v>
      </c>
      <c r="E2883" s="226">
        <v>43566</v>
      </c>
      <c r="F2883" s="227">
        <v>33352266</v>
      </c>
      <c r="G2883" s="1" t="s">
        <v>1012</v>
      </c>
      <c r="H2883" s="60">
        <v>8429.75</v>
      </c>
      <c r="I2883" s="228">
        <v>1770.25</v>
      </c>
      <c r="J2883" s="229"/>
      <c r="K2883" s="229"/>
      <c r="L2883" s="229">
        <f>SUM(ventas_b_mes11[[#This Row],[IMPORTE NETO]:[EXENTO]])</f>
        <v>10200</v>
      </c>
      <c r="M2883" s="55"/>
    </row>
    <row r="2884" spans="2:13" x14ac:dyDescent="0.3">
      <c r="B2884" s="223">
        <v>44860</v>
      </c>
      <c r="C2884" s="224">
        <v>6</v>
      </c>
      <c r="D2884" s="225">
        <v>10</v>
      </c>
      <c r="E2884" s="226">
        <v>43567</v>
      </c>
      <c r="F2884" s="227">
        <v>0</v>
      </c>
      <c r="G2884" s="1"/>
      <c r="H2884" s="60">
        <v>1983.47</v>
      </c>
      <c r="I2884" s="228">
        <v>416.53</v>
      </c>
      <c r="J2884" s="229"/>
      <c r="K2884" s="229"/>
      <c r="L2884" s="229">
        <f>SUM(ventas_b_mes11[[#This Row],[IMPORTE NETO]:[EXENTO]])</f>
        <v>2400</v>
      </c>
      <c r="M2884" s="55"/>
    </row>
    <row r="2885" spans="2:13" x14ac:dyDescent="0.3">
      <c r="B2885" s="223">
        <v>44860</v>
      </c>
      <c r="C2885" s="224">
        <v>6</v>
      </c>
      <c r="D2885" s="225">
        <v>10</v>
      </c>
      <c r="E2885" s="226">
        <v>43568</v>
      </c>
      <c r="F2885" s="227">
        <v>33373122</v>
      </c>
      <c r="G2885" s="1" t="s">
        <v>187</v>
      </c>
      <c r="H2885" s="60">
        <v>3719.01</v>
      </c>
      <c r="I2885" s="228">
        <v>780.99</v>
      </c>
      <c r="J2885" s="229"/>
      <c r="K2885" s="229"/>
      <c r="L2885" s="229">
        <f>SUM(ventas_b_mes11[[#This Row],[IMPORTE NETO]:[EXENTO]])</f>
        <v>4500</v>
      </c>
      <c r="M2885" s="55"/>
    </row>
    <row r="2886" spans="2:13" x14ac:dyDescent="0.3">
      <c r="B2886" s="223">
        <v>44860</v>
      </c>
      <c r="C2886" s="224">
        <v>6</v>
      </c>
      <c r="D2886" s="225">
        <v>10</v>
      </c>
      <c r="E2886" s="226">
        <v>43569</v>
      </c>
      <c r="F2886" s="227">
        <v>13277007</v>
      </c>
      <c r="G2886" s="1" t="s">
        <v>795</v>
      </c>
      <c r="H2886" s="60">
        <v>561.98</v>
      </c>
      <c r="I2886" s="228">
        <v>118.02</v>
      </c>
      <c r="J2886" s="229"/>
      <c r="K2886" s="229"/>
      <c r="L2886" s="229">
        <f>SUM(ventas_b_mes11[[#This Row],[IMPORTE NETO]:[EXENTO]])</f>
        <v>680</v>
      </c>
      <c r="M2886" s="55"/>
    </row>
    <row r="2887" spans="2:13" x14ac:dyDescent="0.3">
      <c r="B2887" s="223">
        <v>44860</v>
      </c>
      <c r="C2887" s="224">
        <v>6</v>
      </c>
      <c r="D2887" s="225">
        <v>10</v>
      </c>
      <c r="E2887" s="226">
        <v>43570</v>
      </c>
      <c r="F2887" s="227">
        <v>21321366</v>
      </c>
      <c r="G2887" s="1" t="s">
        <v>852</v>
      </c>
      <c r="H2887" s="60">
        <v>2066.12</v>
      </c>
      <c r="I2887" s="228">
        <v>433.88</v>
      </c>
      <c r="J2887" s="229"/>
      <c r="K2887" s="229"/>
      <c r="L2887" s="229">
        <f>SUM(ventas_b_mes11[[#This Row],[IMPORTE NETO]:[EXENTO]])</f>
        <v>2500</v>
      </c>
      <c r="M2887" s="55"/>
    </row>
    <row r="2888" spans="2:13" x14ac:dyDescent="0.3">
      <c r="B2888" s="223">
        <v>44860</v>
      </c>
      <c r="C2888" s="224">
        <v>6</v>
      </c>
      <c r="D2888" s="225">
        <v>10</v>
      </c>
      <c r="E2888" s="226">
        <v>43571</v>
      </c>
      <c r="F2888" s="227">
        <v>24818151</v>
      </c>
      <c r="G2888" s="1" t="s">
        <v>1003</v>
      </c>
      <c r="H2888" s="60">
        <v>4958.68</v>
      </c>
      <c r="I2888" s="228">
        <v>1041.32</v>
      </c>
      <c r="J2888" s="229"/>
      <c r="K2888" s="229"/>
      <c r="L2888" s="229">
        <f>SUM(ventas_b_mes11[[#This Row],[IMPORTE NETO]:[EXENTO]])</f>
        <v>6000</v>
      </c>
      <c r="M2888" s="55"/>
    </row>
    <row r="2889" spans="2:13" x14ac:dyDescent="0.3">
      <c r="B2889" s="223">
        <v>44860</v>
      </c>
      <c r="C2889" s="224">
        <v>6</v>
      </c>
      <c r="D2889" s="225">
        <v>10</v>
      </c>
      <c r="E2889" s="226">
        <v>43572</v>
      </c>
      <c r="F2889" s="227">
        <v>0</v>
      </c>
      <c r="G2889" s="1"/>
      <c r="H2889" s="60">
        <v>2066.12</v>
      </c>
      <c r="I2889" s="228">
        <v>433.88</v>
      </c>
      <c r="J2889" s="229"/>
      <c r="K2889" s="229"/>
      <c r="L2889" s="229">
        <f>SUM(ventas_b_mes11[[#This Row],[IMPORTE NETO]:[EXENTO]])</f>
        <v>2500</v>
      </c>
      <c r="M2889" s="55"/>
    </row>
    <row r="2890" spans="2:13" x14ac:dyDescent="0.3">
      <c r="B2890" s="223">
        <v>44860</v>
      </c>
      <c r="C2890" s="224">
        <v>6</v>
      </c>
      <c r="D2890" s="225">
        <v>10</v>
      </c>
      <c r="E2890" s="226">
        <v>43573</v>
      </c>
      <c r="F2890" s="227">
        <v>37977654</v>
      </c>
      <c r="G2890" s="1" t="s">
        <v>1019</v>
      </c>
      <c r="H2890" s="60">
        <v>4958.68</v>
      </c>
      <c r="I2890" s="228">
        <v>1041.32</v>
      </c>
      <c r="J2890" s="229"/>
      <c r="K2890" s="229"/>
      <c r="L2890" s="229">
        <f>SUM(ventas_b_mes11[[#This Row],[IMPORTE NETO]:[EXENTO]])</f>
        <v>6000</v>
      </c>
      <c r="M2890" s="55"/>
    </row>
    <row r="2891" spans="2:13" x14ac:dyDescent="0.3">
      <c r="B2891" s="223">
        <v>44860</v>
      </c>
      <c r="C2891" s="224">
        <v>6</v>
      </c>
      <c r="D2891" s="225">
        <v>10</v>
      </c>
      <c r="E2891" s="226">
        <v>43574</v>
      </c>
      <c r="F2891" s="227">
        <v>32550967</v>
      </c>
      <c r="G2891" s="1" t="s">
        <v>1021</v>
      </c>
      <c r="H2891" s="60">
        <v>4958.68</v>
      </c>
      <c r="I2891" s="228">
        <v>1041.32</v>
      </c>
      <c r="J2891" s="229"/>
      <c r="K2891" s="229"/>
      <c r="L2891" s="229">
        <f>SUM(ventas_b_mes11[[#This Row],[IMPORTE NETO]:[EXENTO]])</f>
        <v>6000</v>
      </c>
      <c r="M2891" s="55"/>
    </row>
    <row r="2892" spans="2:13" x14ac:dyDescent="0.3">
      <c r="B2892" s="223">
        <v>44860</v>
      </c>
      <c r="C2892" s="224">
        <v>6</v>
      </c>
      <c r="D2892" s="225">
        <v>10</v>
      </c>
      <c r="E2892" s="226">
        <v>43575</v>
      </c>
      <c r="F2892" s="227">
        <v>34865144</v>
      </c>
      <c r="G2892" s="1" t="s">
        <v>1020</v>
      </c>
      <c r="H2892" s="60">
        <v>4958.68</v>
      </c>
      <c r="I2892" s="228">
        <v>1041.32</v>
      </c>
      <c r="J2892" s="229"/>
      <c r="K2892" s="229"/>
      <c r="L2892" s="229">
        <f>SUM(ventas_b_mes11[[#This Row],[IMPORTE NETO]:[EXENTO]])</f>
        <v>6000</v>
      </c>
      <c r="M2892" s="55"/>
    </row>
    <row r="2893" spans="2:13" x14ac:dyDescent="0.3">
      <c r="B2893" s="223">
        <v>44860</v>
      </c>
      <c r="C2893" s="224">
        <v>6</v>
      </c>
      <c r="D2893" s="225">
        <v>10</v>
      </c>
      <c r="E2893" s="226">
        <v>43576</v>
      </c>
      <c r="F2893" s="227">
        <v>0</v>
      </c>
      <c r="G2893" s="1"/>
      <c r="H2893" s="60">
        <v>2454.54</v>
      </c>
      <c r="I2893" s="228">
        <v>515.45000000000005</v>
      </c>
      <c r="J2893" s="229"/>
      <c r="K2893" s="229"/>
      <c r="L2893" s="229">
        <f>SUM(ventas_b_mes11[[#This Row],[IMPORTE NETO]:[EXENTO]])</f>
        <v>2969.99</v>
      </c>
      <c r="M2893" s="55"/>
    </row>
    <row r="2894" spans="2:13" x14ac:dyDescent="0.3">
      <c r="B2894" s="223">
        <v>44860</v>
      </c>
      <c r="C2894" s="224">
        <v>6</v>
      </c>
      <c r="D2894" s="225">
        <v>10</v>
      </c>
      <c r="E2894" s="226">
        <v>43577</v>
      </c>
      <c r="F2894" s="227">
        <v>3215784</v>
      </c>
      <c r="G2894" s="1" t="s">
        <v>1022</v>
      </c>
      <c r="H2894" s="60">
        <v>4545.45</v>
      </c>
      <c r="I2894" s="228">
        <v>954.55</v>
      </c>
      <c r="J2894" s="229"/>
      <c r="K2894" s="229"/>
      <c r="L2894" s="229">
        <f>SUM(ventas_b_mes11[[#This Row],[IMPORTE NETO]:[EXENTO]])</f>
        <v>5500</v>
      </c>
      <c r="M2894" s="55"/>
    </row>
    <row r="2895" spans="2:13" x14ac:dyDescent="0.3">
      <c r="B2895" s="223">
        <v>44860</v>
      </c>
      <c r="C2895" s="224">
        <v>6</v>
      </c>
      <c r="D2895" s="225">
        <v>10</v>
      </c>
      <c r="E2895" s="226">
        <v>43578</v>
      </c>
      <c r="F2895" s="227">
        <v>1254785</v>
      </c>
      <c r="G2895" s="1"/>
      <c r="H2895" s="60">
        <v>4958.68</v>
      </c>
      <c r="I2895" s="228">
        <v>1041.32</v>
      </c>
      <c r="J2895" s="229"/>
      <c r="K2895" s="229"/>
      <c r="L2895" s="229">
        <f>SUM(ventas_b_mes11[[#This Row],[IMPORTE NETO]:[EXENTO]])</f>
        <v>6000</v>
      </c>
      <c r="M2895" s="55"/>
    </row>
    <row r="2896" spans="2:13" x14ac:dyDescent="0.3">
      <c r="B2896" s="223">
        <v>44860</v>
      </c>
      <c r="C2896" s="224">
        <v>6</v>
      </c>
      <c r="D2896" s="225">
        <v>10</v>
      </c>
      <c r="E2896" s="226">
        <v>43579</v>
      </c>
      <c r="F2896" s="227">
        <v>12547878</v>
      </c>
      <c r="G2896" s="1" t="s">
        <v>1023</v>
      </c>
      <c r="H2896" s="60">
        <v>4958.68</v>
      </c>
      <c r="I2896" s="228">
        <v>1041.32</v>
      </c>
      <c r="J2896" s="229"/>
      <c r="K2896" s="229"/>
      <c r="L2896" s="229">
        <f>SUM(ventas_b_mes11[[#This Row],[IMPORTE NETO]:[EXENTO]])</f>
        <v>6000</v>
      </c>
      <c r="M2896" s="55"/>
    </row>
    <row r="2897" spans="2:13" x14ac:dyDescent="0.3">
      <c r="B2897" s="223">
        <v>44860</v>
      </c>
      <c r="C2897" s="224">
        <v>6</v>
      </c>
      <c r="D2897" s="225">
        <v>10</v>
      </c>
      <c r="E2897" s="226">
        <v>43580</v>
      </c>
      <c r="F2897" s="227">
        <v>24588991</v>
      </c>
      <c r="G2897" s="1"/>
      <c r="H2897" s="60">
        <v>631.62</v>
      </c>
      <c r="I2897" s="228">
        <v>132.63999999999999</v>
      </c>
      <c r="J2897" s="229"/>
      <c r="K2897" s="229"/>
      <c r="L2897" s="229">
        <f>SUM(ventas_b_mes11[[#This Row],[IMPORTE NETO]:[EXENTO]])</f>
        <v>764.26</v>
      </c>
      <c r="M2897" s="55"/>
    </row>
    <row r="2898" spans="2:13" x14ac:dyDescent="0.3">
      <c r="B2898" s="223">
        <v>44860</v>
      </c>
      <c r="C2898" s="224">
        <v>6</v>
      </c>
      <c r="D2898" s="225">
        <v>10</v>
      </c>
      <c r="E2898" s="226">
        <v>43581</v>
      </c>
      <c r="F2898" s="227">
        <v>2658743</v>
      </c>
      <c r="G2898" s="1" t="s">
        <v>1002</v>
      </c>
      <c r="H2898" s="60">
        <v>6778.51</v>
      </c>
      <c r="I2898" s="228">
        <v>1423.49</v>
      </c>
      <c r="J2898" s="229"/>
      <c r="K2898" s="229"/>
      <c r="L2898" s="229">
        <f>SUM(ventas_b_mes11[[#This Row],[IMPORTE NETO]:[EXENTO]])</f>
        <v>8202</v>
      </c>
      <c r="M2898" s="55"/>
    </row>
    <row r="2899" spans="2:13" x14ac:dyDescent="0.3">
      <c r="B2899" s="223">
        <v>44860</v>
      </c>
      <c r="C2899" s="224">
        <v>6</v>
      </c>
      <c r="D2899" s="225">
        <v>10</v>
      </c>
      <c r="E2899" s="226">
        <v>43582</v>
      </c>
      <c r="F2899" s="227">
        <v>28398350</v>
      </c>
      <c r="G2899" s="1" t="s">
        <v>738</v>
      </c>
      <c r="H2899" s="60">
        <v>3719.01</v>
      </c>
      <c r="I2899" s="228">
        <v>780.99</v>
      </c>
      <c r="J2899" s="229"/>
      <c r="K2899" s="229"/>
      <c r="L2899" s="229">
        <f>SUM(ventas_b_mes11[[#This Row],[IMPORTE NETO]:[EXENTO]])</f>
        <v>4500</v>
      </c>
      <c r="M2899" s="55"/>
    </row>
    <row r="2900" spans="2:13" x14ac:dyDescent="0.3">
      <c r="B2900" s="223">
        <v>44860</v>
      </c>
      <c r="C2900" s="224">
        <v>6</v>
      </c>
      <c r="D2900" s="225">
        <v>10</v>
      </c>
      <c r="E2900" s="226">
        <v>43583</v>
      </c>
      <c r="F2900" s="227">
        <v>24818151</v>
      </c>
      <c r="G2900" s="1" t="s">
        <v>1003</v>
      </c>
      <c r="H2900" s="60">
        <v>4958.68</v>
      </c>
      <c r="I2900" s="228">
        <v>1041.32</v>
      </c>
      <c r="J2900" s="229"/>
      <c r="K2900" s="229"/>
      <c r="L2900" s="229">
        <f>SUM(ventas_b_mes11[[#This Row],[IMPORTE NETO]:[EXENTO]])</f>
        <v>6000</v>
      </c>
      <c r="M2900" s="55"/>
    </row>
    <row r="2901" spans="2:13" x14ac:dyDescent="0.3">
      <c r="B2901" s="223">
        <v>44860</v>
      </c>
      <c r="C2901" s="224">
        <v>6</v>
      </c>
      <c r="D2901" s="225">
        <v>10</v>
      </c>
      <c r="E2901" s="226">
        <v>43584</v>
      </c>
      <c r="F2901" s="227">
        <v>0</v>
      </c>
      <c r="G2901" s="1"/>
      <c r="H2901" s="60">
        <v>383.4</v>
      </c>
      <c r="I2901" s="228">
        <v>80.510000000000005</v>
      </c>
      <c r="J2901" s="229"/>
      <c r="K2901" s="229"/>
      <c r="L2901" s="229">
        <f>SUM(ventas_b_mes11[[#This Row],[IMPORTE NETO]:[EXENTO]])</f>
        <v>463.90999999999997</v>
      </c>
      <c r="M2901" s="55"/>
    </row>
    <row r="2902" spans="2:13" x14ac:dyDescent="0.3">
      <c r="B2902" s="223">
        <v>44860</v>
      </c>
      <c r="C2902" s="224">
        <v>6</v>
      </c>
      <c r="D2902" s="225">
        <v>10</v>
      </c>
      <c r="E2902" s="226">
        <v>43585</v>
      </c>
      <c r="F2902" s="227">
        <v>36740872</v>
      </c>
      <c r="G2902" s="1" t="s">
        <v>774</v>
      </c>
      <c r="H2902" s="60">
        <v>3719.01</v>
      </c>
      <c r="I2902" s="228">
        <v>780.99</v>
      </c>
      <c r="J2902" s="229"/>
      <c r="K2902" s="229"/>
      <c r="L2902" s="229">
        <f>SUM(ventas_b_mes11[[#This Row],[IMPORTE NETO]:[EXENTO]])</f>
        <v>4500</v>
      </c>
      <c r="M2902" s="55"/>
    </row>
    <row r="2903" spans="2:13" x14ac:dyDescent="0.3">
      <c r="B2903" s="223">
        <v>44860</v>
      </c>
      <c r="C2903" s="224">
        <v>6</v>
      </c>
      <c r="D2903" s="225">
        <v>10</v>
      </c>
      <c r="E2903" s="226">
        <v>43586</v>
      </c>
      <c r="F2903" s="227">
        <v>18498122</v>
      </c>
      <c r="G2903" s="1" t="s">
        <v>995</v>
      </c>
      <c r="H2903" s="60">
        <v>1129.4100000000001</v>
      </c>
      <c r="I2903" s="228">
        <v>237.18</v>
      </c>
      <c r="J2903" s="229"/>
      <c r="K2903" s="229"/>
      <c r="L2903" s="229">
        <f>SUM(ventas_b_mes11[[#This Row],[IMPORTE NETO]:[EXENTO]])</f>
        <v>1366.5900000000001</v>
      </c>
      <c r="M2903" s="55"/>
    </row>
    <row r="2904" spans="2:13" x14ac:dyDescent="0.3">
      <c r="B2904" s="223">
        <v>44860</v>
      </c>
      <c r="C2904" s="224">
        <v>6</v>
      </c>
      <c r="D2904" s="225">
        <v>10</v>
      </c>
      <c r="E2904" s="226">
        <v>43587</v>
      </c>
      <c r="F2904" s="227">
        <v>35950053</v>
      </c>
      <c r="G2904" s="1" t="s">
        <v>994</v>
      </c>
      <c r="H2904" s="60">
        <v>3719.01</v>
      </c>
      <c r="I2904" s="228">
        <v>780.99</v>
      </c>
      <c r="J2904" s="229"/>
      <c r="K2904" s="229"/>
      <c r="L2904" s="229">
        <f>SUM(ventas_b_mes11[[#This Row],[IMPORTE NETO]:[EXENTO]])</f>
        <v>4500</v>
      </c>
      <c r="M2904" s="55"/>
    </row>
    <row r="2905" spans="2:13" x14ac:dyDescent="0.3">
      <c r="B2905" s="223">
        <v>44860</v>
      </c>
      <c r="C2905" s="224">
        <v>6</v>
      </c>
      <c r="D2905" s="225">
        <v>10</v>
      </c>
      <c r="E2905" s="226">
        <v>43588</v>
      </c>
      <c r="F2905" s="227">
        <v>18498122</v>
      </c>
      <c r="G2905" s="1" t="s">
        <v>995</v>
      </c>
      <c r="H2905" s="60">
        <v>1652.89</v>
      </c>
      <c r="I2905" s="228">
        <v>347.11</v>
      </c>
      <c r="J2905" s="229"/>
      <c r="K2905" s="229"/>
      <c r="L2905" s="229">
        <f>SUM(ventas_b_mes11[[#This Row],[IMPORTE NETO]:[EXENTO]])</f>
        <v>2000</v>
      </c>
      <c r="M2905" s="55"/>
    </row>
    <row r="2906" spans="2:13" x14ac:dyDescent="0.3">
      <c r="B2906" s="223">
        <v>44860</v>
      </c>
      <c r="C2906" s="224">
        <v>6</v>
      </c>
      <c r="D2906" s="225">
        <v>10</v>
      </c>
      <c r="E2906" s="226">
        <v>43589</v>
      </c>
      <c r="F2906" s="227">
        <v>38625937</v>
      </c>
      <c r="G2906" s="1" t="s">
        <v>144</v>
      </c>
      <c r="H2906" s="60">
        <v>2888.43</v>
      </c>
      <c r="I2906" s="228">
        <v>606.57000000000005</v>
      </c>
      <c r="J2906" s="229"/>
      <c r="K2906" s="229"/>
      <c r="L2906" s="229">
        <f>SUM(ventas_b_mes11[[#This Row],[IMPORTE NETO]:[EXENTO]])</f>
        <v>3495</v>
      </c>
      <c r="M2906" s="55"/>
    </row>
    <row r="2907" spans="2:13" x14ac:dyDescent="0.3">
      <c r="B2907" s="223">
        <v>44860</v>
      </c>
      <c r="C2907" s="224">
        <v>6</v>
      </c>
      <c r="D2907" s="225">
        <v>10</v>
      </c>
      <c r="E2907" s="226">
        <v>43590</v>
      </c>
      <c r="F2907" s="227">
        <v>123456</v>
      </c>
      <c r="G2907" s="1"/>
      <c r="H2907" s="60">
        <v>2841.51</v>
      </c>
      <c r="I2907" s="228">
        <v>596.72</v>
      </c>
      <c r="J2907" s="229"/>
      <c r="K2907" s="229"/>
      <c r="L2907" s="229">
        <f>SUM(ventas_b_mes11[[#This Row],[IMPORTE NETO]:[EXENTO]])</f>
        <v>3438.2300000000005</v>
      </c>
      <c r="M2907" s="55"/>
    </row>
    <row r="2908" spans="2:13" x14ac:dyDescent="0.3">
      <c r="B2908" s="223">
        <v>44860</v>
      </c>
      <c r="C2908" s="224">
        <v>6</v>
      </c>
      <c r="D2908" s="225">
        <v>10</v>
      </c>
      <c r="E2908" s="226">
        <v>43591</v>
      </c>
      <c r="F2908" s="227">
        <v>27162659273</v>
      </c>
      <c r="G2908" s="1" t="s">
        <v>985</v>
      </c>
      <c r="H2908" s="60">
        <v>2338.84</v>
      </c>
      <c r="I2908" s="228">
        <v>491.16</v>
      </c>
      <c r="J2908" s="229"/>
      <c r="K2908" s="229"/>
      <c r="L2908" s="229">
        <f>SUM(ventas_b_mes11[[#This Row],[IMPORTE NETO]:[EXENTO]])</f>
        <v>2830</v>
      </c>
      <c r="M2908" s="55"/>
    </row>
    <row r="2909" spans="2:13" x14ac:dyDescent="0.3">
      <c r="B2909" s="223">
        <v>44860</v>
      </c>
      <c r="C2909" s="224">
        <v>6</v>
      </c>
      <c r="D2909" s="225">
        <v>10</v>
      </c>
      <c r="E2909" s="226">
        <v>43592</v>
      </c>
      <c r="F2909" s="227">
        <v>21815624</v>
      </c>
      <c r="G2909" s="1" t="s">
        <v>872</v>
      </c>
      <c r="H2909" s="60">
        <v>2958.68</v>
      </c>
      <c r="I2909" s="228">
        <v>621.32000000000005</v>
      </c>
      <c r="J2909" s="229"/>
      <c r="K2909" s="229"/>
      <c r="L2909" s="229">
        <f>SUM(ventas_b_mes11[[#This Row],[IMPORTE NETO]:[EXENTO]])</f>
        <v>3580</v>
      </c>
      <c r="M2909" s="55"/>
    </row>
    <row r="2910" spans="2:13" x14ac:dyDescent="0.3">
      <c r="B2910" s="223">
        <v>44860</v>
      </c>
      <c r="C2910" s="224">
        <v>6</v>
      </c>
      <c r="D2910" s="225">
        <v>10</v>
      </c>
      <c r="E2910" s="226">
        <v>43593</v>
      </c>
      <c r="F2910" s="227">
        <v>27602253</v>
      </c>
      <c r="G2910" s="1" t="s">
        <v>207</v>
      </c>
      <c r="H2910" s="60">
        <v>669.42</v>
      </c>
      <c r="I2910" s="228">
        <v>140.58000000000001</v>
      </c>
      <c r="J2910" s="229"/>
      <c r="K2910" s="229"/>
      <c r="L2910" s="229">
        <f>SUM(ventas_b_mes11[[#This Row],[IMPORTE NETO]:[EXENTO]])</f>
        <v>810</v>
      </c>
      <c r="M2910" s="55"/>
    </row>
    <row r="2911" spans="2:13" x14ac:dyDescent="0.3">
      <c r="B2911" s="223">
        <v>44860</v>
      </c>
      <c r="C2911" s="224">
        <v>6</v>
      </c>
      <c r="D2911" s="225">
        <v>10</v>
      </c>
      <c r="E2911" s="226">
        <v>43594</v>
      </c>
      <c r="F2911" s="227">
        <v>26468795</v>
      </c>
      <c r="G2911" s="1" t="s">
        <v>987</v>
      </c>
      <c r="H2911" s="60">
        <v>3719.01</v>
      </c>
      <c r="I2911" s="228">
        <v>780.99</v>
      </c>
      <c r="J2911" s="229"/>
      <c r="K2911" s="229"/>
      <c r="L2911" s="229">
        <f>SUM(ventas_b_mes11[[#This Row],[IMPORTE NETO]:[EXENTO]])</f>
        <v>4500</v>
      </c>
      <c r="M2911" s="55"/>
    </row>
    <row r="2912" spans="2:13" x14ac:dyDescent="0.3">
      <c r="B2912" s="223">
        <v>44860</v>
      </c>
      <c r="C2912" s="224">
        <v>6</v>
      </c>
      <c r="D2912" s="225">
        <v>10</v>
      </c>
      <c r="E2912" s="226">
        <v>43595</v>
      </c>
      <c r="F2912" s="227">
        <v>49560225</v>
      </c>
      <c r="G2912" s="1" t="s">
        <v>768</v>
      </c>
      <c r="H2912" s="60">
        <v>3719.01</v>
      </c>
      <c r="I2912" s="228">
        <v>780.99</v>
      </c>
      <c r="J2912" s="229"/>
      <c r="K2912" s="229"/>
      <c r="L2912" s="229">
        <f>SUM(ventas_b_mes11[[#This Row],[IMPORTE NETO]:[EXENTO]])</f>
        <v>4500</v>
      </c>
      <c r="M2912" s="55"/>
    </row>
    <row r="2913" spans="2:13" x14ac:dyDescent="0.3">
      <c r="B2913" s="223">
        <v>44860</v>
      </c>
      <c r="C2913" s="224">
        <v>6</v>
      </c>
      <c r="D2913" s="225">
        <v>10</v>
      </c>
      <c r="E2913" s="226">
        <v>43596</v>
      </c>
      <c r="F2913" s="227">
        <v>11428194</v>
      </c>
      <c r="G2913" s="1" t="s">
        <v>986</v>
      </c>
      <c r="H2913" s="60">
        <v>3530.21</v>
      </c>
      <c r="I2913" s="228">
        <v>741.34</v>
      </c>
      <c r="J2913" s="229"/>
      <c r="K2913" s="229"/>
      <c r="L2913" s="229">
        <f>SUM(ventas_b_mes11[[#This Row],[IMPORTE NETO]:[EXENTO]])</f>
        <v>4271.55</v>
      </c>
      <c r="M2913" s="55"/>
    </row>
    <row r="2914" spans="2:13" x14ac:dyDescent="0.3">
      <c r="B2914" s="223">
        <v>44860</v>
      </c>
      <c r="C2914" s="224">
        <v>6</v>
      </c>
      <c r="D2914" s="225">
        <v>10</v>
      </c>
      <c r="E2914" s="226">
        <v>43597</v>
      </c>
      <c r="F2914" s="227">
        <v>18590873</v>
      </c>
      <c r="G2914" s="1" t="s">
        <v>319</v>
      </c>
      <c r="H2914" s="60">
        <v>1487.6</v>
      </c>
      <c r="I2914" s="228">
        <v>312.39999999999998</v>
      </c>
      <c r="J2914" s="229"/>
      <c r="K2914" s="229"/>
      <c r="L2914" s="229">
        <f>SUM(ventas_b_mes11[[#This Row],[IMPORTE NETO]:[EXENTO]])</f>
        <v>1800</v>
      </c>
      <c r="M2914" s="55"/>
    </row>
    <row r="2915" spans="2:13" x14ac:dyDescent="0.3">
      <c r="B2915" s="223">
        <v>44860</v>
      </c>
      <c r="C2915" s="224">
        <v>6</v>
      </c>
      <c r="D2915" s="225">
        <v>10</v>
      </c>
      <c r="E2915" s="226">
        <v>43598</v>
      </c>
      <c r="F2915" s="227">
        <v>18590873</v>
      </c>
      <c r="G2915" s="1" t="s">
        <v>319</v>
      </c>
      <c r="H2915" s="60">
        <v>1652.89</v>
      </c>
      <c r="I2915" s="228">
        <v>347.11</v>
      </c>
      <c r="J2915" s="229"/>
      <c r="K2915" s="229"/>
      <c r="L2915" s="229">
        <f>SUM(ventas_b_mes11[[#This Row],[IMPORTE NETO]:[EXENTO]])</f>
        <v>2000</v>
      </c>
      <c r="M2915" s="55"/>
    </row>
    <row r="2916" spans="2:13" x14ac:dyDescent="0.3">
      <c r="B2916" s="223">
        <v>44860</v>
      </c>
      <c r="C2916" s="224">
        <v>6</v>
      </c>
      <c r="D2916" s="225">
        <v>10</v>
      </c>
      <c r="E2916" s="226">
        <v>43599</v>
      </c>
      <c r="F2916" s="227">
        <v>95923449</v>
      </c>
      <c r="G2916" s="1" t="s">
        <v>988</v>
      </c>
      <c r="H2916" s="60">
        <v>2644.63</v>
      </c>
      <c r="I2916" s="228">
        <v>555.37</v>
      </c>
      <c r="J2916" s="229"/>
      <c r="K2916" s="229"/>
      <c r="L2916" s="229">
        <f>SUM(ventas_b_mes11[[#This Row],[IMPORTE NETO]:[EXENTO]])</f>
        <v>3200</v>
      </c>
      <c r="M2916" s="55"/>
    </row>
    <row r="2917" spans="2:13" x14ac:dyDescent="0.3">
      <c r="B2917" s="223">
        <v>44860</v>
      </c>
      <c r="C2917" s="224">
        <v>6</v>
      </c>
      <c r="D2917" s="225">
        <v>10</v>
      </c>
      <c r="E2917" s="226">
        <v>43600</v>
      </c>
      <c r="F2917" s="227">
        <v>0</v>
      </c>
      <c r="G2917" s="1"/>
      <c r="H2917" s="60">
        <v>1239.67</v>
      </c>
      <c r="I2917" s="228">
        <v>260.33</v>
      </c>
      <c r="J2917" s="229"/>
      <c r="K2917" s="229"/>
      <c r="L2917" s="229">
        <f>SUM(ventas_b_mes11[[#This Row],[IMPORTE NETO]:[EXENTO]])</f>
        <v>1500</v>
      </c>
      <c r="M2917" s="55"/>
    </row>
    <row r="2918" spans="2:13" x14ac:dyDescent="0.3">
      <c r="B2918" s="223">
        <v>44860</v>
      </c>
      <c r="C2918" s="224">
        <v>6</v>
      </c>
      <c r="D2918" s="225">
        <v>10</v>
      </c>
      <c r="E2918" s="226">
        <v>43601</v>
      </c>
      <c r="F2918" s="227">
        <v>5485</v>
      </c>
      <c r="G2918" s="1"/>
      <c r="H2918" s="60">
        <v>1652.89</v>
      </c>
      <c r="I2918" s="228">
        <v>347.11</v>
      </c>
      <c r="J2918" s="229"/>
      <c r="K2918" s="229"/>
      <c r="L2918" s="229">
        <f>SUM(ventas_b_mes11[[#This Row],[IMPORTE NETO]:[EXENTO]])</f>
        <v>2000</v>
      </c>
      <c r="M2918" s="55"/>
    </row>
    <row r="2919" spans="2:13" x14ac:dyDescent="0.3">
      <c r="B2919" s="223">
        <v>44860</v>
      </c>
      <c r="C2919" s="224">
        <v>6</v>
      </c>
      <c r="D2919" s="225">
        <v>10</v>
      </c>
      <c r="E2919" s="226">
        <v>43602</v>
      </c>
      <c r="F2919" s="227">
        <v>39628954</v>
      </c>
      <c r="G2919" s="1" t="s">
        <v>981</v>
      </c>
      <c r="H2919" s="60">
        <v>914.85</v>
      </c>
      <c r="I2919" s="228">
        <v>192.12</v>
      </c>
      <c r="J2919" s="229"/>
      <c r="K2919" s="229"/>
      <c r="L2919" s="229">
        <f>SUM(ventas_b_mes11[[#This Row],[IMPORTE NETO]:[EXENTO]])</f>
        <v>1106.97</v>
      </c>
      <c r="M2919" s="55"/>
    </row>
    <row r="2920" spans="2:13" x14ac:dyDescent="0.3">
      <c r="B2920" s="223">
        <v>44860</v>
      </c>
      <c r="C2920" s="224">
        <v>6</v>
      </c>
      <c r="D2920" s="225">
        <v>10</v>
      </c>
      <c r="E2920" s="226">
        <v>43603</v>
      </c>
      <c r="F2920" s="227">
        <v>95714713</v>
      </c>
      <c r="G2920" s="1" t="s">
        <v>980</v>
      </c>
      <c r="H2920" s="60">
        <v>3719.01</v>
      </c>
      <c r="I2920" s="228">
        <v>780.99</v>
      </c>
      <c r="J2920" s="229"/>
      <c r="K2920" s="229"/>
      <c r="L2920" s="229">
        <f>SUM(ventas_b_mes11[[#This Row],[IMPORTE NETO]:[EXENTO]])</f>
        <v>4500</v>
      </c>
      <c r="M2920" s="55"/>
    </row>
    <row r="2921" spans="2:13" x14ac:dyDescent="0.3">
      <c r="B2921" s="223">
        <v>44860</v>
      </c>
      <c r="C2921" s="224">
        <v>6</v>
      </c>
      <c r="D2921" s="225">
        <v>10</v>
      </c>
      <c r="E2921" s="226">
        <v>43604</v>
      </c>
      <c r="F2921" s="227">
        <v>17005512</v>
      </c>
      <c r="G2921" s="1" t="s">
        <v>869</v>
      </c>
      <c r="H2921" s="60">
        <v>1652.89</v>
      </c>
      <c r="I2921" s="228">
        <v>347.11</v>
      </c>
      <c r="J2921" s="229"/>
      <c r="K2921" s="229"/>
      <c r="L2921" s="229">
        <f>SUM(ventas_b_mes11[[#This Row],[IMPORTE NETO]:[EXENTO]])</f>
        <v>2000</v>
      </c>
      <c r="M2921" s="55"/>
    </row>
    <row r="2922" spans="2:13" x14ac:dyDescent="0.3">
      <c r="B2922" s="223">
        <v>44860</v>
      </c>
      <c r="C2922" s="224">
        <v>6</v>
      </c>
      <c r="D2922" s="225">
        <v>10</v>
      </c>
      <c r="E2922" s="226">
        <v>43605</v>
      </c>
      <c r="F2922" s="227">
        <v>20956396</v>
      </c>
      <c r="G2922" s="1"/>
      <c r="H2922" s="60">
        <v>3719.01</v>
      </c>
      <c r="I2922" s="228">
        <v>780.99</v>
      </c>
      <c r="J2922" s="229"/>
      <c r="K2922" s="229"/>
      <c r="L2922" s="229">
        <f>SUM(ventas_b_mes11[[#This Row],[IMPORTE NETO]:[EXENTO]])</f>
        <v>4500</v>
      </c>
      <c r="M2922" s="55"/>
    </row>
    <row r="2923" spans="2:13" x14ac:dyDescent="0.3">
      <c r="B2923" s="223">
        <v>44860</v>
      </c>
      <c r="C2923" s="224">
        <v>6</v>
      </c>
      <c r="D2923" s="225">
        <v>10</v>
      </c>
      <c r="E2923" s="226">
        <v>43606</v>
      </c>
      <c r="F2923" s="227">
        <v>43990221</v>
      </c>
      <c r="G2923" s="1" t="s">
        <v>979</v>
      </c>
      <c r="H2923" s="60">
        <v>3719.01</v>
      </c>
      <c r="I2923" s="228">
        <v>780.99</v>
      </c>
      <c r="J2923" s="229"/>
      <c r="K2923" s="229"/>
      <c r="L2923" s="229">
        <f>SUM(ventas_b_mes11[[#This Row],[IMPORTE NETO]:[EXENTO]])</f>
        <v>4500</v>
      </c>
      <c r="M2923" s="55"/>
    </row>
    <row r="2924" spans="2:13" x14ac:dyDescent="0.3">
      <c r="B2924" s="223">
        <v>44860</v>
      </c>
      <c r="C2924" s="224">
        <v>6</v>
      </c>
      <c r="D2924" s="225">
        <v>10</v>
      </c>
      <c r="E2924" s="226">
        <v>43607</v>
      </c>
      <c r="F2924" s="227">
        <v>43176443</v>
      </c>
      <c r="G2924" s="1" t="s">
        <v>973</v>
      </c>
      <c r="H2924" s="60">
        <v>3719.01</v>
      </c>
      <c r="I2924" s="228">
        <v>780.99</v>
      </c>
      <c r="J2924" s="229"/>
      <c r="K2924" s="229"/>
      <c r="L2924" s="229">
        <f>SUM(ventas_b_mes11[[#This Row],[IMPORTE NETO]:[EXENTO]])</f>
        <v>4500</v>
      </c>
      <c r="M2924" s="55"/>
    </row>
    <row r="2925" spans="2:13" x14ac:dyDescent="0.3">
      <c r="B2925" s="223">
        <v>44861</v>
      </c>
      <c r="C2925" s="224">
        <v>6</v>
      </c>
      <c r="D2925" s="225">
        <v>10</v>
      </c>
      <c r="E2925" s="226">
        <v>43608</v>
      </c>
      <c r="F2925" s="227">
        <v>94160271</v>
      </c>
      <c r="G2925" s="1" t="s">
        <v>679</v>
      </c>
      <c r="H2925" s="60">
        <v>6537.2</v>
      </c>
      <c r="I2925" s="228">
        <v>1372.81</v>
      </c>
      <c r="J2925" s="229"/>
      <c r="K2925" s="229"/>
      <c r="L2925" s="229">
        <f>SUM(ventas_b_mes11[[#This Row],[IMPORTE NETO]:[EXENTO]])</f>
        <v>7910.01</v>
      </c>
      <c r="M2925" s="55"/>
    </row>
    <row r="2926" spans="2:13" x14ac:dyDescent="0.3">
      <c r="B2926" s="223">
        <v>44861</v>
      </c>
      <c r="C2926" s="224">
        <v>6</v>
      </c>
      <c r="D2926" s="225">
        <v>10</v>
      </c>
      <c r="E2926" s="226">
        <v>43609</v>
      </c>
      <c r="F2926" s="227">
        <v>29683103</v>
      </c>
      <c r="G2926" s="1" t="s">
        <v>1061</v>
      </c>
      <c r="H2926" s="60">
        <v>11626.03</v>
      </c>
      <c r="I2926" s="228">
        <v>2441.4699999999998</v>
      </c>
      <c r="J2926" s="229"/>
      <c r="K2926" s="229"/>
      <c r="L2926" s="229">
        <f>SUM(ventas_b_mes11[[#This Row],[IMPORTE NETO]:[EXENTO]])</f>
        <v>14067.5</v>
      </c>
      <c r="M2926" s="55"/>
    </row>
    <row r="2927" spans="2:13" x14ac:dyDescent="0.3">
      <c r="B2927" s="223">
        <v>44861</v>
      </c>
      <c r="C2927" s="224">
        <v>6</v>
      </c>
      <c r="D2927" s="225">
        <v>10</v>
      </c>
      <c r="E2927" s="226">
        <v>43610</v>
      </c>
      <c r="F2927" s="227">
        <v>18007967</v>
      </c>
      <c r="G2927" s="1"/>
      <c r="H2927" s="60">
        <v>4958.68</v>
      </c>
      <c r="I2927" s="228">
        <v>1041.32</v>
      </c>
      <c r="J2927" s="229"/>
      <c r="K2927" s="229"/>
      <c r="L2927" s="229">
        <f>SUM(ventas_b_mes11[[#This Row],[IMPORTE NETO]:[EXENTO]])</f>
        <v>6000</v>
      </c>
      <c r="M2927" s="55"/>
    </row>
    <row r="2928" spans="2:13" x14ac:dyDescent="0.3">
      <c r="B2928" s="223">
        <v>44861</v>
      </c>
      <c r="C2928" s="224">
        <v>6</v>
      </c>
      <c r="D2928" s="225">
        <v>10</v>
      </c>
      <c r="E2928" s="226">
        <v>43611</v>
      </c>
      <c r="F2928" s="227">
        <v>37388148</v>
      </c>
      <c r="G2928" s="1" t="s">
        <v>1059</v>
      </c>
      <c r="H2928" s="60">
        <v>4958.68</v>
      </c>
      <c r="I2928" s="228">
        <v>1041.32</v>
      </c>
      <c r="J2928" s="229"/>
      <c r="K2928" s="229"/>
      <c r="L2928" s="229">
        <f>SUM(ventas_b_mes11[[#This Row],[IMPORTE NETO]:[EXENTO]])</f>
        <v>6000</v>
      </c>
      <c r="M2928" s="55"/>
    </row>
    <row r="2929" spans="2:13" x14ac:dyDescent="0.3">
      <c r="B2929" s="223">
        <v>44861</v>
      </c>
      <c r="C2929" s="224">
        <v>6</v>
      </c>
      <c r="D2929" s="225">
        <v>10</v>
      </c>
      <c r="E2929" s="226">
        <v>43612</v>
      </c>
      <c r="F2929" s="227">
        <v>13776090</v>
      </c>
      <c r="G2929" s="1" t="s">
        <v>223</v>
      </c>
      <c r="H2929" s="60">
        <v>2318.1799999999998</v>
      </c>
      <c r="I2929" s="228">
        <v>486.82</v>
      </c>
      <c r="J2929" s="229"/>
      <c r="K2929" s="229"/>
      <c r="L2929" s="229">
        <f>SUM(ventas_b_mes11[[#This Row],[IMPORTE NETO]:[EXENTO]])</f>
        <v>2805</v>
      </c>
      <c r="M2929" s="55"/>
    </row>
    <row r="2930" spans="2:13" x14ac:dyDescent="0.3">
      <c r="B2930" s="223">
        <v>44861</v>
      </c>
      <c r="C2930" s="224">
        <v>6</v>
      </c>
      <c r="D2930" s="225">
        <v>10</v>
      </c>
      <c r="E2930" s="226">
        <v>43613</v>
      </c>
      <c r="F2930" s="227">
        <v>1760691</v>
      </c>
      <c r="G2930" s="1" t="s">
        <v>642</v>
      </c>
      <c r="H2930" s="60">
        <v>7952.07</v>
      </c>
      <c r="I2930" s="228">
        <v>1669.94</v>
      </c>
      <c r="J2930" s="229"/>
      <c r="K2930" s="229"/>
      <c r="L2930" s="229">
        <f>SUM(ventas_b_mes11[[#This Row],[IMPORTE NETO]:[EXENTO]])</f>
        <v>9622.01</v>
      </c>
      <c r="M2930" s="55"/>
    </row>
    <row r="2931" spans="2:13" x14ac:dyDescent="0.3">
      <c r="B2931" s="223">
        <v>44861</v>
      </c>
      <c r="C2931" s="224">
        <v>6</v>
      </c>
      <c r="D2931" s="225">
        <v>10</v>
      </c>
      <c r="E2931" s="226">
        <v>43614</v>
      </c>
      <c r="F2931" s="227">
        <v>27230340213</v>
      </c>
      <c r="G2931" s="1" t="s">
        <v>220</v>
      </c>
      <c r="H2931" s="60">
        <v>78787.27</v>
      </c>
      <c r="I2931" s="228">
        <v>16545.330000000002</v>
      </c>
      <c r="J2931" s="229"/>
      <c r="K2931" s="229"/>
      <c r="L2931" s="229">
        <f>SUM(ventas_b_mes11[[#This Row],[IMPORTE NETO]:[EXENTO]])</f>
        <v>95332.6</v>
      </c>
      <c r="M2931" s="55"/>
    </row>
    <row r="2932" spans="2:13" x14ac:dyDescent="0.3">
      <c r="B2932" s="223">
        <v>44861</v>
      </c>
      <c r="C2932" s="224">
        <v>6</v>
      </c>
      <c r="D2932" s="225">
        <v>10</v>
      </c>
      <c r="E2932" s="226">
        <v>43615</v>
      </c>
      <c r="F2932" s="227">
        <v>11690022</v>
      </c>
      <c r="G2932" s="1" t="s">
        <v>1028</v>
      </c>
      <c r="H2932" s="60">
        <v>3969.01</v>
      </c>
      <c r="I2932" s="228">
        <v>833.49</v>
      </c>
      <c r="J2932" s="229"/>
      <c r="K2932" s="229"/>
      <c r="L2932" s="229">
        <f>SUM(ventas_b_mes11[[#This Row],[IMPORTE NETO]:[EXENTO]])</f>
        <v>4802.5</v>
      </c>
      <c r="M2932" s="55"/>
    </row>
    <row r="2933" spans="2:13" x14ac:dyDescent="0.3">
      <c r="B2933" s="223">
        <v>44861</v>
      </c>
      <c r="C2933" s="224">
        <v>6</v>
      </c>
      <c r="D2933" s="225">
        <v>10</v>
      </c>
      <c r="E2933" s="226">
        <v>43616</v>
      </c>
      <c r="F2933" s="227">
        <v>18597462</v>
      </c>
      <c r="G2933" s="1" t="s">
        <v>243</v>
      </c>
      <c r="H2933" s="60">
        <v>5879.76</v>
      </c>
      <c r="I2933" s="228">
        <v>1234.75</v>
      </c>
      <c r="J2933" s="229"/>
      <c r="K2933" s="229"/>
      <c r="L2933" s="229">
        <f>SUM(ventas_b_mes11[[#This Row],[IMPORTE NETO]:[EXENTO]])</f>
        <v>7114.51</v>
      </c>
      <c r="M2933" s="55"/>
    </row>
    <row r="2934" spans="2:13" x14ac:dyDescent="0.3">
      <c r="B2934" s="223">
        <v>44861</v>
      </c>
      <c r="C2934" s="224">
        <v>6</v>
      </c>
      <c r="D2934" s="225">
        <v>10</v>
      </c>
      <c r="E2934" s="226">
        <v>43617</v>
      </c>
      <c r="F2934" s="227">
        <v>0</v>
      </c>
      <c r="G2934" s="1"/>
      <c r="H2934" s="60">
        <v>3631.82</v>
      </c>
      <c r="I2934" s="228">
        <v>762.68</v>
      </c>
      <c r="J2934" s="229"/>
      <c r="K2934" s="229"/>
      <c r="L2934" s="229">
        <f>SUM(ventas_b_mes11[[#This Row],[IMPORTE NETO]:[EXENTO]])</f>
        <v>4394.5</v>
      </c>
      <c r="M2934" s="55"/>
    </row>
    <row r="2935" spans="2:13" x14ac:dyDescent="0.3">
      <c r="B2935" s="223">
        <v>44861</v>
      </c>
      <c r="C2935" s="224">
        <v>6</v>
      </c>
      <c r="D2935" s="225">
        <v>10</v>
      </c>
      <c r="E2935" s="226">
        <v>43618</v>
      </c>
      <c r="F2935" s="227">
        <v>4546541</v>
      </c>
      <c r="G2935" s="1" t="s">
        <v>1057</v>
      </c>
      <c r="H2935" s="60">
        <v>5373.97</v>
      </c>
      <c r="I2935" s="228">
        <v>1128.53</v>
      </c>
      <c r="J2935" s="229"/>
      <c r="K2935" s="229"/>
      <c r="L2935" s="229">
        <f>SUM(ventas_b_mes11[[#This Row],[IMPORTE NETO]:[EXENTO]])</f>
        <v>6502.5</v>
      </c>
      <c r="M2935" s="55"/>
    </row>
    <row r="2936" spans="2:13" x14ac:dyDescent="0.3">
      <c r="B2936" s="223">
        <v>44861</v>
      </c>
      <c r="C2936" s="224">
        <v>6</v>
      </c>
      <c r="D2936" s="225">
        <v>10</v>
      </c>
      <c r="E2936" s="226">
        <v>43619</v>
      </c>
      <c r="F2936" s="227">
        <v>2395899966</v>
      </c>
      <c r="G2936" s="1"/>
      <c r="H2936" s="60">
        <v>12021.9</v>
      </c>
      <c r="I2936" s="228">
        <v>2524.6</v>
      </c>
      <c r="J2936" s="229"/>
      <c r="K2936" s="229"/>
      <c r="L2936" s="229">
        <f>SUM(ventas_b_mes11[[#This Row],[IMPORTE NETO]:[EXENTO]])</f>
        <v>14546.5</v>
      </c>
      <c r="M2936" s="55"/>
    </row>
    <row r="2937" spans="2:13" x14ac:dyDescent="0.3">
      <c r="B2937" s="223">
        <v>44861</v>
      </c>
      <c r="C2937" s="224">
        <v>6</v>
      </c>
      <c r="D2937" s="225">
        <v>10</v>
      </c>
      <c r="E2937" s="226">
        <v>43620</v>
      </c>
      <c r="F2937" s="227">
        <v>54541451</v>
      </c>
      <c r="G2937" s="1" t="s">
        <v>1046</v>
      </c>
      <c r="H2937" s="60">
        <v>10003.31</v>
      </c>
      <c r="I2937" s="228">
        <v>2100.69</v>
      </c>
      <c r="J2937" s="229"/>
      <c r="K2937" s="229"/>
      <c r="L2937" s="229">
        <f>SUM(ventas_b_mes11[[#This Row],[IMPORTE NETO]:[EXENTO]])</f>
        <v>12104</v>
      </c>
      <c r="M2937" s="55"/>
    </row>
    <row r="2938" spans="2:13" x14ac:dyDescent="0.3">
      <c r="B2938" s="223">
        <v>44861</v>
      </c>
      <c r="C2938" s="224">
        <v>6</v>
      </c>
      <c r="D2938" s="225">
        <v>10</v>
      </c>
      <c r="E2938" s="226">
        <v>43621</v>
      </c>
      <c r="F2938" s="227">
        <v>13569997</v>
      </c>
      <c r="G2938" s="1" t="s">
        <v>984</v>
      </c>
      <c r="H2938" s="60">
        <v>15707.81</v>
      </c>
      <c r="I2938" s="228">
        <v>3298.64</v>
      </c>
      <c r="J2938" s="229"/>
      <c r="K2938" s="229"/>
      <c r="L2938" s="229">
        <f>SUM(ventas_b_mes11[[#This Row],[IMPORTE NETO]:[EXENTO]])</f>
        <v>19006.45</v>
      </c>
      <c r="M2938" s="55"/>
    </row>
    <row r="2939" spans="2:13" x14ac:dyDescent="0.3">
      <c r="B2939" s="223">
        <v>44861</v>
      </c>
      <c r="C2939" s="224">
        <v>6</v>
      </c>
      <c r="D2939" s="225">
        <v>10</v>
      </c>
      <c r="E2939" s="226">
        <v>43622</v>
      </c>
      <c r="F2939" s="227">
        <v>23962248</v>
      </c>
      <c r="G2939" s="1" t="s">
        <v>637</v>
      </c>
      <c r="H2939" s="60">
        <v>3464.88</v>
      </c>
      <c r="I2939" s="228">
        <v>727.62</v>
      </c>
      <c r="J2939" s="229"/>
      <c r="K2939" s="229"/>
      <c r="L2939" s="229">
        <f>SUM(ventas_b_mes11[[#This Row],[IMPORTE NETO]:[EXENTO]])</f>
        <v>4192.5</v>
      </c>
      <c r="M2939" s="55"/>
    </row>
    <row r="2940" spans="2:13" x14ac:dyDescent="0.3">
      <c r="B2940" s="223">
        <v>44861</v>
      </c>
      <c r="C2940" s="224">
        <v>6</v>
      </c>
      <c r="D2940" s="225">
        <v>10</v>
      </c>
      <c r="E2940" s="226">
        <v>43623</v>
      </c>
      <c r="F2940" s="227">
        <v>23319067</v>
      </c>
      <c r="G2940" s="1" t="s">
        <v>1043</v>
      </c>
      <c r="H2940" s="60">
        <v>9819.84</v>
      </c>
      <c r="I2940" s="228">
        <v>2062.17</v>
      </c>
      <c r="J2940" s="229"/>
      <c r="K2940" s="229"/>
      <c r="L2940" s="229">
        <f>SUM(ventas_b_mes11[[#This Row],[IMPORTE NETO]:[EXENTO]])</f>
        <v>11882.01</v>
      </c>
      <c r="M2940" s="55"/>
    </row>
    <row r="2941" spans="2:13" x14ac:dyDescent="0.3">
      <c r="B2941" s="223">
        <v>44861</v>
      </c>
      <c r="C2941" s="224">
        <v>6</v>
      </c>
      <c r="D2941" s="225">
        <v>10</v>
      </c>
      <c r="E2941" s="226">
        <v>43624</v>
      </c>
      <c r="F2941" s="227">
        <v>94080888</v>
      </c>
      <c r="G2941" s="1" t="s">
        <v>1031</v>
      </c>
      <c r="H2941" s="60">
        <v>4425.62</v>
      </c>
      <c r="I2941" s="228">
        <v>929.38</v>
      </c>
      <c r="J2941" s="229"/>
      <c r="K2941" s="229"/>
      <c r="L2941" s="229">
        <f>SUM(ventas_b_mes11[[#This Row],[IMPORTE NETO]:[EXENTO]])</f>
        <v>5355</v>
      </c>
      <c r="M2941" s="55"/>
    </row>
    <row r="2942" spans="2:13" x14ac:dyDescent="0.3">
      <c r="B2942" s="223">
        <v>44861</v>
      </c>
      <c r="C2942" s="224">
        <v>6</v>
      </c>
      <c r="D2942" s="225">
        <v>10</v>
      </c>
      <c r="E2942" s="226">
        <v>43625</v>
      </c>
      <c r="F2942" s="227">
        <v>32736876</v>
      </c>
      <c r="G2942" s="1" t="s">
        <v>213</v>
      </c>
      <c r="H2942" s="60">
        <v>3933.88</v>
      </c>
      <c r="I2942" s="228">
        <v>826.12</v>
      </c>
      <c r="J2942" s="229"/>
      <c r="K2942" s="229"/>
      <c r="L2942" s="229">
        <f>SUM(ventas_b_mes11[[#This Row],[IMPORTE NETO]:[EXENTO]])</f>
        <v>4760</v>
      </c>
      <c r="M2942" s="55"/>
    </row>
    <row r="2943" spans="2:13" x14ac:dyDescent="0.3">
      <c r="B2943" s="223">
        <v>44861</v>
      </c>
      <c r="C2943" s="224">
        <v>6</v>
      </c>
      <c r="D2943" s="225">
        <v>10</v>
      </c>
      <c r="E2943" s="226">
        <v>43626</v>
      </c>
      <c r="F2943" s="227">
        <v>25782543</v>
      </c>
      <c r="G2943" s="1" t="s">
        <v>1032</v>
      </c>
      <c r="H2943" s="60">
        <v>2066.12</v>
      </c>
      <c r="I2943" s="228">
        <v>433.88</v>
      </c>
      <c r="J2943" s="229"/>
      <c r="K2943" s="229"/>
      <c r="L2943" s="229">
        <f>SUM(ventas_b_mes11[[#This Row],[IMPORTE NETO]:[EXENTO]])</f>
        <v>2500</v>
      </c>
      <c r="M2943" s="55"/>
    </row>
    <row r="2944" spans="2:13" x14ac:dyDescent="0.3">
      <c r="B2944" s="223">
        <v>44861</v>
      </c>
      <c r="C2944" s="224">
        <v>6</v>
      </c>
      <c r="D2944" s="225">
        <v>10</v>
      </c>
      <c r="E2944" s="226">
        <v>43627</v>
      </c>
      <c r="F2944" s="227">
        <v>38952354</v>
      </c>
      <c r="G2944" s="1" t="s">
        <v>645</v>
      </c>
      <c r="H2944" s="60">
        <v>6181.82</v>
      </c>
      <c r="I2944" s="228">
        <v>1298.18</v>
      </c>
      <c r="J2944" s="229"/>
      <c r="K2944" s="229"/>
      <c r="L2944" s="229">
        <f>SUM(ventas_b_mes11[[#This Row],[IMPORTE NETO]:[EXENTO]])</f>
        <v>7480</v>
      </c>
      <c r="M2944" s="55"/>
    </row>
    <row r="2945" spans="2:13" x14ac:dyDescent="0.3">
      <c r="B2945" s="223">
        <v>44862</v>
      </c>
      <c r="C2945" s="224">
        <v>6</v>
      </c>
      <c r="D2945" s="225">
        <v>10</v>
      </c>
      <c r="E2945" s="226">
        <v>43628</v>
      </c>
      <c r="F2945" s="227">
        <v>18100128</v>
      </c>
      <c r="G2945" s="1"/>
      <c r="H2945" s="60">
        <v>2745.14</v>
      </c>
      <c r="I2945" s="228">
        <v>576.48</v>
      </c>
      <c r="J2945" s="229"/>
      <c r="K2945" s="229"/>
      <c r="L2945" s="229">
        <f>SUM(ventas_b_mes11[[#This Row],[IMPORTE NETO]:[EXENTO]])</f>
        <v>3321.62</v>
      </c>
      <c r="M2945" s="55"/>
    </row>
    <row r="2946" spans="2:13" x14ac:dyDescent="0.3">
      <c r="B2946" s="223">
        <v>44862</v>
      </c>
      <c r="C2946" s="224">
        <v>6</v>
      </c>
      <c r="D2946" s="225">
        <v>10</v>
      </c>
      <c r="E2946" s="226">
        <v>43629</v>
      </c>
      <c r="F2946" s="227">
        <v>18100128</v>
      </c>
      <c r="G2946" s="1"/>
      <c r="H2946" s="60">
        <v>23308.26</v>
      </c>
      <c r="I2946" s="228">
        <v>4894.74</v>
      </c>
      <c r="J2946" s="229"/>
      <c r="K2946" s="229"/>
      <c r="L2946" s="229">
        <f>SUM(ventas_b_mes11[[#This Row],[IMPORTE NETO]:[EXENTO]])</f>
        <v>28203</v>
      </c>
      <c r="M2946" s="55"/>
    </row>
    <row r="2947" spans="2:13" x14ac:dyDescent="0.3">
      <c r="B2947" s="223">
        <v>44862</v>
      </c>
      <c r="C2947" s="224">
        <v>6</v>
      </c>
      <c r="D2947" s="225">
        <v>10</v>
      </c>
      <c r="E2947" s="226">
        <v>43630</v>
      </c>
      <c r="F2947" s="227">
        <v>14680490</v>
      </c>
      <c r="G2947" s="1" t="s">
        <v>880</v>
      </c>
      <c r="H2947" s="60">
        <v>3884.71</v>
      </c>
      <c r="I2947" s="228">
        <v>815.79</v>
      </c>
      <c r="J2947" s="229"/>
      <c r="K2947" s="229"/>
      <c r="L2947" s="229">
        <f>SUM(ventas_b_mes11[[#This Row],[IMPORTE NETO]:[EXENTO]])</f>
        <v>4700.5</v>
      </c>
      <c r="M2947" s="55"/>
    </row>
    <row r="2948" spans="2:13" x14ac:dyDescent="0.3">
      <c r="B2948" s="223">
        <v>44862</v>
      </c>
      <c r="C2948" s="224">
        <v>6</v>
      </c>
      <c r="D2948" s="225">
        <v>10</v>
      </c>
      <c r="E2948" s="226">
        <v>43631</v>
      </c>
      <c r="F2948" s="227">
        <v>27602253</v>
      </c>
      <c r="G2948" s="1" t="s">
        <v>207</v>
      </c>
      <c r="H2948" s="60">
        <v>11173.55</v>
      </c>
      <c r="I2948" s="228">
        <v>2346.4499999999998</v>
      </c>
      <c r="J2948" s="229"/>
      <c r="K2948" s="229"/>
      <c r="L2948" s="229">
        <f>SUM(ventas_b_mes11[[#This Row],[IMPORTE NETO]:[EXENTO]])</f>
        <v>13520</v>
      </c>
      <c r="M2948" s="55"/>
    </row>
    <row r="2949" spans="2:13" x14ac:dyDescent="0.3">
      <c r="B2949" s="223">
        <v>44862</v>
      </c>
      <c r="C2949" s="224">
        <v>6</v>
      </c>
      <c r="D2949" s="225">
        <v>10</v>
      </c>
      <c r="E2949" s="226">
        <v>43632</v>
      </c>
      <c r="F2949" s="227">
        <v>13277007</v>
      </c>
      <c r="G2949" s="1" t="s">
        <v>795</v>
      </c>
      <c r="H2949" s="60">
        <v>4425.62</v>
      </c>
      <c r="I2949" s="228">
        <v>929.38</v>
      </c>
      <c r="J2949" s="229"/>
      <c r="K2949" s="229"/>
      <c r="L2949" s="229">
        <f>SUM(ventas_b_mes11[[#This Row],[IMPORTE NETO]:[EXENTO]])</f>
        <v>5355</v>
      </c>
      <c r="M2949" s="55"/>
    </row>
    <row r="2950" spans="2:13" x14ac:dyDescent="0.3">
      <c r="B2950" s="223">
        <v>44862</v>
      </c>
      <c r="C2950" s="224">
        <v>6</v>
      </c>
      <c r="D2950" s="225">
        <v>10</v>
      </c>
      <c r="E2950" s="226">
        <v>43633</v>
      </c>
      <c r="F2950" s="227">
        <v>94054778</v>
      </c>
      <c r="G2950" s="1" t="s">
        <v>170</v>
      </c>
      <c r="H2950" s="60">
        <v>4545.45</v>
      </c>
      <c r="I2950" s="228">
        <v>954.55</v>
      </c>
      <c r="J2950" s="229"/>
      <c r="K2950" s="229"/>
      <c r="L2950" s="229">
        <f>SUM(ventas_b_mes11[[#This Row],[IMPORTE NETO]:[EXENTO]])</f>
        <v>5500</v>
      </c>
      <c r="M2950" s="55"/>
    </row>
    <row r="2951" spans="2:13" x14ac:dyDescent="0.3">
      <c r="B2951" s="223">
        <v>44862</v>
      </c>
      <c r="C2951" s="224">
        <v>6</v>
      </c>
      <c r="D2951" s="225">
        <v>10</v>
      </c>
      <c r="E2951" s="226">
        <v>43634</v>
      </c>
      <c r="F2951" s="227">
        <v>23250453</v>
      </c>
      <c r="G2951" s="1" t="s">
        <v>344</v>
      </c>
      <c r="H2951" s="60">
        <v>929.75</v>
      </c>
      <c r="I2951" s="228">
        <v>195.25</v>
      </c>
      <c r="J2951" s="229"/>
      <c r="K2951" s="229"/>
      <c r="L2951" s="229">
        <f>SUM(ventas_b_mes11[[#This Row],[IMPORTE NETO]:[EXENTO]])</f>
        <v>1125</v>
      </c>
      <c r="M2951" s="55"/>
    </row>
    <row r="2952" spans="2:13" x14ac:dyDescent="0.3">
      <c r="B2952" s="223">
        <v>44862</v>
      </c>
      <c r="C2952" s="224">
        <v>6</v>
      </c>
      <c r="D2952" s="225">
        <v>10</v>
      </c>
      <c r="E2952" s="226">
        <v>43635</v>
      </c>
      <c r="F2952" s="227">
        <v>92654748</v>
      </c>
      <c r="G2952" s="1" t="s">
        <v>138</v>
      </c>
      <c r="H2952" s="60">
        <v>15595.04</v>
      </c>
      <c r="I2952" s="228">
        <v>3274.96</v>
      </c>
      <c r="J2952" s="229"/>
      <c r="K2952" s="229"/>
      <c r="L2952" s="229">
        <f>SUM(ventas_b_mes11[[#This Row],[IMPORTE NETO]:[EXENTO]])</f>
        <v>18870</v>
      </c>
      <c r="M2952" s="55"/>
    </row>
    <row r="2953" spans="2:13" x14ac:dyDescent="0.3">
      <c r="B2953" s="223">
        <v>44862</v>
      </c>
      <c r="C2953" s="224">
        <v>6</v>
      </c>
      <c r="D2953" s="225">
        <v>10</v>
      </c>
      <c r="E2953" s="226">
        <v>43636</v>
      </c>
      <c r="F2953" s="227">
        <v>92654748</v>
      </c>
      <c r="G2953" s="1" t="s">
        <v>138</v>
      </c>
      <c r="H2953" s="60">
        <v>10869.42</v>
      </c>
      <c r="I2953" s="228">
        <v>2282.58</v>
      </c>
      <c r="J2953" s="229"/>
      <c r="K2953" s="229"/>
      <c r="L2953" s="229">
        <f>SUM(ventas_b_mes11[[#This Row],[IMPORTE NETO]:[EXENTO]])</f>
        <v>13152</v>
      </c>
      <c r="M2953" s="55"/>
    </row>
    <row r="2954" spans="2:13" x14ac:dyDescent="0.3">
      <c r="B2954" s="223">
        <v>44862</v>
      </c>
      <c r="C2954" s="224">
        <v>6</v>
      </c>
      <c r="D2954" s="225">
        <v>10</v>
      </c>
      <c r="E2954" s="226">
        <v>43637</v>
      </c>
      <c r="F2954" s="227">
        <v>92654748</v>
      </c>
      <c r="G2954" s="1" t="s">
        <v>138</v>
      </c>
      <c r="H2954" s="60">
        <v>2971.49</v>
      </c>
      <c r="I2954" s="228">
        <v>624.01</v>
      </c>
      <c r="J2954" s="229"/>
      <c r="K2954" s="229"/>
      <c r="L2954" s="229">
        <f>SUM(ventas_b_mes11[[#This Row],[IMPORTE NETO]:[EXENTO]])</f>
        <v>3595.5</v>
      </c>
      <c r="M2954" s="55"/>
    </row>
    <row r="2955" spans="2:13" x14ac:dyDescent="0.3">
      <c r="B2955" s="223">
        <v>44862</v>
      </c>
      <c r="C2955" s="224">
        <v>6</v>
      </c>
      <c r="D2955" s="225">
        <v>10</v>
      </c>
      <c r="E2955" s="226">
        <v>43638</v>
      </c>
      <c r="F2955" s="227">
        <v>18844956</v>
      </c>
      <c r="G2955" s="1" t="s">
        <v>678</v>
      </c>
      <c r="H2955" s="60">
        <v>11659.09</v>
      </c>
      <c r="I2955" s="228">
        <v>2448.41</v>
      </c>
      <c r="J2955" s="229"/>
      <c r="K2955" s="229"/>
      <c r="L2955" s="229">
        <f>SUM(ventas_b_mes11[[#This Row],[IMPORTE NETO]:[EXENTO]])</f>
        <v>14107.5</v>
      </c>
      <c r="M2955" s="55"/>
    </row>
    <row r="2956" spans="2:13" x14ac:dyDescent="0.3">
      <c r="B2956" s="223">
        <v>44862</v>
      </c>
      <c r="C2956" s="224">
        <v>6</v>
      </c>
      <c r="D2956" s="225">
        <v>10</v>
      </c>
      <c r="E2956" s="226">
        <v>43639</v>
      </c>
      <c r="F2956" s="227">
        <v>27262185</v>
      </c>
      <c r="G2956" s="1" t="s">
        <v>671</v>
      </c>
      <c r="H2956" s="60">
        <v>5170.08</v>
      </c>
      <c r="I2956" s="228">
        <v>1085.72</v>
      </c>
      <c r="J2956" s="229"/>
      <c r="K2956" s="229"/>
      <c r="L2956" s="229">
        <f>SUM(ventas_b_mes11[[#This Row],[IMPORTE NETO]:[EXENTO]])</f>
        <v>6255.8</v>
      </c>
      <c r="M2956" s="55"/>
    </row>
    <row r="2957" spans="2:13" x14ac:dyDescent="0.3">
      <c r="B2957" s="223">
        <v>44862</v>
      </c>
      <c r="C2957" s="224">
        <v>6</v>
      </c>
      <c r="D2957" s="225">
        <v>10</v>
      </c>
      <c r="E2957" s="226">
        <v>43640</v>
      </c>
      <c r="F2957" s="227">
        <v>944550149</v>
      </c>
      <c r="G2957" s="1"/>
      <c r="H2957" s="60">
        <v>16026.86</v>
      </c>
      <c r="I2957" s="228">
        <v>3365.64</v>
      </c>
      <c r="J2957" s="229"/>
      <c r="K2957" s="229"/>
      <c r="L2957" s="229">
        <f>SUM(ventas_b_mes11[[#This Row],[IMPORTE NETO]:[EXENTO]])</f>
        <v>19392.5</v>
      </c>
      <c r="M2957" s="55"/>
    </row>
    <row r="2958" spans="2:13" x14ac:dyDescent="0.3">
      <c r="B2958" s="223">
        <v>44862</v>
      </c>
      <c r="C2958" s="224">
        <v>6</v>
      </c>
      <c r="D2958" s="225">
        <v>10</v>
      </c>
      <c r="E2958" s="226">
        <v>43641</v>
      </c>
      <c r="F2958" s="227">
        <v>265478185</v>
      </c>
      <c r="G2958" s="1"/>
      <c r="H2958" s="60">
        <v>12407.44</v>
      </c>
      <c r="I2958" s="228">
        <v>2605.56</v>
      </c>
      <c r="J2958" s="229"/>
      <c r="K2958" s="229"/>
      <c r="L2958" s="229">
        <f>SUM(ventas_b_mes11[[#This Row],[IMPORTE NETO]:[EXENTO]])</f>
        <v>15013</v>
      </c>
      <c r="M2958" s="55"/>
    </row>
    <row r="2959" spans="2:13" x14ac:dyDescent="0.3">
      <c r="B2959" s="223">
        <v>44862</v>
      </c>
      <c r="C2959" s="224">
        <v>6</v>
      </c>
      <c r="D2959" s="225">
        <v>10</v>
      </c>
      <c r="E2959" s="226">
        <v>43642</v>
      </c>
      <c r="F2959" s="227">
        <v>25443118</v>
      </c>
      <c r="G2959" s="1" t="s">
        <v>1066</v>
      </c>
      <c r="H2959" s="60">
        <v>7165.3</v>
      </c>
      <c r="I2959" s="228">
        <v>1504.71</v>
      </c>
      <c r="J2959" s="229"/>
      <c r="K2959" s="229"/>
      <c r="L2959" s="229">
        <f>SUM(ventas_b_mes11[[#This Row],[IMPORTE NETO]:[EXENTO]])</f>
        <v>8670.01</v>
      </c>
      <c r="M2959" s="55"/>
    </row>
    <row r="2960" spans="2:13" x14ac:dyDescent="0.3">
      <c r="B2960" s="223">
        <v>44862</v>
      </c>
      <c r="C2960" s="224">
        <v>6</v>
      </c>
      <c r="D2960" s="225">
        <v>10</v>
      </c>
      <c r="E2960" s="226">
        <v>43643</v>
      </c>
      <c r="F2960" s="227">
        <v>0</v>
      </c>
      <c r="G2960" s="1"/>
      <c r="H2960" s="60">
        <v>4074.38</v>
      </c>
      <c r="I2960" s="228">
        <v>855.62</v>
      </c>
      <c r="J2960" s="229"/>
      <c r="K2960" s="229"/>
      <c r="L2960" s="229">
        <f>SUM(ventas_b_mes11[[#This Row],[IMPORTE NETO]:[EXENTO]])</f>
        <v>4930</v>
      </c>
      <c r="M2960" s="55"/>
    </row>
    <row r="2961" spans="2:13" x14ac:dyDescent="0.3">
      <c r="B2961" s="223">
        <v>44862</v>
      </c>
      <c r="C2961" s="224">
        <v>6</v>
      </c>
      <c r="D2961" s="225">
        <v>10</v>
      </c>
      <c r="E2961" s="226">
        <v>43644</v>
      </c>
      <c r="F2961" s="227">
        <v>94174103</v>
      </c>
      <c r="G2961" s="1" t="s">
        <v>1072</v>
      </c>
      <c r="H2961" s="60">
        <v>1475.21</v>
      </c>
      <c r="I2961" s="228">
        <v>309.79000000000002</v>
      </c>
      <c r="J2961" s="229"/>
      <c r="K2961" s="229"/>
      <c r="L2961" s="229">
        <f>SUM(ventas_b_mes11[[#This Row],[IMPORTE NETO]:[EXENTO]])</f>
        <v>1785</v>
      </c>
      <c r="M2961" s="55"/>
    </row>
    <row r="2962" spans="2:13" x14ac:dyDescent="0.3">
      <c r="B2962" s="223">
        <v>44862</v>
      </c>
      <c r="C2962" s="224">
        <v>6</v>
      </c>
      <c r="D2962" s="225">
        <v>10</v>
      </c>
      <c r="E2962" s="226">
        <v>43645</v>
      </c>
      <c r="F2962" s="227">
        <v>94174103</v>
      </c>
      <c r="G2962" s="1" t="s">
        <v>1072</v>
      </c>
      <c r="H2962" s="60">
        <v>10389.67</v>
      </c>
      <c r="I2962" s="228">
        <v>2181.83</v>
      </c>
      <c r="J2962" s="229"/>
      <c r="K2962" s="229"/>
      <c r="L2962" s="229">
        <f>SUM(ventas_b_mes11[[#This Row],[IMPORTE NETO]:[EXENTO]])</f>
        <v>12571.5</v>
      </c>
      <c r="M2962" s="55"/>
    </row>
    <row r="2963" spans="2:13" x14ac:dyDescent="0.3">
      <c r="B2963" s="223">
        <v>44862</v>
      </c>
      <c r="C2963" s="224">
        <v>6</v>
      </c>
      <c r="D2963" s="225">
        <v>10</v>
      </c>
      <c r="E2963" s="226">
        <v>43646</v>
      </c>
      <c r="F2963" s="227">
        <v>34888600</v>
      </c>
      <c r="G2963" s="1" t="s">
        <v>722</v>
      </c>
      <c r="H2963" s="60">
        <v>2677.69</v>
      </c>
      <c r="I2963" s="228">
        <v>562.30999999999995</v>
      </c>
      <c r="J2963" s="229"/>
      <c r="K2963" s="229"/>
      <c r="L2963" s="229">
        <f>SUM(ventas_b_mes11[[#This Row],[IMPORTE NETO]:[EXENTO]])</f>
        <v>3240</v>
      </c>
      <c r="M2963" s="55"/>
    </row>
    <row r="2964" spans="2:13" x14ac:dyDescent="0.3">
      <c r="B2964" s="223">
        <v>44862</v>
      </c>
      <c r="C2964" s="224">
        <v>6</v>
      </c>
      <c r="D2964" s="225">
        <v>10</v>
      </c>
      <c r="E2964" s="226">
        <v>43647</v>
      </c>
      <c r="F2964" s="227">
        <v>64641</v>
      </c>
      <c r="G2964" s="1"/>
      <c r="H2964" s="60">
        <v>4871.8999999999996</v>
      </c>
      <c r="I2964" s="228">
        <v>1023.1</v>
      </c>
      <c r="J2964" s="229"/>
      <c r="K2964" s="229"/>
      <c r="L2964" s="229">
        <f>SUM(ventas_b_mes11[[#This Row],[IMPORTE NETO]:[EXENTO]])</f>
        <v>5895</v>
      </c>
      <c r="M2964" s="55"/>
    </row>
    <row r="2965" spans="2:13" x14ac:dyDescent="0.3">
      <c r="B2965" s="223">
        <v>44862</v>
      </c>
      <c r="C2965" s="224">
        <v>6</v>
      </c>
      <c r="D2965" s="225">
        <v>10</v>
      </c>
      <c r="E2965" s="226">
        <v>43648</v>
      </c>
      <c r="F2965" s="227">
        <v>232359987</v>
      </c>
      <c r="G2965" s="1"/>
      <c r="H2965" s="60">
        <v>5142.1499999999996</v>
      </c>
      <c r="I2965" s="228">
        <v>1079.8499999999999</v>
      </c>
      <c r="J2965" s="229"/>
      <c r="K2965" s="229"/>
      <c r="L2965" s="229">
        <f>SUM(ventas_b_mes11[[#This Row],[IMPORTE NETO]:[EXENTO]])</f>
        <v>6222</v>
      </c>
      <c r="M2965" s="55"/>
    </row>
    <row r="2966" spans="2:13" x14ac:dyDescent="0.3">
      <c r="B2966" s="223">
        <v>44862</v>
      </c>
      <c r="C2966" s="224">
        <v>6</v>
      </c>
      <c r="D2966" s="225">
        <v>10</v>
      </c>
      <c r="E2966" s="226">
        <v>43649</v>
      </c>
      <c r="F2966" s="227">
        <v>23319067</v>
      </c>
      <c r="G2966" s="1" t="s">
        <v>1043</v>
      </c>
      <c r="H2966" s="60">
        <v>4888.43</v>
      </c>
      <c r="I2966" s="228">
        <v>1026.57</v>
      </c>
      <c r="J2966" s="229"/>
      <c r="K2966" s="229"/>
      <c r="L2966" s="229">
        <f>SUM(ventas_b_mes11[[#This Row],[IMPORTE NETO]:[EXENTO]])</f>
        <v>5915</v>
      </c>
      <c r="M2966" s="55"/>
    </row>
    <row r="2967" spans="2:13" x14ac:dyDescent="0.3">
      <c r="B2967" s="223">
        <v>44862</v>
      </c>
      <c r="C2967" s="224">
        <v>6</v>
      </c>
      <c r="D2967" s="225">
        <v>10</v>
      </c>
      <c r="E2967" s="226">
        <v>43650</v>
      </c>
      <c r="F2967" s="227">
        <v>12365489</v>
      </c>
      <c r="G2967" s="1" t="s">
        <v>1082</v>
      </c>
      <c r="H2967" s="60">
        <v>8088.84</v>
      </c>
      <c r="I2967" s="228">
        <v>1698.66</v>
      </c>
      <c r="J2967" s="229"/>
      <c r="K2967" s="229"/>
      <c r="L2967" s="229">
        <f>SUM(ventas_b_mes11[[#This Row],[IMPORTE NETO]:[EXENTO]])</f>
        <v>9787.5</v>
      </c>
      <c r="M2967" s="55"/>
    </row>
    <row r="2968" spans="2:13" x14ac:dyDescent="0.3">
      <c r="B2968" s="223">
        <v>44862</v>
      </c>
      <c r="C2968" s="224">
        <v>6</v>
      </c>
      <c r="D2968" s="225">
        <v>10</v>
      </c>
      <c r="E2968" s="226">
        <v>43651</v>
      </c>
      <c r="F2968" s="227">
        <v>29392946</v>
      </c>
      <c r="G2968" s="1"/>
      <c r="H2968" s="60">
        <v>5219.42</v>
      </c>
      <c r="I2968" s="228">
        <v>1096.08</v>
      </c>
      <c r="J2968" s="229"/>
      <c r="K2968" s="229"/>
      <c r="L2968" s="229">
        <f>SUM(ventas_b_mes11[[#This Row],[IMPORTE NETO]:[EXENTO]])</f>
        <v>6315.5</v>
      </c>
      <c r="M2968" s="55"/>
    </row>
    <row r="2969" spans="2:13" x14ac:dyDescent="0.3">
      <c r="B2969" s="223">
        <v>44862</v>
      </c>
      <c r="C2969" s="224">
        <v>6</v>
      </c>
      <c r="D2969" s="225">
        <v>10</v>
      </c>
      <c r="E2969" s="226">
        <v>43652</v>
      </c>
      <c r="F2969" s="227">
        <v>27271107434</v>
      </c>
      <c r="G2969" s="1" t="s">
        <v>232</v>
      </c>
      <c r="H2969" s="60">
        <v>11177.15</v>
      </c>
      <c r="I2969" s="228">
        <v>2347.1999999999998</v>
      </c>
      <c r="J2969" s="229"/>
      <c r="K2969" s="229"/>
      <c r="L2969" s="229">
        <f>SUM(ventas_b_mes11[[#This Row],[IMPORTE NETO]:[EXENTO]])</f>
        <v>13524.349999999999</v>
      </c>
      <c r="M2969" s="55"/>
    </row>
    <row r="2970" spans="2:13" x14ac:dyDescent="0.3">
      <c r="B2970" s="223">
        <v>44862</v>
      </c>
      <c r="C2970" s="224">
        <v>6</v>
      </c>
      <c r="D2970" s="225">
        <v>10</v>
      </c>
      <c r="E2970" s="226">
        <v>43653</v>
      </c>
      <c r="F2970" s="227">
        <v>123456</v>
      </c>
      <c r="G2970" s="1"/>
      <c r="H2970" s="60">
        <v>5268.6</v>
      </c>
      <c r="I2970" s="228">
        <v>1106.4000000000001</v>
      </c>
      <c r="J2970" s="229"/>
      <c r="K2970" s="229"/>
      <c r="L2970" s="229">
        <f>SUM(ventas_b_mes11[[#This Row],[IMPORTE NETO]:[EXENTO]])</f>
        <v>6375</v>
      </c>
      <c r="M2970" s="55"/>
    </row>
    <row r="2971" spans="2:13" x14ac:dyDescent="0.3">
      <c r="B2971" s="223">
        <v>44863</v>
      </c>
      <c r="C2971" s="224">
        <v>6</v>
      </c>
      <c r="D2971" s="225">
        <v>10</v>
      </c>
      <c r="E2971" s="226">
        <v>43654</v>
      </c>
      <c r="F2971" s="227">
        <v>95944680</v>
      </c>
      <c r="G2971" s="1" t="s">
        <v>975</v>
      </c>
      <c r="H2971" s="60">
        <v>570.25</v>
      </c>
      <c r="I2971" s="228">
        <v>119.75</v>
      </c>
      <c r="J2971" s="229"/>
      <c r="K2971" s="229"/>
      <c r="L2971" s="229">
        <f>SUM(ventas_b_mes11[[#This Row],[IMPORTE NETO]:[EXENTO]])</f>
        <v>690</v>
      </c>
      <c r="M2971" s="55"/>
    </row>
    <row r="2972" spans="2:13" x14ac:dyDescent="0.3">
      <c r="B2972" s="223">
        <v>44863</v>
      </c>
      <c r="C2972" s="224">
        <v>6</v>
      </c>
      <c r="D2972" s="225">
        <v>10</v>
      </c>
      <c r="E2972" s="226">
        <v>43655</v>
      </c>
      <c r="F2972" s="227">
        <v>18398933</v>
      </c>
      <c r="G2972" s="1"/>
      <c r="H2972" s="60">
        <v>21144.63</v>
      </c>
      <c r="I2972" s="228">
        <v>4440.37</v>
      </c>
      <c r="J2972" s="229"/>
      <c r="K2972" s="229"/>
      <c r="L2972" s="229">
        <f>SUM(ventas_b_mes11[[#This Row],[IMPORTE NETO]:[EXENTO]])</f>
        <v>25585</v>
      </c>
      <c r="M2972" s="55"/>
    </row>
    <row r="2973" spans="2:13" x14ac:dyDescent="0.3">
      <c r="B2973" s="223">
        <v>44863</v>
      </c>
      <c r="C2973" s="224">
        <v>6</v>
      </c>
      <c r="D2973" s="225">
        <v>10</v>
      </c>
      <c r="E2973" s="226">
        <v>43656</v>
      </c>
      <c r="F2973" s="227">
        <v>32704068</v>
      </c>
      <c r="G2973" s="1" t="s">
        <v>875</v>
      </c>
      <c r="H2973" s="60">
        <v>4573.1400000000003</v>
      </c>
      <c r="I2973" s="228">
        <v>960.36</v>
      </c>
      <c r="J2973" s="229"/>
      <c r="K2973" s="229"/>
      <c r="L2973" s="229">
        <f>SUM(ventas_b_mes11[[#This Row],[IMPORTE NETO]:[EXENTO]])</f>
        <v>5533.5</v>
      </c>
      <c r="M2973" s="55"/>
    </row>
    <row r="2974" spans="2:13" x14ac:dyDescent="0.3">
      <c r="B2974" s="223">
        <v>44863</v>
      </c>
      <c r="C2974" s="224">
        <v>6</v>
      </c>
      <c r="D2974" s="225">
        <v>10</v>
      </c>
      <c r="E2974" s="226">
        <v>43657</v>
      </c>
      <c r="F2974" s="227">
        <v>1832904</v>
      </c>
      <c r="G2974" s="1"/>
      <c r="H2974" s="60">
        <v>6490.91</v>
      </c>
      <c r="I2974" s="228">
        <v>1363.09</v>
      </c>
      <c r="J2974" s="229"/>
      <c r="K2974" s="229"/>
      <c r="L2974" s="229">
        <f>SUM(ventas_b_mes11[[#This Row],[IMPORTE NETO]:[EXENTO]])</f>
        <v>7854</v>
      </c>
      <c r="M2974" s="55"/>
    </row>
    <row r="2975" spans="2:13" x14ac:dyDescent="0.3">
      <c r="B2975" s="223">
        <v>44863</v>
      </c>
      <c r="C2975" s="224">
        <v>6</v>
      </c>
      <c r="D2975" s="225">
        <v>10</v>
      </c>
      <c r="E2975" s="226">
        <v>43658</v>
      </c>
      <c r="F2975" s="227">
        <v>25978968</v>
      </c>
      <c r="G2975" s="1" t="s">
        <v>394</v>
      </c>
      <c r="H2975" s="60">
        <v>12734.71</v>
      </c>
      <c r="I2975" s="228">
        <v>2674.29</v>
      </c>
      <c r="J2975" s="229"/>
      <c r="K2975" s="229"/>
      <c r="L2975" s="229">
        <f>SUM(ventas_b_mes11[[#This Row],[IMPORTE NETO]:[EXENTO]])</f>
        <v>15409</v>
      </c>
      <c r="M2975" s="55"/>
    </row>
    <row r="2976" spans="2:13" x14ac:dyDescent="0.3">
      <c r="B2976" s="223">
        <v>44863</v>
      </c>
      <c r="C2976" s="224">
        <v>6</v>
      </c>
      <c r="D2976" s="225">
        <v>10</v>
      </c>
      <c r="E2976" s="226">
        <v>43659</v>
      </c>
      <c r="F2976" s="227">
        <v>24584771</v>
      </c>
      <c r="G2976" s="1" t="s">
        <v>1101</v>
      </c>
      <c r="H2976" s="60">
        <v>4495.87</v>
      </c>
      <c r="I2976" s="228">
        <v>944.13</v>
      </c>
      <c r="J2976" s="229"/>
      <c r="K2976" s="229"/>
      <c r="L2976" s="229">
        <f>SUM(ventas_b_mes11[[#This Row],[IMPORTE NETO]:[EXENTO]])</f>
        <v>5440</v>
      </c>
      <c r="M2976" s="55"/>
    </row>
    <row r="2977" spans="2:13" x14ac:dyDescent="0.3">
      <c r="B2977" s="223">
        <v>44863</v>
      </c>
      <c r="C2977" s="224">
        <v>6</v>
      </c>
      <c r="D2977" s="225">
        <v>10</v>
      </c>
      <c r="E2977" s="226">
        <v>43660</v>
      </c>
      <c r="F2977" s="227">
        <v>5307055</v>
      </c>
      <c r="G2977" s="1" t="s">
        <v>989</v>
      </c>
      <c r="H2977" s="60">
        <v>5479.34</v>
      </c>
      <c r="I2977" s="228">
        <v>1150.6600000000001</v>
      </c>
      <c r="J2977" s="229"/>
      <c r="K2977" s="229"/>
      <c r="L2977" s="229">
        <f>SUM(ventas_b_mes11[[#This Row],[IMPORTE NETO]:[EXENTO]])</f>
        <v>6630</v>
      </c>
      <c r="M2977" s="55"/>
    </row>
    <row r="2978" spans="2:13" x14ac:dyDescent="0.3">
      <c r="B2978" s="223">
        <v>44863</v>
      </c>
      <c r="C2978" s="224">
        <v>6</v>
      </c>
      <c r="D2978" s="225">
        <v>10</v>
      </c>
      <c r="E2978" s="226">
        <v>43661</v>
      </c>
      <c r="F2978" s="227">
        <v>0</v>
      </c>
      <c r="G2978" s="1"/>
      <c r="H2978" s="60">
        <v>4004.14</v>
      </c>
      <c r="I2978" s="228">
        <v>840.87</v>
      </c>
      <c r="J2978" s="229"/>
      <c r="K2978" s="229"/>
      <c r="L2978" s="229">
        <f>SUM(ventas_b_mes11[[#This Row],[IMPORTE NETO]:[EXENTO]])</f>
        <v>4845.01</v>
      </c>
      <c r="M2978" s="55"/>
    </row>
    <row r="2979" spans="2:13" x14ac:dyDescent="0.3">
      <c r="B2979" s="223">
        <v>44863</v>
      </c>
      <c r="C2979" s="224">
        <v>6</v>
      </c>
      <c r="D2979" s="225">
        <v>10</v>
      </c>
      <c r="E2979" s="226">
        <v>43662</v>
      </c>
      <c r="F2979" s="227">
        <v>96126657</v>
      </c>
      <c r="G2979" s="1" t="s">
        <v>921</v>
      </c>
      <c r="H2979" s="60">
        <v>4545.45</v>
      </c>
      <c r="I2979" s="228">
        <v>954.55</v>
      </c>
      <c r="J2979" s="229"/>
      <c r="K2979" s="229"/>
      <c r="L2979" s="229">
        <f>SUM(ventas_b_mes11[[#This Row],[IMPORTE NETO]:[EXENTO]])</f>
        <v>5500</v>
      </c>
      <c r="M2979" s="55"/>
    </row>
    <row r="2980" spans="2:13" x14ac:dyDescent="0.3">
      <c r="B2980" s="223">
        <v>44863</v>
      </c>
      <c r="C2980" s="224">
        <v>6</v>
      </c>
      <c r="D2980" s="225">
        <v>10</v>
      </c>
      <c r="E2980" s="226">
        <v>43663</v>
      </c>
      <c r="F2980" s="227">
        <v>31905023</v>
      </c>
      <c r="G2980" s="1" t="s">
        <v>260</v>
      </c>
      <c r="H2980" s="60">
        <v>17598.48</v>
      </c>
      <c r="I2980" s="228">
        <v>3695.68</v>
      </c>
      <c r="J2980" s="229"/>
      <c r="K2980" s="229"/>
      <c r="L2980" s="229">
        <f>SUM(ventas_b_mes11[[#This Row],[IMPORTE NETO]:[EXENTO]])</f>
        <v>21294.16</v>
      </c>
      <c r="M2980" s="55"/>
    </row>
    <row r="2981" spans="2:13" x14ac:dyDescent="0.3">
      <c r="B2981" s="223">
        <v>44863</v>
      </c>
      <c r="C2981" s="224">
        <v>6</v>
      </c>
      <c r="D2981" s="225">
        <v>10</v>
      </c>
      <c r="E2981" s="226">
        <v>43664</v>
      </c>
      <c r="F2981" s="227">
        <v>27289788722</v>
      </c>
      <c r="G2981" s="1" t="s">
        <v>206</v>
      </c>
      <c r="H2981" s="60">
        <v>72332.479999999996</v>
      </c>
      <c r="I2981" s="228">
        <v>15189.82</v>
      </c>
      <c r="J2981" s="229"/>
      <c r="K2981" s="229"/>
      <c r="L2981" s="229">
        <f>SUM(ventas_b_mes11[[#This Row],[IMPORTE NETO]:[EXENTO]])</f>
        <v>87522.299999999988</v>
      </c>
      <c r="M2981" s="55"/>
    </row>
    <row r="2982" spans="2:13" x14ac:dyDescent="0.3">
      <c r="B2982" s="223">
        <v>44863</v>
      </c>
      <c r="C2982" s="224">
        <v>6</v>
      </c>
      <c r="D2982" s="225">
        <v>10</v>
      </c>
      <c r="E2982" s="226">
        <v>43665</v>
      </c>
      <c r="F2982" s="227">
        <v>27289788722</v>
      </c>
      <c r="G2982" s="1" t="s">
        <v>206</v>
      </c>
      <c r="H2982" s="60">
        <v>66100.91</v>
      </c>
      <c r="I2982" s="228">
        <v>13881.19</v>
      </c>
      <c r="J2982" s="229"/>
      <c r="K2982" s="229"/>
      <c r="L2982" s="229">
        <f>SUM(ventas_b_mes11[[#This Row],[IMPORTE NETO]:[EXENTO]])</f>
        <v>79982.100000000006</v>
      </c>
      <c r="M2982" s="55"/>
    </row>
    <row r="2983" spans="2:13" x14ac:dyDescent="0.3">
      <c r="B2983" s="223">
        <v>44863</v>
      </c>
      <c r="C2983" s="224">
        <v>6</v>
      </c>
      <c r="D2983" s="225">
        <v>10</v>
      </c>
      <c r="E2983" s="226">
        <v>43666</v>
      </c>
      <c r="F2983" s="227">
        <v>27289788722</v>
      </c>
      <c r="G2983" s="1" t="s">
        <v>206</v>
      </c>
      <c r="H2983" s="60">
        <v>1092.6400000000001</v>
      </c>
      <c r="I2983" s="228">
        <v>229.46</v>
      </c>
      <c r="J2983" s="229"/>
      <c r="K2983" s="229"/>
      <c r="L2983" s="229">
        <f>SUM(ventas_b_mes11[[#This Row],[IMPORTE NETO]:[EXENTO]])</f>
        <v>1322.1000000000001</v>
      </c>
      <c r="M2983" s="55"/>
    </row>
    <row r="2984" spans="2:13" x14ac:dyDescent="0.3">
      <c r="B2984" s="223">
        <v>44863</v>
      </c>
      <c r="C2984" s="224">
        <v>6</v>
      </c>
      <c r="D2984" s="225">
        <v>10</v>
      </c>
      <c r="E2984" s="226">
        <v>43667</v>
      </c>
      <c r="F2984" s="227">
        <v>0</v>
      </c>
      <c r="G2984" s="1"/>
      <c r="H2984" s="60">
        <v>3512.4</v>
      </c>
      <c r="I2984" s="228">
        <v>737.6</v>
      </c>
      <c r="J2984" s="229"/>
      <c r="K2984" s="229"/>
      <c r="L2984" s="229">
        <f>SUM(ventas_b_mes11[[#This Row],[IMPORTE NETO]:[EXENTO]])</f>
        <v>4250</v>
      </c>
      <c r="M2984" s="55"/>
    </row>
    <row r="2985" spans="2:13" x14ac:dyDescent="0.3">
      <c r="B2985" s="223">
        <v>44863</v>
      </c>
      <c r="C2985" s="224">
        <v>6</v>
      </c>
      <c r="D2985" s="225">
        <v>10</v>
      </c>
      <c r="E2985" s="226">
        <v>43668</v>
      </c>
      <c r="F2985" s="227">
        <v>21587219</v>
      </c>
      <c r="G2985" s="1" t="s">
        <v>930</v>
      </c>
      <c r="H2985" s="60">
        <v>6111.57</v>
      </c>
      <c r="I2985" s="228">
        <v>1283.43</v>
      </c>
      <c r="J2985" s="229"/>
      <c r="K2985" s="229"/>
      <c r="L2985" s="229">
        <f>SUM(ventas_b_mes11[[#This Row],[IMPORTE NETO]:[EXENTO]])</f>
        <v>7395</v>
      </c>
      <c r="M2985" s="55"/>
    </row>
    <row r="2986" spans="2:13" x14ac:dyDescent="0.3">
      <c r="B2986" s="223">
        <v>44865</v>
      </c>
      <c r="C2986" s="224">
        <v>6</v>
      </c>
      <c r="D2986" s="225">
        <v>10</v>
      </c>
      <c r="E2986" s="226">
        <v>43669</v>
      </c>
      <c r="F2986" s="227">
        <v>20006210</v>
      </c>
      <c r="G2986" s="1" t="s">
        <v>629</v>
      </c>
      <c r="H2986" s="60">
        <v>5900.83</v>
      </c>
      <c r="I2986" s="228">
        <v>1239.17</v>
      </c>
      <c r="J2986" s="229"/>
      <c r="K2986" s="229"/>
      <c r="L2986" s="229">
        <f>SUM(ventas_b_mes11[[#This Row],[IMPORTE NETO]:[EXENTO]])</f>
        <v>7140</v>
      </c>
      <c r="M2986" s="55"/>
    </row>
    <row r="2987" spans="2:13" x14ac:dyDescent="0.3">
      <c r="B2987" s="223">
        <v>44865</v>
      </c>
      <c r="C2987" s="224">
        <v>6</v>
      </c>
      <c r="D2987" s="225">
        <v>10</v>
      </c>
      <c r="E2987" s="226">
        <v>43670</v>
      </c>
      <c r="F2987" s="227">
        <v>31065126</v>
      </c>
      <c r="G2987" s="1" t="s">
        <v>1107</v>
      </c>
      <c r="H2987" s="60">
        <v>4545.45</v>
      </c>
      <c r="I2987" s="228">
        <v>954.55</v>
      </c>
      <c r="J2987" s="229"/>
      <c r="K2987" s="229"/>
      <c r="L2987" s="229">
        <f>SUM(ventas_b_mes11[[#This Row],[IMPORTE NETO]:[EXENTO]])</f>
        <v>5500</v>
      </c>
      <c r="M2987" s="55"/>
    </row>
    <row r="2988" spans="2:13" x14ac:dyDescent="0.3">
      <c r="B2988" s="223">
        <v>44865</v>
      </c>
      <c r="C2988" s="224">
        <v>6</v>
      </c>
      <c r="D2988" s="225">
        <v>10</v>
      </c>
      <c r="E2988" s="226">
        <v>43671</v>
      </c>
      <c r="F2988" s="227">
        <v>21321366</v>
      </c>
      <c r="G2988" s="1" t="s">
        <v>852</v>
      </c>
      <c r="H2988" s="60">
        <v>9282.64</v>
      </c>
      <c r="I2988" s="228">
        <v>1949.36</v>
      </c>
      <c r="J2988" s="229"/>
      <c r="K2988" s="229"/>
      <c r="L2988" s="229">
        <f>SUM(ventas_b_mes11[[#This Row],[IMPORTE NETO]:[EXENTO]])</f>
        <v>11232</v>
      </c>
      <c r="M2988" s="55"/>
    </row>
    <row r="2989" spans="2:13" x14ac:dyDescent="0.3">
      <c r="B2989" s="223">
        <v>44865</v>
      </c>
      <c r="C2989" s="224">
        <v>6</v>
      </c>
      <c r="D2989" s="225">
        <v>10</v>
      </c>
      <c r="E2989" s="226">
        <v>43672</v>
      </c>
      <c r="F2989" s="227">
        <v>0</v>
      </c>
      <c r="G2989" s="1"/>
      <c r="H2989" s="60">
        <v>3111.99</v>
      </c>
      <c r="I2989" s="228">
        <v>653.52</v>
      </c>
      <c r="J2989" s="229"/>
      <c r="K2989" s="229"/>
      <c r="L2989" s="229">
        <f>SUM(ventas_b_mes11[[#This Row],[IMPORTE NETO]:[EXENTO]])</f>
        <v>3765.5099999999998</v>
      </c>
      <c r="M2989" s="55"/>
    </row>
    <row r="2990" spans="2:13" x14ac:dyDescent="0.3">
      <c r="B2990" s="223">
        <v>44865</v>
      </c>
      <c r="C2990" s="224">
        <v>6</v>
      </c>
      <c r="D2990" s="225">
        <v>10</v>
      </c>
      <c r="E2990" s="226">
        <v>43673</v>
      </c>
      <c r="F2990" s="227">
        <v>25869848</v>
      </c>
      <c r="G2990" s="1" t="s">
        <v>586</v>
      </c>
      <c r="H2990" s="60">
        <v>15412.4</v>
      </c>
      <c r="I2990" s="228">
        <v>3236.6</v>
      </c>
      <c r="J2990" s="229"/>
      <c r="K2990" s="229"/>
      <c r="L2990" s="229">
        <f>SUM(ventas_b_mes11[[#This Row],[IMPORTE NETO]:[EXENTO]])</f>
        <v>18649</v>
      </c>
      <c r="M2990" s="55"/>
    </row>
    <row r="2991" spans="2:13" x14ac:dyDescent="0.3">
      <c r="B2991" s="223">
        <v>44865</v>
      </c>
      <c r="C2991" s="224">
        <v>6</v>
      </c>
      <c r="D2991" s="225">
        <v>10</v>
      </c>
      <c r="E2991" s="226">
        <v>43674</v>
      </c>
      <c r="F2991" s="227">
        <v>33373122</v>
      </c>
      <c r="G2991" s="1" t="s">
        <v>187</v>
      </c>
      <c r="H2991" s="60">
        <v>4545.45</v>
      </c>
      <c r="I2991" s="228">
        <v>954.55</v>
      </c>
      <c r="J2991" s="229"/>
      <c r="K2991" s="229"/>
      <c r="L2991" s="229">
        <f>SUM(ventas_b_mes11[[#This Row],[IMPORTE NETO]:[EXENTO]])</f>
        <v>5500</v>
      </c>
      <c r="M2991" s="55"/>
    </row>
    <row r="2992" spans="2:13" x14ac:dyDescent="0.3">
      <c r="B2992" s="223">
        <v>44865</v>
      </c>
      <c r="C2992" s="224">
        <v>6</v>
      </c>
      <c r="D2992" s="225">
        <v>10</v>
      </c>
      <c r="E2992" s="226">
        <v>43675</v>
      </c>
      <c r="F2992" s="227">
        <v>123456</v>
      </c>
      <c r="G2992" s="1"/>
      <c r="H2992" s="60">
        <v>4429.76</v>
      </c>
      <c r="I2992" s="228">
        <v>930.25</v>
      </c>
      <c r="J2992" s="229"/>
      <c r="K2992" s="229"/>
      <c r="L2992" s="229">
        <f>SUM(ventas_b_mes11[[#This Row],[IMPORTE NETO]:[EXENTO]])</f>
        <v>5360.01</v>
      </c>
      <c r="M2992" s="55"/>
    </row>
    <row r="2993" spans="2:13" x14ac:dyDescent="0.3">
      <c r="B2993" s="223">
        <v>44865</v>
      </c>
      <c r="C2993" s="224">
        <v>6</v>
      </c>
      <c r="D2993" s="225">
        <v>10</v>
      </c>
      <c r="E2993" s="226">
        <v>43676</v>
      </c>
      <c r="F2993" s="227">
        <v>43990221</v>
      </c>
      <c r="G2993" s="1" t="s">
        <v>979</v>
      </c>
      <c r="H2993" s="60">
        <v>4545.45</v>
      </c>
      <c r="I2993" s="228">
        <v>954.55</v>
      </c>
      <c r="J2993" s="229"/>
      <c r="K2993" s="229"/>
      <c r="L2993" s="229">
        <f>SUM(ventas_b_mes11[[#This Row],[IMPORTE NETO]:[EXENTO]])</f>
        <v>5500</v>
      </c>
      <c r="M2993" s="55"/>
    </row>
    <row r="2994" spans="2:13" x14ac:dyDescent="0.3">
      <c r="B2994" s="223">
        <v>44865</v>
      </c>
      <c r="C2994" s="224">
        <v>6</v>
      </c>
      <c r="D2994" s="225">
        <v>10</v>
      </c>
      <c r="E2994" s="226">
        <v>43677</v>
      </c>
      <c r="F2994" s="227">
        <v>25869848</v>
      </c>
      <c r="G2994" s="1" t="s">
        <v>586</v>
      </c>
      <c r="H2994" s="60">
        <v>2380.17</v>
      </c>
      <c r="I2994" s="228">
        <v>499.83</v>
      </c>
      <c r="J2994" s="229"/>
      <c r="K2994" s="229"/>
      <c r="L2994" s="229">
        <f>SUM(ventas_b_mes11[[#This Row],[IMPORTE NETO]:[EXENTO]])</f>
        <v>2880</v>
      </c>
      <c r="M2994" s="55"/>
    </row>
    <row r="2995" spans="2:13" x14ac:dyDescent="0.3">
      <c r="B2995" s="223">
        <v>44865</v>
      </c>
      <c r="C2995" s="224">
        <v>6</v>
      </c>
      <c r="D2995" s="225">
        <v>10</v>
      </c>
      <c r="E2995" s="226">
        <v>43678</v>
      </c>
      <c r="F2995" s="227">
        <v>265478185</v>
      </c>
      <c r="G2995" s="1"/>
      <c r="H2995" s="60">
        <v>7038.85</v>
      </c>
      <c r="I2995" s="228">
        <v>1478.16</v>
      </c>
      <c r="J2995" s="229"/>
      <c r="K2995" s="229"/>
      <c r="L2995" s="229">
        <f>SUM(ventas_b_mes11[[#This Row],[IMPORTE NETO]:[EXENTO]])</f>
        <v>8517.01</v>
      </c>
      <c r="M2995" s="55"/>
    </row>
    <row r="2996" spans="2:13" x14ac:dyDescent="0.3">
      <c r="B2996" s="223">
        <v>44865</v>
      </c>
      <c r="C2996" s="224">
        <v>6</v>
      </c>
      <c r="D2996" s="225">
        <v>10</v>
      </c>
      <c r="E2996" s="226">
        <v>43679</v>
      </c>
      <c r="F2996" s="227">
        <v>14816264</v>
      </c>
      <c r="G2996" s="1" t="s">
        <v>1106</v>
      </c>
      <c r="H2996" s="60">
        <v>9388.43</v>
      </c>
      <c r="I2996" s="228">
        <v>1971.57</v>
      </c>
      <c r="J2996" s="229"/>
      <c r="K2996" s="229"/>
      <c r="L2996" s="229">
        <f>SUM(ventas_b_mes11[[#This Row],[IMPORTE NETO]:[EXENTO]])</f>
        <v>11360</v>
      </c>
      <c r="M2996" s="55"/>
    </row>
    <row r="2997" spans="2:13" x14ac:dyDescent="0.3">
      <c r="B2997" s="223">
        <v>44865</v>
      </c>
      <c r="C2997" s="224">
        <v>6</v>
      </c>
      <c r="D2997" s="225">
        <v>10</v>
      </c>
      <c r="E2997" s="226">
        <v>43680</v>
      </c>
      <c r="F2997" s="227">
        <v>5432246</v>
      </c>
      <c r="G2997" s="1" t="s">
        <v>946</v>
      </c>
      <c r="H2997" s="60">
        <v>4600.83</v>
      </c>
      <c r="I2997" s="228">
        <v>966.17</v>
      </c>
      <c r="J2997" s="229"/>
      <c r="K2997" s="229"/>
      <c r="L2997" s="229">
        <f>SUM(ventas_b_mes11[[#This Row],[IMPORTE NETO]:[EXENTO]])</f>
        <v>5567</v>
      </c>
      <c r="M2997" s="55"/>
    </row>
    <row r="2998" spans="2:13" x14ac:dyDescent="0.3">
      <c r="B2998" s="223">
        <v>44865</v>
      </c>
      <c r="C2998" s="224">
        <v>6</v>
      </c>
      <c r="D2998" s="225">
        <v>10</v>
      </c>
      <c r="E2998" s="226">
        <v>43681</v>
      </c>
      <c r="F2998" s="227">
        <v>10030288</v>
      </c>
      <c r="G2998" s="1" t="s">
        <v>254</v>
      </c>
      <c r="H2998" s="60">
        <v>10502.07</v>
      </c>
      <c r="I2998" s="228">
        <v>2205.44</v>
      </c>
      <c r="J2998" s="229"/>
      <c r="K2998" s="229"/>
      <c r="L2998" s="229">
        <f>SUM(ventas_b_mes11[[#This Row],[IMPORTE NETO]:[EXENTO]])</f>
        <v>12707.51</v>
      </c>
      <c r="M2998" s="55"/>
    </row>
    <row r="2999" spans="2:13" x14ac:dyDescent="0.3">
      <c r="B2999" s="223">
        <v>44865</v>
      </c>
      <c r="C2999" s="224">
        <v>6</v>
      </c>
      <c r="D2999" s="225">
        <v>10</v>
      </c>
      <c r="E2999" s="226">
        <v>43682</v>
      </c>
      <c r="F2999" s="227">
        <v>95153984</v>
      </c>
      <c r="G2999" s="1" t="s">
        <v>668</v>
      </c>
      <c r="H2999" s="60">
        <v>25425.360000000001</v>
      </c>
      <c r="I2999" s="228">
        <v>5339.33</v>
      </c>
      <c r="J2999" s="229"/>
      <c r="K2999" s="229"/>
      <c r="L2999" s="229">
        <f>SUM(ventas_b_mes11[[#This Row],[IMPORTE NETO]:[EXENTO]])</f>
        <v>30764.690000000002</v>
      </c>
      <c r="M2999" s="55"/>
    </row>
    <row r="3000" spans="2:13" x14ac:dyDescent="0.3">
      <c r="B3000" s="223">
        <v>44865</v>
      </c>
      <c r="C3000" s="224">
        <v>6</v>
      </c>
      <c r="D3000" s="225">
        <v>10</v>
      </c>
      <c r="E3000" s="226">
        <v>43683</v>
      </c>
      <c r="F3000" s="227">
        <v>95153984</v>
      </c>
      <c r="G3000" s="1" t="s">
        <v>668</v>
      </c>
      <c r="H3000" s="60">
        <v>34642.550000000003</v>
      </c>
      <c r="I3000" s="228">
        <v>7274.94</v>
      </c>
      <c r="J3000" s="229"/>
      <c r="K3000" s="229"/>
      <c r="L3000" s="229">
        <f>SUM(ventas_b_mes11[[#This Row],[IMPORTE NETO]:[EXENTO]])</f>
        <v>41917.490000000005</v>
      </c>
      <c r="M3000" s="55"/>
    </row>
    <row r="3001" spans="2:13" x14ac:dyDescent="0.3">
      <c r="B3001" s="223">
        <v>44865</v>
      </c>
      <c r="C3001" s="224">
        <v>6</v>
      </c>
      <c r="D3001" s="225">
        <v>10</v>
      </c>
      <c r="E3001" s="226">
        <v>43684</v>
      </c>
      <c r="F3001" s="227">
        <v>95153984</v>
      </c>
      <c r="G3001" s="1" t="s">
        <v>668</v>
      </c>
      <c r="H3001" s="60">
        <v>5687.69</v>
      </c>
      <c r="I3001" s="228">
        <v>1194.4100000000001</v>
      </c>
      <c r="J3001" s="229"/>
      <c r="K3001" s="229"/>
      <c r="L3001" s="229">
        <f>SUM(ventas_b_mes11[[#This Row],[IMPORTE NETO]:[EXENTO]])</f>
        <v>6882.0999999999995</v>
      </c>
      <c r="M3001" s="55"/>
    </row>
    <row r="3002" spans="2:13" x14ac:dyDescent="0.3">
      <c r="B3002" s="223">
        <v>44865</v>
      </c>
      <c r="C3002" s="224">
        <v>6</v>
      </c>
      <c r="D3002" s="225">
        <v>10</v>
      </c>
      <c r="E3002" s="226">
        <v>43685</v>
      </c>
      <c r="F3002" s="227">
        <v>95153984</v>
      </c>
      <c r="G3002" s="1" t="s">
        <v>668</v>
      </c>
      <c r="H3002" s="60">
        <v>15317.35</v>
      </c>
      <c r="I3002" s="228">
        <v>3216.64</v>
      </c>
      <c r="J3002" s="229"/>
      <c r="K3002" s="229"/>
      <c r="L3002" s="229">
        <f>SUM(ventas_b_mes11[[#This Row],[IMPORTE NETO]:[EXENTO]])</f>
        <v>18533.990000000002</v>
      </c>
      <c r="M3002" s="55"/>
    </row>
    <row r="3003" spans="2:13" x14ac:dyDescent="0.3">
      <c r="B3003" s="223">
        <v>44865</v>
      </c>
      <c r="C3003" s="224">
        <v>6</v>
      </c>
      <c r="D3003" s="225">
        <v>10</v>
      </c>
      <c r="E3003" s="226">
        <v>43686</v>
      </c>
      <c r="F3003" s="227">
        <v>20312100267</v>
      </c>
      <c r="G3003" s="1" t="s">
        <v>675</v>
      </c>
      <c r="H3003" s="60">
        <v>5566.61</v>
      </c>
      <c r="I3003" s="228">
        <v>1168.99</v>
      </c>
      <c r="J3003" s="229"/>
      <c r="K3003" s="229"/>
      <c r="L3003" s="229">
        <f>SUM(ventas_b_mes11[[#This Row],[IMPORTE NETO]:[EXENTO]])</f>
        <v>6735.5999999999995</v>
      </c>
      <c r="M3003" s="55"/>
    </row>
    <row r="3004" spans="2:13" x14ac:dyDescent="0.3">
      <c r="B3004" s="223">
        <v>44865</v>
      </c>
      <c r="C3004" s="224">
        <v>6</v>
      </c>
      <c r="D3004" s="225">
        <v>10</v>
      </c>
      <c r="E3004" s="226">
        <v>43687</v>
      </c>
      <c r="F3004" s="227">
        <v>27271107434</v>
      </c>
      <c r="G3004" s="1" t="s">
        <v>232</v>
      </c>
      <c r="H3004" s="60">
        <v>9580.41</v>
      </c>
      <c r="I3004" s="228">
        <v>2011.89</v>
      </c>
      <c r="J3004" s="229"/>
      <c r="K3004" s="229"/>
      <c r="L3004" s="229">
        <f>SUM(ventas_b_mes11[[#This Row],[IMPORTE NETO]:[EXENTO]])</f>
        <v>11592.3</v>
      </c>
      <c r="M3004" s="55"/>
    </row>
    <row r="3005" spans="2:13" x14ac:dyDescent="0.3">
      <c r="B3005" s="223">
        <v>44865</v>
      </c>
      <c r="C3005" s="224">
        <v>6</v>
      </c>
      <c r="D3005" s="225">
        <v>10</v>
      </c>
      <c r="E3005" s="226">
        <v>43688</v>
      </c>
      <c r="F3005" s="227">
        <v>24348286699</v>
      </c>
      <c r="G3005" s="1" t="s">
        <v>346</v>
      </c>
      <c r="H3005" s="60">
        <v>20772.310000000001</v>
      </c>
      <c r="I3005" s="228">
        <v>4362.1899999999996</v>
      </c>
      <c r="J3005" s="229"/>
      <c r="K3005" s="229"/>
      <c r="L3005" s="229">
        <f>SUM(ventas_b_mes11[[#This Row],[IMPORTE NETO]:[EXENTO]])</f>
        <v>25134.5</v>
      </c>
      <c r="M3005" s="55"/>
    </row>
    <row r="3006" spans="2:13" x14ac:dyDescent="0.3">
      <c r="B3006" s="223">
        <v>44865</v>
      </c>
      <c r="C3006" s="224">
        <v>6</v>
      </c>
      <c r="D3006" s="225">
        <v>10</v>
      </c>
      <c r="E3006" s="226">
        <v>43689</v>
      </c>
      <c r="F3006" s="227">
        <v>23207936324</v>
      </c>
      <c r="G3006" s="1" t="s">
        <v>192</v>
      </c>
      <c r="H3006" s="60">
        <v>15721.49</v>
      </c>
      <c r="I3006" s="228">
        <v>3301.51</v>
      </c>
      <c r="J3006" s="229"/>
      <c r="K3006" s="229"/>
      <c r="L3006" s="229">
        <f>SUM(ventas_b_mes11[[#This Row],[IMPORTE NETO]:[EXENTO]])</f>
        <v>19023</v>
      </c>
      <c r="M3006" s="55"/>
    </row>
    <row r="3007" spans="2:13" x14ac:dyDescent="0.3">
      <c r="B3007" s="223">
        <v>44865</v>
      </c>
      <c r="C3007" s="224">
        <v>6</v>
      </c>
      <c r="D3007" s="225">
        <v>10</v>
      </c>
      <c r="E3007" s="226">
        <v>43690</v>
      </c>
      <c r="F3007" s="227">
        <v>27132079124</v>
      </c>
      <c r="G3007" s="1" t="s">
        <v>1121</v>
      </c>
      <c r="H3007" s="60">
        <v>11859.17</v>
      </c>
      <c r="I3007" s="228">
        <v>2490.4299999999998</v>
      </c>
      <c r="J3007" s="229"/>
      <c r="K3007" s="229"/>
      <c r="L3007" s="229">
        <f>SUM(ventas_b_mes11[[#This Row],[IMPORTE NETO]:[EXENTO]])</f>
        <v>14349.6</v>
      </c>
      <c r="M3007" s="55"/>
    </row>
    <row r="3008" spans="2:13" x14ac:dyDescent="0.3">
      <c r="B3008" s="223">
        <v>44865</v>
      </c>
      <c r="C3008" s="224">
        <v>6</v>
      </c>
      <c r="D3008" s="225">
        <v>10</v>
      </c>
      <c r="E3008" s="226">
        <v>43691</v>
      </c>
      <c r="F3008" s="227">
        <v>27119918389</v>
      </c>
      <c r="G3008" s="1" t="s">
        <v>705</v>
      </c>
      <c r="H3008" s="60">
        <v>18456.939999999999</v>
      </c>
      <c r="I3008" s="228">
        <v>3875.96</v>
      </c>
      <c r="J3008" s="229"/>
      <c r="K3008" s="229"/>
      <c r="L3008" s="229">
        <f>SUM(ventas_b_mes11[[#This Row],[IMPORTE NETO]:[EXENTO]])</f>
        <v>22332.899999999998</v>
      </c>
      <c r="M3008" s="55"/>
    </row>
    <row r="3009" spans="2:13" x14ac:dyDescent="0.3">
      <c r="B3009" s="223">
        <v>44865</v>
      </c>
      <c r="C3009" s="224">
        <v>6</v>
      </c>
      <c r="D3009" s="225">
        <v>10</v>
      </c>
      <c r="E3009" s="226">
        <v>43692</v>
      </c>
      <c r="F3009" s="227">
        <v>27269519121</v>
      </c>
      <c r="G3009" s="1" t="s">
        <v>1113</v>
      </c>
      <c r="H3009" s="60">
        <v>3614.88</v>
      </c>
      <c r="I3009" s="228">
        <v>759.12</v>
      </c>
      <c r="J3009" s="229"/>
      <c r="K3009" s="229"/>
      <c r="L3009" s="229">
        <f>SUM(ventas_b_mes11[[#This Row],[IMPORTE NETO]:[EXENTO]])</f>
        <v>4374</v>
      </c>
      <c r="M3009" s="55"/>
    </row>
    <row r="3010" spans="2:13" x14ac:dyDescent="0.3">
      <c r="B3010" s="223">
        <v>44865</v>
      </c>
      <c r="C3010" s="224">
        <v>6</v>
      </c>
      <c r="D3010" s="225">
        <v>10</v>
      </c>
      <c r="E3010" s="226">
        <v>43693</v>
      </c>
      <c r="F3010" s="227">
        <v>27302842790</v>
      </c>
      <c r="G3010" s="1" t="s">
        <v>224</v>
      </c>
      <c r="H3010" s="60">
        <v>42529.59</v>
      </c>
      <c r="I3010" s="228">
        <v>8931.2099999999991</v>
      </c>
      <c r="J3010" s="229"/>
      <c r="K3010" s="229"/>
      <c r="L3010" s="229">
        <f>SUM(ventas_b_mes11[[#This Row],[IMPORTE NETO]:[EXENTO]])</f>
        <v>51460.799999999996</v>
      </c>
      <c r="M3010" s="55"/>
    </row>
    <row r="3011" spans="2:13" x14ac:dyDescent="0.3">
      <c r="B3011" s="223">
        <v>44865</v>
      </c>
      <c r="C3011" s="224">
        <v>6</v>
      </c>
      <c r="D3011" s="225">
        <v>10</v>
      </c>
      <c r="E3011" s="226">
        <v>43694</v>
      </c>
      <c r="F3011" s="227">
        <v>27302842790</v>
      </c>
      <c r="G3011" s="1" t="s">
        <v>224</v>
      </c>
      <c r="H3011" s="60">
        <v>28967.96</v>
      </c>
      <c r="I3011" s="228">
        <v>6083.27</v>
      </c>
      <c r="J3011" s="229"/>
      <c r="K3011" s="229"/>
      <c r="L3011" s="229">
        <f>SUM(ventas_b_mes11[[#This Row],[IMPORTE NETO]:[EXENTO]])</f>
        <v>35051.229999999996</v>
      </c>
      <c r="M3011" s="55"/>
    </row>
    <row r="3012" spans="2:13" x14ac:dyDescent="0.3">
      <c r="B3012" s="223">
        <v>44865</v>
      </c>
      <c r="C3012" s="224">
        <v>6</v>
      </c>
      <c r="D3012" s="225">
        <v>10</v>
      </c>
      <c r="E3012" s="226">
        <v>43695</v>
      </c>
      <c r="F3012" s="227">
        <v>27302842790</v>
      </c>
      <c r="G3012" s="1" t="s">
        <v>224</v>
      </c>
      <c r="H3012" s="60">
        <v>14682.33</v>
      </c>
      <c r="I3012" s="228">
        <v>3083.29</v>
      </c>
      <c r="J3012" s="229"/>
      <c r="K3012" s="229"/>
      <c r="L3012" s="229">
        <f>SUM(ventas_b_mes11[[#This Row],[IMPORTE NETO]:[EXENTO]])</f>
        <v>17765.62</v>
      </c>
      <c r="M3012" s="55"/>
    </row>
    <row r="3013" spans="2:13" x14ac:dyDescent="0.3">
      <c r="B3013" s="223">
        <v>44865</v>
      </c>
      <c r="C3013" s="224">
        <v>6</v>
      </c>
      <c r="D3013" s="225">
        <v>10</v>
      </c>
      <c r="E3013" s="226">
        <v>43696</v>
      </c>
      <c r="F3013" s="227">
        <v>27302842790</v>
      </c>
      <c r="G3013" s="1" t="s">
        <v>224</v>
      </c>
      <c r="H3013" s="60">
        <v>46540.85</v>
      </c>
      <c r="I3013" s="228">
        <v>9773.58</v>
      </c>
      <c r="J3013" s="229"/>
      <c r="K3013" s="229"/>
      <c r="L3013" s="229">
        <f>SUM(ventas_b_mes11[[#This Row],[IMPORTE NETO]:[EXENTO]])</f>
        <v>56314.43</v>
      </c>
      <c r="M3013" s="55"/>
    </row>
    <row r="3014" spans="2:13" x14ac:dyDescent="0.3">
      <c r="B3014" s="223">
        <v>44865</v>
      </c>
      <c r="C3014" s="224">
        <v>6</v>
      </c>
      <c r="D3014" s="225">
        <v>10</v>
      </c>
      <c r="E3014" s="226">
        <v>43697</v>
      </c>
      <c r="F3014" s="227">
        <v>27302842790</v>
      </c>
      <c r="G3014" s="1" t="s">
        <v>224</v>
      </c>
      <c r="H3014" s="60">
        <v>28907.61</v>
      </c>
      <c r="I3014" s="228">
        <v>6070.6</v>
      </c>
      <c r="J3014" s="229"/>
      <c r="K3014" s="229"/>
      <c r="L3014" s="229">
        <f>SUM(ventas_b_mes11[[#This Row],[IMPORTE NETO]:[EXENTO]])</f>
        <v>34978.21</v>
      </c>
      <c r="M3014" s="55"/>
    </row>
    <row r="3015" spans="2:13" x14ac:dyDescent="0.3">
      <c r="B3015" s="223">
        <v>44865</v>
      </c>
      <c r="C3015" s="224">
        <v>6</v>
      </c>
      <c r="D3015" s="225">
        <v>10</v>
      </c>
      <c r="E3015" s="226">
        <v>43698</v>
      </c>
      <c r="F3015" s="227">
        <v>18211637</v>
      </c>
      <c r="G3015" s="1" t="s">
        <v>194</v>
      </c>
      <c r="H3015" s="60">
        <v>2024.79</v>
      </c>
      <c r="I3015" s="228">
        <v>425.21</v>
      </c>
      <c r="J3015" s="229"/>
      <c r="K3015" s="229"/>
      <c r="L3015" s="229">
        <f>SUM(ventas_b_mes11[[#This Row],[IMPORTE NETO]:[EXENTO]])</f>
        <v>2450</v>
      </c>
      <c r="M3015" s="55"/>
    </row>
    <row r="3016" spans="2:13" x14ac:dyDescent="0.3">
      <c r="B3016" s="223">
        <v>44865</v>
      </c>
      <c r="C3016" s="224">
        <v>6</v>
      </c>
      <c r="D3016" s="225">
        <v>10</v>
      </c>
      <c r="E3016" s="226">
        <v>43699</v>
      </c>
      <c r="F3016" s="227">
        <v>96126657</v>
      </c>
      <c r="G3016" s="1" t="s">
        <v>921</v>
      </c>
      <c r="H3016" s="60">
        <v>801.65</v>
      </c>
      <c r="I3016" s="228">
        <v>168.35</v>
      </c>
      <c r="J3016" s="229"/>
      <c r="K3016" s="229"/>
      <c r="L3016" s="229">
        <f>SUM(ventas_b_mes11[[#This Row],[IMPORTE NETO]:[EXENTO]])</f>
        <v>970</v>
      </c>
      <c r="M3016" s="55"/>
    </row>
    <row r="3017" spans="2:13" x14ac:dyDescent="0.3">
      <c r="B3017" s="223">
        <v>44865</v>
      </c>
      <c r="C3017" s="224">
        <v>6</v>
      </c>
      <c r="D3017" s="225">
        <v>10</v>
      </c>
      <c r="E3017" s="226">
        <v>43700</v>
      </c>
      <c r="F3017" s="227">
        <v>36689028</v>
      </c>
      <c r="G3017" s="1" t="s">
        <v>129</v>
      </c>
      <c r="H3017" s="60">
        <v>272.73</v>
      </c>
      <c r="I3017" s="228">
        <v>57.27</v>
      </c>
      <c r="J3017" s="229"/>
      <c r="K3017" s="229"/>
      <c r="L3017" s="229">
        <f>SUM(ventas_b_mes11[[#This Row],[IMPORTE NETO]:[EXENTO]])</f>
        <v>330</v>
      </c>
      <c r="M3017" s="55"/>
    </row>
    <row r="3018" spans="2:13" x14ac:dyDescent="0.3">
      <c r="B3018" s="223">
        <v>44865</v>
      </c>
      <c r="C3018" s="224">
        <v>6</v>
      </c>
      <c r="D3018" s="225">
        <v>10</v>
      </c>
      <c r="E3018" s="226">
        <v>43701</v>
      </c>
      <c r="F3018" s="227">
        <v>36689028</v>
      </c>
      <c r="G3018" s="1" t="s">
        <v>129</v>
      </c>
      <c r="H3018" s="60">
        <v>723.14</v>
      </c>
      <c r="I3018" s="228">
        <v>151.86000000000001</v>
      </c>
      <c r="J3018" s="229"/>
      <c r="K3018" s="229"/>
      <c r="L3018" s="229">
        <f>SUM(ventas_b_mes11[[#This Row],[IMPORTE NETO]:[EXENTO]])</f>
        <v>875</v>
      </c>
      <c r="M3018" s="55"/>
    </row>
    <row r="3019" spans="2:13" x14ac:dyDescent="0.3">
      <c r="B3019" s="223">
        <v>44865</v>
      </c>
      <c r="C3019" s="224">
        <v>6</v>
      </c>
      <c r="D3019" s="225">
        <v>10</v>
      </c>
      <c r="E3019" s="226">
        <v>43702</v>
      </c>
      <c r="F3019" s="227">
        <v>28299794</v>
      </c>
      <c r="G3019" s="1" t="s">
        <v>927</v>
      </c>
      <c r="H3019" s="60">
        <v>3098.35</v>
      </c>
      <c r="I3019" s="228">
        <v>650.65</v>
      </c>
      <c r="J3019" s="229"/>
      <c r="K3019" s="229"/>
      <c r="L3019" s="229">
        <f>SUM(ventas_b_mes11[[#This Row],[IMPORTE NETO]:[EXENTO]])</f>
        <v>3749</v>
      </c>
      <c r="M3019" s="55"/>
    </row>
    <row r="3020" spans="2:13" x14ac:dyDescent="0.3">
      <c r="B3020" s="223">
        <v>44865</v>
      </c>
      <c r="C3020" s="224">
        <v>6</v>
      </c>
      <c r="D3020" s="225">
        <v>10</v>
      </c>
      <c r="E3020" s="226">
        <v>43703</v>
      </c>
      <c r="F3020" s="227">
        <v>20956396</v>
      </c>
      <c r="G3020" s="1"/>
      <c r="H3020" s="60">
        <v>136.36000000000001</v>
      </c>
      <c r="I3020" s="228">
        <v>28.64</v>
      </c>
      <c r="J3020" s="229"/>
      <c r="K3020" s="229"/>
      <c r="L3020" s="229">
        <f>SUM(ventas_b_mes11[[#This Row],[IMPORTE NETO]:[EXENTO]])</f>
        <v>165</v>
      </c>
      <c r="M3020" s="55"/>
    </row>
    <row r="3021" spans="2:13" x14ac:dyDescent="0.3">
      <c r="B3021" s="223"/>
      <c r="C3021" s="224"/>
      <c r="D3021" s="225"/>
      <c r="E3021" s="226"/>
      <c r="F3021" s="227"/>
      <c r="G3021" s="1" t="str">
        <f>IFERROR(IF(ventas_b_mes11[[#This Row],[CUIT]]="","-",VLOOKUP(ventas_b_mes11[[#This Row],[CUIT]],Lista_CUIT[#All],2,0)),"CUIT NO CARGADO")</f>
        <v>-</v>
      </c>
      <c r="H3021" s="60"/>
      <c r="I3021" s="228"/>
      <c r="J3021" s="229"/>
      <c r="K3021" s="229"/>
      <c r="L3021" s="229">
        <f>SUM(ventas_b_mes11[[#This Row],[IMPORTE NETO]:[EXENTO]])</f>
        <v>0</v>
      </c>
      <c r="M3021" s="55"/>
    </row>
    <row r="3022" spans="2:13" x14ac:dyDescent="0.3">
      <c r="B3022" s="223"/>
      <c r="C3022" s="224"/>
      <c r="D3022" s="225"/>
      <c r="E3022" s="226"/>
      <c r="F3022" s="227"/>
      <c r="G3022" s="1" t="str">
        <f>IFERROR(IF(ventas_b_mes11[[#This Row],[CUIT]]="","-",VLOOKUP(ventas_b_mes11[[#This Row],[CUIT]],Lista_CUIT[#All],2,0)),"CUIT NO CARGADO")</f>
        <v>-</v>
      </c>
      <c r="H3022" s="60"/>
      <c r="I3022" s="228"/>
      <c r="J3022" s="229"/>
      <c r="K3022" s="229"/>
      <c r="L3022" s="229">
        <f>SUM(ventas_b_mes11[[#This Row],[IMPORTE NETO]:[EXENTO]])</f>
        <v>0</v>
      </c>
      <c r="M3022" s="55"/>
    </row>
    <row r="3023" spans="2:13" x14ac:dyDescent="0.3">
      <c r="B3023" s="223"/>
      <c r="C3023" s="224"/>
      <c r="D3023" s="225"/>
      <c r="E3023" s="226"/>
      <c r="F3023" s="227"/>
      <c r="G3023" s="1" t="str">
        <f>IFERROR(IF(ventas_b_mes11[[#This Row],[CUIT]]="","-",VLOOKUP(ventas_b_mes11[[#This Row],[CUIT]],Lista_CUIT[#All],2,0)),"CUIT NO CARGADO")</f>
        <v>-</v>
      </c>
      <c r="H3023" s="60"/>
      <c r="I3023" s="228"/>
      <c r="J3023" s="229"/>
      <c r="K3023" s="229"/>
      <c r="L3023" s="229">
        <f>SUM(ventas_b_mes11[[#This Row],[IMPORTE NETO]:[EXENTO]])</f>
        <v>0</v>
      </c>
      <c r="M3023" s="55"/>
    </row>
    <row r="3024" spans="2:13" x14ac:dyDescent="0.3">
      <c r="B3024" s="223"/>
      <c r="C3024" s="224"/>
      <c r="D3024" s="225"/>
      <c r="E3024" s="226"/>
      <c r="F3024" s="227"/>
      <c r="G3024" s="1" t="str">
        <f>IFERROR(IF(ventas_b_mes11[[#This Row],[CUIT]]="","-",VLOOKUP(ventas_b_mes11[[#This Row],[CUIT]],Lista_CUIT[#All],2,0)),"CUIT NO CARGADO")</f>
        <v>-</v>
      </c>
      <c r="H3024" s="60"/>
      <c r="I3024" s="228"/>
      <c r="J3024" s="229"/>
      <c r="K3024" s="229"/>
      <c r="L3024" s="229">
        <f>SUM(ventas_b_mes11[[#This Row],[IMPORTE NETO]:[EXENTO]])</f>
        <v>0</v>
      </c>
      <c r="M3024" s="55"/>
    </row>
    <row r="3025" spans="2:13" x14ac:dyDescent="0.3">
      <c r="B3025" s="223"/>
      <c r="C3025" s="224"/>
      <c r="D3025" s="225"/>
      <c r="E3025" s="226"/>
      <c r="F3025" s="227"/>
      <c r="G3025" s="1" t="str">
        <f>IFERROR(IF(ventas_b_mes11[[#This Row],[CUIT]]="","-",VLOOKUP(ventas_b_mes11[[#This Row],[CUIT]],Lista_CUIT[#All],2,0)),"CUIT NO CARGADO")</f>
        <v>-</v>
      </c>
      <c r="H3025" s="60"/>
      <c r="I3025" s="228"/>
      <c r="J3025" s="229"/>
      <c r="K3025" s="229"/>
      <c r="L3025" s="229">
        <f>SUM(ventas_b_mes11[[#This Row],[IMPORTE NETO]:[EXENTO]])</f>
        <v>0</v>
      </c>
      <c r="M3025" s="55"/>
    </row>
    <row r="3026" spans="2:13" x14ac:dyDescent="0.3">
      <c r="B3026" s="62" t="s">
        <v>83</v>
      </c>
      <c r="C3026" s="63"/>
      <c r="D3026" s="63"/>
      <c r="E3026" s="63"/>
      <c r="F3026" s="63"/>
      <c r="G3026" s="63"/>
      <c r="H3026" s="73">
        <f>SUBTOTAL(109,ventas_b_mes11[IMPORTE NETO])</f>
        <v>17116208.01999997</v>
      </c>
      <c r="I3026" s="73">
        <f>SUBTOTAL(109,ventas_b_mes11[IVA 21%])</f>
        <v>3594403.7999999966</v>
      </c>
      <c r="J3026" s="74">
        <f>SUBTOTAL(109,ventas_b_mes11[IVA 10,5%])</f>
        <v>0</v>
      </c>
      <c r="K3026" s="74">
        <f>SUBTOTAL(109,ventas_b_mes11[EXENTO])</f>
        <v>0</v>
      </c>
      <c r="L3026" s="74">
        <f>SUBTOTAL(109,ventas_b_mes11[TOTAL])</f>
        <v>20710611.820000026</v>
      </c>
      <c r="M3026" s="64">
        <f>SUBTOTAL(103,ventas_b_mes11[Provincia])</f>
        <v>0</v>
      </c>
    </row>
    <row r="3027" spans="2:13" ht="15" thickBot="1" x14ac:dyDescent="0.35">
      <c r="B3027" s="238"/>
      <c r="C3027" s="238"/>
      <c r="D3027" s="238"/>
      <c r="E3027" s="238"/>
      <c r="F3027" s="238"/>
      <c r="G3027" s="238"/>
      <c r="H3027" s="244"/>
      <c r="I3027" s="244"/>
      <c r="J3027" s="245"/>
      <c r="K3027" s="245"/>
      <c r="L3027" s="245"/>
      <c r="M3027" s="239"/>
    </row>
    <row r="3028" spans="2:13" ht="15" thickTop="1" x14ac:dyDescent="0.3">
      <c r="C3028" s="447" t="s">
        <v>48</v>
      </c>
      <c r="D3028" s="447"/>
      <c r="E3028" s="447"/>
      <c r="F3028" s="447"/>
      <c r="G3028" s="447"/>
      <c r="H3028" s="29"/>
      <c r="I3028" s="29"/>
      <c r="J3028" s="29"/>
    </row>
    <row r="3029" spans="2:13" ht="15.6" x14ac:dyDescent="0.3">
      <c r="C3029" s="110" t="s">
        <v>49</v>
      </c>
      <c r="D3029" s="111" t="s">
        <v>50</v>
      </c>
      <c r="E3029" s="111" t="s">
        <v>85</v>
      </c>
      <c r="F3029" s="111" t="s">
        <v>3</v>
      </c>
      <c r="G3029" s="111" t="s">
        <v>4</v>
      </c>
      <c r="H3029" s="112" t="s">
        <v>51</v>
      </c>
      <c r="I3029" s="112" t="s">
        <v>52</v>
      </c>
      <c r="J3029" s="112" t="s">
        <v>53</v>
      </c>
      <c r="K3029" s="112" t="s">
        <v>54</v>
      </c>
      <c r="L3029" s="112" t="s">
        <v>55</v>
      </c>
    </row>
    <row r="3030" spans="2:13" x14ac:dyDescent="0.3">
      <c r="C3030" s="113"/>
      <c r="D3030" s="114"/>
      <c r="E3030" s="114"/>
      <c r="F3030" s="115"/>
      <c r="G3030" s="49" t="str">
        <f>IFERROR(IF(Retenciones_mes11[[#This Row],[CUIT]]="","-",VLOOKUP(Retenciones_mes11[[#This Row],[CUIT]],Lista_CUIT[#All],2,0)),"CUIT NO CARGADO")</f>
        <v>-</v>
      </c>
      <c r="H3030" s="116"/>
      <c r="I3030" s="116"/>
      <c r="J3030" s="116"/>
      <c r="K3030" s="116"/>
      <c r="L3030" s="116"/>
    </row>
    <row r="3031" spans="2:13" x14ac:dyDescent="0.3">
      <c r="C3031" s="113"/>
      <c r="D3031" s="114"/>
      <c r="E3031" s="114"/>
      <c r="F3031" s="115"/>
      <c r="G3031" s="49" t="str">
        <f>IFERROR(IF(Retenciones_mes11[[#This Row],[CUIT]]="","-",VLOOKUP(Retenciones_mes11[[#This Row],[CUIT]],Lista_CUIT[#All],2,0)),"CUIT NO CARGADO")</f>
        <v>-</v>
      </c>
      <c r="H3031" s="116"/>
      <c r="I3031" s="116"/>
      <c r="J3031" s="116"/>
      <c r="K3031" s="116"/>
      <c r="L3031" s="116"/>
    </row>
    <row r="3032" spans="2:13" x14ac:dyDescent="0.3">
      <c r="C3032" s="113"/>
      <c r="D3032" s="114"/>
      <c r="E3032" s="114"/>
      <c r="F3032" s="115"/>
      <c r="G3032" s="49" t="str">
        <f>IFERROR(IF(Retenciones_mes11[[#This Row],[CUIT]]="","-",VLOOKUP(Retenciones_mes11[[#This Row],[CUIT]],Lista_CUIT[#All],2,0)),"CUIT NO CARGADO")</f>
        <v>-</v>
      </c>
      <c r="H3032" s="116"/>
      <c r="I3032" s="116"/>
      <c r="J3032" s="116"/>
      <c r="K3032" s="116"/>
      <c r="L3032" s="116"/>
    </row>
    <row r="3033" spans="2:13" x14ac:dyDescent="0.3">
      <c r="C3033" s="113"/>
      <c r="D3033" s="114"/>
      <c r="E3033" s="114"/>
      <c r="F3033" s="115"/>
      <c r="G3033" s="49" t="str">
        <f>IFERROR(IF(Retenciones_mes11[[#This Row],[CUIT]]="","-",VLOOKUP(Retenciones_mes11[[#This Row],[CUIT]],Lista_CUIT[#All],2,0)),"CUIT NO CARGADO")</f>
        <v>-</v>
      </c>
      <c r="H3033" s="116"/>
      <c r="I3033" s="116"/>
      <c r="J3033" s="116"/>
      <c r="K3033" s="116"/>
      <c r="L3033" s="116"/>
    </row>
    <row r="3034" spans="2:13" x14ac:dyDescent="0.3">
      <c r="D3034" s="114"/>
      <c r="E3034" s="114"/>
      <c r="G3034" s="49" t="str">
        <f>IFERROR(IF(Retenciones_mes11[[#This Row],[CUIT]]="","-",VLOOKUP(Retenciones_mes11[[#This Row],[CUIT]],Lista_CUIT[#All],2,0)),"CUIT NO CARGADO")</f>
        <v>-</v>
      </c>
    </row>
    <row r="3035" spans="2:13" x14ac:dyDescent="0.3">
      <c r="C3035" s="30"/>
    </row>
  </sheetData>
  <mergeCells count="20">
    <mergeCell ref="D158:M158"/>
    <mergeCell ref="C3028:G3028"/>
    <mergeCell ref="B4:E4"/>
    <mergeCell ref="G4:H4"/>
    <mergeCell ref="J4:K4"/>
    <mergeCell ref="M4:N4"/>
    <mergeCell ref="D176:K176"/>
    <mergeCell ref="B211:J211"/>
    <mergeCell ref="K211:M211"/>
    <mergeCell ref="B213:C213"/>
    <mergeCell ref="B405:C405"/>
    <mergeCell ref="P4:R4"/>
    <mergeCell ref="B1:F1"/>
    <mergeCell ref="G1:M1"/>
    <mergeCell ref="N1:R1"/>
    <mergeCell ref="B3:E3"/>
    <mergeCell ref="G3:H3"/>
    <mergeCell ref="J3:K3"/>
    <mergeCell ref="M3:N3"/>
    <mergeCell ref="P3:R3"/>
  </mergeCells>
  <dataValidations count="15">
    <dataValidation type="whole" allowBlank="1" showInputMessage="1" showErrorMessage="1" sqref="D215:D402 D407:D3025 D9:D152 E178:E187">
      <formula1>1</formula1>
      <formula2>9999</formula2>
    </dataValidation>
    <dataValidation type="whole" allowBlank="1" showInputMessage="1" showErrorMessage="1" sqref="E215:E402 E407:E3025 E9:E152 F178:F202">
      <formula1>1</formula1>
      <formula2>99999999</formula2>
    </dataValidation>
    <dataValidation type="whole" allowBlank="1" showInputMessage="1" showErrorMessage="1" sqref="F130:F135 F215:F402 F416:F482 F9:F128 G178:G202">
      <formula1>20000000000</formula1>
      <formula2>33999999999</formula2>
    </dataValidation>
    <dataValidation type="date" allowBlank="1" showInputMessage="1" showErrorMessage="1" sqref="D178:D202 B215:B402 B129 B407:B3025 B9:B126 B154:B157 D160:D169">
      <formula1>40179</formula1>
      <formula2>TODAY()</formula2>
    </dataValidation>
    <dataValidation type="whole" allowBlank="1" showInputMessage="1" showErrorMessage="1" sqref="C9:C152 C215:C402 C154:C157">
      <formula1>1</formula1>
      <formula2>3</formula2>
    </dataValidation>
    <dataValidation type="custom" allowBlank="1" showInputMessage="1" showErrorMessage="1" sqref="H215:K215 H217:K217 H219:K219 H221:K221">
      <formula1>IF($C215=3,H215&lt;0,H215&gt;=0)</formula1>
    </dataValidation>
    <dataValidation type="custom" allowBlank="1" showInputMessage="1" showErrorMessage="1" sqref="L215:L216">
      <formula1>IF($C9=3,L9&lt;0,L9&gt;=0)</formula1>
    </dataValidation>
    <dataValidation type="custom" allowBlank="1" showInputMessage="1" showErrorMessage="1" sqref="L217:L219">
      <formula1>IF($C13=3,L13&lt;0,L13&gt;=0)</formula1>
    </dataValidation>
    <dataValidation type="custom" allowBlank="1" showInputMessage="1" showErrorMessage="1" sqref="L220:L221">
      <formula1>IF($C153=3,L153&lt;0,L153&gt;=0)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28:H130 H9:H126 I9:O152">
      <formula1>IF($C9=3,H9&lt;0,H9&gt;=0)</formula1>
    </dataValidation>
    <dataValidation type="whole" allowBlank="1" showInputMessage="1" showErrorMessage="1" sqref="F407:F415">
      <formula1>20000000000</formula1>
      <formula2>439000000000000</formula2>
    </dataValidation>
    <dataValidation type="custom" allowBlank="1" showInputMessage="1" showErrorMessage="1" sqref="H407:L2215 H2218:L2261">
      <formula1>IF($C407=8,H407&lt;0,H407&gt;=0)</formula1>
    </dataValidation>
    <dataValidation type="custom" allowBlank="1" showInputMessage="1" showErrorMessage="1" sqref="H2216:L2216">
      <formula1>IF($C2217=8,H2216&lt;0,H2216&gt;=0)</formula1>
    </dataValidation>
    <dataValidation type="custom" allowBlank="1" showInputMessage="1" showErrorMessage="1" sqref="H2217:L2217">
      <formula1>IF(#REF!=8,H2217&lt;0,H2217&gt;=0)</formula1>
    </dataValidation>
    <dataValidation type="whole" allowBlank="1" showInputMessage="1" showErrorMessage="1" sqref="C407:C3025">
      <formula1>6</formula1>
      <formula2>8</formula2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tabColor theme="9" tint="0.79998168889431442"/>
    <pageSetUpPr fitToPage="1"/>
  </sheetPr>
  <dimension ref="A1:Z2532"/>
  <sheetViews>
    <sheetView showGridLines="0" topLeftCell="E151" zoomScale="90" zoomScaleNormal="90" workbookViewId="0">
      <selection activeCell="G173" sqref="G173"/>
    </sheetView>
  </sheetViews>
  <sheetFormatPr baseColWidth="10" defaultColWidth="0" defaultRowHeight="14.4" x14ac:dyDescent="0.3"/>
  <cols>
    <col min="1" max="1" width="0.6640625" customWidth="1"/>
    <col min="2" max="2" width="8.88671875" customWidth="1"/>
    <col min="3" max="3" width="5.5546875" customWidth="1"/>
    <col min="4" max="4" width="14.6640625" bestFit="1" customWidth="1"/>
    <col min="5" max="5" width="11.109375" customWidth="1"/>
    <col min="6" max="6" width="29.33203125" customWidth="1"/>
    <col min="7" max="7" width="26.6640625" customWidth="1"/>
    <col min="8" max="8" width="28.33203125" bestFit="1" customWidth="1"/>
    <col min="9" max="9" width="18.33203125" customWidth="1"/>
    <col min="10" max="10" width="19" customWidth="1"/>
    <col min="11" max="11" width="15" customWidth="1"/>
    <col min="12" max="12" width="16.33203125" customWidth="1"/>
    <col min="13" max="13" width="10.6640625" customWidth="1"/>
    <col min="14" max="14" width="18.88671875" bestFit="1" customWidth="1"/>
    <col min="15" max="15" width="18.5546875" customWidth="1"/>
    <col min="16" max="16" width="16.109375" customWidth="1"/>
    <col min="17" max="17" width="22.8867187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3"/>
      <c r="B1" s="450" t="s">
        <v>28</v>
      </c>
      <c r="C1" s="450"/>
      <c r="D1" s="450"/>
      <c r="E1" s="450"/>
      <c r="F1" s="450"/>
      <c r="G1" s="451" t="str">
        <f>'Ene-22'!G1:M1</f>
        <v>EUROARGENTINA</v>
      </c>
      <c r="H1" s="451"/>
      <c r="I1" s="451"/>
      <c r="J1" s="451"/>
      <c r="K1" s="451"/>
      <c r="L1" s="451"/>
      <c r="M1" s="451"/>
      <c r="N1" s="448">
        <f>EDATE('Ene-22'!N1,11)</f>
        <v>44896</v>
      </c>
      <c r="O1" s="448"/>
      <c r="P1" s="448"/>
      <c r="Q1" s="448"/>
      <c r="R1" s="448"/>
    </row>
    <row r="2" spans="1:26" ht="15" customHeight="1" x14ac:dyDescent="0.3"/>
    <row r="3" spans="1:26" ht="26.4" customHeight="1" x14ac:dyDescent="0.3">
      <c r="B3" s="453" t="s">
        <v>47</v>
      </c>
      <c r="C3" s="453"/>
      <c r="D3" s="453"/>
      <c r="E3" s="453"/>
      <c r="F3" s="34"/>
      <c r="G3" s="453" t="s">
        <v>37</v>
      </c>
      <c r="H3" s="453"/>
      <c r="I3" s="34"/>
      <c r="J3" s="445" t="s">
        <v>14</v>
      </c>
      <c r="K3" s="445"/>
      <c r="L3" s="34"/>
      <c r="M3" s="445" t="s">
        <v>12</v>
      </c>
      <c r="N3" s="445"/>
      <c r="O3" s="34"/>
      <c r="P3" s="444" t="s">
        <v>82</v>
      </c>
      <c r="Q3" s="444"/>
      <c r="R3" s="444"/>
    </row>
    <row r="4" spans="1:26" ht="25.2" customHeight="1" x14ac:dyDescent="0.4">
      <c r="B4" s="454">
        <f>SUM(compras_mes12[[#Totals],[NETO GRAVADO]])+extracto_banco_mes12[[#Totals],[NETO]]</f>
        <v>19288756.959047627</v>
      </c>
      <c r="C4" s="454"/>
      <c r="D4" s="454"/>
      <c r="E4" s="454"/>
      <c r="F4" s="35"/>
      <c r="G4" s="455">
        <f>compras_mes12[[#Totals],[IVA 21 %]]+compras_mes12[[#Totals],[IVA 27%]]+compras_mes12[[#Totals],[IVA 10,5%]]+extracto_banco_mes12[[#Totals],[IVA 21%]]+extracto_banco_mes12[[#Totals],[IVA 10,5%]]</f>
        <v>4021818.5850500003</v>
      </c>
      <c r="H4" s="455"/>
      <c r="I4" s="35"/>
      <c r="J4" s="446">
        <f>venta_a_mes12[[#Totals],[IMPORTE NETO]]+ventas_b_mes12[[#Totals],[IMPORTE NETO]]</f>
        <v>24843481.870991677</v>
      </c>
      <c r="K4" s="446"/>
      <c r="L4" s="35"/>
      <c r="M4" s="446">
        <f>venta_a_mes12[[#Totals],[IVA 21%]]+venta_a_mes12[[#Totals],[IVA 10,5%]]+ventas_b_mes12[[#Totals],[IVA 21%]]+ventas_b_mes12[[#Totals],[IVA 10,5%]]</f>
        <v>5216607.6177582722</v>
      </c>
      <c r="N4" s="446"/>
      <c r="O4" s="35"/>
      <c r="P4" s="442">
        <f>G4-M4</f>
        <v>-1194789.0327082719</v>
      </c>
      <c r="Q4" s="443"/>
      <c r="R4" s="443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36"/>
      <c r="C7" s="37"/>
      <c r="D7" s="38"/>
      <c r="E7" s="39"/>
      <c r="F7" s="40"/>
      <c r="G7" s="41"/>
      <c r="H7" s="42"/>
      <c r="I7" s="255" t="s">
        <v>2370</v>
      </c>
      <c r="J7" s="256" t="s">
        <v>2371</v>
      </c>
      <c r="K7" s="43"/>
      <c r="L7" s="43"/>
      <c r="M7" s="43"/>
      <c r="N7" s="43"/>
      <c r="O7" s="43"/>
      <c r="P7" s="44"/>
      <c r="Q7" s="45"/>
      <c r="R7" s="45"/>
      <c r="T7"/>
      <c r="U7"/>
      <c r="V7"/>
      <c r="W7"/>
      <c r="X7"/>
      <c r="Y7"/>
      <c r="Z7"/>
    </row>
    <row r="8" spans="1:26" ht="38.4" customHeight="1" x14ac:dyDescent="0.3">
      <c r="B8" s="80" t="s">
        <v>0</v>
      </c>
      <c r="C8" s="80" t="s">
        <v>1</v>
      </c>
      <c r="D8" s="80" t="s">
        <v>2</v>
      </c>
      <c r="E8" s="80" t="s">
        <v>27</v>
      </c>
      <c r="F8" s="80" t="s">
        <v>3</v>
      </c>
      <c r="G8" s="80" t="s">
        <v>4</v>
      </c>
      <c r="H8" s="80" t="s">
        <v>34</v>
      </c>
      <c r="I8" s="80" t="s">
        <v>35</v>
      </c>
      <c r="J8" s="80" t="s">
        <v>6</v>
      </c>
      <c r="K8" s="80" t="s">
        <v>7</v>
      </c>
      <c r="L8" s="80" t="s">
        <v>8</v>
      </c>
      <c r="M8" s="80" t="s">
        <v>33</v>
      </c>
      <c r="N8" s="80" t="s">
        <v>9</v>
      </c>
      <c r="O8" s="80" t="s">
        <v>36</v>
      </c>
      <c r="P8" s="80" t="s">
        <v>10</v>
      </c>
      <c r="Q8" s="80" t="s">
        <v>11</v>
      </c>
      <c r="R8" s="80" t="s">
        <v>38</v>
      </c>
    </row>
    <row r="9" spans="1:26" x14ac:dyDescent="0.3">
      <c r="B9" s="36"/>
      <c r="C9" s="37"/>
      <c r="D9" s="38"/>
      <c r="E9" s="201"/>
      <c r="F9" s="40"/>
      <c r="G9" s="41" t="str">
        <f>IFERROR(IF(compras_mes12[[#This Row],[CUIT]]="","-",VLOOKUP(compras_mes12[[#This Row],[CUIT]],Lista_CUIT[#All],2,0)),"CUIT NO CARGADO")</f>
        <v>-</v>
      </c>
      <c r="H9" s="42"/>
      <c r="I9" s="166" t="str">
        <f>IF(compras_mes12[[#This Row],[NETO GRAVADO]]="","",compras_mes12[[#This Row],[NETO GRAVADO]]*0.21)</f>
        <v/>
      </c>
      <c r="J9" s="81"/>
      <c r="K9" s="81"/>
      <c r="L9" s="81"/>
      <c r="M9" s="81"/>
      <c r="N9" s="81"/>
      <c r="O9" s="81"/>
      <c r="P9" s="44">
        <f>SUM(compras_mes12[[#This Row],[NETO GRAVADO]:[Otros / No Grav.]])</f>
        <v>0</v>
      </c>
      <c r="Q9" s="45" t="str">
        <f>IFERROR(IF(compras_mes12[[#This Row],[CUIT]]="","-",VLOOKUP(compras_mes12[[#This Row],[CUIT]],Lista_CUIT[#All],3,0)),"CUIT NO CARGADO")</f>
        <v>-</v>
      </c>
      <c r="R9" s="45" t="str">
        <f>IFERROR(IF(compras_mes12[[#This Row],[CUIT]]="","-",VLOOKUP(compras_mes12[[#This Row],[CUIT]],Lista_CUIT[#All],4,0)),"CUIT NO CARGADO")</f>
        <v>-</v>
      </c>
    </row>
    <row r="10" spans="1:26" x14ac:dyDescent="0.3">
      <c r="B10" s="36">
        <v>44866</v>
      </c>
      <c r="C10" s="37">
        <v>1</v>
      </c>
      <c r="D10" s="38">
        <v>1</v>
      </c>
      <c r="E10" s="39">
        <v>315</v>
      </c>
      <c r="F10" s="40">
        <v>20131206144</v>
      </c>
      <c r="G10" s="41" t="str">
        <f>IFERROR(IF(compras_mes12[[#This Row],[CUIT]]="","-",VLOOKUP(compras_mes12[[#This Row],[CUIT]],Lista_CUIT[#All],2,0)),"CUIT NO CARGADO")</f>
        <v>CHAMORRO MANUEL</v>
      </c>
      <c r="H10" s="42">
        <v>60000</v>
      </c>
      <c r="I10" s="81">
        <f>IF(compras_mes12[[#This Row],[NETO GRAVADO]]="","",compras_mes12[[#This Row],[NETO GRAVADO]]*0.21)</f>
        <v>12600</v>
      </c>
      <c r="J10" s="81"/>
      <c r="K10" s="81"/>
      <c r="L10" s="81"/>
      <c r="M10" s="81"/>
      <c r="N10" s="81"/>
      <c r="O10" s="81"/>
      <c r="P10" s="44">
        <f>SUM(compras_mes12[[#This Row],[NETO GRAVADO]:[Otros / No Grav.]])</f>
        <v>72600</v>
      </c>
      <c r="Q10" s="45" t="str">
        <f>IFERROR(IF(compras_mes12[[#This Row],[CUIT]]="","-",VLOOKUP(compras_mes12[[#This Row],[CUIT]],Lista_CUIT[#All],3,0)),"CUIT NO CARGADO")</f>
        <v>Alquiler</v>
      </c>
      <c r="R10" s="45">
        <f>IFERROR(IF(compras_mes12[[#This Row],[CUIT]]="","-",VLOOKUP(compras_mes12[[#This Row],[CUIT]],Lista_CUIT[#All],4,0)),"CUIT NO CARGADO")</f>
        <v>0</v>
      </c>
    </row>
    <row r="11" spans="1:26" x14ac:dyDescent="0.3">
      <c r="B11" s="36">
        <v>44866</v>
      </c>
      <c r="C11" s="37">
        <v>1</v>
      </c>
      <c r="D11" s="38">
        <v>1</v>
      </c>
      <c r="E11" s="39">
        <v>57</v>
      </c>
      <c r="F11" s="40">
        <v>30716010313</v>
      </c>
      <c r="G11" s="41" t="str">
        <f>IFERROR(IF(compras_mes12[[#This Row],[CUIT]]="","-",VLOOKUP(compras_mes12[[#This Row],[CUIT]],Lista_CUIT[#All],2,0)),"CUIT NO CARGADO")</f>
        <v>H UNO 1469 S.A.</v>
      </c>
      <c r="H11" s="42">
        <v>38400</v>
      </c>
      <c r="I11" s="81">
        <f>IF(compras_mes12[[#This Row],[NETO GRAVADO]]="","",compras_mes12[[#This Row],[NETO GRAVADO]]*0.21)</f>
        <v>8064</v>
      </c>
      <c r="J11" s="81"/>
      <c r="K11" s="81"/>
      <c r="L11" s="81"/>
      <c r="M11" s="81"/>
      <c r="N11" s="81"/>
      <c r="O11" s="81"/>
      <c r="P11" s="44">
        <f>SUM(compras_mes12[[#This Row],[NETO GRAVADO]:[Otros / No Grav.]])</f>
        <v>46464</v>
      </c>
      <c r="Q11" s="45" t="str">
        <f>IFERROR(IF(compras_mes12[[#This Row],[CUIT]]="","-",VLOOKUP(compras_mes12[[#This Row],[CUIT]],Lista_CUIT[#All],3,0)),"CUIT NO CARGADO")</f>
        <v>Alquiler</v>
      </c>
      <c r="R11" s="45">
        <f>IFERROR(IF(compras_mes12[[#This Row],[CUIT]]="","-",VLOOKUP(compras_mes12[[#This Row],[CUIT]],Lista_CUIT[#All],4,0)),"CUIT NO CARGADO")</f>
        <v>0</v>
      </c>
    </row>
    <row r="12" spans="1:26" x14ac:dyDescent="0.3">
      <c r="B12" s="36">
        <v>44873</v>
      </c>
      <c r="C12" s="37">
        <v>1</v>
      </c>
      <c r="D12" s="38">
        <v>2</v>
      </c>
      <c r="E12" s="39">
        <v>185</v>
      </c>
      <c r="F12" s="40">
        <v>27309896063</v>
      </c>
      <c r="G12" s="41" t="str">
        <f>IFERROR(IF(compras_mes12[[#This Row],[CUIT]]="","-",VLOOKUP(compras_mes12[[#This Row],[CUIT]],Lista_CUIT[#All],2,0)),"CUIT NO CARGADO")</f>
        <v>BATTELLINI MARIA SOLEDAD</v>
      </c>
      <c r="H12" s="42">
        <v>35000</v>
      </c>
      <c r="I12" s="81">
        <f>IF(compras_mes12[[#This Row],[NETO GRAVADO]]="","",compras_mes12[[#This Row],[NETO GRAVADO]]*0.21)</f>
        <v>7350</v>
      </c>
      <c r="J12" s="81"/>
      <c r="K12" s="81"/>
      <c r="L12" s="81"/>
      <c r="M12" s="81"/>
      <c r="N12" s="81"/>
      <c r="O12" s="81"/>
      <c r="P12" s="44">
        <f>SUM(compras_mes12[[#This Row],[NETO GRAVADO]:[Otros / No Grav.]])</f>
        <v>42350</v>
      </c>
      <c r="Q12" s="45" t="str">
        <f>IFERROR(IF(compras_mes12[[#This Row],[CUIT]]="","-",VLOOKUP(compras_mes12[[#This Row],[CUIT]],Lista_CUIT[#All],3,0)),"CUIT NO CARGADO")</f>
        <v>Alquiler</v>
      </c>
      <c r="R12" s="45">
        <f>IFERROR(IF(compras_mes12[[#This Row],[CUIT]]="","-",VLOOKUP(compras_mes12[[#This Row],[CUIT]],Lista_CUIT[#All],4,0)),"CUIT NO CARGADO")</f>
        <v>0</v>
      </c>
    </row>
    <row r="13" spans="1:26" x14ac:dyDescent="0.3">
      <c r="B13" s="36">
        <v>44875</v>
      </c>
      <c r="C13" s="37">
        <v>1</v>
      </c>
      <c r="D13" s="38">
        <v>2</v>
      </c>
      <c r="E13" s="39">
        <v>370</v>
      </c>
      <c r="F13" s="40">
        <v>20400073776</v>
      </c>
      <c r="G13" s="41" t="str">
        <f>IFERROR(IF(compras_mes12[[#This Row],[CUIT]]="","-",VLOOKUP(compras_mes12[[#This Row],[CUIT]],Lista_CUIT[#All],2,0)),"CUIT NO CARGADO")</f>
        <v>Mizrahi Julian Federico</v>
      </c>
      <c r="H13" s="42">
        <v>34860</v>
      </c>
      <c r="I13" s="81">
        <f>IF(compras_mes12[[#This Row],[NETO GRAVADO]]="","",compras_mes12[[#This Row],[NETO GRAVADO]]*0.21)</f>
        <v>7320.5999999999995</v>
      </c>
      <c r="J13" s="81"/>
      <c r="K13" s="81"/>
      <c r="L13" s="81"/>
      <c r="M13" s="81"/>
      <c r="N13" s="81"/>
      <c r="O13" s="81"/>
      <c r="P13" s="44">
        <f>SUM(compras_mes12[[#This Row],[NETO GRAVADO]:[Otros / No Grav.]])</f>
        <v>42180.6</v>
      </c>
      <c r="Q13" s="45" t="str">
        <f>IFERROR(IF(compras_mes12[[#This Row],[CUIT]]="","-",VLOOKUP(compras_mes12[[#This Row],[CUIT]],Lista_CUIT[#All],3,0)),"CUIT NO CARGADO")</f>
        <v>Alquiler de Filmacion</v>
      </c>
      <c r="R13" s="45">
        <f>IFERROR(IF(compras_mes12[[#This Row],[CUIT]]="","-",VLOOKUP(compras_mes12[[#This Row],[CUIT]],Lista_CUIT[#All],4,0)),"CUIT NO CARGADO")</f>
        <v>0</v>
      </c>
    </row>
    <row r="14" spans="1:26" s="52" customFormat="1" ht="18.600000000000001" customHeight="1" x14ac:dyDescent="0.3">
      <c r="B14" s="36">
        <v>44890</v>
      </c>
      <c r="C14" s="37">
        <v>1</v>
      </c>
      <c r="D14" s="38">
        <v>8</v>
      </c>
      <c r="E14" s="39">
        <v>1111</v>
      </c>
      <c r="F14" s="40">
        <v>30716160889</v>
      </c>
      <c r="G14" s="41" t="str">
        <f>IFERROR(IF(compras_mes12[[#This Row],[CUIT]]="","-",VLOOKUP(compras_mes12[[#This Row],[CUIT]],Lista_CUIT[#All],2,0)),"CUIT NO CARGADO")</f>
        <v>COMERCIALIZADORA DE BEBIDAS SRL</v>
      </c>
      <c r="H14" s="42">
        <v>144689.26</v>
      </c>
      <c r="I14" s="81">
        <f>IF(compras_mes12[[#This Row],[NETO GRAVADO]]="","",compras_mes12[[#This Row],[NETO GRAVADO]]*0.21)</f>
        <v>30384.744600000002</v>
      </c>
      <c r="J14" s="81"/>
      <c r="K14" s="81"/>
      <c r="L14" s="81"/>
      <c r="M14" s="81"/>
      <c r="N14" s="81"/>
      <c r="O14" s="81"/>
      <c r="P14" s="44">
        <f>SUM(compras_mes12[[#This Row],[NETO GRAVADO]:[Otros / No Grav.]])</f>
        <v>175074.00460000001</v>
      </c>
      <c r="Q14" s="45" t="str">
        <f>IFERROR(IF(compras_mes12[[#This Row],[CUIT]]="","-",VLOOKUP(compras_mes12[[#This Row],[CUIT]],Lista_CUIT[#All],3,0)),"CUIT NO CARGADO")</f>
        <v>Catering</v>
      </c>
      <c r="R14" s="45">
        <f>IFERROR(IF(compras_mes12[[#This Row],[CUIT]]="","-",VLOOKUP(compras_mes12[[#This Row],[CUIT]],Lista_CUIT[#All],4,0)),"CUIT NO CARGADO")</f>
        <v>0</v>
      </c>
    </row>
    <row r="15" spans="1:26" x14ac:dyDescent="0.3">
      <c r="B15" s="36">
        <v>44895</v>
      </c>
      <c r="C15" s="37">
        <v>1</v>
      </c>
      <c r="D15" s="38">
        <v>1</v>
      </c>
      <c r="E15" s="39">
        <v>534</v>
      </c>
      <c r="F15" s="40">
        <v>30715048066</v>
      </c>
      <c r="G15" s="41" t="str">
        <f>IFERROR(IF(compras_mes12[[#This Row],[CUIT]]="","-",VLOOKUP(compras_mes12[[#This Row],[CUIT]],Lista_CUIT[#All],2,0)),"CUIT NO CARGADO")</f>
        <v>ROLLS Y EMPANADAS SA</v>
      </c>
      <c r="H15" s="42">
        <v>315330</v>
      </c>
      <c r="I15" s="81">
        <f>IF(compras_mes12[[#This Row],[NETO GRAVADO]]="","",compras_mes12[[#This Row],[NETO GRAVADO]]*0.21)</f>
        <v>66219.3</v>
      </c>
      <c r="J15" s="81"/>
      <c r="K15" s="81"/>
      <c r="L15" s="81"/>
      <c r="M15" s="81"/>
      <c r="N15" s="81"/>
      <c r="O15" s="81"/>
      <c r="P15" s="44">
        <f>SUM(compras_mes12[[#This Row],[NETO GRAVADO]:[Otros / No Grav.]])</f>
        <v>381549.3</v>
      </c>
      <c r="Q15" s="45" t="str">
        <f>IFERROR(IF(compras_mes12[[#This Row],[CUIT]]="","-",VLOOKUP(compras_mes12[[#This Row],[CUIT]],Lista_CUIT[#All],3,0)),"CUIT NO CARGADO")</f>
        <v>Catering</v>
      </c>
      <c r="R15" s="45">
        <f>IFERROR(IF(compras_mes12[[#This Row],[CUIT]]="","-",VLOOKUP(compras_mes12[[#This Row],[CUIT]],Lista_CUIT[#All],4,0)),"CUIT NO CARGADO")</f>
        <v>0</v>
      </c>
    </row>
    <row r="16" spans="1:26" x14ac:dyDescent="0.3">
      <c r="B16" s="36">
        <v>44895</v>
      </c>
      <c r="C16" s="37">
        <v>1</v>
      </c>
      <c r="D16" s="38">
        <v>1</v>
      </c>
      <c r="E16" s="39">
        <v>535</v>
      </c>
      <c r="F16" s="40">
        <v>30715048066</v>
      </c>
      <c r="G16" s="41" t="str">
        <f>IFERROR(IF(compras_mes12[[#This Row],[CUIT]]="","-",VLOOKUP(compras_mes12[[#This Row],[CUIT]],Lista_CUIT[#All],2,0)),"CUIT NO CARGADO")</f>
        <v>ROLLS Y EMPANADAS SA</v>
      </c>
      <c r="H16" s="42">
        <v>315060</v>
      </c>
      <c r="I16" s="81">
        <f>IF(compras_mes12[[#This Row],[NETO GRAVADO]]="","",compras_mes12[[#This Row],[NETO GRAVADO]]*0.21)</f>
        <v>66162.599999999991</v>
      </c>
      <c r="J16" s="81"/>
      <c r="K16" s="81"/>
      <c r="L16" s="81"/>
      <c r="M16" s="81"/>
      <c r="N16" s="81"/>
      <c r="O16" s="81"/>
      <c r="P16" s="44">
        <f>SUM(compras_mes12[[#This Row],[NETO GRAVADO]:[Otros / No Grav.]])</f>
        <v>381222.6</v>
      </c>
      <c r="Q16" s="45" t="str">
        <f>IFERROR(IF(compras_mes12[[#This Row],[CUIT]]="","-",VLOOKUP(compras_mes12[[#This Row],[CUIT]],Lista_CUIT[#All],3,0)),"CUIT NO CARGADO")</f>
        <v>Catering</v>
      </c>
      <c r="R16" s="45">
        <f>IFERROR(IF(compras_mes12[[#This Row],[CUIT]]="","-",VLOOKUP(compras_mes12[[#This Row],[CUIT]],Lista_CUIT[#All],4,0)),"CUIT NO CARGADO")</f>
        <v>0</v>
      </c>
    </row>
    <row r="17" spans="2:18" ht="14.4" customHeight="1" x14ac:dyDescent="0.3">
      <c r="B17" s="305">
        <v>44866</v>
      </c>
      <c r="C17" s="306">
        <v>1</v>
      </c>
      <c r="D17" s="307">
        <v>23</v>
      </c>
      <c r="E17" s="39">
        <v>5454</v>
      </c>
      <c r="F17" s="40">
        <v>30515800219</v>
      </c>
      <c r="G17" s="308" t="str">
        <f>IFERROR(IF(compras_mes12[[#This Row],[CUIT]]="","-",VLOOKUP(compras_mes12[[#This Row],[CUIT]],Lista_CUIT[#All],2,0)),"CUIT NO CARGADO")</f>
        <v>INCAT SRL</v>
      </c>
      <c r="H17" s="309">
        <v>4461.8100000000004</v>
      </c>
      <c r="I17" s="310">
        <f>IF(compras_mes12[[#This Row],[NETO GRAVADO]]="","",compras_mes12[[#This Row],[NETO GRAVADO]]*0.21)</f>
        <v>936.98009999999999</v>
      </c>
      <c r="J17" s="310"/>
      <c r="K17" s="310"/>
      <c r="L17" s="310"/>
      <c r="M17" s="310"/>
      <c r="N17" s="310"/>
      <c r="O17" s="310">
        <v>1154.22</v>
      </c>
      <c r="P17" s="311">
        <f>SUM(compras_mes12[[#This Row],[NETO GRAVADO]:[Otros / No Grav.]])</f>
        <v>6553.0101000000004</v>
      </c>
      <c r="Q17" s="312" t="str">
        <f>IFERROR(IF(compras_mes12[[#This Row],[CUIT]]="","-",VLOOKUP(compras_mes12[[#This Row],[CUIT]],Lista_CUIT[#All],3,0)),"CUIT NO CARGADO")</f>
        <v>Combustible</v>
      </c>
      <c r="R17" s="312">
        <f>IFERROR(IF(compras_mes12[[#This Row],[CUIT]]="","-",VLOOKUP(compras_mes12[[#This Row],[CUIT]],Lista_CUIT[#All],4,0)),"CUIT NO CARGADO")</f>
        <v>0</v>
      </c>
    </row>
    <row r="18" spans="2:18" x14ac:dyDescent="0.3">
      <c r="B18" s="36">
        <v>44868</v>
      </c>
      <c r="C18" s="37">
        <v>1</v>
      </c>
      <c r="D18" s="38">
        <v>25</v>
      </c>
      <c r="E18" s="39">
        <v>3966</v>
      </c>
      <c r="F18" s="40">
        <v>30695243673</v>
      </c>
      <c r="G18" s="41" t="str">
        <f>IFERROR(IF(compras_mes12[[#This Row],[CUIT]]="","-",VLOOKUP(compras_mes12[[#This Row],[CUIT]],Lista_CUIT[#All],2,0)),"CUIT NO CARGADO")</f>
        <v>YAPAY SRL</v>
      </c>
      <c r="H18" s="42">
        <v>738.91</v>
      </c>
      <c r="I18" s="81">
        <f>IF(compras_mes12[[#This Row],[NETO GRAVADO]]="","",compras_mes12[[#This Row],[NETO GRAVADO]]*0.21)</f>
        <v>155.1711</v>
      </c>
      <c r="J18" s="81"/>
      <c r="K18" s="81"/>
      <c r="L18" s="81">
        <v>44.33</v>
      </c>
      <c r="M18" s="81"/>
      <c r="N18" s="81">
        <v>6.13</v>
      </c>
      <c r="O18" s="81">
        <v>100.09</v>
      </c>
      <c r="P18" s="44">
        <f>SUM(compras_mes12[[#This Row],[NETO GRAVADO]:[Otros / No Grav.]])</f>
        <v>1044.6311000000001</v>
      </c>
      <c r="Q18" s="45" t="str">
        <f>IFERROR(IF(compras_mes12[[#This Row],[CUIT]]="","-",VLOOKUP(compras_mes12[[#This Row],[CUIT]],Lista_CUIT[#All],3,0)),"CUIT NO CARGADO")</f>
        <v>Combustible</v>
      </c>
      <c r="R18" s="45">
        <f>IFERROR(IF(compras_mes12[[#This Row],[CUIT]]="","-",VLOOKUP(compras_mes12[[#This Row],[CUIT]],Lista_CUIT[#All],4,0)),"CUIT NO CARGADO")</f>
        <v>0</v>
      </c>
    </row>
    <row r="19" spans="2:18" x14ac:dyDescent="0.3">
      <c r="B19" s="322">
        <v>44868</v>
      </c>
      <c r="C19" s="323">
        <v>1</v>
      </c>
      <c r="D19" s="324">
        <v>25</v>
      </c>
      <c r="E19" s="39">
        <v>3967</v>
      </c>
      <c r="F19" s="325">
        <v>30695243673</v>
      </c>
      <c r="G19" s="326" t="str">
        <f>IFERROR(IF(compras_mes12[[#This Row],[CUIT]]="","-",VLOOKUP(compras_mes12[[#This Row],[CUIT]],Lista_CUIT[#All],2,0)),"CUIT NO CARGADO")</f>
        <v>YAPAY SRL</v>
      </c>
      <c r="H19" s="327">
        <v>2882.04</v>
      </c>
      <c r="I19" s="328">
        <f>IF(compras_mes12[[#This Row],[NETO GRAVADO]]="","",compras_mes12[[#This Row],[NETO GRAVADO]]*0.21)</f>
        <v>605.22839999999997</v>
      </c>
      <c r="J19" s="328"/>
      <c r="K19" s="328"/>
      <c r="L19" s="328">
        <v>172.92</v>
      </c>
      <c r="M19" s="328"/>
      <c r="N19" s="328">
        <v>23.92</v>
      </c>
      <c r="O19" s="328">
        <v>390.42</v>
      </c>
      <c r="P19" s="329">
        <f>SUM(compras_mes12[[#This Row],[NETO GRAVADO]:[Otros / No Grav.]])</f>
        <v>4074.5284000000001</v>
      </c>
      <c r="Q19" s="330" t="str">
        <f>IFERROR(IF(compras_mes12[[#This Row],[CUIT]]="","-",VLOOKUP(compras_mes12[[#This Row],[CUIT]],Lista_CUIT[#All],3,0)),"CUIT NO CARGADO")</f>
        <v>Combustible</v>
      </c>
      <c r="R19" s="330">
        <f>IFERROR(IF(compras_mes12[[#This Row],[CUIT]]="","-",VLOOKUP(compras_mes12[[#This Row],[CUIT]],Lista_CUIT[#All],4,0)),"CUIT NO CARGADO")</f>
        <v>0</v>
      </c>
    </row>
    <row r="20" spans="2:18" ht="14.4" customHeight="1" x14ac:dyDescent="0.3">
      <c r="B20" s="322">
        <v>44870</v>
      </c>
      <c r="C20" s="323">
        <v>1</v>
      </c>
      <c r="D20" s="324">
        <v>12</v>
      </c>
      <c r="E20" s="39">
        <v>11890</v>
      </c>
      <c r="F20" s="325">
        <v>30696131003</v>
      </c>
      <c r="G20" s="326" t="str">
        <f>IFERROR(IF(compras_mes12[[#This Row],[CUIT]]="","-",VLOOKUP(compras_mes12[[#This Row],[CUIT]],Lista_CUIT[#All],2,0)),"CUIT NO CARGADO")</f>
        <v>PETROLFE  S.A.</v>
      </c>
      <c r="H20" s="327">
        <v>20717.88</v>
      </c>
      <c r="I20" s="328">
        <f>IF(compras_mes12[[#This Row],[NETO GRAVADO]]="","",compras_mes12[[#This Row],[NETO GRAVADO]]*0.21)</f>
        <v>4350.7547999999997</v>
      </c>
      <c r="J20" s="328"/>
      <c r="K20" s="328"/>
      <c r="L20" s="328"/>
      <c r="M20" s="328"/>
      <c r="N20" s="328">
        <v>288.44</v>
      </c>
      <c r="O20" s="328">
        <v>4707.3100000000004</v>
      </c>
      <c r="P20" s="329">
        <f>SUM(compras_mes12[[#This Row],[NETO GRAVADO]:[Otros / No Grav.]])</f>
        <v>30064.3848</v>
      </c>
      <c r="Q20" s="330" t="str">
        <f>IFERROR(IF(compras_mes12[[#This Row],[CUIT]]="","-",VLOOKUP(compras_mes12[[#This Row],[CUIT]],Lista_CUIT[#All],3,0)),"CUIT NO CARGADO")</f>
        <v>Combustible</v>
      </c>
      <c r="R20" s="330">
        <f>IFERROR(IF(compras_mes12[[#This Row],[CUIT]]="","-",VLOOKUP(compras_mes12[[#This Row],[CUIT]],Lista_CUIT[#All],4,0)),"CUIT NO CARGADO")</f>
        <v>0</v>
      </c>
    </row>
    <row r="21" spans="2:18" ht="14.4" customHeight="1" x14ac:dyDescent="0.3">
      <c r="B21" s="36">
        <v>44871</v>
      </c>
      <c r="C21" s="37">
        <v>1</v>
      </c>
      <c r="D21" s="38">
        <v>6850</v>
      </c>
      <c r="E21" s="39">
        <v>10564</v>
      </c>
      <c r="F21" s="40">
        <v>30678774495</v>
      </c>
      <c r="G21" s="41" t="str">
        <f>IFERROR(IF(compras_mes12[[#This Row],[CUIT]]="","-",VLOOKUP(compras_mes12[[#This Row],[CUIT]],Lista_CUIT[#All],2,0)),"CUIT NO CARGADO")</f>
        <v>OPER. DE EST. DE SERV. SA</v>
      </c>
      <c r="H21" s="42">
        <v>3598.96</v>
      </c>
      <c r="I21" s="81">
        <f>IF(compras_mes12[[#This Row],[NETO GRAVADO]]="","",compras_mes12[[#This Row],[NETO GRAVADO]]*0.21)</f>
        <v>755.78160000000003</v>
      </c>
      <c r="J21" s="81"/>
      <c r="K21" s="81"/>
      <c r="L21" s="81"/>
      <c r="M21" s="81"/>
      <c r="N21" s="81"/>
      <c r="O21" s="81">
        <v>846.56</v>
      </c>
      <c r="P21" s="44">
        <f>SUM(compras_mes12[[#This Row],[NETO GRAVADO]:[Otros / No Grav.]])</f>
        <v>5201.3016000000007</v>
      </c>
      <c r="Q21" s="45" t="str">
        <f>IFERROR(IF(compras_mes12[[#This Row],[CUIT]]="","-",VLOOKUP(compras_mes12[[#This Row],[CUIT]],Lista_CUIT[#All],3,0)),"CUIT NO CARGADO")</f>
        <v>Combustible</v>
      </c>
      <c r="R21" s="45">
        <f>IFERROR(IF(compras_mes12[[#This Row],[CUIT]]="","-",VLOOKUP(compras_mes12[[#This Row],[CUIT]],Lista_CUIT[#All],4,0)),"CUIT NO CARGADO")</f>
        <v>0</v>
      </c>
    </row>
    <row r="22" spans="2:18" ht="15" customHeight="1" x14ac:dyDescent="0.3">
      <c r="B22" s="36">
        <v>44874</v>
      </c>
      <c r="C22" s="37">
        <v>1</v>
      </c>
      <c r="D22" s="38">
        <v>6852</v>
      </c>
      <c r="E22" s="39">
        <v>12932</v>
      </c>
      <c r="F22" s="40">
        <v>30678774495</v>
      </c>
      <c r="G22" s="41" t="str">
        <f>IFERROR(IF(compras_mes12[[#This Row],[CUIT]]="","-",VLOOKUP(compras_mes12[[#This Row],[CUIT]],Lista_CUIT[#All],2,0)),"CUIT NO CARGADO")</f>
        <v>OPER. DE EST. DE SERV. SA</v>
      </c>
      <c r="H22" s="42">
        <v>7058.64</v>
      </c>
      <c r="I22" s="81">
        <f>IF(compras_mes12[[#This Row],[NETO GRAVADO]]="","",compras_mes12[[#This Row],[NETO GRAVADO]]*0.21)</f>
        <v>1482.3144</v>
      </c>
      <c r="J22" s="81"/>
      <c r="K22" s="81"/>
      <c r="L22" s="81"/>
      <c r="M22" s="81"/>
      <c r="N22" s="81"/>
      <c r="O22" s="81">
        <v>1660.35</v>
      </c>
      <c r="P22" s="44">
        <f>SUM(compras_mes12[[#This Row],[NETO GRAVADO]:[Otros / No Grav.]])</f>
        <v>10201.304400000001</v>
      </c>
      <c r="Q22" s="45" t="str">
        <f>IFERROR(IF(compras_mes12[[#This Row],[CUIT]]="","-",VLOOKUP(compras_mes12[[#This Row],[CUIT]],Lista_CUIT[#All],3,0)),"CUIT NO CARGADO")</f>
        <v>Combustible</v>
      </c>
      <c r="R22" s="45">
        <f>IFERROR(IF(compras_mes12[[#This Row],[CUIT]]="","-",VLOOKUP(compras_mes12[[#This Row],[CUIT]],Lista_CUIT[#All],4,0)),"CUIT NO CARGADO")</f>
        <v>0</v>
      </c>
    </row>
    <row r="23" spans="2:18" ht="15" customHeight="1" x14ac:dyDescent="0.3">
      <c r="B23" s="322">
        <v>44876</v>
      </c>
      <c r="C23" s="323">
        <v>1</v>
      </c>
      <c r="D23" s="324">
        <v>23</v>
      </c>
      <c r="E23" s="39">
        <v>5767</v>
      </c>
      <c r="F23" s="325">
        <v>30515800219</v>
      </c>
      <c r="G23" s="326" t="str">
        <f>IFERROR(IF(compras_mes12[[#This Row],[CUIT]]="","-",VLOOKUP(compras_mes12[[#This Row],[CUIT]],Lista_CUIT[#All],2,0)),"CUIT NO CARGADO")</f>
        <v>INCAT SRL</v>
      </c>
      <c r="H23" s="327">
        <v>4471.05</v>
      </c>
      <c r="I23" s="328">
        <f>IF(compras_mes12[[#This Row],[NETO GRAVADO]]="","",compras_mes12[[#This Row],[NETO GRAVADO]]*0.21)</f>
        <v>938.92049999999995</v>
      </c>
      <c r="J23" s="328"/>
      <c r="K23" s="328"/>
      <c r="L23" s="328"/>
      <c r="M23" s="328"/>
      <c r="N23" s="328"/>
      <c r="O23" s="328">
        <v>1090.51</v>
      </c>
      <c r="P23" s="329">
        <f>SUM(compras_mes12[[#This Row],[NETO GRAVADO]:[Otros / No Grav.]])</f>
        <v>6500.4805000000006</v>
      </c>
      <c r="Q23" s="330" t="str">
        <f>IFERROR(IF(compras_mes12[[#This Row],[CUIT]]="","-",VLOOKUP(compras_mes12[[#This Row],[CUIT]],Lista_CUIT[#All],3,0)),"CUIT NO CARGADO")</f>
        <v>Combustible</v>
      </c>
      <c r="R23" s="330">
        <f>IFERROR(IF(compras_mes12[[#This Row],[CUIT]]="","-",VLOOKUP(compras_mes12[[#This Row],[CUIT]],Lista_CUIT[#All],4,0)),"CUIT NO CARGADO")</f>
        <v>0</v>
      </c>
    </row>
    <row r="24" spans="2:18" ht="15" customHeight="1" x14ac:dyDescent="0.3">
      <c r="B24" s="36">
        <v>44876</v>
      </c>
      <c r="C24" s="37">
        <v>1</v>
      </c>
      <c r="D24" s="38">
        <v>14</v>
      </c>
      <c r="E24" s="39">
        <v>11388</v>
      </c>
      <c r="F24" s="40">
        <v>33709344809</v>
      </c>
      <c r="G24" s="41" t="str">
        <f>IFERROR(IF(compras_mes12[[#This Row],[CUIT]]="","-",VLOOKUP(compras_mes12[[#This Row],[CUIT]],Lista_CUIT[#All],2,0)),"CUIT NO CARGADO")</f>
        <v xml:space="preserve">SHELL ALBERDI </v>
      </c>
      <c r="H24" s="42">
        <v>1621.93</v>
      </c>
      <c r="I24" s="81">
        <f>IF(compras_mes12[[#This Row],[NETO GRAVADO]]="","",compras_mes12[[#This Row],[NETO GRAVADO]]*0.21)</f>
        <v>340.6053</v>
      </c>
      <c r="J24" s="81"/>
      <c r="K24" s="81"/>
      <c r="L24" s="81"/>
      <c r="M24" s="81"/>
      <c r="N24" s="81"/>
      <c r="O24" s="81">
        <v>187.96</v>
      </c>
      <c r="P24" s="44">
        <f>SUM(compras_mes12[[#This Row],[NETO GRAVADO]:[Otros / No Grav.]])</f>
        <v>2150.4953</v>
      </c>
      <c r="Q24" s="45" t="str">
        <f>IFERROR(IF(compras_mes12[[#This Row],[CUIT]]="","-",VLOOKUP(compras_mes12[[#This Row],[CUIT]],Lista_CUIT[#All],3,0)),"CUIT NO CARGADO")</f>
        <v>Combustible</v>
      </c>
      <c r="R24" s="45">
        <f>IFERROR(IF(compras_mes12[[#This Row],[CUIT]]="","-",VLOOKUP(compras_mes12[[#This Row],[CUIT]],Lista_CUIT[#All],4,0)),"CUIT NO CARGADO")</f>
        <v>0</v>
      </c>
    </row>
    <row r="25" spans="2:18" ht="15" customHeight="1" x14ac:dyDescent="0.3">
      <c r="B25" s="36">
        <v>44877</v>
      </c>
      <c r="C25" s="37">
        <v>1</v>
      </c>
      <c r="D25" s="38">
        <v>20</v>
      </c>
      <c r="E25" s="39">
        <v>5903</v>
      </c>
      <c r="F25" s="40">
        <v>30515800219</v>
      </c>
      <c r="G25" s="41" t="str">
        <f>IFERROR(IF(compras_mes12[[#This Row],[CUIT]]="","-",VLOOKUP(compras_mes12[[#This Row],[CUIT]],Lista_CUIT[#All],2,0)),"CUIT NO CARGADO")</f>
        <v>INCAT SRL</v>
      </c>
      <c r="H25" s="42">
        <v>73.099999999999994</v>
      </c>
      <c r="I25" s="81">
        <f>IF(compras_mes12[[#This Row],[NETO GRAVADO]]="","",compras_mes12[[#This Row],[NETO GRAVADO]]*0.21)</f>
        <v>15.350999999999999</v>
      </c>
      <c r="J25" s="81"/>
      <c r="K25" s="81"/>
      <c r="L25" s="81"/>
      <c r="M25" s="81"/>
      <c r="N25" s="81"/>
      <c r="O25" s="81">
        <v>1.55</v>
      </c>
      <c r="P25" s="44">
        <f>SUM(compras_mes12[[#This Row],[NETO GRAVADO]:[Otros / No Grav.]])</f>
        <v>90.000999999999991</v>
      </c>
      <c r="Q25" s="45" t="str">
        <f>IFERROR(IF(compras_mes12[[#This Row],[CUIT]]="","-",VLOOKUP(compras_mes12[[#This Row],[CUIT]],Lista_CUIT[#All],3,0)),"CUIT NO CARGADO")</f>
        <v>Combustible</v>
      </c>
      <c r="R25" s="45">
        <f>IFERROR(IF(compras_mes12[[#This Row],[CUIT]]="","-",VLOOKUP(compras_mes12[[#This Row],[CUIT]],Lista_CUIT[#All],4,0)),"CUIT NO CARGADO")</f>
        <v>0</v>
      </c>
    </row>
    <row r="26" spans="2:18" ht="15" customHeight="1" x14ac:dyDescent="0.3">
      <c r="B26" s="322">
        <v>44877</v>
      </c>
      <c r="C26" s="323">
        <v>1</v>
      </c>
      <c r="D26" s="324">
        <v>12</v>
      </c>
      <c r="E26" s="39">
        <v>12299</v>
      </c>
      <c r="F26" s="325">
        <v>30696131003</v>
      </c>
      <c r="G26" s="326" t="str">
        <f>IFERROR(IF(compras_mes12[[#This Row],[CUIT]]="","-",VLOOKUP(compras_mes12[[#This Row],[CUIT]],Lista_CUIT[#All],2,0)),"CUIT NO CARGADO")</f>
        <v>PETROLFE  S.A.</v>
      </c>
      <c r="H26" s="327">
        <v>20902.28</v>
      </c>
      <c r="I26" s="328">
        <f>IF(compras_mes12[[#This Row],[NETO GRAVADO]]="","",compras_mes12[[#This Row],[NETO GRAVADO]]*0.21)</f>
        <v>4389.4787999999999</v>
      </c>
      <c r="J26" s="328"/>
      <c r="K26" s="328"/>
      <c r="L26" s="328"/>
      <c r="M26" s="328"/>
      <c r="N26" s="328"/>
      <c r="O26" s="328">
        <v>5066.24</v>
      </c>
      <c r="P26" s="329">
        <f>SUM(compras_mes12[[#This Row],[NETO GRAVADO]:[Otros / No Grav.]])</f>
        <v>30357.998800000001</v>
      </c>
      <c r="Q26" s="330" t="str">
        <f>IFERROR(IF(compras_mes12[[#This Row],[CUIT]]="","-",VLOOKUP(compras_mes12[[#This Row],[CUIT]],Lista_CUIT[#All],3,0)),"CUIT NO CARGADO")</f>
        <v>Combustible</v>
      </c>
      <c r="R26" s="330">
        <f>IFERROR(IF(compras_mes12[[#This Row],[CUIT]]="","-",VLOOKUP(compras_mes12[[#This Row],[CUIT]],Lista_CUIT[#All],4,0)),"CUIT NO CARGADO")</f>
        <v>0</v>
      </c>
    </row>
    <row r="27" spans="2:18" x14ac:dyDescent="0.3">
      <c r="B27" s="322">
        <v>44880</v>
      </c>
      <c r="C27" s="323">
        <v>1</v>
      </c>
      <c r="D27" s="324">
        <v>9</v>
      </c>
      <c r="E27" s="39">
        <v>21657</v>
      </c>
      <c r="F27" s="325">
        <v>30551016117</v>
      </c>
      <c r="G27" s="326" t="str">
        <f>IFERROR(IF(compras_mes12[[#This Row],[CUIT]]="","-",VLOOKUP(compras_mes12[[#This Row],[CUIT]],Lista_CUIT[#All],2,0)),"CUIT NO CARGADO")</f>
        <v>EL CURVON SRL</v>
      </c>
      <c r="H27" s="327">
        <v>3958.21</v>
      </c>
      <c r="I27" s="328">
        <f>IF(compras_mes12[[#This Row],[NETO GRAVADO]]="","",compras_mes12[[#This Row],[NETO GRAVADO]]*0.21)</f>
        <v>831.22410000000002</v>
      </c>
      <c r="J27" s="328"/>
      <c r="K27" s="328"/>
      <c r="L27" s="328"/>
      <c r="M27" s="328"/>
      <c r="N27" s="328"/>
      <c r="O27" s="328">
        <v>911.83</v>
      </c>
      <c r="P27" s="329">
        <f>SUM(compras_mes12[[#This Row],[NETO GRAVADO]:[Otros / No Grav.]])</f>
        <v>5701.2641000000003</v>
      </c>
      <c r="Q27" s="330" t="str">
        <f>IFERROR(IF(compras_mes12[[#This Row],[CUIT]]="","-",VLOOKUP(compras_mes12[[#This Row],[CUIT]],Lista_CUIT[#All],3,0)),"CUIT NO CARGADO")</f>
        <v>Combustible</v>
      </c>
      <c r="R27" s="330">
        <f>IFERROR(IF(compras_mes12[[#This Row],[CUIT]]="","-",VLOOKUP(compras_mes12[[#This Row],[CUIT]],Lista_CUIT[#All],4,0)),"CUIT NO CARGADO")</f>
        <v>0</v>
      </c>
    </row>
    <row r="28" spans="2:18" x14ac:dyDescent="0.3">
      <c r="B28" s="36">
        <v>44881</v>
      </c>
      <c r="C28" s="37">
        <v>1</v>
      </c>
      <c r="D28" s="38">
        <v>6852</v>
      </c>
      <c r="E28" s="39">
        <v>13146</v>
      </c>
      <c r="F28" s="40">
        <v>30678774495</v>
      </c>
      <c r="G28" s="41" t="str">
        <f>IFERROR(IF(compras_mes12[[#This Row],[CUIT]]="","-",VLOOKUP(compras_mes12[[#This Row],[CUIT]],Lista_CUIT[#All],2,0)),"CUIT NO CARGADO")</f>
        <v>OPER. DE EST. DE SERV. SA</v>
      </c>
      <c r="H28" s="42">
        <v>899.51</v>
      </c>
      <c r="I28" s="81">
        <f>IF(compras_mes12[[#This Row],[NETO GRAVADO]]="","",compras_mes12[[#This Row],[NETO GRAVADO]]*0.21)</f>
        <v>188.89709999999999</v>
      </c>
      <c r="J28" s="81"/>
      <c r="K28" s="81"/>
      <c r="L28" s="81"/>
      <c r="M28" s="81"/>
      <c r="N28" s="81"/>
      <c r="O28" s="81">
        <v>211.59</v>
      </c>
      <c r="P28" s="44">
        <f>SUM(compras_mes12[[#This Row],[NETO GRAVADO]:[Otros / No Grav.]])</f>
        <v>1299.9970999999998</v>
      </c>
      <c r="Q28" s="45" t="str">
        <f>IFERROR(IF(compras_mes12[[#This Row],[CUIT]]="","-",VLOOKUP(compras_mes12[[#This Row],[CUIT]],Lista_CUIT[#All],3,0)),"CUIT NO CARGADO")</f>
        <v>Combustible</v>
      </c>
      <c r="R28" s="45">
        <f>IFERROR(IF(compras_mes12[[#This Row],[CUIT]]="","-",VLOOKUP(compras_mes12[[#This Row],[CUIT]],Lista_CUIT[#All],4,0)),"CUIT NO CARGADO")</f>
        <v>0</v>
      </c>
    </row>
    <row r="29" spans="2:18" x14ac:dyDescent="0.3">
      <c r="B29" s="36">
        <v>44883</v>
      </c>
      <c r="C29" s="37">
        <v>1</v>
      </c>
      <c r="D29" s="38">
        <v>13</v>
      </c>
      <c r="E29" s="39">
        <v>43319</v>
      </c>
      <c r="F29" s="40">
        <v>30707841105</v>
      </c>
      <c r="G29" s="41" t="str">
        <f>IFERROR(IF(compras_mes12[[#This Row],[CUIT]]="","-",VLOOKUP(compras_mes12[[#This Row],[CUIT]],Lista_CUIT[#All],2,0)),"CUIT NO CARGADO")</f>
        <v>PETRO ARG SRL</v>
      </c>
      <c r="H29" s="42">
        <v>2282.6999999999998</v>
      </c>
      <c r="I29" s="81">
        <f>IF(compras_mes12[[#This Row],[NETO GRAVADO]]="","",compras_mes12[[#This Row],[NETO GRAVADO]]*0.21)</f>
        <v>479.36699999999996</v>
      </c>
      <c r="J29" s="81"/>
      <c r="K29" s="81"/>
      <c r="L29" s="81"/>
      <c r="M29" s="81"/>
      <c r="N29" s="81"/>
      <c r="O29" s="81">
        <v>536.94000000000005</v>
      </c>
      <c r="P29" s="44">
        <f>SUM(compras_mes12[[#This Row],[NETO GRAVADO]:[Otros / No Grav.]])</f>
        <v>3299.0070000000001</v>
      </c>
      <c r="Q29" s="45" t="str">
        <f>IFERROR(IF(compras_mes12[[#This Row],[CUIT]]="","-",VLOOKUP(compras_mes12[[#This Row],[CUIT]],Lista_CUIT[#All],3,0)),"CUIT NO CARGADO")</f>
        <v>Combustible</v>
      </c>
      <c r="R29" s="45">
        <f>IFERROR(IF(compras_mes12[[#This Row],[CUIT]]="","-",VLOOKUP(compras_mes12[[#This Row],[CUIT]],Lista_CUIT[#All],4,0)),"CUIT NO CARGADO")</f>
        <v>0</v>
      </c>
    </row>
    <row r="30" spans="2:18" x14ac:dyDescent="0.3">
      <c r="B30" s="36">
        <v>44884</v>
      </c>
      <c r="C30" s="37">
        <v>1</v>
      </c>
      <c r="D30" s="38">
        <v>12</v>
      </c>
      <c r="E30" s="39">
        <v>12724</v>
      </c>
      <c r="F30" s="40">
        <v>30696131003</v>
      </c>
      <c r="G30" s="41" t="str">
        <f>IFERROR(IF(compras_mes12[[#This Row],[CUIT]]="","-",VLOOKUP(compras_mes12[[#This Row],[CUIT]],Lista_CUIT[#All],2,0)),"CUIT NO CARGADO")</f>
        <v>PETROLFE  S.A.</v>
      </c>
      <c r="H30" s="42">
        <v>19814.310000000001</v>
      </c>
      <c r="I30" s="81">
        <f>IF(compras_mes12[[#This Row],[NETO GRAVADO]]="","",compras_mes12[[#This Row],[NETO GRAVADO]]*0.21)</f>
        <v>4161.0051000000003</v>
      </c>
      <c r="J30" s="81"/>
      <c r="K30" s="81"/>
      <c r="L30" s="81"/>
      <c r="M30" s="81"/>
      <c r="N30" s="81"/>
      <c r="O30" s="81">
        <v>4506.96</v>
      </c>
      <c r="P30" s="44">
        <f>SUM(compras_mes12[[#This Row],[NETO GRAVADO]:[Otros / No Grav.]])</f>
        <v>28482.275099999999</v>
      </c>
      <c r="Q30" s="45" t="str">
        <f>IFERROR(IF(compras_mes12[[#This Row],[CUIT]]="","-",VLOOKUP(compras_mes12[[#This Row],[CUIT]],Lista_CUIT[#All],3,0)),"CUIT NO CARGADO")</f>
        <v>Combustible</v>
      </c>
      <c r="R30" s="45">
        <f>IFERROR(IF(compras_mes12[[#This Row],[CUIT]]="","-",VLOOKUP(compras_mes12[[#This Row],[CUIT]],Lista_CUIT[#All],4,0)),"CUIT NO CARGADO")</f>
        <v>0</v>
      </c>
    </row>
    <row r="31" spans="2:18" x14ac:dyDescent="0.3">
      <c r="B31" s="305">
        <v>44888</v>
      </c>
      <c r="C31" s="306">
        <v>1</v>
      </c>
      <c r="D31" s="307">
        <v>19</v>
      </c>
      <c r="E31" s="39">
        <v>7177</v>
      </c>
      <c r="F31" s="40">
        <v>30515800219</v>
      </c>
      <c r="G31" s="308" t="str">
        <f>IFERROR(IF(compras_mes12[[#This Row],[CUIT]]="","-",VLOOKUP(compras_mes12[[#This Row],[CUIT]],Lista_CUIT[#All],2,0)),"CUIT NO CARGADO")</f>
        <v>INCAT SRL</v>
      </c>
      <c r="H31" s="309">
        <v>963</v>
      </c>
      <c r="I31" s="310">
        <f>IF(compras_mes12[[#This Row],[NETO GRAVADO]]="","",compras_mes12[[#This Row],[NETO GRAVADO]]*0.21)</f>
        <v>202.23</v>
      </c>
      <c r="J31" s="310"/>
      <c r="K31" s="310"/>
      <c r="L31" s="310"/>
      <c r="M31" s="310"/>
      <c r="N31" s="310"/>
      <c r="O31" s="310">
        <v>234.87</v>
      </c>
      <c r="P31" s="311">
        <f>SUM(compras_mes12[[#This Row],[NETO GRAVADO]:[Otros / No Grav.]])</f>
        <v>1400.1</v>
      </c>
      <c r="Q31" s="312" t="str">
        <f>IFERROR(IF(compras_mes12[[#This Row],[CUIT]]="","-",VLOOKUP(compras_mes12[[#This Row],[CUIT]],Lista_CUIT[#All],3,0)),"CUIT NO CARGADO")</f>
        <v>Combustible</v>
      </c>
      <c r="R31" s="312">
        <f>IFERROR(IF(compras_mes12[[#This Row],[CUIT]]="","-",VLOOKUP(compras_mes12[[#This Row],[CUIT]],Lista_CUIT[#All],4,0)),"CUIT NO CARGADO")</f>
        <v>0</v>
      </c>
    </row>
    <row r="32" spans="2:18" ht="16.95" customHeight="1" x14ac:dyDescent="0.3">
      <c r="B32" s="36">
        <v>44888</v>
      </c>
      <c r="C32" s="37">
        <v>1</v>
      </c>
      <c r="D32" s="38">
        <v>21</v>
      </c>
      <c r="E32" s="39">
        <v>21720</v>
      </c>
      <c r="F32" s="40">
        <v>30515800219</v>
      </c>
      <c r="G32" s="41" t="str">
        <f>IFERROR(IF(compras_mes12[[#This Row],[CUIT]]="","-",VLOOKUP(compras_mes12[[#This Row],[CUIT]],Lista_CUIT[#All],2,0)),"CUIT NO CARGADO")</f>
        <v>INCAT SRL</v>
      </c>
      <c r="H32" s="42">
        <v>4224.04</v>
      </c>
      <c r="I32" s="81">
        <f>IF(compras_mes12[[#This Row],[NETO GRAVADO]]="","",compras_mes12[[#This Row],[NETO GRAVADO]]*0.21)</f>
        <v>887.04840000000002</v>
      </c>
      <c r="J32" s="81"/>
      <c r="K32" s="81"/>
      <c r="L32" s="81"/>
      <c r="M32" s="81"/>
      <c r="N32" s="81"/>
      <c r="O32" s="81">
        <v>1030.26</v>
      </c>
      <c r="P32" s="44">
        <f>SUM(compras_mes12[[#This Row],[NETO GRAVADO]:[Otros / No Grav.]])</f>
        <v>6141.3483999999999</v>
      </c>
      <c r="Q32" s="45" t="str">
        <f>IFERROR(IF(compras_mes12[[#This Row],[CUIT]]="","-",VLOOKUP(compras_mes12[[#This Row],[CUIT]],Lista_CUIT[#All],3,0)),"CUIT NO CARGADO")</f>
        <v>Combustible</v>
      </c>
      <c r="R32" s="45">
        <f>IFERROR(IF(compras_mes12[[#This Row],[CUIT]]="","-",VLOOKUP(compras_mes12[[#This Row],[CUIT]],Lista_CUIT[#All],4,0)),"CUIT NO CARGADO")</f>
        <v>0</v>
      </c>
    </row>
    <row r="33" spans="2:18" x14ac:dyDescent="0.3">
      <c r="B33" s="36">
        <v>44888</v>
      </c>
      <c r="C33" s="37">
        <v>1</v>
      </c>
      <c r="D33" s="38">
        <v>6850</v>
      </c>
      <c r="E33" s="39">
        <v>10986</v>
      </c>
      <c r="F33" s="40">
        <v>30678774495</v>
      </c>
      <c r="G33" s="41" t="str">
        <f>IFERROR(IF(compras_mes12[[#This Row],[CUIT]]="","-",VLOOKUP(compras_mes12[[#This Row],[CUIT]],Lista_CUIT[#All],2,0)),"CUIT NO CARGADO")</f>
        <v>OPER. DE EST. DE SERV. SA</v>
      </c>
      <c r="H33" s="42">
        <v>3806.12</v>
      </c>
      <c r="I33" s="81">
        <f>IF(compras_mes12[[#This Row],[NETO GRAVADO]]="","",compras_mes12[[#This Row],[NETO GRAVADO]]*0.21)</f>
        <v>799.28519999999992</v>
      </c>
      <c r="J33" s="81"/>
      <c r="K33" s="81"/>
      <c r="L33" s="81"/>
      <c r="M33" s="81"/>
      <c r="N33" s="81">
        <v>895.29</v>
      </c>
      <c r="O33" s="81"/>
      <c r="P33" s="44">
        <f>SUM(compras_mes12[[#This Row],[NETO GRAVADO]:[Otros / No Grav.]])</f>
        <v>5500.6952000000001</v>
      </c>
      <c r="Q33" s="45" t="str">
        <f>IFERROR(IF(compras_mes12[[#This Row],[CUIT]]="","-",VLOOKUP(compras_mes12[[#This Row],[CUIT]],Lista_CUIT[#All],3,0)),"CUIT NO CARGADO")</f>
        <v>Combustible</v>
      </c>
      <c r="R33" s="45">
        <f>IFERROR(IF(compras_mes12[[#This Row],[CUIT]]="","-",VLOOKUP(compras_mes12[[#This Row],[CUIT]],Lista_CUIT[#All],4,0)),"CUIT NO CARGADO")</f>
        <v>0</v>
      </c>
    </row>
    <row r="34" spans="2:18" x14ac:dyDescent="0.3">
      <c r="B34" s="36">
        <v>44891</v>
      </c>
      <c r="C34" s="37">
        <v>1</v>
      </c>
      <c r="D34" s="38">
        <v>12</v>
      </c>
      <c r="E34" s="39">
        <v>13072</v>
      </c>
      <c r="F34" s="40">
        <v>30696131003</v>
      </c>
      <c r="G34" s="41" t="str">
        <f>IFERROR(IF(compras_mes12[[#This Row],[CUIT]]="","-",VLOOKUP(compras_mes12[[#This Row],[CUIT]],Lista_CUIT[#All],2,0)),"CUIT NO CARGADO")</f>
        <v>PETROLFE  S.A.</v>
      </c>
      <c r="H34" s="42">
        <v>18350.22</v>
      </c>
      <c r="I34" s="81">
        <f>IF(compras_mes12[[#This Row],[NETO GRAVADO]]="","",compras_mes12[[#This Row],[NETO GRAVADO]]*0.21)</f>
        <v>3853.5462000000002</v>
      </c>
      <c r="J34" s="81"/>
      <c r="K34" s="81"/>
      <c r="L34" s="81"/>
      <c r="M34" s="81"/>
      <c r="N34" s="81"/>
      <c r="O34" s="81">
        <v>4459.84</v>
      </c>
      <c r="P34" s="44">
        <f>SUM(compras_mes12[[#This Row],[NETO GRAVADO]:[Otros / No Grav.]])</f>
        <v>26663.606200000002</v>
      </c>
      <c r="Q34" s="45" t="str">
        <f>IFERROR(IF(compras_mes12[[#This Row],[CUIT]]="","-",VLOOKUP(compras_mes12[[#This Row],[CUIT]],Lista_CUIT[#All],3,0)),"CUIT NO CARGADO")</f>
        <v>Combustible</v>
      </c>
      <c r="R34" s="45">
        <f>IFERROR(IF(compras_mes12[[#This Row],[CUIT]]="","-",VLOOKUP(compras_mes12[[#This Row],[CUIT]],Lista_CUIT[#All],4,0)),"CUIT NO CARGADO")</f>
        <v>0</v>
      </c>
    </row>
    <row r="35" spans="2:18" x14ac:dyDescent="0.3">
      <c r="B35" s="36">
        <v>44892</v>
      </c>
      <c r="C35" s="37">
        <v>1</v>
      </c>
      <c r="D35" s="38">
        <v>13</v>
      </c>
      <c r="E35" s="39">
        <v>44039</v>
      </c>
      <c r="F35" s="40">
        <v>30707841105</v>
      </c>
      <c r="G35" s="41" t="str">
        <f>IFERROR(IF(compras_mes12[[#This Row],[CUIT]]="","-",VLOOKUP(compras_mes12[[#This Row],[CUIT]],Lista_CUIT[#All],2,0)),"CUIT NO CARGADO")</f>
        <v>PETRO ARG SRL</v>
      </c>
      <c r="H35" s="42">
        <v>6781.04</v>
      </c>
      <c r="I35" s="81">
        <f>IF(compras_mes12[[#This Row],[NETO GRAVADO]]="","",compras_mes12[[#This Row],[NETO GRAVADO]]*0.21)</f>
        <v>1424.0183999999999</v>
      </c>
      <c r="J35" s="81"/>
      <c r="K35" s="81"/>
      <c r="L35" s="81"/>
      <c r="M35" s="81"/>
      <c r="N35" s="81"/>
      <c r="O35" s="81">
        <v>1595.06</v>
      </c>
      <c r="P35" s="44">
        <f>SUM(compras_mes12[[#This Row],[NETO GRAVADO]:[Otros / No Grav.]])</f>
        <v>9800.1183999999994</v>
      </c>
      <c r="Q35" s="45" t="str">
        <f>IFERROR(IF(compras_mes12[[#This Row],[CUIT]]="","-",VLOOKUP(compras_mes12[[#This Row],[CUIT]],Lista_CUIT[#All],3,0)),"CUIT NO CARGADO")</f>
        <v>Combustible</v>
      </c>
      <c r="R35" s="45">
        <f>IFERROR(IF(compras_mes12[[#This Row],[CUIT]]="","-",VLOOKUP(compras_mes12[[#This Row],[CUIT]],Lista_CUIT[#All],4,0)),"CUIT NO CARGADO")</f>
        <v>0</v>
      </c>
    </row>
    <row r="36" spans="2:18" x14ac:dyDescent="0.3">
      <c r="B36" s="36">
        <v>44893</v>
      </c>
      <c r="C36" s="37">
        <v>1</v>
      </c>
      <c r="D36" s="38">
        <v>2036</v>
      </c>
      <c r="E36" s="39">
        <v>28562</v>
      </c>
      <c r="F36" s="40">
        <v>30516186670</v>
      </c>
      <c r="G36" s="41" t="str">
        <f>IFERROR(IF(compras_mes12[[#This Row],[CUIT]]="","-",VLOOKUP(compras_mes12[[#This Row],[CUIT]],Lista_CUIT[#All],2,0)),"CUIT NO CARGADO")</f>
        <v>DEHEZA S.A.I.C.F. e I.</v>
      </c>
      <c r="H36" s="42">
        <v>1039.28</v>
      </c>
      <c r="I36" s="81">
        <f>IF(compras_mes12[[#This Row],[NETO GRAVADO]]="","",compras_mes12[[#This Row],[NETO GRAVADO]]*0.21)</f>
        <v>218.24879999999999</v>
      </c>
      <c r="J36" s="81"/>
      <c r="K36" s="81"/>
      <c r="L36" s="81"/>
      <c r="M36" s="81"/>
      <c r="N36" s="81">
        <v>76.900000000000006</v>
      </c>
      <c r="O36" s="81">
        <v>242.45</v>
      </c>
      <c r="P36" s="44">
        <f>SUM(compras_mes12[[#This Row],[NETO GRAVADO]:[Otros / No Grav.]])</f>
        <v>1576.8788000000002</v>
      </c>
      <c r="Q36" s="45" t="str">
        <f>IFERROR(IF(compras_mes12[[#This Row],[CUIT]]="","-",VLOOKUP(compras_mes12[[#This Row],[CUIT]],Lista_CUIT[#All],3,0)),"CUIT NO CARGADO")</f>
        <v>Combustible</v>
      </c>
      <c r="R36" s="45">
        <f>IFERROR(IF(compras_mes12[[#This Row],[CUIT]]="","-",VLOOKUP(compras_mes12[[#This Row],[CUIT]],Lista_CUIT[#All],4,0)),"CUIT NO CARGADO")</f>
        <v>0</v>
      </c>
    </row>
    <row r="37" spans="2:18" x14ac:dyDescent="0.3">
      <c r="B37" s="36">
        <v>44894</v>
      </c>
      <c r="C37" s="37">
        <v>1</v>
      </c>
      <c r="D37" s="38">
        <v>2036</v>
      </c>
      <c r="E37" s="39">
        <v>28628</v>
      </c>
      <c r="F37" s="40">
        <v>30516186670</v>
      </c>
      <c r="G37" s="41" t="str">
        <f>IFERROR(IF(compras_mes12[[#This Row],[CUIT]]="","-",VLOOKUP(compras_mes12[[#This Row],[CUIT]],Lista_CUIT[#All],2,0)),"CUIT NO CARGADO")</f>
        <v>DEHEZA S.A.I.C.F. e I.</v>
      </c>
      <c r="H37" s="42">
        <v>1039.49</v>
      </c>
      <c r="I37" s="81">
        <f>IF(compras_mes12[[#This Row],[NETO GRAVADO]]="","",compras_mes12[[#This Row],[NETO GRAVADO]]*0.21)</f>
        <v>218.2929</v>
      </c>
      <c r="J37" s="81"/>
      <c r="K37" s="81"/>
      <c r="L37" s="81"/>
      <c r="M37" s="81"/>
      <c r="N37" s="81">
        <v>76.92</v>
      </c>
      <c r="O37" s="81">
        <v>242.49</v>
      </c>
      <c r="P37" s="44">
        <f>SUM(compras_mes12[[#This Row],[NETO GRAVADO]:[Otros / No Grav.]])</f>
        <v>1577.1929</v>
      </c>
      <c r="Q37" s="45" t="str">
        <f>IFERROR(IF(compras_mes12[[#This Row],[CUIT]]="","-",VLOOKUP(compras_mes12[[#This Row],[CUIT]],Lista_CUIT[#All],3,0)),"CUIT NO CARGADO")</f>
        <v>Combustible</v>
      </c>
      <c r="R37" s="45">
        <f>IFERROR(IF(compras_mes12[[#This Row],[CUIT]]="","-",VLOOKUP(compras_mes12[[#This Row],[CUIT]],Lista_CUIT[#All],4,0)),"CUIT NO CARGADO")</f>
        <v>0</v>
      </c>
    </row>
    <row r="38" spans="2:18" x14ac:dyDescent="0.3">
      <c r="B38" s="36">
        <v>44880</v>
      </c>
      <c r="C38" s="37">
        <v>1</v>
      </c>
      <c r="D38" s="38">
        <v>5</v>
      </c>
      <c r="E38" s="39">
        <v>40</v>
      </c>
      <c r="F38" s="40">
        <v>30716654105</v>
      </c>
      <c r="G38" s="41" t="str">
        <f>IFERROR(IF(compras_mes12[[#This Row],[CUIT]]="","-",VLOOKUP(compras_mes12[[#This Row],[CUIT]],Lista_CUIT[#All],2,0)),"CUIT NO CARGADO")</f>
        <v>CARNICA DEL NORTE S.R.L.</v>
      </c>
      <c r="H38" s="42">
        <v>15877.7</v>
      </c>
      <c r="I38" s="81"/>
      <c r="J38" s="81"/>
      <c r="K38" s="81">
        <f>compras_mes12[[#This Row],[NETO GRAVADO]]*10.5/100</f>
        <v>1667.1585</v>
      </c>
      <c r="L38" s="81"/>
      <c r="M38" s="81"/>
      <c r="N38" s="81"/>
      <c r="O38" s="81"/>
      <c r="P38" s="44">
        <f>SUM(compras_mes12[[#This Row],[NETO GRAVADO]:[Otros / No Grav.]])</f>
        <v>17544.858500000002</v>
      </c>
      <c r="Q38" s="45" t="str">
        <f>IFERROR(IF(compras_mes12[[#This Row],[CUIT]]="","-",VLOOKUP(compras_mes12[[#This Row],[CUIT]],Lista_CUIT[#All],3,0)),"CUIT NO CARGADO")</f>
        <v>Comida</v>
      </c>
      <c r="R38" s="45">
        <f>IFERROR(IF(compras_mes12[[#This Row],[CUIT]]="","-",VLOOKUP(compras_mes12[[#This Row],[CUIT]],Lista_CUIT[#All],4,0)),"CUIT NO CARGADO")</f>
        <v>0</v>
      </c>
    </row>
    <row r="39" spans="2:18" x14ac:dyDescent="0.3">
      <c r="B39" s="36">
        <v>44887</v>
      </c>
      <c r="C39" s="37">
        <v>1</v>
      </c>
      <c r="D39" s="38">
        <v>5</v>
      </c>
      <c r="E39" s="39">
        <v>56</v>
      </c>
      <c r="F39" s="40">
        <v>30716654105</v>
      </c>
      <c r="G39" s="41" t="str">
        <f>IFERROR(IF(compras_mes12[[#This Row],[CUIT]]="","-",VLOOKUP(compras_mes12[[#This Row],[CUIT]],Lista_CUIT[#All],2,0)),"CUIT NO CARGADO")</f>
        <v>CARNICA DEL NORTE S.R.L.</v>
      </c>
      <c r="H39" s="42">
        <v>2819.05</v>
      </c>
      <c r="I39" s="81"/>
      <c r="J39" s="81"/>
      <c r="K39" s="166">
        <v>296</v>
      </c>
      <c r="L39" s="81"/>
      <c r="M39" s="81"/>
      <c r="N39" s="81"/>
      <c r="O39" s="81"/>
      <c r="P39" s="44">
        <f>SUM(compras_mes12[[#This Row],[NETO GRAVADO]:[Otros / No Grav.]])</f>
        <v>3115.05</v>
      </c>
      <c r="Q39" s="45" t="str">
        <f>IFERROR(IF(compras_mes12[[#This Row],[CUIT]]="","-",VLOOKUP(compras_mes12[[#This Row],[CUIT]],Lista_CUIT[#All],3,0)),"CUIT NO CARGADO")</f>
        <v>Comida</v>
      </c>
      <c r="R39" s="45">
        <f>IFERROR(IF(compras_mes12[[#This Row],[CUIT]]="","-",VLOOKUP(compras_mes12[[#This Row],[CUIT]],Lista_CUIT[#All],4,0)),"CUIT NO CARGADO")</f>
        <v>0</v>
      </c>
    </row>
    <row r="40" spans="2:18" x14ac:dyDescent="0.3">
      <c r="B40" s="36">
        <v>44867</v>
      </c>
      <c r="C40" s="37">
        <v>1</v>
      </c>
      <c r="D40" s="38">
        <v>6</v>
      </c>
      <c r="E40" s="39">
        <v>2785</v>
      </c>
      <c r="F40" s="40">
        <v>20134664518</v>
      </c>
      <c r="G40" s="41" t="str">
        <f>IFERROR(IF(compras_mes12[[#This Row],[CUIT]]="","-",VLOOKUP(compras_mes12[[#This Row],[CUIT]],Lista_CUIT[#All],2,0)),"CUIT NO CARGADO")</f>
        <v>HOKAMA SERGIO ENRIQUE</v>
      </c>
      <c r="H40" s="42">
        <v>7278.84</v>
      </c>
      <c r="I40" s="81">
        <f>IF(compras_mes12[[#This Row],[NETO GRAVADO]]="","",compras_mes12[[#This Row],[NETO GRAVADO]]*0.21)</f>
        <v>1528.5563999999999</v>
      </c>
      <c r="J40" s="81"/>
      <c r="K40" s="81"/>
      <c r="L40" s="81"/>
      <c r="M40" s="81"/>
      <c r="N40" s="81"/>
      <c r="O40" s="81"/>
      <c r="P40" s="44">
        <f>SUM(compras_mes12[[#This Row],[NETO GRAVADO]:[Otros / No Grav.]])</f>
        <v>8807.3963999999996</v>
      </c>
      <c r="Q40" s="45" t="str">
        <f>IFERROR(IF(compras_mes12[[#This Row],[CUIT]]="","-",VLOOKUP(compras_mes12[[#This Row],[CUIT]],Lista_CUIT[#All],3,0)),"CUIT NO CARGADO")</f>
        <v>Comida-Limpieza</v>
      </c>
      <c r="R40" s="45">
        <f>IFERROR(IF(compras_mes12[[#This Row],[CUIT]]="","-",VLOOKUP(compras_mes12[[#This Row],[CUIT]],Lista_CUIT[#All],4,0)),"CUIT NO CARGADO")</f>
        <v>0</v>
      </c>
    </row>
    <row r="41" spans="2:18" x14ac:dyDescent="0.3">
      <c r="B41" s="36">
        <v>44876</v>
      </c>
      <c r="C41" s="37">
        <v>1</v>
      </c>
      <c r="D41" s="38">
        <v>7</v>
      </c>
      <c r="E41" s="39">
        <v>535</v>
      </c>
      <c r="F41" s="40">
        <v>20134664518</v>
      </c>
      <c r="G41" s="41" t="str">
        <f>IFERROR(IF(compras_mes12[[#This Row],[CUIT]]="","-",VLOOKUP(compras_mes12[[#This Row],[CUIT]],Lista_CUIT[#All],2,0)),"CUIT NO CARGADO")</f>
        <v>HOKAMA SERGIO ENRIQUE</v>
      </c>
      <c r="H41" s="42">
        <v>10906.48</v>
      </c>
      <c r="I41" s="81">
        <f>IF(compras_mes12[[#This Row],[NETO GRAVADO]]="","",compras_mes12[[#This Row],[NETO GRAVADO]]*0.21)</f>
        <v>2290.3607999999999</v>
      </c>
      <c r="J41" s="81"/>
      <c r="K41" s="81"/>
      <c r="L41" s="81"/>
      <c r="M41" s="81"/>
      <c r="N41" s="81"/>
      <c r="O41" s="81"/>
      <c r="P41" s="44">
        <f>SUM(compras_mes12[[#This Row],[NETO GRAVADO]:[Otros / No Grav.]])</f>
        <v>13196.8408</v>
      </c>
      <c r="Q41" s="45" t="str">
        <f>IFERROR(IF(compras_mes12[[#This Row],[CUIT]]="","-",VLOOKUP(compras_mes12[[#This Row],[CUIT]],Lista_CUIT[#All],3,0)),"CUIT NO CARGADO")</f>
        <v>Comida-Limpieza</v>
      </c>
      <c r="R41" s="45">
        <f>IFERROR(IF(compras_mes12[[#This Row],[CUIT]]="","-",VLOOKUP(compras_mes12[[#This Row],[CUIT]],Lista_CUIT[#All],4,0)),"CUIT NO CARGADO")</f>
        <v>0</v>
      </c>
    </row>
    <row r="42" spans="2:18" x14ac:dyDescent="0.3">
      <c r="B42" s="36">
        <v>44877</v>
      </c>
      <c r="C42" s="37">
        <v>1</v>
      </c>
      <c r="D42" s="38">
        <v>7</v>
      </c>
      <c r="E42" s="39">
        <v>543</v>
      </c>
      <c r="F42" s="40">
        <v>20134664518</v>
      </c>
      <c r="G42" s="41" t="str">
        <f>IFERROR(IF(compras_mes12[[#This Row],[CUIT]]="","-",VLOOKUP(compras_mes12[[#This Row],[CUIT]],Lista_CUIT[#All],2,0)),"CUIT NO CARGADO")</f>
        <v>HOKAMA SERGIO ENRIQUE</v>
      </c>
      <c r="H42" s="42">
        <v>642.97</v>
      </c>
      <c r="I42" s="81">
        <f>IF(compras_mes12[[#This Row],[NETO GRAVADO]]="","",compras_mes12[[#This Row],[NETO GRAVADO]]*0.21)</f>
        <v>135.02369999999999</v>
      </c>
      <c r="J42" s="81"/>
      <c r="K42" s="81"/>
      <c r="L42" s="81"/>
      <c r="M42" s="81"/>
      <c r="N42" s="81"/>
      <c r="O42" s="81"/>
      <c r="P42" s="44">
        <f>SUM(compras_mes12[[#This Row],[NETO GRAVADO]:[Otros / No Grav.]])</f>
        <v>777.99369999999999</v>
      </c>
      <c r="Q42" s="45" t="str">
        <f>IFERROR(IF(compras_mes12[[#This Row],[CUIT]]="","-",VLOOKUP(compras_mes12[[#This Row],[CUIT]],Lista_CUIT[#All],3,0)),"CUIT NO CARGADO")</f>
        <v>Comida-Limpieza</v>
      </c>
      <c r="R42" s="45">
        <f>IFERROR(IF(compras_mes12[[#This Row],[CUIT]]="","-",VLOOKUP(compras_mes12[[#This Row],[CUIT]],Lista_CUIT[#All],4,0)),"CUIT NO CARGADO")</f>
        <v>0</v>
      </c>
    </row>
    <row r="43" spans="2:18" x14ac:dyDescent="0.3">
      <c r="B43" s="36">
        <v>44888</v>
      </c>
      <c r="C43" s="37">
        <v>1</v>
      </c>
      <c r="D43" s="38">
        <v>1678</v>
      </c>
      <c r="E43" s="39">
        <v>8630</v>
      </c>
      <c r="F43" s="40">
        <v>30589621499</v>
      </c>
      <c r="G43" s="41" t="str">
        <f>IFERROR(IF(compras_mes12[[#This Row],[CUIT]]="","-",VLOOKUP(compras_mes12[[#This Row],[CUIT]],Lista_CUIT[#All],2,0)),"CUIT NO CARGADO")</f>
        <v>MAKRO SA</v>
      </c>
      <c r="H43" s="42">
        <v>12324.47</v>
      </c>
      <c r="I43" s="81">
        <v>2445.48</v>
      </c>
      <c r="J43" s="81"/>
      <c r="K43" s="81">
        <v>71.33</v>
      </c>
      <c r="L43" s="81">
        <v>359.54</v>
      </c>
      <c r="M43" s="81">
        <v>739.47</v>
      </c>
      <c r="N43" s="81"/>
      <c r="O43" s="81">
        <v>12.54</v>
      </c>
      <c r="P43" s="44">
        <f>SUM(compras_mes12[[#This Row],[NETO GRAVADO]:[Otros / No Grav.]])</f>
        <v>15952.83</v>
      </c>
      <c r="Q43" s="45" t="str">
        <f>IFERROR(IF(compras_mes12[[#This Row],[CUIT]]="","-",VLOOKUP(compras_mes12[[#This Row],[CUIT]],Lista_CUIT[#All],3,0)),"CUIT NO CARGADO")</f>
        <v>Comida-Limpieza</v>
      </c>
      <c r="R43" s="45">
        <f>IFERROR(IF(compras_mes12[[#This Row],[CUIT]]="","-",VLOOKUP(compras_mes12[[#This Row],[CUIT]],Lista_CUIT[#All],4,0)),"CUIT NO CARGADO")</f>
        <v>0</v>
      </c>
    </row>
    <row r="44" spans="2:18" x14ac:dyDescent="0.3">
      <c r="B44" s="305">
        <v>44891</v>
      </c>
      <c r="C44" s="306">
        <v>1</v>
      </c>
      <c r="D44" s="307">
        <v>6</v>
      </c>
      <c r="E44" s="39">
        <v>2869</v>
      </c>
      <c r="F44" s="40">
        <v>20134664518</v>
      </c>
      <c r="G44" s="308" t="str">
        <f>IFERROR(IF(compras_mes12[[#This Row],[CUIT]]="","-",VLOOKUP(compras_mes12[[#This Row],[CUIT]],Lista_CUIT[#All],2,0)),"CUIT NO CARGADO")</f>
        <v>HOKAMA SERGIO ENRIQUE</v>
      </c>
      <c r="H44" s="331">
        <v>12664.24</v>
      </c>
      <c r="I44" s="310">
        <f>IF(compras_mes12[[#This Row],[NETO GRAVADO]]="","",compras_mes12[[#This Row],[NETO GRAVADO]]*0.21)</f>
        <v>2659.4903999999997</v>
      </c>
      <c r="J44" s="310"/>
      <c r="K44" s="310"/>
      <c r="L44" s="310"/>
      <c r="M44" s="310"/>
      <c r="N44" s="310"/>
      <c r="O44" s="310"/>
      <c r="P44" s="311">
        <f>SUM(compras_mes12[[#This Row],[NETO GRAVADO]:[Otros / No Grav.]])</f>
        <v>15323.7304</v>
      </c>
      <c r="Q44" s="312" t="str">
        <f>IFERROR(IF(compras_mes12[[#This Row],[CUIT]]="","-",VLOOKUP(compras_mes12[[#This Row],[CUIT]],Lista_CUIT[#All],3,0)),"CUIT NO CARGADO")</f>
        <v>Comida-Limpieza</v>
      </c>
      <c r="R44" s="312">
        <f>IFERROR(IF(compras_mes12[[#This Row],[CUIT]]="","-",VLOOKUP(compras_mes12[[#This Row],[CUIT]],Lista_CUIT[#All],4,0)),"CUIT NO CARGADO")</f>
        <v>0</v>
      </c>
    </row>
    <row r="45" spans="2:18" x14ac:dyDescent="0.3">
      <c r="B45" s="36">
        <v>44895</v>
      </c>
      <c r="C45" s="37">
        <v>1</v>
      </c>
      <c r="D45" s="38">
        <v>6</v>
      </c>
      <c r="E45" s="39">
        <v>2881</v>
      </c>
      <c r="F45" s="40">
        <v>20134664518</v>
      </c>
      <c r="G45" s="41" t="str">
        <f>IFERROR(IF(compras_mes12[[#This Row],[CUIT]]="","-",VLOOKUP(compras_mes12[[#This Row],[CUIT]],Lista_CUIT[#All],2,0)),"CUIT NO CARGADO")</f>
        <v>HOKAMA SERGIO ENRIQUE</v>
      </c>
      <c r="H45" s="42">
        <v>6026.45</v>
      </c>
      <c r="I45" s="81">
        <f>IF(compras_mes12[[#This Row],[NETO GRAVADO]]="","",compras_mes12[[#This Row],[NETO GRAVADO]]*0.21)</f>
        <v>1265.5545</v>
      </c>
      <c r="J45" s="81"/>
      <c r="K45" s="81"/>
      <c r="L45" s="81"/>
      <c r="M45" s="81"/>
      <c r="N45" s="81"/>
      <c r="O45" s="81"/>
      <c r="P45" s="44">
        <f>SUM(compras_mes12[[#This Row],[NETO GRAVADO]:[Otros / No Grav.]])</f>
        <v>7292.0045</v>
      </c>
      <c r="Q45" s="45" t="str">
        <f>IFERROR(IF(compras_mes12[[#This Row],[CUIT]]="","-",VLOOKUP(compras_mes12[[#This Row],[CUIT]],Lista_CUIT[#All],3,0)),"CUIT NO CARGADO")</f>
        <v>Comida-Limpieza</v>
      </c>
      <c r="R45" s="45">
        <f>IFERROR(IF(compras_mes12[[#This Row],[CUIT]]="","-",VLOOKUP(compras_mes12[[#This Row],[CUIT]],Lista_CUIT[#All],4,0)),"CUIT NO CARGADO")</f>
        <v>0</v>
      </c>
    </row>
    <row r="46" spans="2:18" x14ac:dyDescent="0.3">
      <c r="B46" s="322">
        <v>44880</v>
      </c>
      <c r="C46" s="323">
        <v>1</v>
      </c>
      <c r="D46" s="324">
        <v>3</v>
      </c>
      <c r="E46" s="39">
        <v>35381</v>
      </c>
      <c r="F46" s="325">
        <v>30711005966</v>
      </c>
      <c r="G46" s="326" t="str">
        <f>IFERROR(IF(compras_mes12[[#This Row],[CUIT]]="","-",VLOOKUP(compras_mes12[[#This Row],[CUIT]],Lista_CUIT[#All],2,0)),"CUIT NO CARGADO")</f>
        <v xml:space="preserve">LABORATORIOS BIOMIC SRL </v>
      </c>
      <c r="H46" s="327">
        <v>55168</v>
      </c>
      <c r="I46" s="328">
        <f>IF(compras_mes12[[#This Row],[NETO GRAVADO]]="","",compras_mes12[[#This Row],[NETO GRAVADO]]*0.21)</f>
        <v>11585.279999999999</v>
      </c>
      <c r="J46" s="328"/>
      <c r="K46" s="328"/>
      <c r="L46" s="328"/>
      <c r="M46" s="328"/>
      <c r="N46" s="328"/>
      <c r="O46" s="328"/>
      <c r="P46" s="329">
        <f>SUM(compras_mes12[[#This Row],[NETO GRAVADO]:[Otros / No Grav.]])</f>
        <v>66753.279999999999</v>
      </c>
      <c r="Q46" s="330" t="str">
        <f>IFERROR(IF(compras_mes12[[#This Row],[CUIT]]="","-",VLOOKUP(compras_mes12[[#This Row],[CUIT]],Lista_CUIT[#All],3,0)),"CUIT NO CARGADO")</f>
        <v>Elaboración</v>
      </c>
      <c r="R46" s="330">
        <f>IFERROR(IF(compras_mes12[[#This Row],[CUIT]]="","-",VLOOKUP(compras_mes12[[#This Row],[CUIT]],Lista_CUIT[#All],4,0)),"CUIT NO CARGADO")</f>
        <v>0</v>
      </c>
    </row>
    <row r="47" spans="2:18" x14ac:dyDescent="0.3">
      <c r="B47" s="36">
        <v>44866</v>
      </c>
      <c r="C47" s="37">
        <v>1</v>
      </c>
      <c r="D47" s="38">
        <v>4</v>
      </c>
      <c r="E47" s="39">
        <v>40315</v>
      </c>
      <c r="F47" s="40">
        <v>30709863076</v>
      </c>
      <c r="G47" s="41" t="str">
        <f>IFERROR(IF(compras_mes12[[#This Row],[CUIT]]="","-",VLOOKUP(compras_mes12[[#This Row],[CUIT]],Lista_CUIT[#All],2,0)),"CUIT NO CARGADO")</f>
        <v>Plasticos Salta</v>
      </c>
      <c r="H47" s="42">
        <v>401275.41</v>
      </c>
      <c r="I47" s="81">
        <f>IF(compras_mes12[[#This Row],[NETO GRAVADO]]="","",compras_mes12[[#This Row],[NETO GRAVADO]]*0.21)</f>
        <v>84267.836099999986</v>
      </c>
      <c r="J47" s="81"/>
      <c r="K47" s="81"/>
      <c r="L47" s="81"/>
      <c r="M47" s="81"/>
      <c r="N47" s="81"/>
      <c r="O47" s="81"/>
      <c r="P47" s="44">
        <f>SUM(compras_mes12[[#This Row],[NETO GRAVADO]:[Otros / No Grav.]])</f>
        <v>485543.24609999999</v>
      </c>
      <c r="Q47" s="45" t="str">
        <f>IFERROR(IF(compras_mes12[[#This Row],[CUIT]]="","-",VLOOKUP(compras_mes12[[#This Row],[CUIT]],Lista_CUIT[#All],3,0)),"CUIT NO CARGADO")</f>
        <v>EMBALAJE</v>
      </c>
      <c r="R47" s="45">
        <f>IFERROR(IF(compras_mes12[[#This Row],[CUIT]]="","-",VLOOKUP(compras_mes12[[#This Row],[CUIT]],Lista_CUIT[#All],4,0)),"CUIT NO CARGADO")</f>
        <v>0</v>
      </c>
    </row>
    <row r="48" spans="2:18" x14ac:dyDescent="0.3">
      <c r="B48" s="36">
        <v>44875</v>
      </c>
      <c r="C48" s="37">
        <v>1</v>
      </c>
      <c r="D48" s="38">
        <v>4</v>
      </c>
      <c r="E48" s="39">
        <v>40429</v>
      </c>
      <c r="F48" s="40">
        <v>30709863076</v>
      </c>
      <c r="G48" s="41" t="str">
        <f>IFERROR(IF(compras_mes12[[#This Row],[CUIT]]="","-",VLOOKUP(compras_mes12[[#This Row],[CUIT]],Lista_CUIT[#All],2,0)),"CUIT NO CARGADO")</f>
        <v>Plasticos Salta</v>
      </c>
      <c r="H48" s="42">
        <v>326967.25</v>
      </c>
      <c r="I48" s="81">
        <f>IF(compras_mes12[[#This Row],[NETO GRAVADO]]="","",compras_mes12[[#This Row],[NETO GRAVADO]]*0.21)</f>
        <v>68663.122499999998</v>
      </c>
      <c r="J48" s="81"/>
      <c r="K48" s="81"/>
      <c r="L48" s="81"/>
      <c r="M48" s="81"/>
      <c r="N48" s="81"/>
      <c r="O48" s="81"/>
      <c r="P48" s="44">
        <f>SUM(compras_mes12[[#This Row],[NETO GRAVADO]:[Otros / No Grav.]])</f>
        <v>395630.3725</v>
      </c>
      <c r="Q48" s="45" t="str">
        <f>IFERROR(IF(compras_mes12[[#This Row],[CUIT]]="","-",VLOOKUP(compras_mes12[[#This Row],[CUIT]],Lista_CUIT[#All],3,0)),"CUIT NO CARGADO")</f>
        <v>EMBALAJE</v>
      </c>
      <c r="R48" s="45">
        <f>IFERROR(IF(compras_mes12[[#This Row],[CUIT]]="","-",VLOOKUP(compras_mes12[[#This Row],[CUIT]],Lista_CUIT[#All],4,0)),"CUIT NO CARGADO")</f>
        <v>0</v>
      </c>
    </row>
    <row r="49" spans="2:18" x14ac:dyDescent="0.3">
      <c r="B49" s="36">
        <v>44867</v>
      </c>
      <c r="C49" s="37">
        <v>1</v>
      </c>
      <c r="D49" s="38">
        <v>2792</v>
      </c>
      <c r="E49" s="39">
        <v>55269</v>
      </c>
      <c r="F49" s="40">
        <v>30526874249</v>
      </c>
      <c r="G49" s="41" t="str">
        <f>IFERROR(IF(compras_mes12[[#This Row],[CUIT]]="","-",VLOOKUP(compras_mes12[[#This Row],[CUIT]],Lista_CUIT[#All],2,0)),"CUIT NO CARGADO")</f>
        <v>FRAVEGA S A C I E I</v>
      </c>
      <c r="H49" s="42">
        <v>34276.199999999997</v>
      </c>
      <c r="I49" s="81">
        <f>IF(compras_mes12[[#This Row],[NETO GRAVADO]]="","",compras_mes12[[#This Row],[NETO GRAVADO]]*0.21)</f>
        <v>7198.0019999999995</v>
      </c>
      <c r="J49" s="81"/>
      <c r="K49" s="81"/>
      <c r="L49" s="81"/>
      <c r="M49" s="81"/>
      <c r="N49" s="81"/>
      <c r="O49" s="81">
        <v>4793.76</v>
      </c>
      <c r="P49" s="44">
        <f>SUM(compras_mes12[[#This Row],[NETO GRAVADO]:[Otros / No Grav.]])</f>
        <v>46267.962</v>
      </c>
      <c r="Q49" s="45" t="str">
        <f>IFERROR(IF(compras_mes12[[#This Row],[CUIT]]="","-",VLOOKUP(compras_mes12[[#This Row],[CUIT]],Lista_CUIT[#All],3,0)),"CUIT NO CARGADO")</f>
        <v>Equipos de Informatica</v>
      </c>
      <c r="R49" s="45">
        <f>IFERROR(IF(compras_mes12[[#This Row],[CUIT]]="","-",VLOOKUP(compras_mes12[[#This Row],[CUIT]],Lista_CUIT[#All],4,0)),"CUIT NO CARGADO")</f>
        <v>0</v>
      </c>
    </row>
    <row r="50" spans="2:18" x14ac:dyDescent="0.3">
      <c r="B50" s="36">
        <v>44869</v>
      </c>
      <c r="C50" s="37">
        <v>1</v>
      </c>
      <c r="D50" s="38">
        <v>5</v>
      </c>
      <c r="E50" s="39">
        <v>1003</v>
      </c>
      <c r="F50" s="40">
        <v>30711651779</v>
      </c>
      <c r="G50" s="41" t="str">
        <f>IFERROR(IF(compras_mes12[[#This Row],[CUIT]]="","-",VLOOKUP(compras_mes12[[#This Row],[CUIT]],Lista_CUIT[#All],2,0)),"CUIT NO CARGADO")</f>
        <v>INFOSOL BUENOS AIRES S.R.L.</v>
      </c>
      <c r="H50" s="42">
        <v>17076.919999999998</v>
      </c>
      <c r="I50" s="81"/>
      <c r="J50" s="81"/>
      <c r="K50" s="81">
        <f>compras_mes12[[#This Row],[NETO GRAVADO]]*10.5/100</f>
        <v>1793.0765999999996</v>
      </c>
      <c r="L50" s="81"/>
      <c r="M50" s="81"/>
      <c r="N50" s="81"/>
      <c r="O50" s="81"/>
      <c r="P50" s="44">
        <f>SUM(compras_mes12[[#This Row],[NETO GRAVADO]:[Otros / No Grav.]])</f>
        <v>18869.996599999999</v>
      </c>
      <c r="Q50" s="45" t="str">
        <f>IFERROR(IF(compras_mes12[[#This Row],[CUIT]]="","-",VLOOKUP(compras_mes12[[#This Row],[CUIT]],Lista_CUIT[#All],3,0)),"CUIT NO CARGADO")</f>
        <v>Equipos de Informatica</v>
      </c>
      <c r="R50" s="45">
        <f>IFERROR(IF(compras_mes12[[#This Row],[CUIT]]="","-",VLOOKUP(compras_mes12[[#This Row],[CUIT]],Lista_CUIT[#All],4,0)),"CUIT NO CARGADO")</f>
        <v>0</v>
      </c>
    </row>
    <row r="51" spans="2:18" x14ac:dyDescent="0.3">
      <c r="B51" s="36">
        <v>44885</v>
      </c>
      <c r="C51" s="37">
        <v>1</v>
      </c>
      <c r="D51" s="38">
        <v>3328</v>
      </c>
      <c r="E51" s="39">
        <v>6914</v>
      </c>
      <c r="F51" s="40">
        <v>30526874249</v>
      </c>
      <c r="G51" s="41" t="str">
        <f>IFERROR(IF(compras_mes12[[#This Row],[CUIT]]="","-",VLOOKUP(compras_mes12[[#This Row],[CUIT]],Lista_CUIT[#All],2,0)),"CUIT NO CARGADO")</f>
        <v>FRAVEGA S A C I E I</v>
      </c>
      <c r="H51" s="42">
        <v>117767.77</v>
      </c>
      <c r="I51" s="81">
        <f>IF(compras_mes12[[#This Row],[NETO GRAVADO]]="","",compras_mes12[[#This Row],[NETO GRAVADO]]*0.21)</f>
        <v>24731.2317</v>
      </c>
      <c r="J51" s="81"/>
      <c r="K51" s="81"/>
      <c r="L51" s="81"/>
      <c r="M51" s="81"/>
      <c r="N51" s="81"/>
      <c r="O51" s="81"/>
      <c r="P51" s="44">
        <f>SUM(compras_mes12[[#This Row],[NETO GRAVADO]:[Otros / No Grav.]])</f>
        <v>142499.00169999999</v>
      </c>
      <c r="Q51" s="45" t="str">
        <f>IFERROR(IF(compras_mes12[[#This Row],[CUIT]]="","-",VLOOKUP(compras_mes12[[#This Row],[CUIT]],Lista_CUIT[#All],3,0)),"CUIT NO CARGADO")</f>
        <v>Equipos de Informatica</v>
      </c>
      <c r="R51" s="45">
        <f>IFERROR(IF(compras_mes12[[#This Row],[CUIT]]="","-",VLOOKUP(compras_mes12[[#This Row],[CUIT]],Lista_CUIT[#All],4,0)),"CUIT NO CARGADO")</f>
        <v>0</v>
      </c>
    </row>
    <row r="52" spans="2:18" x14ac:dyDescent="0.3">
      <c r="B52" s="36">
        <v>44883</v>
      </c>
      <c r="C52" s="37">
        <v>1</v>
      </c>
      <c r="D52" s="38">
        <v>1</v>
      </c>
      <c r="E52" s="39">
        <v>399</v>
      </c>
      <c r="F52" s="40">
        <v>30715889486</v>
      </c>
      <c r="G52" s="41" t="str">
        <f>IFERROR(IF(compras_mes12[[#This Row],[CUIT]]="","-",VLOOKUP(compras_mes12[[#This Row],[CUIT]],Lista_CUIT[#All],2,0)),"CUIT NO CARGADO")</f>
        <v>EXPOESTETICA</v>
      </c>
      <c r="H52" s="42">
        <v>696000</v>
      </c>
      <c r="I52" s="81">
        <f>IF(compras_mes12[[#This Row],[NETO GRAVADO]]="","",compras_mes12[[#This Row],[NETO GRAVADO]]*0.21)</f>
        <v>146160</v>
      </c>
      <c r="J52" s="81"/>
      <c r="K52" s="81"/>
      <c r="L52" s="81"/>
      <c r="M52" s="81"/>
      <c r="N52" s="81"/>
      <c r="O52" s="81"/>
      <c r="P52" s="44">
        <f>SUM(compras_mes12[[#This Row],[NETO GRAVADO]:[Otros / No Grav.]])</f>
        <v>842160</v>
      </c>
      <c r="Q52" s="45" t="str">
        <f>IFERROR(IF(compras_mes12[[#This Row],[CUIT]]="","-",VLOOKUP(compras_mes12[[#This Row],[CUIT]],Lista_CUIT[#All],3,0)),"CUIT NO CARGADO")</f>
        <v>Espacio exposicion</v>
      </c>
      <c r="R52" s="45">
        <f>IFERROR(IF(compras_mes12[[#This Row],[CUIT]]="","-",VLOOKUP(compras_mes12[[#This Row],[CUIT]],Lista_CUIT[#All],4,0)),"CUIT NO CARGADO")</f>
        <v>0</v>
      </c>
    </row>
    <row r="53" spans="2:18" x14ac:dyDescent="0.3">
      <c r="B53" s="36">
        <v>44883</v>
      </c>
      <c r="C53" s="37">
        <v>1</v>
      </c>
      <c r="D53" s="38">
        <v>1</v>
      </c>
      <c r="E53" s="39">
        <v>400</v>
      </c>
      <c r="F53" s="40">
        <v>30715889486</v>
      </c>
      <c r="G53" s="41" t="str">
        <f>IFERROR(IF(compras_mes12[[#This Row],[CUIT]]="","-",VLOOKUP(compras_mes12[[#This Row],[CUIT]],Lista_CUIT[#All],2,0)),"CUIT NO CARGADO")</f>
        <v>EXPOESTETICA</v>
      </c>
      <c r="H53" s="42">
        <v>244800</v>
      </c>
      <c r="I53" s="81">
        <f>IF(compras_mes12[[#This Row],[NETO GRAVADO]]="","",compras_mes12[[#This Row],[NETO GRAVADO]]*0.21)</f>
        <v>51408</v>
      </c>
      <c r="J53" s="81"/>
      <c r="K53" s="81"/>
      <c r="L53" s="81"/>
      <c r="M53" s="81"/>
      <c r="N53" s="81"/>
      <c r="O53" s="81"/>
      <c r="P53" s="44">
        <f>SUM(compras_mes12[[#This Row],[NETO GRAVADO]:[Otros / No Grav.]])</f>
        <v>296208</v>
      </c>
      <c r="Q53" s="45" t="str">
        <f>IFERROR(IF(compras_mes12[[#This Row],[CUIT]]="","-",VLOOKUP(compras_mes12[[#This Row],[CUIT]],Lista_CUIT[#All],3,0)),"CUIT NO CARGADO")</f>
        <v>Espacio exposicion</v>
      </c>
      <c r="R53" s="45">
        <f>IFERROR(IF(compras_mes12[[#This Row],[CUIT]]="","-",VLOOKUP(compras_mes12[[#This Row],[CUIT]],Lista_CUIT[#All],4,0)),"CUIT NO CARGADO")</f>
        <v>0</v>
      </c>
    </row>
    <row r="54" spans="2:18" x14ac:dyDescent="0.3">
      <c r="B54" s="36">
        <v>44868</v>
      </c>
      <c r="C54" s="37">
        <v>1</v>
      </c>
      <c r="D54" s="38">
        <v>3034</v>
      </c>
      <c r="E54" s="39">
        <v>2669788</v>
      </c>
      <c r="F54" s="40">
        <v>30708574836</v>
      </c>
      <c r="G54" s="41" t="str">
        <f>IFERROR(IF(compras_mes12[[#This Row],[CUIT]]="","-",VLOOKUP(compras_mes12[[#This Row],[CUIT]],Lista_CUIT[#All],2,0)),"CUIT NO CARGADO")</f>
        <v>CORREO OFICIAL DE LA REPUBLICA ARGENTINA SOCIEDAD ANONIMA</v>
      </c>
      <c r="H54" s="42">
        <v>719.4</v>
      </c>
      <c r="I54" s="81">
        <f>IF(compras_mes12[[#This Row],[NETO GRAVADO]]="","",compras_mes12[[#This Row],[NETO GRAVADO]]*0.21)</f>
        <v>151.07399999999998</v>
      </c>
      <c r="J54" s="81"/>
      <c r="K54" s="81"/>
      <c r="L54" s="81"/>
      <c r="M54" s="81"/>
      <c r="N54" s="81"/>
      <c r="O54" s="81"/>
      <c r="P54" s="44">
        <f>SUM(compras_mes12[[#This Row],[NETO GRAVADO]:[Otros / No Grav.]])</f>
        <v>870.47399999999993</v>
      </c>
      <c r="Q54" s="45" t="str">
        <f>IFERROR(IF(compras_mes12[[#This Row],[CUIT]]="","-",VLOOKUP(compras_mes12[[#This Row],[CUIT]],Lista_CUIT[#All],3,0)),"CUIT NO CARGADO")</f>
        <v>Flete-Logistica</v>
      </c>
      <c r="R54" s="45">
        <f>IFERROR(IF(compras_mes12[[#This Row],[CUIT]]="","-",VLOOKUP(compras_mes12[[#This Row],[CUIT]],Lista_CUIT[#All],4,0)),"CUIT NO CARGADO")</f>
        <v>0</v>
      </c>
    </row>
    <row r="55" spans="2:18" x14ac:dyDescent="0.3">
      <c r="B55" s="36">
        <v>44881</v>
      </c>
      <c r="C55" s="37">
        <v>1</v>
      </c>
      <c r="D55" s="38">
        <v>301</v>
      </c>
      <c r="E55" s="39">
        <v>34312</v>
      </c>
      <c r="F55" s="40">
        <v>30686978350</v>
      </c>
      <c r="G55" s="41" t="str">
        <f>IFERROR(IF(compras_mes12[[#This Row],[CUIT]]="","-",VLOOKUP(compras_mes12[[#This Row],[CUIT]],Lista_CUIT[#All],2,0)),"CUIT NO CARGADO")</f>
        <v>SPEED BUSINESS S. A.</v>
      </c>
      <c r="H55" s="42">
        <v>2099.17</v>
      </c>
      <c r="I55" s="81">
        <f>IF(compras_mes12[[#This Row],[NETO GRAVADO]]="","",compras_mes12[[#This Row],[NETO GRAVADO]]*0.21)</f>
        <v>440.82569999999998</v>
      </c>
      <c r="J55" s="81"/>
      <c r="K55" s="81"/>
      <c r="L55" s="81"/>
      <c r="M55" s="81"/>
      <c r="N55" s="81"/>
      <c r="O55" s="81"/>
      <c r="P55" s="44">
        <f>SUM(compras_mes12[[#This Row],[NETO GRAVADO]:[Otros / No Grav.]])</f>
        <v>2539.9956999999999</v>
      </c>
      <c r="Q55" s="45" t="str">
        <f>IFERROR(IF(compras_mes12[[#This Row],[CUIT]]="","-",VLOOKUP(compras_mes12[[#This Row],[CUIT]],Lista_CUIT[#All],3,0)),"CUIT NO CARGADO")</f>
        <v>Flete-Logistica</v>
      </c>
      <c r="R55" s="45">
        <f>IFERROR(IF(compras_mes12[[#This Row],[CUIT]]="","-",VLOOKUP(compras_mes12[[#This Row],[CUIT]],Lista_CUIT[#All],4,0)),"CUIT NO CARGADO")</f>
        <v>0</v>
      </c>
    </row>
    <row r="56" spans="2:18" x14ac:dyDescent="0.3">
      <c r="B56" s="36">
        <v>44888</v>
      </c>
      <c r="C56" s="37">
        <v>1</v>
      </c>
      <c r="D56" s="38">
        <v>3034</v>
      </c>
      <c r="E56" s="39">
        <v>2780238</v>
      </c>
      <c r="F56" s="40">
        <v>30708574836</v>
      </c>
      <c r="G56" s="41" t="str">
        <f>IFERROR(IF(compras_mes12[[#This Row],[CUIT]]="","-",VLOOKUP(compras_mes12[[#This Row],[CUIT]],Lista_CUIT[#All],2,0)),"CUIT NO CARGADO")</f>
        <v>CORREO OFICIAL DE LA REPUBLICA ARGENTINA SOCIEDAD ANONIMA</v>
      </c>
      <c r="H56" s="42">
        <v>1531.31</v>
      </c>
      <c r="I56" s="81">
        <f>IF(compras_mes12[[#This Row],[NETO GRAVADO]]="","",compras_mes12[[#This Row],[NETO GRAVADO]]*0.21)</f>
        <v>321.57509999999996</v>
      </c>
      <c r="J56" s="81"/>
      <c r="K56" s="81"/>
      <c r="L56" s="81"/>
      <c r="M56" s="81"/>
      <c r="N56" s="81"/>
      <c r="O56" s="81"/>
      <c r="P56" s="44">
        <f>SUM(compras_mes12[[#This Row],[NETO GRAVADO]:[Otros / No Grav.]])</f>
        <v>1852.8851</v>
      </c>
      <c r="Q56" s="45" t="str">
        <f>IFERROR(IF(compras_mes12[[#This Row],[CUIT]]="","-",VLOOKUP(compras_mes12[[#This Row],[CUIT]],Lista_CUIT[#All],3,0)),"CUIT NO CARGADO")</f>
        <v>Flete-Logistica</v>
      </c>
      <c r="R56" s="45">
        <f>IFERROR(IF(compras_mes12[[#This Row],[CUIT]]="","-",VLOOKUP(compras_mes12[[#This Row],[CUIT]],Lista_CUIT[#All],4,0)),"CUIT NO CARGADO")</f>
        <v>0</v>
      </c>
    </row>
    <row r="57" spans="2:18" x14ac:dyDescent="0.3">
      <c r="B57" s="36">
        <v>44893</v>
      </c>
      <c r="C57" s="37">
        <v>1</v>
      </c>
      <c r="D57" s="38">
        <v>3034</v>
      </c>
      <c r="E57" s="39">
        <v>2798648</v>
      </c>
      <c r="F57" s="40">
        <v>30708574836</v>
      </c>
      <c r="G57" s="41" t="str">
        <f>IFERROR(IF(compras_mes12[[#This Row],[CUIT]]="","-",VLOOKUP(compras_mes12[[#This Row],[CUIT]],Lista_CUIT[#All],2,0)),"CUIT NO CARGADO")</f>
        <v>CORREO OFICIAL DE LA REPUBLICA ARGENTINA SOCIEDAD ANONIMA</v>
      </c>
      <c r="H57" s="42">
        <v>743.1</v>
      </c>
      <c r="I57" s="81">
        <f>IF(compras_mes12[[#This Row],[NETO GRAVADO]]="","",compras_mes12[[#This Row],[NETO GRAVADO]]*0.21)</f>
        <v>156.05099999999999</v>
      </c>
      <c r="J57" s="81"/>
      <c r="K57" s="81"/>
      <c r="L57" s="81"/>
      <c r="M57" s="81"/>
      <c r="N57" s="81"/>
      <c r="O57" s="81"/>
      <c r="P57" s="44">
        <f>SUM(compras_mes12[[#This Row],[NETO GRAVADO]:[Otros / No Grav.]])</f>
        <v>899.15100000000007</v>
      </c>
      <c r="Q57" s="45" t="str">
        <f>IFERROR(IF(compras_mes12[[#This Row],[CUIT]]="","-",VLOOKUP(compras_mes12[[#This Row],[CUIT]],Lista_CUIT[#All],3,0)),"CUIT NO CARGADO")</f>
        <v>Flete-Logistica</v>
      </c>
      <c r="R57" s="45">
        <f>IFERROR(IF(compras_mes12[[#This Row],[CUIT]]="","-",VLOOKUP(compras_mes12[[#This Row],[CUIT]],Lista_CUIT[#All],4,0)),"CUIT NO CARGADO")</f>
        <v>0</v>
      </c>
    </row>
    <row r="58" spans="2:18" x14ac:dyDescent="0.3">
      <c r="B58" s="36">
        <v>44894</v>
      </c>
      <c r="C58" s="37">
        <v>1</v>
      </c>
      <c r="D58" s="38">
        <v>3034</v>
      </c>
      <c r="E58" s="39">
        <v>2810642</v>
      </c>
      <c r="F58" s="40">
        <v>30708574836</v>
      </c>
      <c r="G58" s="41" t="str">
        <f>IFERROR(IF(compras_mes12[[#This Row],[CUIT]]="","-",VLOOKUP(compras_mes12[[#This Row],[CUIT]],Lista_CUIT[#All],2,0)),"CUIT NO CARGADO")</f>
        <v>CORREO OFICIAL DE LA REPUBLICA ARGENTINA SOCIEDAD ANONIMA</v>
      </c>
      <c r="H58" s="42">
        <v>679.8</v>
      </c>
      <c r="I58" s="81">
        <f>IF(compras_mes12[[#This Row],[NETO GRAVADO]]="","",compras_mes12[[#This Row],[NETO GRAVADO]]*0.21)</f>
        <v>142.75799999999998</v>
      </c>
      <c r="J58" s="81"/>
      <c r="K58" s="81"/>
      <c r="L58" s="81"/>
      <c r="M58" s="81"/>
      <c r="N58" s="81"/>
      <c r="O58" s="81"/>
      <c r="P58" s="44">
        <f>SUM(compras_mes12[[#This Row],[NETO GRAVADO]:[Otros / No Grav.]])</f>
        <v>822.55799999999999</v>
      </c>
      <c r="Q58" s="45" t="str">
        <f>IFERROR(IF(compras_mes12[[#This Row],[CUIT]]="","-",VLOOKUP(compras_mes12[[#This Row],[CUIT]],Lista_CUIT[#All],3,0)),"CUIT NO CARGADO")</f>
        <v>Flete-Logistica</v>
      </c>
      <c r="R58" s="45">
        <f>IFERROR(IF(compras_mes12[[#This Row],[CUIT]]="","-",VLOOKUP(compras_mes12[[#This Row],[CUIT]],Lista_CUIT[#All],4,0)),"CUIT NO CARGADO")</f>
        <v>0</v>
      </c>
    </row>
    <row r="59" spans="2:18" x14ac:dyDescent="0.3">
      <c r="B59" s="36">
        <v>44894</v>
      </c>
      <c r="C59" s="37">
        <v>1</v>
      </c>
      <c r="D59" s="38">
        <v>14</v>
      </c>
      <c r="E59" s="39">
        <v>71648</v>
      </c>
      <c r="F59" s="40">
        <v>30516336885</v>
      </c>
      <c r="G59" s="41" t="str">
        <f>IFERROR(IF(compras_mes12[[#This Row],[CUIT]]="","-",VLOOKUP(compras_mes12[[#This Row],[CUIT]],Lista_CUIT[#All],2,0)),"CUIT NO CARGADO")</f>
        <v>STENFAR S.A. INDUSTRIAL COMERCIAL IMP. Y EXP.</v>
      </c>
      <c r="H59" s="42">
        <v>10434.61</v>
      </c>
      <c r="I59" s="81">
        <f>IF(compras_mes12[[#This Row],[NETO GRAVADO]]="","",compras_mes12[[#This Row],[NETO GRAVADO]]*0.21)</f>
        <v>2191.2681000000002</v>
      </c>
      <c r="J59" s="81"/>
      <c r="K59" s="81"/>
      <c r="L59" s="81"/>
      <c r="M59" s="81">
        <v>626.08000000000004</v>
      </c>
      <c r="N59" s="81"/>
      <c r="O59" s="81">
        <v>313.04000000000002</v>
      </c>
      <c r="P59" s="44">
        <f>SUM(compras_mes12[[#This Row],[NETO GRAVADO]:[Otros / No Grav.]])</f>
        <v>13564.998100000003</v>
      </c>
      <c r="Q59" s="45" t="str">
        <f>IFERROR(IF(compras_mes12[[#This Row],[CUIT]]="","-",VLOOKUP(compras_mes12[[#This Row],[CUIT]],Lista_CUIT[#All],3,0)),"CUIT NO CARGADO")</f>
        <v>Gastos Cursos</v>
      </c>
      <c r="R59" s="45">
        <f>IFERROR(IF(compras_mes12[[#This Row],[CUIT]]="","-",VLOOKUP(compras_mes12[[#This Row],[CUIT]],Lista_CUIT[#All],4,0)),"CUIT NO CARGADO")</f>
        <v>0</v>
      </c>
    </row>
    <row r="60" spans="2:18" x14ac:dyDescent="0.3">
      <c r="B60" s="36">
        <v>44867</v>
      </c>
      <c r="C60" s="37">
        <v>1</v>
      </c>
      <c r="D60" s="38">
        <v>4767</v>
      </c>
      <c r="E60" s="39">
        <v>478</v>
      </c>
      <c r="F60" s="40">
        <v>30685849751</v>
      </c>
      <c r="G60" s="41" t="str">
        <f>IFERROR(IF(compras_mes12[[#This Row],[CUIT]]="","-",VLOOKUP(compras_mes12[[#This Row],[CUIT]],Lista_CUIT[#All],2,0)),"CUIT NO CARGADO")</f>
        <v>DIA ARGENTINA S A</v>
      </c>
      <c r="H60" s="42">
        <v>9151.4599999999991</v>
      </c>
      <c r="I60" s="81">
        <v>1908.94</v>
      </c>
      <c r="J60" s="81"/>
      <c r="K60" s="81">
        <v>6.43</v>
      </c>
      <c r="L60" s="81"/>
      <c r="M60" s="81"/>
      <c r="N60" s="81"/>
      <c r="O60" s="81"/>
      <c r="P60" s="44">
        <f>SUM(compras_mes12[[#This Row],[NETO GRAVADO]:[Otros / No Grav.]])</f>
        <v>11066.83</v>
      </c>
      <c r="Q60" s="45" t="str">
        <f>IFERROR(IF(compras_mes12[[#This Row],[CUIT]]="","-",VLOOKUP(compras_mes12[[#This Row],[CUIT]],Lista_CUIT[#All],3,0)),"CUIT NO CARGADO")</f>
        <v>Gastos Varios</v>
      </c>
      <c r="R60" s="45">
        <f>IFERROR(IF(compras_mes12[[#This Row],[CUIT]]="","-",VLOOKUP(compras_mes12[[#This Row],[CUIT]],Lista_CUIT[#All],4,0)),"CUIT NO CARGADO")</f>
        <v>0</v>
      </c>
    </row>
    <row r="61" spans="2:18" x14ac:dyDescent="0.3">
      <c r="B61" s="322">
        <v>44867</v>
      </c>
      <c r="C61" s="323">
        <v>1</v>
      </c>
      <c r="D61" s="324">
        <v>5816</v>
      </c>
      <c r="E61" s="39">
        <v>83</v>
      </c>
      <c r="F61" s="325">
        <v>30500525327</v>
      </c>
      <c r="G61" s="326" t="str">
        <f>IFERROR(IF(compras_mes12[[#This Row],[CUIT]]="","-",VLOOKUP(compras_mes12[[#This Row],[CUIT]],Lista_CUIT[#All],2,0)),"CUIT NO CARGADO")</f>
        <v>TOPPER UNICENTER</v>
      </c>
      <c r="H61" s="327">
        <v>8329.92</v>
      </c>
      <c r="I61" s="328">
        <f>IF(compras_mes12[[#This Row],[NETO GRAVADO]]="","",compras_mes12[[#This Row],[NETO GRAVADO]]*0.21)</f>
        <v>1749.2831999999999</v>
      </c>
      <c r="J61" s="328"/>
      <c r="K61" s="328"/>
      <c r="L61" s="328"/>
      <c r="M61" s="328">
        <v>666.39</v>
      </c>
      <c r="N61" s="328"/>
      <c r="O61" s="328"/>
      <c r="P61" s="329">
        <f>SUM(compras_mes12[[#This Row],[NETO GRAVADO]:[Otros / No Grav.]])</f>
        <v>10745.593199999999</v>
      </c>
      <c r="Q61" s="330" t="str">
        <f>IFERROR(IF(compras_mes12[[#This Row],[CUIT]]="","-",VLOOKUP(compras_mes12[[#This Row],[CUIT]],Lista_CUIT[#All],3,0)),"CUIT NO CARGADO")</f>
        <v>Gastos Varios</v>
      </c>
      <c r="R61" s="330">
        <f>IFERROR(IF(compras_mes12[[#This Row],[CUIT]]="","-",VLOOKUP(compras_mes12[[#This Row],[CUIT]],Lista_CUIT[#All],4,0)),"CUIT NO CARGADO")</f>
        <v>0</v>
      </c>
    </row>
    <row r="62" spans="2:18" x14ac:dyDescent="0.3">
      <c r="B62" s="36">
        <v>44868</v>
      </c>
      <c r="C62" s="37">
        <v>1</v>
      </c>
      <c r="D62" s="38">
        <v>2188</v>
      </c>
      <c r="E62" s="39">
        <v>76073</v>
      </c>
      <c r="F62" s="40">
        <v>30548083156</v>
      </c>
      <c r="G62" s="41" t="str">
        <f>IFERROR(IF(compras_mes12[[#This Row],[CUIT]]="","-",VLOOKUP(compras_mes12[[#This Row],[CUIT]],Lista_CUIT[#All],2,0)),"CUIT NO CARGADO")</f>
        <v>COTO  S.A.</v>
      </c>
      <c r="H62" s="42">
        <v>18055.75</v>
      </c>
      <c r="I62" s="81">
        <v>3600.57</v>
      </c>
      <c r="J62" s="81"/>
      <c r="K62" s="81">
        <v>95.57</v>
      </c>
      <c r="L62" s="81">
        <v>514.37</v>
      </c>
      <c r="M62" s="81"/>
      <c r="N62" s="81">
        <v>931.33</v>
      </c>
      <c r="O62" s="81"/>
      <c r="P62" s="44">
        <f>SUM(compras_mes12[[#This Row],[NETO GRAVADO]:[Otros / No Grav.]])</f>
        <v>23197.59</v>
      </c>
      <c r="Q62" s="45" t="str">
        <f>IFERROR(IF(compras_mes12[[#This Row],[CUIT]]="","-",VLOOKUP(compras_mes12[[#This Row],[CUIT]],Lista_CUIT[#All],3,0)),"CUIT NO CARGADO")</f>
        <v>Gastos Varios</v>
      </c>
      <c r="R62" s="45">
        <f>IFERROR(IF(compras_mes12[[#This Row],[CUIT]]="","-",VLOOKUP(compras_mes12[[#This Row],[CUIT]],Lista_CUIT[#All],4,0)),"CUIT NO CARGADO")</f>
        <v>0</v>
      </c>
    </row>
    <row r="63" spans="2:18" x14ac:dyDescent="0.3">
      <c r="B63" s="36">
        <v>44870</v>
      </c>
      <c r="C63" s="37">
        <v>1</v>
      </c>
      <c r="D63" s="38">
        <v>2199</v>
      </c>
      <c r="E63" s="39">
        <v>18732</v>
      </c>
      <c r="F63" s="40">
        <v>30548083156</v>
      </c>
      <c r="G63" s="41" t="str">
        <f>IFERROR(IF(compras_mes12[[#This Row],[CUIT]]="","-",VLOOKUP(compras_mes12[[#This Row],[CUIT]],Lista_CUIT[#All],2,0)),"CUIT NO CARGADO")</f>
        <v>COTO  S.A.</v>
      </c>
      <c r="H63" s="42">
        <v>6995.08</v>
      </c>
      <c r="I63" s="81">
        <v>1422.32</v>
      </c>
      <c r="J63" s="81"/>
      <c r="K63" s="81">
        <v>23.32</v>
      </c>
      <c r="L63" s="81">
        <v>203.19</v>
      </c>
      <c r="M63" s="81"/>
      <c r="N63" s="81">
        <v>414.7</v>
      </c>
      <c r="O63" s="81"/>
      <c r="P63" s="44">
        <f>SUM(compras_mes12[[#This Row],[NETO GRAVADO]:[Otros / No Grav.]])</f>
        <v>9058.61</v>
      </c>
      <c r="Q63" s="45" t="str">
        <f>IFERROR(IF(compras_mes12[[#This Row],[CUIT]]="","-",VLOOKUP(compras_mes12[[#This Row],[CUIT]],Lista_CUIT[#All],3,0)),"CUIT NO CARGADO")</f>
        <v>Gastos Varios</v>
      </c>
      <c r="R63" s="45">
        <f>IFERROR(IF(compras_mes12[[#This Row],[CUIT]]="","-",VLOOKUP(compras_mes12[[#This Row],[CUIT]],Lista_CUIT[#All],4,0)),"CUIT NO CARGADO")</f>
        <v>0</v>
      </c>
    </row>
    <row r="64" spans="2:18" x14ac:dyDescent="0.3">
      <c r="B64" s="36">
        <v>44872</v>
      </c>
      <c r="C64" s="37">
        <v>1</v>
      </c>
      <c r="D64" s="38">
        <v>13</v>
      </c>
      <c r="E64" s="39">
        <v>5763</v>
      </c>
      <c r="F64" s="40">
        <v>33662613199</v>
      </c>
      <c r="G64" s="41" t="str">
        <f>IFERROR(IF(compras_mes12[[#This Row],[CUIT]]="","-",VLOOKUP(compras_mes12[[#This Row],[CUIT]],Lista_CUIT[#All],2,0)),"CUIT NO CARGADO")</f>
        <v>D M H S A</v>
      </c>
      <c r="H64" s="42">
        <v>6566.93</v>
      </c>
      <c r="I64" s="81">
        <f>IF(compras_mes12[[#This Row],[NETO GRAVADO]]="","",compras_mes12[[#This Row],[NETO GRAVADO]]*0.21)</f>
        <v>1379.0553</v>
      </c>
      <c r="J64" s="81"/>
      <c r="K64" s="81"/>
      <c r="L64" s="81"/>
      <c r="M64" s="81"/>
      <c r="N64" s="81"/>
      <c r="O64" s="81"/>
      <c r="P64" s="44">
        <f>SUM(compras_mes12[[#This Row],[NETO GRAVADO]:[Otros / No Grav.]])</f>
        <v>7945.9853000000003</v>
      </c>
      <c r="Q64" s="45" t="str">
        <f>IFERROR(IF(compras_mes12[[#This Row],[CUIT]]="","-",VLOOKUP(compras_mes12[[#This Row],[CUIT]],Lista_CUIT[#All],3,0)),"CUIT NO CARGADO")</f>
        <v>Gastos Varios</v>
      </c>
      <c r="R64" s="45">
        <f>IFERROR(IF(compras_mes12[[#This Row],[CUIT]]="","-",VLOOKUP(compras_mes12[[#This Row],[CUIT]],Lista_CUIT[#All],4,0)),"CUIT NO CARGADO")</f>
        <v>0</v>
      </c>
    </row>
    <row r="65" spans="2:18" x14ac:dyDescent="0.3">
      <c r="B65" s="36">
        <v>44872</v>
      </c>
      <c r="C65" s="37">
        <v>1</v>
      </c>
      <c r="D65" s="38">
        <v>4</v>
      </c>
      <c r="E65" s="39">
        <v>183</v>
      </c>
      <c r="F65" s="40">
        <v>20309026897</v>
      </c>
      <c r="G65" s="41" t="str">
        <f>IFERROR(IF(compras_mes12[[#This Row],[CUIT]]="","-",VLOOKUP(compras_mes12[[#This Row],[CUIT]],Lista_CUIT[#All],2,0)),"CUIT NO CARGADO")</f>
        <v>NICOLOSI AUGUSTO ALEJANDRO</v>
      </c>
      <c r="H65" s="42">
        <v>2293.14</v>
      </c>
      <c r="I65" s="81">
        <f>IF(compras_mes12[[#This Row],[NETO GRAVADO]]="","",compras_mes12[[#This Row],[NETO GRAVADO]]*0.21)</f>
        <v>481.55939999999998</v>
      </c>
      <c r="J65" s="81"/>
      <c r="K65" s="81"/>
      <c r="L65" s="81"/>
      <c r="M65" s="81"/>
      <c r="N65" s="81"/>
      <c r="O65" s="81"/>
      <c r="P65" s="44">
        <f>SUM(compras_mes12[[#This Row],[NETO GRAVADO]:[Otros / No Grav.]])</f>
        <v>2774.6994</v>
      </c>
      <c r="Q65" s="45" t="str">
        <f>IFERROR(IF(compras_mes12[[#This Row],[CUIT]]="","-",VLOOKUP(compras_mes12[[#This Row],[CUIT]],Lista_CUIT[#All],3,0)),"CUIT NO CARGADO")</f>
        <v>Gastos Varios</v>
      </c>
      <c r="R65" s="45">
        <f>IFERROR(IF(compras_mes12[[#This Row],[CUIT]]="","-",VLOOKUP(compras_mes12[[#This Row],[CUIT]],Lista_CUIT[#All],4,0)),"CUIT NO CARGADO")</f>
        <v>0</v>
      </c>
    </row>
    <row r="66" spans="2:18" x14ac:dyDescent="0.3">
      <c r="B66" s="36">
        <v>44873</v>
      </c>
      <c r="C66" s="37">
        <v>1</v>
      </c>
      <c r="D66" s="38">
        <v>8289</v>
      </c>
      <c r="E66" s="39">
        <v>2746</v>
      </c>
      <c r="F66" s="40">
        <v>30590360763</v>
      </c>
      <c r="G66" s="41" t="str">
        <f>IFERROR(IF(compras_mes12[[#This Row],[CUIT]]="","-",VLOOKUP(compras_mes12[[#This Row],[CUIT]],Lista_CUIT[#All],2,0)),"CUIT NO CARGADO")</f>
        <v>CENCOSUD S.A</v>
      </c>
      <c r="H66" s="42">
        <v>2172.73</v>
      </c>
      <c r="I66" s="81">
        <f>IF(compras_mes12[[#This Row],[NETO GRAVADO]]="","",compras_mes12[[#This Row],[NETO GRAVADO]]*0.21)</f>
        <v>456.27330000000001</v>
      </c>
      <c r="J66" s="81"/>
      <c r="K66" s="81"/>
      <c r="L66" s="81">
        <v>65.180000000000007</v>
      </c>
      <c r="M66" s="81">
        <v>173.82</v>
      </c>
      <c r="N66" s="81"/>
      <c r="O66" s="81"/>
      <c r="P66" s="44">
        <f>SUM(compras_mes12[[#This Row],[NETO GRAVADO]:[Otros / No Grav.]])</f>
        <v>2868.0032999999999</v>
      </c>
      <c r="Q66" s="45" t="str">
        <f>IFERROR(IF(compras_mes12[[#This Row],[CUIT]]="","-",VLOOKUP(compras_mes12[[#This Row],[CUIT]],Lista_CUIT[#All],3,0)),"CUIT NO CARGADO")</f>
        <v>Gastos Varios</v>
      </c>
      <c r="R66" s="45">
        <f>IFERROR(IF(compras_mes12[[#This Row],[CUIT]]="","-",VLOOKUP(compras_mes12[[#This Row],[CUIT]],Lista_CUIT[#All],4,0)),"CUIT NO CARGADO")</f>
        <v>0</v>
      </c>
    </row>
    <row r="67" spans="2:18" x14ac:dyDescent="0.3">
      <c r="B67" s="36">
        <v>44873</v>
      </c>
      <c r="C67" s="37">
        <v>1</v>
      </c>
      <c r="D67" s="38">
        <v>2</v>
      </c>
      <c r="E67" s="39">
        <v>84</v>
      </c>
      <c r="F67" s="40">
        <v>30717649490</v>
      </c>
      <c r="G67" s="41" t="str">
        <f>IFERROR(IF(compras_mes12[[#This Row],[CUIT]]="","-",VLOOKUP(compras_mes12[[#This Row],[CUIT]],Lista_CUIT[#All],2,0)),"CUIT NO CARGADO")</f>
        <v>IAMBAR S.R.L</v>
      </c>
      <c r="H67" s="42">
        <v>5204.13</v>
      </c>
      <c r="I67" s="81">
        <f>IF(compras_mes12[[#This Row],[NETO GRAVADO]]="","",compras_mes12[[#This Row],[NETO GRAVADO]]*0.21)</f>
        <v>1092.8672999999999</v>
      </c>
      <c r="J67" s="81"/>
      <c r="K67" s="81"/>
      <c r="L67" s="81"/>
      <c r="M67" s="81"/>
      <c r="N67" s="81"/>
      <c r="O67" s="81"/>
      <c r="P67" s="44">
        <f>SUM(compras_mes12[[#This Row],[NETO GRAVADO]:[Otros / No Grav.]])</f>
        <v>6296.9973</v>
      </c>
      <c r="Q67" s="45" t="str">
        <f>IFERROR(IF(compras_mes12[[#This Row],[CUIT]]="","-",VLOOKUP(compras_mes12[[#This Row],[CUIT]],Lista_CUIT[#All],3,0)),"CUIT NO CARGADO")</f>
        <v>Gastos Varios</v>
      </c>
      <c r="R67" s="45">
        <f>IFERROR(IF(compras_mes12[[#This Row],[CUIT]]="","-",VLOOKUP(compras_mes12[[#This Row],[CUIT]],Lista_CUIT[#All],4,0)),"CUIT NO CARGADO")</f>
        <v>0</v>
      </c>
    </row>
    <row r="68" spans="2:18" x14ac:dyDescent="0.3">
      <c r="B68" s="36">
        <v>44875</v>
      </c>
      <c r="C68" s="37">
        <v>1</v>
      </c>
      <c r="D68" s="38">
        <v>2188</v>
      </c>
      <c r="E68" s="39">
        <v>76553</v>
      </c>
      <c r="F68" s="40">
        <v>30548083156</v>
      </c>
      <c r="G68" s="41" t="str">
        <f>IFERROR(IF(compras_mes12[[#This Row],[CUIT]]="","-",VLOOKUP(compras_mes12[[#This Row],[CUIT]],Lista_CUIT[#All],2,0)),"CUIT NO CARGADO")</f>
        <v>COTO  S.A.</v>
      </c>
      <c r="H68" s="42">
        <v>6126.95</v>
      </c>
      <c r="I68" s="81">
        <v>1184.06</v>
      </c>
      <c r="J68" s="81"/>
      <c r="K68" s="81">
        <v>51.3</v>
      </c>
      <c r="L68" s="81">
        <v>171.92</v>
      </c>
      <c r="M68" s="81"/>
      <c r="N68" s="81">
        <v>367.62</v>
      </c>
      <c r="O68" s="81"/>
      <c r="P68" s="44">
        <f>SUM(compras_mes12[[#This Row],[NETO GRAVADO]:[Otros / No Grav.]])</f>
        <v>7901.85</v>
      </c>
      <c r="Q68" s="45" t="str">
        <f>IFERROR(IF(compras_mes12[[#This Row],[CUIT]]="","-",VLOOKUP(compras_mes12[[#This Row],[CUIT]],Lista_CUIT[#All],3,0)),"CUIT NO CARGADO")</f>
        <v>Gastos Varios</v>
      </c>
      <c r="R68" s="45">
        <f>IFERROR(IF(compras_mes12[[#This Row],[CUIT]]="","-",VLOOKUP(compras_mes12[[#This Row],[CUIT]],Lista_CUIT[#All],4,0)),"CUIT NO CARGADO")</f>
        <v>0</v>
      </c>
    </row>
    <row r="69" spans="2:18" x14ac:dyDescent="0.3">
      <c r="B69" s="36">
        <v>44875</v>
      </c>
      <c r="C69" s="37">
        <v>1</v>
      </c>
      <c r="D69" s="38">
        <v>12</v>
      </c>
      <c r="E69" s="39">
        <v>1662</v>
      </c>
      <c r="F69" s="40">
        <v>20205670247</v>
      </c>
      <c r="G69" s="41" t="str">
        <f>IFERROR(IF(compras_mes12[[#This Row],[CUIT]]="","-",VLOOKUP(compras_mes12[[#This Row],[CUIT]],Lista_CUIT[#All],2,0)),"CUIT NO CARGADO")</f>
        <v>NACACH SION ANDRES</v>
      </c>
      <c r="H69" s="42">
        <v>9024.7900000000009</v>
      </c>
      <c r="I69" s="81">
        <f>IF(compras_mes12[[#This Row],[NETO GRAVADO]]="","",compras_mes12[[#This Row],[NETO GRAVADO]]*0.21)</f>
        <v>1895.2059000000002</v>
      </c>
      <c r="J69" s="81"/>
      <c r="K69" s="81"/>
      <c r="L69" s="81"/>
      <c r="M69" s="81"/>
      <c r="N69" s="81"/>
      <c r="O69" s="81"/>
      <c r="P69" s="44">
        <f>SUM(compras_mes12[[#This Row],[NETO GRAVADO]:[Otros / No Grav.]])</f>
        <v>10919.995900000002</v>
      </c>
      <c r="Q69" s="45" t="str">
        <f>IFERROR(IF(compras_mes12[[#This Row],[CUIT]]="","-",VLOOKUP(compras_mes12[[#This Row],[CUIT]],Lista_CUIT[#All],3,0)),"CUIT NO CARGADO")</f>
        <v>Gastos Varios</v>
      </c>
      <c r="R69" s="45">
        <f>IFERROR(IF(compras_mes12[[#This Row],[CUIT]]="","-",VLOOKUP(compras_mes12[[#This Row],[CUIT]],Lista_CUIT[#All],4,0)),"CUIT NO CARGADO")</f>
        <v>0</v>
      </c>
    </row>
    <row r="70" spans="2:18" x14ac:dyDescent="0.3">
      <c r="B70" s="36">
        <v>44881</v>
      </c>
      <c r="C70" s="37">
        <v>1</v>
      </c>
      <c r="D70" s="38">
        <v>7</v>
      </c>
      <c r="E70" s="39">
        <v>14509</v>
      </c>
      <c r="F70" s="40">
        <v>30710819552</v>
      </c>
      <c r="G70" s="41" t="str">
        <f>IFERROR(IF(compras_mes12[[#This Row],[CUIT]]="","-",VLOOKUP(compras_mes12[[#This Row],[CUIT]],Lista_CUIT[#All],2,0)),"CUIT NO CARGADO")</f>
        <v>EL CACIQUE LIMPIEZA SRL</v>
      </c>
      <c r="H70" s="42">
        <v>48466.06</v>
      </c>
      <c r="I70" s="81">
        <f>IF(compras_mes12[[#This Row],[NETO GRAVADO]]="","",compras_mes12[[#This Row],[NETO GRAVADO]]*0.21)</f>
        <v>10177.872599999999</v>
      </c>
      <c r="J70" s="81"/>
      <c r="K70" s="81"/>
      <c r="L70" s="81"/>
      <c r="M70" s="81"/>
      <c r="N70" s="81"/>
      <c r="O70" s="81"/>
      <c r="P70" s="44">
        <f>SUM(compras_mes12[[#This Row],[NETO GRAVADO]:[Otros / No Grav.]])</f>
        <v>58643.9326</v>
      </c>
      <c r="Q70" s="45" t="str">
        <f>IFERROR(IF(compras_mes12[[#This Row],[CUIT]]="","-",VLOOKUP(compras_mes12[[#This Row],[CUIT]],Lista_CUIT[#All],3,0)),"CUIT NO CARGADO")</f>
        <v>Gastos Varios</v>
      </c>
      <c r="R70" s="45">
        <f>IFERROR(IF(compras_mes12[[#This Row],[CUIT]]="","-",VLOOKUP(compras_mes12[[#This Row],[CUIT]],Lista_CUIT[#All],4,0)),"CUIT NO CARGADO")</f>
        <v>0</v>
      </c>
    </row>
    <row r="71" spans="2:18" x14ac:dyDescent="0.3">
      <c r="B71" s="36">
        <v>44881</v>
      </c>
      <c r="C71" s="37">
        <v>1</v>
      </c>
      <c r="D71" s="38">
        <v>15</v>
      </c>
      <c r="E71" s="39">
        <v>13512</v>
      </c>
      <c r="F71" s="40">
        <v>30715239104</v>
      </c>
      <c r="G71" s="41" t="str">
        <f>IFERROR(IF(compras_mes12[[#This Row],[CUIT]]="","-",VLOOKUP(compras_mes12[[#This Row],[CUIT]],Lista_CUIT[#All],2,0)),"CUIT NO CARGADO")</f>
        <v>SASSON ALBERTO,SASSON MAURICIO ENRIQUE, SASSON EMILIA NADIA</v>
      </c>
      <c r="H71" s="42">
        <v>18173.55</v>
      </c>
      <c r="I71" s="81">
        <f>IF(compras_mes12[[#This Row],[NETO GRAVADO]]="","",compras_mes12[[#This Row],[NETO GRAVADO]]*0.21)</f>
        <v>3816.4454999999998</v>
      </c>
      <c r="J71" s="81"/>
      <c r="K71" s="81"/>
      <c r="L71" s="81"/>
      <c r="M71" s="81"/>
      <c r="N71" s="81"/>
      <c r="O71" s="81"/>
      <c r="P71" s="44">
        <f>SUM(compras_mes12[[#This Row],[NETO GRAVADO]:[Otros / No Grav.]])</f>
        <v>21989.995499999997</v>
      </c>
      <c r="Q71" s="45" t="str">
        <f>IFERROR(IF(compras_mes12[[#This Row],[CUIT]]="","-",VLOOKUP(compras_mes12[[#This Row],[CUIT]],Lista_CUIT[#All],3,0)),"CUIT NO CARGADO")</f>
        <v>Gastos Varios</v>
      </c>
      <c r="R71" s="45">
        <f>IFERROR(IF(compras_mes12[[#This Row],[CUIT]]="","-",VLOOKUP(compras_mes12[[#This Row],[CUIT]],Lista_CUIT[#All],4,0)),"CUIT NO CARGADO")</f>
        <v>0</v>
      </c>
    </row>
    <row r="72" spans="2:18" x14ac:dyDescent="0.3">
      <c r="B72" s="36">
        <v>44882</v>
      </c>
      <c r="C72" s="37">
        <v>1</v>
      </c>
      <c r="D72" s="38">
        <v>5</v>
      </c>
      <c r="E72" s="39">
        <v>9499</v>
      </c>
      <c r="F72" s="40">
        <v>20366883879</v>
      </c>
      <c r="G72" s="41" t="str">
        <f>IFERROR(IF(compras_mes12[[#This Row],[CUIT]]="","-",VLOOKUP(compras_mes12[[#This Row],[CUIT]],Lista_CUIT[#All],2,0)),"CUIT NO CARGADO")</f>
        <v>VACCARI DARIO</v>
      </c>
      <c r="H72" s="42">
        <v>3616.23</v>
      </c>
      <c r="I72" s="81">
        <f>IF(compras_mes12[[#This Row],[NETO GRAVADO]]="","",compras_mes12[[#This Row],[NETO GRAVADO]]*0.21)</f>
        <v>759.40829999999994</v>
      </c>
      <c r="J72" s="81"/>
      <c r="K72" s="81"/>
      <c r="L72" s="81"/>
      <c r="M72" s="81"/>
      <c r="N72" s="81"/>
      <c r="O72" s="81"/>
      <c r="P72" s="44">
        <f>SUM(compras_mes12[[#This Row],[NETO GRAVADO]:[Otros / No Grav.]])</f>
        <v>4375.6382999999996</v>
      </c>
      <c r="Q72" s="45" t="str">
        <f>IFERROR(IF(compras_mes12[[#This Row],[CUIT]]="","-",VLOOKUP(compras_mes12[[#This Row],[CUIT]],Lista_CUIT[#All],3,0)),"CUIT NO CARGADO")</f>
        <v>Gastos Varios</v>
      </c>
      <c r="R72" s="45">
        <f>IFERROR(IF(compras_mes12[[#This Row],[CUIT]]="","-",VLOOKUP(compras_mes12[[#This Row],[CUIT]],Lista_CUIT[#All],4,0)),"CUIT NO CARGADO")</f>
        <v>0</v>
      </c>
    </row>
    <row r="73" spans="2:18" x14ac:dyDescent="0.3">
      <c r="B73" s="36">
        <v>44884</v>
      </c>
      <c r="C73" s="37">
        <v>1</v>
      </c>
      <c r="D73" s="38">
        <v>2188</v>
      </c>
      <c r="E73" s="39">
        <v>77174</v>
      </c>
      <c r="F73" s="40">
        <v>30548083156</v>
      </c>
      <c r="G73" s="41" t="str">
        <f>IFERROR(IF(compras_mes12[[#This Row],[CUIT]]="","-",VLOOKUP(compras_mes12[[#This Row],[CUIT]],Lista_CUIT[#All],2,0)),"CUIT NO CARGADO")</f>
        <v>COTO  S.A.</v>
      </c>
      <c r="H73" s="42">
        <v>28128.799999999999</v>
      </c>
      <c r="I73" s="81">
        <v>5852.26</v>
      </c>
      <c r="J73" s="81"/>
      <c r="K73" s="81">
        <v>27.39</v>
      </c>
      <c r="L73" s="81"/>
      <c r="M73" s="81"/>
      <c r="N73" s="81"/>
      <c r="O73" s="81">
        <v>2523.77</v>
      </c>
      <c r="P73" s="44">
        <f>SUM(compras_mes12[[#This Row],[NETO GRAVADO]:[Otros / No Grav.]])</f>
        <v>36532.219999999994</v>
      </c>
      <c r="Q73" s="45" t="str">
        <f>IFERROR(IF(compras_mes12[[#This Row],[CUIT]]="","-",VLOOKUP(compras_mes12[[#This Row],[CUIT]],Lista_CUIT[#All],3,0)),"CUIT NO CARGADO")</f>
        <v>Gastos Varios</v>
      </c>
      <c r="R73" s="45">
        <f>IFERROR(IF(compras_mes12[[#This Row],[CUIT]]="","-",VLOOKUP(compras_mes12[[#This Row],[CUIT]],Lista_CUIT[#All],4,0)),"CUIT NO CARGADO")</f>
        <v>0</v>
      </c>
    </row>
    <row r="74" spans="2:18" x14ac:dyDescent="0.3">
      <c r="B74" s="36">
        <v>44885</v>
      </c>
      <c r="C74" s="37">
        <v>1</v>
      </c>
      <c r="D74" s="38">
        <v>2199</v>
      </c>
      <c r="E74" s="39">
        <v>18953</v>
      </c>
      <c r="F74" s="40">
        <v>30548083156</v>
      </c>
      <c r="G74" s="41" t="str">
        <f>IFERROR(IF(compras_mes12[[#This Row],[CUIT]]="","-",VLOOKUP(compras_mes12[[#This Row],[CUIT]],Lista_CUIT[#All],2,0)),"CUIT NO CARGADO")</f>
        <v>COTO  S.A.</v>
      </c>
      <c r="H74" s="42">
        <v>17596.900000000001</v>
      </c>
      <c r="I74" s="81">
        <v>3161.63</v>
      </c>
      <c r="J74" s="81"/>
      <c r="K74" s="81">
        <v>266.86</v>
      </c>
      <c r="L74" s="81">
        <v>451.66</v>
      </c>
      <c r="M74" s="81"/>
      <c r="N74" s="81">
        <v>967.57</v>
      </c>
      <c r="O74" s="81"/>
      <c r="P74" s="44">
        <f>SUM(compras_mes12[[#This Row],[NETO GRAVADO]:[Otros / No Grav.]])</f>
        <v>22444.620000000003</v>
      </c>
      <c r="Q74" s="45" t="str">
        <f>IFERROR(IF(compras_mes12[[#This Row],[CUIT]]="","-",VLOOKUP(compras_mes12[[#This Row],[CUIT]],Lista_CUIT[#All],3,0)),"CUIT NO CARGADO")</f>
        <v>Gastos Varios</v>
      </c>
      <c r="R74" s="45">
        <f>IFERROR(IF(compras_mes12[[#This Row],[CUIT]]="","-",VLOOKUP(compras_mes12[[#This Row],[CUIT]],Lista_CUIT[#All],4,0)),"CUIT NO CARGADO")</f>
        <v>0</v>
      </c>
    </row>
    <row r="75" spans="2:18" x14ac:dyDescent="0.3">
      <c r="B75" s="36">
        <v>44886</v>
      </c>
      <c r="C75" s="37">
        <v>1</v>
      </c>
      <c r="D75" s="38">
        <v>113</v>
      </c>
      <c r="E75" s="39">
        <v>2992367</v>
      </c>
      <c r="F75" s="40">
        <v>30577207190</v>
      </c>
      <c r="G75" s="41" t="str">
        <f>IFERROR(IF(compras_mes12[[#This Row],[CUIT]]="","-",VLOOKUP(compras_mes12[[#This Row],[CUIT]],Lista_CUIT[#All],2,0)),"CUIT NO CARGADO")</f>
        <v>COORDINACION ECOLOGICA AREA METROPOLITANA SOCIEDAD DEL ESTADO</v>
      </c>
      <c r="H75" s="42">
        <v>704.13</v>
      </c>
      <c r="I75" s="81">
        <f>IF(compras_mes12[[#This Row],[NETO GRAVADO]]="","",compras_mes12[[#This Row],[NETO GRAVADO]]*0.21)</f>
        <v>147.8673</v>
      </c>
      <c r="J75" s="81"/>
      <c r="K75" s="81"/>
      <c r="L75" s="81"/>
      <c r="M75" s="81"/>
      <c r="N75" s="81"/>
      <c r="O75" s="81"/>
      <c r="P75" s="44">
        <f>SUM(compras_mes12[[#This Row],[NETO GRAVADO]:[Otros / No Grav.]])</f>
        <v>851.9973</v>
      </c>
      <c r="Q75" s="45" t="str">
        <f>IFERROR(IF(compras_mes12[[#This Row],[CUIT]]="","-",VLOOKUP(compras_mes12[[#This Row],[CUIT]],Lista_CUIT[#All],3,0)),"CUIT NO CARGADO")</f>
        <v>Gastos Varios</v>
      </c>
      <c r="R75" s="45" t="str">
        <f>IFERROR(IF(compras_mes12[[#This Row],[CUIT]]="","-",VLOOKUP(compras_mes12[[#This Row],[CUIT]],Lista_CUIT[#All],4,0)),"CUIT NO CARGADO")</f>
        <v>CABA</v>
      </c>
    </row>
    <row r="76" spans="2:18" x14ac:dyDescent="0.3">
      <c r="B76" s="36">
        <v>44887</v>
      </c>
      <c r="C76" s="37">
        <v>1</v>
      </c>
      <c r="D76" s="38">
        <v>11030</v>
      </c>
      <c r="E76" s="39">
        <v>21</v>
      </c>
      <c r="F76" s="40">
        <v>30590360763</v>
      </c>
      <c r="G76" s="41" t="str">
        <f>IFERROR(IF(compras_mes12[[#This Row],[CUIT]]="","-",VLOOKUP(compras_mes12[[#This Row],[CUIT]],Lista_CUIT[#All],2,0)),"CUIT NO CARGADO")</f>
        <v>CENCOSUD S.A</v>
      </c>
      <c r="H76" s="42">
        <v>4529.17</v>
      </c>
      <c r="I76" s="81">
        <v>632.91999999999996</v>
      </c>
      <c r="J76" s="81"/>
      <c r="K76" s="81">
        <v>159.1</v>
      </c>
      <c r="L76" s="81">
        <v>93.37</v>
      </c>
      <c r="M76" s="81"/>
      <c r="N76" s="81">
        <v>271.75</v>
      </c>
      <c r="O76" s="81"/>
      <c r="P76" s="44">
        <f>SUM(compras_mes12[[#This Row],[NETO GRAVADO]:[Otros / No Grav.]])</f>
        <v>5686.31</v>
      </c>
      <c r="Q76" s="45" t="str">
        <f>IFERROR(IF(compras_mes12[[#This Row],[CUIT]]="","-",VLOOKUP(compras_mes12[[#This Row],[CUIT]],Lista_CUIT[#All],3,0)),"CUIT NO CARGADO")</f>
        <v>Gastos Varios</v>
      </c>
      <c r="R76" s="45">
        <f>IFERROR(IF(compras_mes12[[#This Row],[CUIT]]="","-",VLOOKUP(compras_mes12[[#This Row],[CUIT]],Lista_CUIT[#All],4,0)),"CUIT NO CARGADO")</f>
        <v>0</v>
      </c>
    </row>
    <row r="77" spans="2:18" x14ac:dyDescent="0.3">
      <c r="B77" s="36">
        <v>44892</v>
      </c>
      <c r="C77" s="37">
        <v>1</v>
      </c>
      <c r="D77" s="38">
        <v>2199</v>
      </c>
      <c r="E77" s="39">
        <v>19046</v>
      </c>
      <c r="F77" s="40">
        <v>30548083156</v>
      </c>
      <c r="G77" s="41" t="str">
        <f>IFERROR(IF(compras_mes12[[#This Row],[CUIT]]="","-",VLOOKUP(compras_mes12[[#This Row],[CUIT]],Lista_CUIT[#All],2,0)),"CUIT NO CARGADO")</f>
        <v>COTO  S.A.</v>
      </c>
      <c r="H77" s="42">
        <v>2001.89</v>
      </c>
      <c r="I77" s="81">
        <f>IF(compras_mes12[[#This Row],[NETO GRAVADO]]="","",compras_mes12[[#This Row],[NETO GRAVADO]]*0.21)</f>
        <v>420.39690000000002</v>
      </c>
      <c r="J77" s="81"/>
      <c r="K77" s="81"/>
      <c r="L77" s="81"/>
      <c r="M77" s="81"/>
      <c r="N77" s="81"/>
      <c r="O77" s="81">
        <v>101.76</v>
      </c>
      <c r="P77" s="44">
        <f>SUM(compras_mes12[[#This Row],[NETO GRAVADO]:[Otros / No Grav.]])</f>
        <v>2524.0469000000003</v>
      </c>
      <c r="Q77" s="45" t="str">
        <f>IFERROR(IF(compras_mes12[[#This Row],[CUIT]]="","-",VLOOKUP(compras_mes12[[#This Row],[CUIT]],Lista_CUIT[#All],3,0)),"CUIT NO CARGADO")</f>
        <v>Gastos Varios</v>
      </c>
      <c r="R77" s="45">
        <f>IFERROR(IF(compras_mes12[[#This Row],[CUIT]]="","-",VLOOKUP(compras_mes12[[#This Row],[CUIT]],Lista_CUIT[#All],4,0)),"CUIT NO CARGADO")</f>
        <v>0</v>
      </c>
    </row>
    <row r="78" spans="2:18" x14ac:dyDescent="0.3">
      <c r="B78" s="36">
        <v>44893</v>
      </c>
      <c r="C78" s="37">
        <v>1</v>
      </c>
      <c r="D78" s="38">
        <v>2</v>
      </c>
      <c r="E78" s="39">
        <v>138</v>
      </c>
      <c r="F78" s="40">
        <v>27422248426</v>
      </c>
      <c r="G78" s="41" t="str">
        <f>IFERROR(IF(compras_mes12[[#This Row],[CUIT]]="","-",VLOOKUP(compras_mes12[[#This Row],[CUIT]],Lista_CUIT[#All],2,0)),"CUIT NO CARGADO")</f>
        <v>CARRERA VICTORIA</v>
      </c>
      <c r="H78" s="42">
        <v>5721.51</v>
      </c>
      <c r="I78" s="81">
        <f>IF(compras_mes12[[#This Row],[NETO GRAVADO]]="","",compras_mes12[[#This Row],[NETO GRAVADO]]*0.21)</f>
        <v>1201.5171</v>
      </c>
      <c r="J78" s="81"/>
      <c r="K78" s="81"/>
      <c r="L78" s="81"/>
      <c r="M78" s="81"/>
      <c r="N78" s="81"/>
      <c r="O78" s="81"/>
      <c r="P78" s="44">
        <f>SUM(compras_mes12[[#This Row],[NETO GRAVADO]:[Otros / No Grav.]])</f>
        <v>6923.0271000000002</v>
      </c>
      <c r="Q78" s="45" t="str">
        <f>IFERROR(IF(compras_mes12[[#This Row],[CUIT]]="","-",VLOOKUP(compras_mes12[[#This Row],[CUIT]],Lista_CUIT[#All],3,0)),"CUIT NO CARGADO")</f>
        <v>Gastos Varios</v>
      </c>
      <c r="R78" s="45">
        <f>IFERROR(IF(compras_mes12[[#This Row],[CUIT]]="","-",VLOOKUP(compras_mes12[[#This Row],[CUIT]],Lista_CUIT[#All],4,0)),"CUIT NO CARGADO")</f>
        <v>0</v>
      </c>
    </row>
    <row r="79" spans="2:18" x14ac:dyDescent="0.3">
      <c r="B79" s="36">
        <v>44894</v>
      </c>
      <c r="C79" s="37">
        <v>1</v>
      </c>
      <c r="D79" s="38">
        <v>2</v>
      </c>
      <c r="E79" s="39">
        <v>140</v>
      </c>
      <c r="F79" s="40">
        <v>27422248426</v>
      </c>
      <c r="G79" s="41" t="str">
        <f>IFERROR(IF(compras_mes12[[#This Row],[CUIT]]="","-",VLOOKUP(compras_mes12[[#This Row],[CUIT]],Lista_CUIT[#All],2,0)),"CUIT NO CARGADO")</f>
        <v>CARRERA VICTORIA</v>
      </c>
      <c r="H79" s="42">
        <v>6126.48</v>
      </c>
      <c r="I79" s="81">
        <f>IF(compras_mes12[[#This Row],[NETO GRAVADO]]="","",compras_mes12[[#This Row],[NETO GRAVADO]]*0.21)</f>
        <v>1286.5608</v>
      </c>
      <c r="J79" s="81"/>
      <c r="K79" s="81"/>
      <c r="L79" s="81"/>
      <c r="M79" s="81"/>
      <c r="N79" s="81"/>
      <c r="O79" s="81"/>
      <c r="P79" s="44">
        <f>SUM(compras_mes12[[#This Row],[NETO GRAVADO]:[Otros / No Grav.]])</f>
        <v>7413.0407999999998</v>
      </c>
      <c r="Q79" s="45" t="str">
        <f>IFERROR(IF(compras_mes12[[#This Row],[CUIT]]="","-",VLOOKUP(compras_mes12[[#This Row],[CUIT]],Lista_CUIT[#All],3,0)),"CUIT NO CARGADO")</f>
        <v>Gastos Varios</v>
      </c>
      <c r="R79" s="45">
        <f>IFERROR(IF(compras_mes12[[#This Row],[CUIT]]="","-",VLOOKUP(compras_mes12[[#This Row],[CUIT]],Lista_CUIT[#All],4,0)),"CUIT NO CARGADO")</f>
        <v>0</v>
      </c>
    </row>
    <row r="80" spans="2:18" x14ac:dyDescent="0.3">
      <c r="B80" s="36">
        <v>44873</v>
      </c>
      <c r="C80" s="37">
        <v>1</v>
      </c>
      <c r="D80" s="38">
        <v>4</v>
      </c>
      <c r="E80" s="39">
        <v>18417</v>
      </c>
      <c r="F80" s="40">
        <v>30552433595</v>
      </c>
      <c r="G80" s="41" t="str">
        <f>IFERROR(IF(compras_mes12[[#This Row],[CUIT]]="","-",VLOOKUP(compras_mes12[[#This Row],[CUIT]],Lista_CUIT[#All],2,0)),"CUIT NO CARGADO")</f>
        <v>PIROPLAST  S.R.L.</v>
      </c>
      <c r="H80" s="42">
        <v>157009.13</v>
      </c>
      <c r="I80" s="81">
        <f>IF(compras_mes12[[#This Row],[NETO GRAVADO]]="","",compras_mes12[[#This Row],[NETO GRAVADO]]*0.21)</f>
        <v>32971.917300000001</v>
      </c>
      <c r="J80" s="81"/>
      <c r="K80" s="81"/>
      <c r="L80" s="81"/>
      <c r="M80" s="81"/>
      <c r="N80" s="81"/>
      <c r="O80" s="81"/>
      <c r="P80" s="44">
        <f>SUM(compras_mes12[[#This Row],[NETO GRAVADO]:[Otros / No Grav.]])</f>
        <v>189981.04730000001</v>
      </c>
      <c r="Q80" s="45" t="str">
        <f>IFERROR(IF(compras_mes12[[#This Row],[CUIT]]="","-",VLOOKUP(compras_mes12[[#This Row],[CUIT]],Lista_CUIT[#All],3,0)),"CUIT NO CARGADO")</f>
        <v>Gtos Comercializacion</v>
      </c>
      <c r="R80" s="45">
        <f>IFERROR(IF(compras_mes12[[#This Row],[CUIT]]="","-",VLOOKUP(compras_mes12[[#This Row],[CUIT]],Lista_CUIT[#All],4,0)),"CUIT NO CARGADO")</f>
        <v>0</v>
      </c>
    </row>
    <row r="81" spans="2:18" x14ac:dyDescent="0.3">
      <c r="B81" s="36">
        <v>44875</v>
      </c>
      <c r="C81" s="37">
        <v>1</v>
      </c>
      <c r="D81" s="38">
        <v>4</v>
      </c>
      <c r="E81" s="39">
        <v>18451</v>
      </c>
      <c r="F81" s="40">
        <v>30552433595</v>
      </c>
      <c r="G81" s="41" t="str">
        <f>IFERROR(IF(compras_mes12[[#This Row],[CUIT]]="","-",VLOOKUP(compras_mes12[[#This Row],[CUIT]],Lista_CUIT[#All],2,0)),"CUIT NO CARGADO")</f>
        <v>PIROPLAST  S.R.L.</v>
      </c>
      <c r="H81" s="42">
        <v>234265.5</v>
      </c>
      <c r="I81" s="81">
        <f>IF(compras_mes12[[#This Row],[NETO GRAVADO]]="","",compras_mes12[[#This Row],[NETO GRAVADO]]*0.21)</f>
        <v>49195.754999999997</v>
      </c>
      <c r="J81" s="81"/>
      <c r="K81" s="81"/>
      <c r="L81" s="81"/>
      <c r="M81" s="81"/>
      <c r="N81" s="81"/>
      <c r="O81" s="81"/>
      <c r="P81" s="44">
        <f>SUM(compras_mes12[[#This Row],[NETO GRAVADO]:[Otros / No Grav.]])</f>
        <v>283461.255</v>
      </c>
      <c r="Q81" s="45" t="str">
        <f>IFERROR(IF(compras_mes12[[#This Row],[CUIT]]="","-",VLOOKUP(compras_mes12[[#This Row],[CUIT]],Lista_CUIT[#All],3,0)),"CUIT NO CARGADO")</f>
        <v>Gtos Comercializacion</v>
      </c>
      <c r="R81" s="45">
        <f>IFERROR(IF(compras_mes12[[#This Row],[CUIT]]="","-",VLOOKUP(compras_mes12[[#This Row],[CUIT]],Lista_CUIT[#All],4,0)),"CUIT NO CARGADO")</f>
        <v>0</v>
      </c>
    </row>
    <row r="82" spans="2:18" x14ac:dyDescent="0.3">
      <c r="B82" s="36">
        <v>44875</v>
      </c>
      <c r="C82" s="37">
        <v>1</v>
      </c>
      <c r="D82" s="38">
        <v>6</v>
      </c>
      <c r="E82" s="39">
        <v>13128327</v>
      </c>
      <c r="F82" s="40">
        <v>30620177497</v>
      </c>
      <c r="G82" s="41" t="str">
        <f>IFERROR(IF(compras_mes12[[#This Row],[CUIT]]="","-",VLOOKUP(compras_mes12[[#This Row],[CUIT]],Lista_CUIT[#All],2,0)),"CUIT NO CARGADO")</f>
        <v>POSNET SRL</v>
      </c>
      <c r="H82" s="42">
        <v>3203</v>
      </c>
      <c r="I82" s="81">
        <f>IF(compras_mes12[[#This Row],[NETO GRAVADO]]="","",compras_mes12[[#This Row],[NETO GRAVADO]]*0.21)</f>
        <v>672.63</v>
      </c>
      <c r="J82" s="81"/>
      <c r="K82" s="81"/>
      <c r="L82" s="81"/>
      <c r="M82" s="81"/>
      <c r="N82" s="81">
        <v>288.27</v>
      </c>
      <c r="O82" s="81"/>
      <c r="P82" s="44">
        <f>SUM(compras_mes12[[#This Row],[NETO GRAVADO]:[Otros / No Grav.]])</f>
        <v>4163.8999999999996</v>
      </c>
      <c r="Q82" s="45" t="str">
        <f>IFERROR(IF(compras_mes12[[#This Row],[CUIT]]="","-",VLOOKUP(compras_mes12[[#This Row],[CUIT]],Lista_CUIT[#All],3,0)),"CUIT NO CARGADO")</f>
        <v>Gtos Comercializacion</v>
      </c>
      <c r="R82" s="45">
        <f>IFERROR(IF(compras_mes12[[#This Row],[CUIT]]="","-",VLOOKUP(compras_mes12[[#This Row],[CUIT]],Lista_CUIT[#All],4,0)),"CUIT NO CARGADO")</f>
        <v>0</v>
      </c>
    </row>
    <row r="83" spans="2:18" x14ac:dyDescent="0.3">
      <c r="B83" s="36">
        <v>44875</v>
      </c>
      <c r="C83" s="37">
        <v>1</v>
      </c>
      <c r="D83" s="38">
        <v>6</v>
      </c>
      <c r="E83" s="39">
        <v>13136563</v>
      </c>
      <c r="F83" s="40">
        <v>30620177497</v>
      </c>
      <c r="G83" s="41" t="str">
        <f>IFERROR(IF(compras_mes12[[#This Row],[CUIT]]="","-",VLOOKUP(compras_mes12[[#This Row],[CUIT]],Lista_CUIT[#All],2,0)),"CUIT NO CARGADO")</f>
        <v>POSNET SRL</v>
      </c>
      <c r="H83" s="42">
        <v>3203</v>
      </c>
      <c r="I83" s="81">
        <f>IF(compras_mes12[[#This Row],[NETO GRAVADO]]="","",compras_mes12[[#This Row],[NETO GRAVADO]]*0.21)</f>
        <v>672.63</v>
      </c>
      <c r="J83" s="81"/>
      <c r="K83" s="81"/>
      <c r="L83" s="81"/>
      <c r="M83" s="81"/>
      <c r="N83" s="81">
        <v>288.27</v>
      </c>
      <c r="O83" s="81"/>
      <c r="P83" s="44">
        <f>SUM(compras_mes12[[#This Row],[NETO GRAVADO]:[Otros / No Grav.]])</f>
        <v>4163.8999999999996</v>
      </c>
      <c r="Q83" s="45" t="str">
        <f>IFERROR(IF(compras_mes12[[#This Row],[CUIT]]="","-",VLOOKUP(compras_mes12[[#This Row],[CUIT]],Lista_CUIT[#All],3,0)),"CUIT NO CARGADO")</f>
        <v>Gtos Comercializacion</v>
      </c>
      <c r="R83" s="45">
        <f>IFERROR(IF(compras_mes12[[#This Row],[CUIT]]="","-",VLOOKUP(compras_mes12[[#This Row],[CUIT]],Lista_CUIT[#All],4,0)),"CUIT NO CARGADO")</f>
        <v>0</v>
      </c>
    </row>
    <row r="84" spans="2:18" x14ac:dyDescent="0.3">
      <c r="B84" s="36">
        <v>44875</v>
      </c>
      <c r="C84" s="37">
        <v>1</v>
      </c>
      <c r="D84" s="38">
        <v>6</v>
      </c>
      <c r="E84" s="39">
        <v>13137470</v>
      </c>
      <c r="F84" s="40">
        <v>30620177497</v>
      </c>
      <c r="G84" s="41" t="str">
        <f>IFERROR(IF(compras_mes12[[#This Row],[CUIT]]="","-",VLOOKUP(compras_mes12[[#This Row],[CUIT]],Lista_CUIT[#All],2,0)),"CUIT NO CARGADO")</f>
        <v>POSNET SRL</v>
      </c>
      <c r="H84" s="42">
        <v>3203</v>
      </c>
      <c r="I84" s="81">
        <f>IF(compras_mes12[[#This Row],[NETO GRAVADO]]="","",compras_mes12[[#This Row],[NETO GRAVADO]]*0.21)</f>
        <v>672.63</v>
      </c>
      <c r="J84" s="81"/>
      <c r="K84" s="81"/>
      <c r="L84" s="81"/>
      <c r="M84" s="81"/>
      <c r="N84" s="81">
        <v>288.27</v>
      </c>
      <c r="O84" s="81"/>
      <c r="P84" s="44">
        <f>SUM(compras_mes12[[#This Row],[NETO GRAVADO]:[Otros / No Grav.]])</f>
        <v>4163.8999999999996</v>
      </c>
      <c r="Q84" s="45" t="str">
        <f>IFERROR(IF(compras_mes12[[#This Row],[CUIT]]="","-",VLOOKUP(compras_mes12[[#This Row],[CUIT]],Lista_CUIT[#All],3,0)),"CUIT NO CARGADO")</f>
        <v>Gtos Comercializacion</v>
      </c>
      <c r="R84" s="45">
        <f>IFERROR(IF(compras_mes12[[#This Row],[CUIT]]="","-",VLOOKUP(compras_mes12[[#This Row],[CUIT]],Lista_CUIT[#All],4,0)),"CUIT NO CARGADO")</f>
        <v>0</v>
      </c>
    </row>
    <row r="85" spans="2:18" x14ac:dyDescent="0.3">
      <c r="B85" s="36">
        <v>44875</v>
      </c>
      <c r="C85" s="37">
        <v>1</v>
      </c>
      <c r="D85" s="38">
        <v>6</v>
      </c>
      <c r="E85" s="39">
        <v>13163698</v>
      </c>
      <c r="F85" s="40">
        <v>30620177497</v>
      </c>
      <c r="G85" s="41" t="str">
        <f>IFERROR(IF(compras_mes12[[#This Row],[CUIT]]="","-",VLOOKUP(compras_mes12[[#This Row],[CUIT]],Lista_CUIT[#All],2,0)),"CUIT NO CARGADO")</f>
        <v>POSNET SRL</v>
      </c>
      <c r="H85" s="42">
        <v>9609</v>
      </c>
      <c r="I85" s="81">
        <f>IF(compras_mes12[[#This Row],[NETO GRAVADO]]="","",compras_mes12[[#This Row],[NETO GRAVADO]]*0.21)</f>
        <v>2017.8899999999999</v>
      </c>
      <c r="J85" s="81"/>
      <c r="K85" s="81"/>
      <c r="L85" s="81"/>
      <c r="M85" s="81"/>
      <c r="N85" s="81">
        <v>864.81</v>
      </c>
      <c r="O85" s="81"/>
      <c r="P85" s="44">
        <f>SUM(compras_mes12[[#This Row],[NETO GRAVADO]:[Otros / No Grav.]])</f>
        <v>12491.699999999999</v>
      </c>
      <c r="Q85" s="45" t="str">
        <f>IFERROR(IF(compras_mes12[[#This Row],[CUIT]]="","-",VLOOKUP(compras_mes12[[#This Row],[CUIT]],Lista_CUIT[#All],3,0)),"CUIT NO CARGADO")</f>
        <v>Gtos Comercializacion</v>
      </c>
      <c r="R85" s="45">
        <f>IFERROR(IF(compras_mes12[[#This Row],[CUIT]]="","-",VLOOKUP(compras_mes12[[#This Row],[CUIT]],Lista_CUIT[#All],4,0)),"CUIT NO CARGADO")</f>
        <v>0</v>
      </c>
    </row>
    <row r="86" spans="2:18" x14ac:dyDescent="0.3">
      <c r="B86" s="36">
        <v>44894</v>
      </c>
      <c r="C86" s="37">
        <v>1</v>
      </c>
      <c r="D86" s="38">
        <v>27</v>
      </c>
      <c r="E86" s="39">
        <v>775292</v>
      </c>
      <c r="F86" s="40">
        <v>30703088534</v>
      </c>
      <c r="G86" s="41" t="str">
        <f>IFERROR(IF(compras_mes12[[#This Row],[CUIT]]="","-",VLOOKUP(compras_mes12[[#This Row],[CUIT]],Lista_CUIT[#All],2,0)),"CUIT NO CARGADO")</f>
        <v>MERCADO LIBRE SRL</v>
      </c>
      <c r="H86" s="42">
        <v>186362.19</v>
      </c>
      <c r="I86" s="81">
        <f>IF(compras_mes12[[#This Row],[NETO GRAVADO]]="","",compras_mes12[[#This Row],[NETO GRAVADO]]*0.21)</f>
        <v>39136.0599</v>
      </c>
      <c r="J86" s="81"/>
      <c r="K86" s="81"/>
      <c r="L86" s="81"/>
      <c r="M86" s="81"/>
      <c r="N86" s="81">
        <v>11181.72</v>
      </c>
      <c r="O86" s="81">
        <v>5590.86</v>
      </c>
      <c r="P86" s="44">
        <f>SUM(compras_mes12[[#This Row],[NETO GRAVADO]:[Otros / No Grav.]])</f>
        <v>242270.82989999998</v>
      </c>
      <c r="Q86" s="45" t="str">
        <f>IFERROR(IF(compras_mes12[[#This Row],[CUIT]]="","-",VLOOKUP(compras_mes12[[#This Row],[CUIT]],Lista_CUIT[#All],3,0)),"CUIT NO CARGADO")</f>
        <v>Gtos Comercializacion</v>
      </c>
      <c r="R86" s="45">
        <f>IFERROR(IF(compras_mes12[[#This Row],[CUIT]]="","-",VLOOKUP(compras_mes12[[#This Row],[CUIT]],Lista_CUIT[#All],4,0)),"CUIT NO CARGADO")</f>
        <v>0</v>
      </c>
    </row>
    <row r="87" spans="2:18" x14ac:dyDescent="0.3">
      <c r="B87" s="36">
        <v>44895</v>
      </c>
      <c r="C87" s="37">
        <v>1</v>
      </c>
      <c r="D87" s="38">
        <v>4</v>
      </c>
      <c r="E87" s="39">
        <v>18654</v>
      </c>
      <c r="F87" s="40">
        <v>30552433595</v>
      </c>
      <c r="G87" s="41" t="str">
        <f>IFERROR(IF(compras_mes12[[#This Row],[CUIT]]="","-",VLOOKUP(compras_mes12[[#This Row],[CUIT]],Lista_CUIT[#All],2,0)),"CUIT NO CARGADO")</f>
        <v>PIROPLAST  S.R.L.</v>
      </c>
      <c r="H87" s="42">
        <v>290649</v>
      </c>
      <c r="I87" s="81">
        <f>IF(compras_mes12[[#This Row],[NETO GRAVADO]]="","",compras_mes12[[#This Row],[NETO GRAVADO]]*0.21)</f>
        <v>61036.29</v>
      </c>
      <c r="J87" s="81"/>
      <c r="K87" s="81"/>
      <c r="L87" s="81"/>
      <c r="M87" s="81"/>
      <c r="N87" s="81"/>
      <c r="O87" s="81"/>
      <c r="P87" s="44">
        <f>SUM(compras_mes12[[#This Row],[NETO GRAVADO]:[Otros / No Grav.]])</f>
        <v>351685.29</v>
      </c>
      <c r="Q87" s="45" t="str">
        <f>IFERROR(IF(compras_mes12[[#This Row],[CUIT]]="","-",VLOOKUP(compras_mes12[[#This Row],[CUIT]],Lista_CUIT[#All],3,0)),"CUIT NO CARGADO")</f>
        <v>Gtos Comercializacion</v>
      </c>
      <c r="R87" s="45">
        <f>IFERROR(IF(compras_mes12[[#This Row],[CUIT]]="","-",VLOOKUP(compras_mes12[[#This Row],[CUIT]],Lista_CUIT[#All],4,0)),"CUIT NO CARGADO")</f>
        <v>0</v>
      </c>
    </row>
    <row r="88" spans="2:18" x14ac:dyDescent="0.3">
      <c r="B88" s="36">
        <v>44895</v>
      </c>
      <c r="C88" s="37">
        <v>1</v>
      </c>
      <c r="D88" s="38">
        <v>2</v>
      </c>
      <c r="E88" s="39">
        <v>757</v>
      </c>
      <c r="F88" s="40">
        <v>23920485979</v>
      </c>
      <c r="G88" s="41" t="str">
        <f>IFERROR(IF(compras_mes12[[#This Row],[CUIT]]="","-",VLOOKUP(compras_mes12[[#This Row],[CUIT]],Lista_CUIT[#All],2,0)),"CUIT NO CARGADO")</f>
        <v>GABRIEL GONZALEZ SAGASETA</v>
      </c>
      <c r="H88" s="42">
        <v>84370</v>
      </c>
      <c r="I88" s="81">
        <f>IF(compras_mes12[[#This Row],[NETO GRAVADO]]="","",compras_mes12[[#This Row],[NETO GRAVADO]]*0.21)</f>
        <v>17717.7</v>
      </c>
      <c r="J88" s="81"/>
      <c r="K88" s="81"/>
      <c r="L88" s="81"/>
      <c r="M88" s="81"/>
      <c r="N88" s="81"/>
      <c r="O88" s="81"/>
      <c r="P88" s="44">
        <f>SUM(compras_mes12[[#This Row],[NETO GRAVADO]:[Otros / No Grav.]])</f>
        <v>102087.7</v>
      </c>
      <c r="Q88" s="45" t="str">
        <f>IFERROR(IF(compras_mes12[[#This Row],[CUIT]]="","-",VLOOKUP(compras_mes12[[#This Row],[CUIT]],Lista_CUIT[#All],3,0)),"CUIT NO CARGADO")</f>
        <v>Honorarios Administrativos</v>
      </c>
      <c r="R88" s="45">
        <f>IFERROR(IF(compras_mes12[[#This Row],[CUIT]]="","-",VLOOKUP(compras_mes12[[#This Row],[CUIT]],Lista_CUIT[#All],4,0)),"CUIT NO CARGADO")</f>
        <v>0</v>
      </c>
    </row>
    <row r="89" spans="2:18" x14ac:dyDescent="0.3">
      <c r="B89" s="36">
        <v>44895</v>
      </c>
      <c r="C89" s="37">
        <v>1</v>
      </c>
      <c r="D89" s="38">
        <v>2</v>
      </c>
      <c r="E89" s="39">
        <v>780</v>
      </c>
      <c r="F89" s="40">
        <v>23145783224</v>
      </c>
      <c r="G89" s="41" t="str">
        <f>IFERROR(IF(compras_mes12[[#This Row],[CUIT]]="","-",VLOOKUP(compras_mes12[[#This Row],[CUIT]],Lista_CUIT[#All],2,0)),"CUIT NO CARGADO")</f>
        <v>SUTIL SILVIA EDITH</v>
      </c>
      <c r="H89" s="42">
        <v>72000</v>
      </c>
      <c r="I89" s="166">
        <f>IF(compras_mes12[[#This Row],[NETO GRAVADO]]="","",compras_mes12[[#This Row],[NETO GRAVADO]]*0.21)</f>
        <v>15120</v>
      </c>
      <c r="J89" s="81"/>
      <c r="K89" s="81"/>
      <c r="L89" s="81"/>
      <c r="M89" s="81"/>
      <c r="N89" s="81"/>
      <c r="O89" s="81"/>
      <c r="P89" s="44">
        <f>SUM(compras_mes12[[#This Row],[NETO GRAVADO]:[Otros / No Grav.]])</f>
        <v>87120</v>
      </c>
      <c r="Q89" s="45" t="str">
        <f>IFERROR(IF(compras_mes12[[#This Row],[CUIT]]="","-",VLOOKUP(compras_mes12[[#This Row],[CUIT]],Lista_CUIT[#All],3,0)),"CUIT NO CARGADO")</f>
        <v>Honorarios Juridicos</v>
      </c>
      <c r="R89" s="45">
        <f>IFERROR(IF(compras_mes12[[#This Row],[CUIT]]="","-",VLOOKUP(compras_mes12[[#This Row],[CUIT]],Lista_CUIT[#All],4,0)),"CUIT NO CARGADO")</f>
        <v>0</v>
      </c>
    </row>
    <row r="90" spans="2:18" x14ac:dyDescent="0.3">
      <c r="B90" s="36">
        <v>44867</v>
      </c>
      <c r="C90" s="37">
        <v>1</v>
      </c>
      <c r="D90" s="38">
        <v>10</v>
      </c>
      <c r="E90" s="39">
        <v>1640</v>
      </c>
      <c r="F90" s="40">
        <v>23127284369</v>
      </c>
      <c r="G90" s="41" t="str">
        <f>IFERROR(IF(compras_mes12[[#This Row],[CUIT]]="","-",VLOOKUP(compras_mes12[[#This Row],[CUIT]],Lista_CUIT[#All],2,0)),"CUIT NO CARGADO")</f>
        <v>DEALER  FX  -  MONTORRO  D.</v>
      </c>
      <c r="H90" s="42">
        <v>39840.04</v>
      </c>
      <c r="I90" s="81">
        <f>IF(compras_mes12[[#This Row],[NETO GRAVADO]]="","",compras_mes12[[#This Row],[NETO GRAVADO]]*0.21)</f>
        <v>8366.4084000000003</v>
      </c>
      <c r="J90" s="81"/>
      <c r="K90" s="81"/>
      <c r="L90" s="81"/>
      <c r="M90" s="81"/>
      <c r="N90" s="81"/>
      <c r="O90" s="81"/>
      <c r="P90" s="44">
        <f>SUM(compras_mes12[[#This Row],[NETO GRAVADO]:[Otros / No Grav.]])</f>
        <v>48206.448400000001</v>
      </c>
      <c r="Q90" s="45" t="str">
        <f>IFERROR(IF(compras_mes12[[#This Row],[CUIT]]="","-",VLOOKUP(compras_mes12[[#This Row],[CUIT]],Lista_CUIT[#All],3,0)),"CUIT NO CARGADO")</f>
        <v>Librería</v>
      </c>
      <c r="R90" s="45">
        <f>IFERROR(IF(compras_mes12[[#This Row],[CUIT]]="","-",VLOOKUP(compras_mes12[[#This Row],[CUIT]],Lista_CUIT[#All],4,0)),"CUIT NO CARGADO")</f>
        <v>0</v>
      </c>
    </row>
    <row r="91" spans="2:18" x14ac:dyDescent="0.3">
      <c r="B91" s="36">
        <v>44874</v>
      </c>
      <c r="C91" s="37">
        <v>1</v>
      </c>
      <c r="D91" s="38">
        <v>2</v>
      </c>
      <c r="E91" s="39">
        <v>2439</v>
      </c>
      <c r="F91" s="40">
        <v>20240305128</v>
      </c>
      <c r="G91" s="41" t="str">
        <f>IFERROR(IF(compras_mes12[[#This Row],[CUIT]]="","-",VLOOKUP(compras_mes12[[#This Row],[CUIT]],Lista_CUIT[#All],2,0)),"CUIT NO CARGADO")</f>
        <v>ABRALDES DIEGO ROBERTO</v>
      </c>
      <c r="H91" s="42">
        <v>13644</v>
      </c>
      <c r="I91" s="81">
        <f>IF(compras_mes12[[#This Row],[NETO GRAVADO]]="","",compras_mes12[[#This Row],[NETO GRAVADO]]*0.21)</f>
        <v>2865.24</v>
      </c>
      <c r="J91" s="81"/>
      <c r="K91" s="81"/>
      <c r="L91" s="81"/>
      <c r="M91" s="81"/>
      <c r="N91" s="81"/>
      <c r="O91" s="81"/>
      <c r="P91" s="44">
        <f>SUM(compras_mes12[[#This Row],[NETO GRAVADO]:[Otros / No Grav.]])</f>
        <v>16509.239999999998</v>
      </c>
      <c r="Q91" s="45" t="str">
        <f>IFERROR(IF(compras_mes12[[#This Row],[CUIT]]="","-",VLOOKUP(compras_mes12[[#This Row],[CUIT]],Lista_CUIT[#All],3,0)),"CUIT NO CARGADO")</f>
        <v>Librería</v>
      </c>
      <c r="R91" s="45">
        <f>IFERROR(IF(compras_mes12[[#This Row],[CUIT]]="","-",VLOOKUP(compras_mes12[[#This Row],[CUIT]],Lista_CUIT[#All],4,0)),"CUIT NO CARGADO")</f>
        <v>0</v>
      </c>
    </row>
    <row r="92" spans="2:18" x14ac:dyDescent="0.3">
      <c r="B92" s="36">
        <v>44879</v>
      </c>
      <c r="C92" s="37">
        <v>1</v>
      </c>
      <c r="D92" s="38">
        <v>24</v>
      </c>
      <c r="E92" s="39">
        <v>42872</v>
      </c>
      <c r="F92" s="40">
        <v>30707838260</v>
      </c>
      <c r="G92" s="41" t="str">
        <f>IFERROR(IF(compras_mes12[[#This Row],[CUIT]]="","-",VLOOKUP(compras_mes12[[#This Row],[CUIT]],Lista_CUIT[#All],2,0)),"CUIT NO CARGADO")</f>
        <v>EL INSUMO S.R.L.</v>
      </c>
      <c r="H92" s="42">
        <v>10636.36</v>
      </c>
      <c r="I92" s="81">
        <f>IF(compras_mes12[[#This Row],[NETO GRAVADO]]="","",compras_mes12[[#This Row],[NETO GRAVADO]]*0.21)</f>
        <v>2233.6356000000001</v>
      </c>
      <c r="J92" s="81"/>
      <c r="K92" s="81"/>
      <c r="L92" s="81"/>
      <c r="M92" s="81"/>
      <c r="N92" s="81"/>
      <c r="O92" s="81"/>
      <c r="P92" s="44">
        <f>SUM(compras_mes12[[#This Row],[NETO GRAVADO]:[Otros / No Grav.]])</f>
        <v>12869.9956</v>
      </c>
      <c r="Q92" s="45" t="str">
        <f>IFERROR(IF(compras_mes12[[#This Row],[CUIT]]="","-",VLOOKUP(compras_mes12[[#This Row],[CUIT]],Lista_CUIT[#All],3,0)),"CUIT NO CARGADO")</f>
        <v>Librería</v>
      </c>
      <c r="R92" s="45">
        <f>IFERROR(IF(compras_mes12[[#This Row],[CUIT]]="","-",VLOOKUP(compras_mes12[[#This Row],[CUIT]],Lista_CUIT[#All],4,0)),"CUIT NO CARGADO")</f>
        <v>0</v>
      </c>
    </row>
    <row r="93" spans="2:18" x14ac:dyDescent="0.3">
      <c r="B93" s="36">
        <v>44882</v>
      </c>
      <c r="C93" s="37">
        <v>1</v>
      </c>
      <c r="D93" s="38">
        <v>2</v>
      </c>
      <c r="E93" s="39">
        <v>2454</v>
      </c>
      <c r="F93" s="40">
        <v>20240305128</v>
      </c>
      <c r="G93" s="41" t="str">
        <f>IFERROR(IF(compras_mes12[[#This Row],[CUIT]]="","-",VLOOKUP(compras_mes12[[#This Row],[CUIT]],Lista_CUIT[#All],2,0)),"CUIT NO CARGADO")</f>
        <v>ABRALDES DIEGO ROBERTO</v>
      </c>
      <c r="H93" s="42">
        <v>71776</v>
      </c>
      <c r="I93" s="81">
        <f>IF(compras_mes12[[#This Row],[NETO GRAVADO]]="","",compras_mes12[[#This Row],[NETO GRAVADO]]*0.21)</f>
        <v>15072.96</v>
      </c>
      <c r="J93" s="81"/>
      <c r="K93" s="81"/>
      <c r="L93" s="81"/>
      <c r="M93" s="81"/>
      <c r="N93" s="81"/>
      <c r="O93" s="81"/>
      <c r="P93" s="44">
        <f>SUM(compras_mes12[[#This Row],[NETO GRAVADO]:[Otros / No Grav.]])</f>
        <v>86848.959999999992</v>
      </c>
      <c r="Q93" s="45" t="str">
        <f>IFERROR(IF(compras_mes12[[#This Row],[CUIT]]="","-",VLOOKUP(compras_mes12[[#This Row],[CUIT]],Lista_CUIT[#All],3,0)),"CUIT NO CARGADO")</f>
        <v>Librería</v>
      </c>
      <c r="R93" s="45">
        <f>IFERROR(IF(compras_mes12[[#This Row],[CUIT]]="","-",VLOOKUP(compras_mes12[[#This Row],[CUIT]],Lista_CUIT[#All],4,0)),"CUIT NO CARGADO")</f>
        <v>0</v>
      </c>
    </row>
    <row r="94" spans="2:18" x14ac:dyDescent="0.3">
      <c r="B94" s="36">
        <v>44887</v>
      </c>
      <c r="C94" s="37">
        <v>1</v>
      </c>
      <c r="D94" s="38">
        <v>24</v>
      </c>
      <c r="E94" s="39">
        <v>43330</v>
      </c>
      <c r="F94" s="40">
        <v>30707838260</v>
      </c>
      <c r="G94" s="41" t="str">
        <f>IFERROR(IF(compras_mes12[[#This Row],[CUIT]]="","-",VLOOKUP(compras_mes12[[#This Row],[CUIT]],Lista_CUIT[#All],2,0)),"CUIT NO CARGADO")</f>
        <v>EL INSUMO S.R.L.</v>
      </c>
      <c r="H94" s="42">
        <v>5768.6</v>
      </c>
      <c r="I94" s="81">
        <f>IF(compras_mes12[[#This Row],[NETO GRAVADO]]="","",compras_mes12[[#This Row],[NETO GRAVADO]]*0.21)</f>
        <v>1211.4059999999999</v>
      </c>
      <c r="J94" s="81"/>
      <c r="K94" s="81"/>
      <c r="L94" s="81"/>
      <c r="M94" s="81"/>
      <c r="N94" s="81"/>
      <c r="O94" s="81"/>
      <c r="P94" s="44">
        <f>SUM(compras_mes12[[#This Row],[NETO GRAVADO]:[Otros / No Grav.]])</f>
        <v>6980.0060000000003</v>
      </c>
      <c r="Q94" s="45" t="str">
        <f>IFERROR(IF(compras_mes12[[#This Row],[CUIT]]="","-",VLOOKUP(compras_mes12[[#This Row],[CUIT]],Lista_CUIT[#All],3,0)),"CUIT NO CARGADO")</f>
        <v>Librería</v>
      </c>
      <c r="R94" s="45">
        <f>IFERROR(IF(compras_mes12[[#This Row],[CUIT]]="","-",VLOOKUP(compras_mes12[[#This Row],[CUIT]],Lista_CUIT[#All],4,0)),"CUIT NO CARGADO")</f>
        <v>0</v>
      </c>
    </row>
    <row r="95" spans="2:18" x14ac:dyDescent="0.3">
      <c r="B95" s="36">
        <v>44876</v>
      </c>
      <c r="C95" s="37">
        <v>1</v>
      </c>
      <c r="D95" s="38">
        <v>9</v>
      </c>
      <c r="E95" s="39">
        <v>2963</v>
      </c>
      <c r="F95" s="40">
        <v>30715173030</v>
      </c>
      <c r="G95" s="41" t="str">
        <f>IFERROR(IF(compras_mes12[[#This Row],[CUIT]]="","-",VLOOKUP(compras_mes12[[#This Row],[CUIT]],Lista_CUIT[#All],2,0)),"CUIT NO CARGADO")</f>
        <v>AUTOGEN S.A.</v>
      </c>
      <c r="H95" s="42">
        <v>46115.7</v>
      </c>
      <c r="I95" s="81">
        <f>IF(compras_mes12[[#This Row],[NETO GRAVADO]]="","",compras_mes12[[#This Row],[NETO GRAVADO]]*0.21)</f>
        <v>9684.2969999999987</v>
      </c>
      <c r="J95" s="81"/>
      <c r="K95" s="81"/>
      <c r="L95" s="81"/>
      <c r="M95" s="81"/>
      <c r="N95" s="81">
        <v>2766.94</v>
      </c>
      <c r="O95" s="81"/>
      <c r="P95" s="44">
        <f>SUM(compras_mes12[[#This Row],[NETO GRAVADO]:[Otros / No Grav.]])</f>
        <v>58566.936999999998</v>
      </c>
      <c r="Q95" s="45" t="str">
        <f>IFERROR(IF(compras_mes12[[#This Row],[CUIT]]="","-",VLOOKUP(compras_mes12[[#This Row],[CUIT]],Lista_CUIT[#All],3,0)),"CUIT NO CARGADO")</f>
        <v>Mantenimiento Auto</v>
      </c>
      <c r="R95" s="45">
        <f>IFERROR(IF(compras_mes12[[#This Row],[CUIT]]="","-",VLOOKUP(compras_mes12[[#This Row],[CUIT]],Lista_CUIT[#All],4,0)),"CUIT NO CARGADO")</f>
        <v>0</v>
      </c>
    </row>
    <row r="96" spans="2:18" x14ac:dyDescent="0.3">
      <c r="B96" s="36">
        <v>44866</v>
      </c>
      <c r="C96" s="37">
        <v>1</v>
      </c>
      <c r="D96" s="38">
        <v>2</v>
      </c>
      <c r="E96" s="39">
        <v>5410</v>
      </c>
      <c r="F96" s="40">
        <v>33714677239</v>
      </c>
      <c r="G96" s="41" t="str">
        <f>IFERROR(IF(compras_mes12[[#This Row],[CUIT]]="","-",VLOOKUP(compras_mes12[[#This Row],[CUIT]],Lista_CUIT[#All],2,0)),"CUIT NO CARGADO")</f>
        <v>VABAR LIN SRL</v>
      </c>
      <c r="H96" s="42">
        <v>179300</v>
      </c>
      <c r="I96" s="81">
        <f>IF(compras_mes12[[#This Row],[NETO GRAVADO]]="","",compras_mes12[[#This Row],[NETO GRAVADO]]*0.21)</f>
        <v>37653</v>
      </c>
      <c r="J96" s="81"/>
      <c r="K96" s="81"/>
      <c r="L96" s="81"/>
      <c r="M96" s="81"/>
      <c r="N96" s="81"/>
      <c r="O96" s="81"/>
      <c r="P96" s="44">
        <f>SUM(compras_mes12[[#This Row],[NETO GRAVADO]:[Otros / No Grav.]])</f>
        <v>216953</v>
      </c>
      <c r="Q96" s="45" t="str">
        <f>IFERROR(IF(compras_mes12[[#This Row],[CUIT]]="","-",VLOOKUP(compras_mes12[[#This Row],[CUIT]],Lista_CUIT[#All],3,0)),"CUIT NO CARGADO")</f>
        <v>Mantenimiento</v>
      </c>
      <c r="R96" s="45">
        <f>IFERROR(IF(compras_mes12[[#This Row],[CUIT]]="","-",VLOOKUP(compras_mes12[[#This Row],[CUIT]],Lista_CUIT[#All],4,0)),"CUIT NO CARGADO")</f>
        <v>0</v>
      </c>
    </row>
    <row r="97" spans="2:18" x14ac:dyDescent="0.3">
      <c r="B97" s="36">
        <v>44867</v>
      </c>
      <c r="C97" s="37">
        <v>1</v>
      </c>
      <c r="D97" s="38">
        <v>57</v>
      </c>
      <c r="E97" s="39">
        <v>1314</v>
      </c>
      <c r="F97" s="40">
        <v>30708784067</v>
      </c>
      <c r="G97" s="41" t="str">
        <f>IFERROR(IF(compras_mes12[[#This Row],[CUIT]]="","-",VLOOKUP(compras_mes12[[#This Row],[CUIT]],Lista_CUIT[#All],2,0)),"CUIT NO CARGADO")</f>
        <v>MIJORMI SOCIEDAD DE RESPONSABILIDAD LIMITADA</v>
      </c>
      <c r="H97" s="42">
        <v>52861.16</v>
      </c>
      <c r="I97" s="81">
        <f>IF(compras_mes12[[#This Row],[NETO GRAVADO]]="","",compras_mes12[[#This Row],[NETO GRAVADO]]*0.21)</f>
        <v>11100.8436</v>
      </c>
      <c r="J97" s="81"/>
      <c r="K97" s="81"/>
      <c r="L97" s="81"/>
      <c r="M97" s="81"/>
      <c r="N97" s="81">
        <v>3171.66</v>
      </c>
      <c r="O97" s="81"/>
      <c r="P97" s="44">
        <f>SUM(compras_mes12[[#This Row],[NETO GRAVADO]:[Otros / No Grav.]])</f>
        <v>67133.6636</v>
      </c>
      <c r="Q97" s="45" t="str">
        <f>IFERROR(IF(compras_mes12[[#This Row],[CUIT]]="","-",VLOOKUP(compras_mes12[[#This Row],[CUIT]],Lista_CUIT[#All],3,0)),"CUIT NO CARGADO")</f>
        <v>Mantenimiento</v>
      </c>
      <c r="R97" s="45">
        <f>IFERROR(IF(compras_mes12[[#This Row],[CUIT]]="","-",VLOOKUP(compras_mes12[[#This Row],[CUIT]],Lista_CUIT[#All],4,0)),"CUIT NO CARGADO")</f>
        <v>0</v>
      </c>
    </row>
    <row r="98" spans="2:18" x14ac:dyDescent="0.3">
      <c r="B98" s="322">
        <v>44877</v>
      </c>
      <c r="C98" s="323">
        <v>1</v>
      </c>
      <c r="D98" s="324">
        <v>4</v>
      </c>
      <c r="E98" s="39">
        <v>1286</v>
      </c>
      <c r="F98" s="325">
        <v>20258711611</v>
      </c>
      <c r="G98" s="326" t="str">
        <f>IFERROR(IF(compras_mes12[[#This Row],[CUIT]]="","-",VLOOKUP(compras_mes12[[#This Row],[CUIT]],Lista_CUIT[#All],2,0)),"CUIT NO CARGADO")</f>
        <v>SORAIRE MIGUEL ALBERTO</v>
      </c>
      <c r="H98" s="327">
        <v>45309.63</v>
      </c>
      <c r="I98" s="328">
        <f>IF(compras_mes12[[#This Row],[NETO GRAVADO]]="","",compras_mes12[[#This Row],[NETO GRAVADO]]*0.21)</f>
        <v>9515.0222999999987</v>
      </c>
      <c r="J98" s="328"/>
      <c r="K98" s="328"/>
      <c r="L98" s="328"/>
      <c r="M98" s="328"/>
      <c r="N98" s="328"/>
      <c r="O98" s="328"/>
      <c r="P98" s="329">
        <f>SUM(compras_mes12[[#This Row],[NETO GRAVADO]:[Otros / No Grav.]])</f>
        <v>54824.652299999994</v>
      </c>
      <c r="Q98" s="330" t="str">
        <f>IFERROR(IF(compras_mes12[[#This Row],[CUIT]]="","-",VLOOKUP(compras_mes12[[#This Row],[CUIT]],Lista_CUIT[#All],3,0)),"CUIT NO CARGADO")</f>
        <v>Mantenimiento</v>
      </c>
      <c r="R98" s="330">
        <f>IFERROR(IF(compras_mes12[[#This Row],[CUIT]]="","-",VLOOKUP(compras_mes12[[#This Row],[CUIT]],Lista_CUIT[#All],4,0)),"CUIT NO CARGADO")</f>
        <v>0</v>
      </c>
    </row>
    <row r="99" spans="2:18" x14ac:dyDescent="0.3">
      <c r="B99" s="36">
        <v>44879</v>
      </c>
      <c r="C99" s="37">
        <v>1</v>
      </c>
      <c r="D99" s="38">
        <v>4</v>
      </c>
      <c r="E99" s="39">
        <v>15606</v>
      </c>
      <c r="F99" s="40">
        <v>30715155334</v>
      </c>
      <c r="G99" s="41" t="str">
        <f>IFERROR(IF(compras_mes12[[#This Row],[CUIT]]="","-",VLOOKUP(compras_mes12[[#This Row],[CUIT]],Lista_CUIT[#All],2,0)),"CUIT NO CARGADO")</f>
        <v>PROYECTO ELECTRICO S.R.L</v>
      </c>
      <c r="H99" s="42">
        <v>4026.24</v>
      </c>
      <c r="I99" s="81"/>
      <c r="J99" s="81"/>
      <c r="K99" s="81">
        <v>422.76</v>
      </c>
      <c r="L99" s="81"/>
      <c r="M99" s="81"/>
      <c r="N99" s="81"/>
      <c r="O99" s="81"/>
      <c r="P99" s="44">
        <f>SUM(compras_mes12[[#This Row],[NETO GRAVADO]:[Otros / No Grav.]])</f>
        <v>4449</v>
      </c>
      <c r="Q99" s="45" t="str">
        <f>IFERROR(IF(compras_mes12[[#This Row],[CUIT]]="","-",VLOOKUP(compras_mes12[[#This Row],[CUIT]],Lista_CUIT[#All],3,0)),"CUIT NO CARGADO")</f>
        <v>Mantenimiento</v>
      </c>
      <c r="R99" s="45">
        <f>IFERROR(IF(compras_mes12[[#This Row],[CUIT]]="","-",VLOOKUP(compras_mes12[[#This Row],[CUIT]],Lista_CUIT[#All],4,0)),"CUIT NO CARGADO")</f>
        <v>0</v>
      </c>
    </row>
    <row r="100" spans="2:18" x14ac:dyDescent="0.3">
      <c r="B100" s="36">
        <v>44879</v>
      </c>
      <c r="C100" s="37">
        <v>1</v>
      </c>
      <c r="D100" s="38">
        <v>4</v>
      </c>
      <c r="E100" s="39">
        <v>15607</v>
      </c>
      <c r="F100" s="40">
        <v>30715155334</v>
      </c>
      <c r="G100" s="41" t="str">
        <f>IFERROR(IF(compras_mes12[[#This Row],[CUIT]]="","-",VLOOKUP(compras_mes12[[#This Row],[CUIT]],Lista_CUIT[#All],2,0)),"CUIT NO CARGADO")</f>
        <v>PROYECTO ELECTRICO S.R.L</v>
      </c>
      <c r="H100" s="42">
        <v>1641.32</v>
      </c>
      <c r="I100" s="81">
        <f>IF(compras_mes12[[#This Row],[NETO GRAVADO]]="","",compras_mes12[[#This Row],[NETO GRAVADO]]*0.21)</f>
        <v>344.67719999999997</v>
      </c>
      <c r="J100" s="81"/>
      <c r="K100" s="81"/>
      <c r="L100" s="81"/>
      <c r="M100" s="81"/>
      <c r="N100" s="81"/>
      <c r="O100" s="81"/>
      <c r="P100" s="44">
        <f>SUM(compras_mes12[[#This Row],[NETO GRAVADO]:[Otros / No Grav.]])</f>
        <v>1985.9971999999998</v>
      </c>
      <c r="Q100" s="45" t="str">
        <f>IFERROR(IF(compras_mes12[[#This Row],[CUIT]]="","-",VLOOKUP(compras_mes12[[#This Row],[CUIT]],Lista_CUIT[#All],3,0)),"CUIT NO CARGADO")</f>
        <v>Mantenimiento</v>
      </c>
      <c r="R100" s="45">
        <f>IFERROR(IF(compras_mes12[[#This Row],[CUIT]]="","-",VLOOKUP(compras_mes12[[#This Row],[CUIT]],Lista_CUIT[#All],4,0)),"CUIT NO CARGADO")</f>
        <v>0</v>
      </c>
    </row>
    <row r="101" spans="2:18" x14ac:dyDescent="0.3">
      <c r="B101" s="36">
        <v>44880</v>
      </c>
      <c r="C101" s="37">
        <v>1</v>
      </c>
      <c r="D101" s="38">
        <v>3</v>
      </c>
      <c r="E101" s="39">
        <v>91</v>
      </c>
      <c r="F101" s="40">
        <v>20259438552</v>
      </c>
      <c r="G101" s="41" t="str">
        <f>IFERROR(IF(compras_mes12[[#This Row],[CUIT]]="","-",VLOOKUP(compras_mes12[[#This Row],[CUIT]],Lista_CUIT[#All],2,0)),"CUIT NO CARGADO")</f>
        <v>INGRASSIA PABLO CHRISTIAN</v>
      </c>
      <c r="H101" s="42">
        <v>69000</v>
      </c>
      <c r="I101" s="81">
        <f>IF(compras_mes12[[#This Row],[NETO GRAVADO]]="","",compras_mes12[[#This Row],[NETO GRAVADO]]*0.21)</f>
        <v>14490</v>
      </c>
      <c r="J101" s="81"/>
      <c r="K101" s="81"/>
      <c r="L101" s="81"/>
      <c r="M101" s="81"/>
      <c r="N101" s="81"/>
      <c r="O101" s="81"/>
      <c r="P101" s="44">
        <f>SUM(compras_mes12[[#This Row],[NETO GRAVADO]:[Otros / No Grav.]])</f>
        <v>83490</v>
      </c>
      <c r="Q101" s="45" t="str">
        <f>IFERROR(IF(compras_mes12[[#This Row],[CUIT]]="","-",VLOOKUP(compras_mes12[[#This Row],[CUIT]],Lista_CUIT[#All],3,0)),"CUIT NO CARGADO")</f>
        <v>Mantenimiento</v>
      </c>
      <c r="R101" s="45">
        <f>IFERROR(IF(compras_mes12[[#This Row],[CUIT]]="","-",VLOOKUP(compras_mes12[[#This Row],[CUIT]],Lista_CUIT[#All],4,0)),"CUIT NO CARGADO")</f>
        <v>0</v>
      </c>
    </row>
    <row r="102" spans="2:18" x14ac:dyDescent="0.3">
      <c r="B102" s="36">
        <v>44883</v>
      </c>
      <c r="C102" s="37">
        <v>3</v>
      </c>
      <c r="D102" s="38">
        <v>4</v>
      </c>
      <c r="E102" s="39">
        <v>291</v>
      </c>
      <c r="F102" s="40">
        <v>30715155334</v>
      </c>
      <c r="G102" s="41" t="str">
        <f>IFERROR(IF(compras_mes12[[#This Row],[CUIT]]="","-",VLOOKUP(compras_mes12[[#This Row],[CUIT]],Lista_CUIT[#All],2,0)),"CUIT NO CARGADO")</f>
        <v>PROYECTO ELECTRICO S.R.L</v>
      </c>
      <c r="H102" s="42">
        <v>-4026.24</v>
      </c>
      <c r="I102" s="81"/>
      <c r="J102" s="81"/>
      <c r="K102" s="81">
        <f>compras_mes12[[#This Row],[NETO GRAVADO]]*10.5/100</f>
        <v>-422.75519999999995</v>
      </c>
      <c r="L102" s="81"/>
      <c r="M102" s="81"/>
      <c r="N102" s="81"/>
      <c r="O102" s="81"/>
      <c r="P102" s="44">
        <f>SUM(compras_mes12[[#This Row],[NETO GRAVADO]:[Otros / No Grav.]])</f>
        <v>-4448.9951999999994</v>
      </c>
      <c r="Q102" s="45" t="str">
        <f>IFERROR(IF(compras_mes12[[#This Row],[CUIT]]="","-",VLOOKUP(compras_mes12[[#This Row],[CUIT]],Lista_CUIT[#All],3,0)),"CUIT NO CARGADO")</f>
        <v>Mantenimiento</v>
      </c>
      <c r="R102" s="45">
        <f>IFERROR(IF(compras_mes12[[#This Row],[CUIT]]="","-",VLOOKUP(compras_mes12[[#This Row],[CUIT]],Lista_CUIT[#All],4,0)),"CUIT NO CARGADO")</f>
        <v>0</v>
      </c>
    </row>
    <row r="103" spans="2:18" x14ac:dyDescent="0.3">
      <c r="B103" s="36">
        <v>44887</v>
      </c>
      <c r="C103" s="37">
        <v>1</v>
      </c>
      <c r="D103" s="38">
        <v>2</v>
      </c>
      <c r="E103" s="39">
        <v>211</v>
      </c>
      <c r="F103" s="40">
        <v>27302111346</v>
      </c>
      <c r="G103" s="41" t="str">
        <f>IFERROR(IF(compras_mes12[[#This Row],[CUIT]]="","-",VLOOKUP(compras_mes12[[#This Row],[CUIT]],Lista_CUIT[#All],2,0)),"CUIT NO CARGADO")</f>
        <v>ARBIT MARIA FLOR</v>
      </c>
      <c r="H103" s="42">
        <v>140550</v>
      </c>
      <c r="I103" s="81">
        <f>IF(compras_mes12[[#This Row],[NETO GRAVADO]]="","",compras_mes12[[#This Row],[NETO GRAVADO]]*0.21)</f>
        <v>29515.5</v>
      </c>
      <c r="J103" s="81"/>
      <c r="K103" s="81"/>
      <c r="L103" s="81"/>
      <c r="M103" s="81"/>
      <c r="N103" s="81"/>
      <c r="O103" s="81"/>
      <c r="P103" s="44">
        <f>SUM(compras_mes12[[#This Row],[NETO GRAVADO]:[Otros / No Grav.]])</f>
        <v>170065.5</v>
      </c>
      <c r="Q103" s="45" t="str">
        <f>IFERROR(IF(compras_mes12[[#This Row],[CUIT]]="","-",VLOOKUP(compras_mes12[[#This Row],[CUIT]],Lista_CUIT[#All],3,0)),"CUIT NO CARGADO")</f>
        <v>Mantenimiento</v>
      </c>
      <c r="R103" s="45">
        <f>IFERROR(IF(compras_mes12[[#This Row],[CUIT]]="","-",VLOOKUP(compras_mes12[[#This Row],[CUIT]],Lista_CUIT[#All],4,0)),"CUIT NO CARGADO")</f>
        <v>0</v>
      </c>
    </row>
    <row r="104" spans="2:18" x14ac:dyDescent="0.3">
      <c r="B104" s="36">
        <v>44888</v>
      </c>
      <c r="C104" s="37">
        <v>1</v>
      </c>
      <c r="D104" s="38">
        <v>3</v>
      </c>
      <c r="E104" s="39">
        <v>93</v>
      </c>
      <c r="F104" s="40">
        <v>20259438552</v>
      </c>
      <c r="G104" s="41" t="str">
        <f>IFERROR(IF(compras_mes12[[#This Row],[CUIT]]="","-",VLOOKUP(compras_mes12[[#This Row],[CUIT]],Lista_CUIT[#All],2,0)),"CUIT NO CARGADO")</f>
        <v>INGRASSIA PABLO CHRISTIAN</v>
      </c>
      <c r="H104" s="42">
        <v>69000</v>
      </c>
      <c r="I104" s="81">
        <f>IF(compras_mes12[[#This Row],[NETO GRAVADO]]="","",compras_mes12[[#This Row],[NETO GRAVADO]]*0.21)</f>
        <v>14490</v>
      </c>
      <c r="J104" s="81"/>
      <c r="K104" s="81"/>
      <c r="L104" s="81"/>
      <c r="M104" s="81"/>
      <c r="N104" s="81"/>
      <c r="O104" s="81"/>
      <c r="P104" s="44">
        <f>SUM(compras_mes12[[#This Row],[NETO GRAVADO]:[Otros / No Grav.]])</f>
        <v>83490</v>
      </c>
      <c r="Q104" s="45" t="str">
        <f>IFERROR(IF(compras_mes12[[#This Row],[CUIT]]="","-",VLOOKUP(compras_mes12[[#This Row],[CUIT]],Lista_CUIT[#All],3,0)),"CUIT NO CARGADO")</f>
        <v>Mantenimiento</v>
      </c>
      <c r="R104" s="45">
        <f>IFERROR(IF(compras_mes12[[#This Row],[CUIT]]="","-",VLOOKUP(compras_mes12[[#This Row],[CUIT]],Lista_CUIT[#All],4,0)),"CUIT NO CARGADO")</f>
        <v>0</v>
      </c>
    </row>
    <row r="105" spans="2:18" x14ac:dyDescent="0.3">
      <c r="B105" s="36">
        <v>44888</v>
      </c>
      <c r="C105" s="37">
        <v>1</v>
      </c>
      <c r="D105" s="38">
        <v>57</v>
      </c>
      <c r="E105" s="39">
        <v>1497</v>
      </c>
      <c r="F105" s="40">
        <v>30708784067</v>
      </c>
      <c r="G105" s="41" t="str">
        <f>IFERROR(IF(compras_mes12[[#This Row],[CUIT]]="","-",VLOOKUP(compras_mes12[[#This Row],[CUIT]],Lista_CUIT[#All],2,0)),"CUIT NO CARGADO")</f>
        <v>MIJORMI SOCIEDAD DE RESPONSABILIDAD LIMITADA</v>
      </c>
      <c r="H105" s="42">
        <v>14571.07</v>
      </c>
      <c r="I105" s="81">
        <f>IF(compras_mes12[[#This Row],[NETO GRAVADO]]="","",compras_mes12[[#This Row],[NETO GRAVADO]]*0.21)</f>
        <v>3059.9247</v>
      </c>
      <c r="J105" s="81"/>
      <c r="K105" s="81"/>
      <c r="L105" s="81"/>
      <c r="M105" s="81"/>
      <c r="N105" s="81">
        <v>874.26</v>
      </c>
      <c r="O105" s="81"/>
      <c r="P105" s="44">
        <f>SUM(compras_mes12[[#This Row],[NETO GRAVADO]:[Otros / No Grav.]])</f>
        <v>18505.254699999998</v>
      </c>
      <c r="Q105" s="45" t="str">
        <f>IFERROR(IF(compras_mes12[[#This Row],[CUIT]]="","-",VLOOKUP(compras_mes12[[#This Row],[CUIT]],Lista_CUIT[#All],3,0)),"CUIT NO CARGADO")</f>
        <v>Mantenimiento</v>
      </c>
      <c r="R105" s="45">
        <f>IFERROR(IF(compras_mes12[[#This Row],[CUIT]]="","-",VLOOKUP(compras_mes12[[#This Row],[CUIT]],Lista_CUIT[#All],4,0)),"CUIT NO CARGADO")</f>
        <v>0</v>
      </c>
    </row>
    <row r="106" spans="2:18" x14ac:dyDescent="0.3">
      <c r="B106" s="36">
        <v>44888</v>
      </c>
      <c r="C106" s="37">
        <v>1</v>
      </c>
      <c r="D106" s="38">
        <v>4</v>
      </c>
      <c r="E106" s="39">
        <v>46</v>
      </c>
      <c r="F106" s="40">
        <v>20279412207</v>
      </c>
      <c r="G106" s="41" t="str">
        <f>IFERROR(IF(compras_mes12[[#This Row],[CUIT]]="","-",VLOOKUP(compras_mes12[[#This Row],[CUIT]],Lista_CUIT[#All],2,0)),"CUIT NO CARGADO")</f>
        <v>TRIPODI MAURO EMMANUEL</v>
      </c>
      <c r="H106" s="42">
        <v>1157989</v>
      </c>
      <c r="I106" s="81">
        <f>IF(compras_mes12[[#This Row],[NETO GRAVADO]]="","",compras_mes12[[#This Row],[NETO GRAVADO]]*0.21)</f>
        <v>243177.69</v>
      </c>
      <c r="J106" s="81"/>
      <c r="K106" s="81"/>
      <c r="L106" s="81"/>
      <c r="M106" s="81"/>
      <c r="N106" s="81"/>
      <c r="O106" s="81"/>
      <c r="P106" s="44">
        <f>SUM(compras_mes12[[#This Row],[NETO GRAVADO]:[Otros / No Grav.]])</f>
        <v>1401166.69</v>
      </c>
      <c r="Q106" s="45" t="str">
        <f>IFERROR(IF(compras_mes12[[#This Row],[CUIT]]="","-",VLOOKUP(compras_mes12[[#This Row],[CUIT]],Lista_CUIT[#All],3,0)),"CUIT NO CARGADO")</f>
        <v>Mantenimiento</v>
      </c>
      <c r="R106" s="45">
        <f>IFERROR(IF(compras_mes12[[#This Row],[CUIT]]="","-",VLOOKUP(compras_mes12[[#This Row],[CUIT]],Lista_CUIT[#All],4,0)),"CUIT NO CARGADO")</f>
        <v>0</v>
      </c>
    </row>
    <row r="107" spans="2:18" x14ac:dyDescent="0.3">
      <c r="B107" s="36">
        <v>44888</v>
      </c>
      <c r="C107" s="37">
        <v>1</v>
      </c>
      <c r="D107" s="38">
        <v>2</v>
      </c>
      <c r="E107" s="39">
        <v>5480</v>
      </c>
      <c r="F107" s="40">
        <v>33714677239</v>
      </c>
      <c r="G107" s="41" t="str">
        <f>IFERROR(IF(compras_mes12[[#This Row],[CUIT]]="","-",VLOOKUP(compras_mes12[[#This Row],[CUIT]],Lista_CUIT[#All],2,0)),"CUIT NO CARGADO")</f>
        <v>VABAR LIN SRL</v>
      </c>
      <c r="H107" s="42">
        <v>460890</v>
      </c>
      <c r="I107" s="81">
        <f>IF(compras_mes12[[#This Row],[NETO GRAVADO]]="","",compras_mes12[[#This Row],[NETO GRAVADO]]*0.21)</f>
        <v>96786.9</v>
      </c>
      <c r="J107" s="81"/>
      <c r="K107" s="81"/>
      <c r="L107" s="81"/>
      <c r="M107" s="81"/>
      <c r="N107" s="81"/>
      <c r="O107" s="81"/>
      <c r="P107" s="44">
        <f>SUM(compras_mes12[[#This Row],[NETO GRAVADO]:[Otros / No Grav.]])</f>
        <v>557676.9</v>
      </c>
      <c r="Q107" s="45" t="str">
        <f>IFERROR(IF(compras_mes12[[#This Row],[CUIT]]="","-",VLOOKUP(compras_mes12[[#This Row],[CUIT]],Lista_CUIT[#All],3,0)),"CUIT NO CARGADO")</f>
        <v>Mantenimiento</v>
      </c>
      <c r="R107" s="45">
        <f>IFERROR(IF(compras_mes12[[#This Row],[CUIT]]="","-",VLOOKUP(compras_mes12[[#This Row],[CUIT]],Lista_CUIT[#All],4,0)),"CUIT NO CARGADO")</f>
        <v>0</v>
      </c>
    </row>
    <row r="108" spans="2:18" x14ac:dyDescent="0.3">
      <c r="B108" s="36">
        <v>44894</v>
      </c>
      <c r="C108" s="37">
        <v>1</v>
      </c>
      <c r="D108" s="38">
        <v>2</v>
      </c>
      <c r="E108" s="39">
        <v>5501</v>
      </c>
      <c r="F108" s="40">
        <v>33714677239</v>
      </c>
      <c r="G108" s="41" t="str">
        <f>IFERROR(IF(compras_mes12[[#This Row],[CUIT]]="","-",VLOOKUP(compras_mes12[[#This Row],[CUIT]],Lista_CUIT[#All],2,0)),"CUIT NO CARGADO")</f>
        <v>VABAR LIN SRL</v>
      </c>
      <c r="H108" s="42">
        <v>412200</v>
      </c>
      <c r="I108" s="81">
        <f>IF(compras_mes12[[#This Row],[NETO GRAVADO]]="","",compras_mes12[[#This Row],[NETO GRAVADO]]*0.21)</f>
        <v>86562</v>
      </c>
      <c r="J108" s="81"/>
      <c r="K108" s="81"/>
      <c r="L108" s="81"/>
      <c r="M108" s="81"/>
      <c r="N108" s="81"/>
      <c r="O108" s="81"/>
      <c r="P108" s="44">
        <f>SUM(compras_mes12[[#This Row],[NETO GRAVADO]:[Otros / No Grav.]])</f>
        <v>498762</v>
      </c>
      <c r="Q108" s="45" t="str">
        <f>IFERROR(IF(compras_mes12[[#This Row],[CUIT]]="","-",VLOOKUP(compras_mes12[[#This Row],[CUIT]],Lista_CUIT[#All],3,0)),"CUIT NO CARGADO")</f>
        <v>Mantenimiento</v>
      </c>
      <c r="R108" s="45">
        <f>IFERROR(IF(compras_mes12[[#This Row],[CUIT]]="","-",VLOOKUP(compras_mes12[[#This Row],[CUIT]],Lista_CUIT[#All],4,0)),"CUIT NO CARGADO")</f>
        <v>0</v>
      </c>
    </row>
    <row r="109" spans="2:18" x14ac:dyDescent="0.3">
      <c r="B109" s="36">
        <v>44895</v>
      </c>
      <c r="C109" s="37">
        <v>1</v>
      </c>
      <c r="D109" s="38">
        <v>2</v>
      </c>
      <c r="E109" s="39">
        <v>5504</v>
      </c>
      <c r="F109" s="40">
        <v>33714677239</v>
      </c>
      <c r="G109" s="41" t="str">
        <f>IFERROR(IF(compras_mes12[[#This Row],[CUIT]]="","-",VLOOKUP(compras_mes12[[#This Row],[CUIT]],Lista_CUIT[#All],2,0)),"CUIT NO CARGADO")</f>
        <v>VABAR LIN SRL</v>
      </c>
      <c r="H109" s="42">
        <v>17375</v>
      </c>
      <c r="I109" s="81">
        <f>IF(compras_mes12[[#This Row],[NETO GRAVADO]]="","",compras_mes12[[#This Row],[NETO GRAVADO]]*0.21)</f>
        <v>3648.75</v>
      </c>
      <c r="J109" s="81"/>
      <c r="K109" s="81"/>
      <c r="L109" s="81"/>
      <c r="M109" s="81"/>
      <c r="N109" s="81"/>
      <c r="O109" s="81"/>
      <c r="P109" s="44">
        <f>SUM(compras_mes12[[#This Row],[NETO GRAVADO]:[Otros / No Grav.]])</f>
        <v>21023.75</v>
      </c>
      <c r="Q109" s="45" t="str">
        <f>IFERROR(IF(compras_mes12[[#This Row],[CUIT]]="","-",VLOOKUP(compras_mes12[[#This Row],[CUIT]],Lista_CUIT[#All],3,0)),"CUIT NO CARGADO")</f>
        <v>Mantenimiento</v>
      </c>
      <c r="R109" s="45">
        <f>IFERROR(IF(compras_mes12[[#This Row],[CUIT]]="","-",VLOOKUP(compras_mes12[[#This Row],[CUIT]],Lista_CUIT[#All],4,0)),"CUIT NO CARGADO")</f>
        <v>0</v>
      </c>
    </row>
    <row r="110" spans="2:18" x14ac:dyDescent="0.3">
      <c r="B110" s="36">
        <v>44866</v>
      </c>
      <c r="C110" s="37">
        <v>1</v>
      </c>
      <c r="D110" s="38">
        <v>3</v>
      </c>
      <c r="E110" s="39">
        <v>1132</v>
      </c>
      <c r="F110" s="40">
        <v>30710474105</v>
      </c>
      <c r="G110" s="41" t="str">
        <f>IFERROR(IF(compras_mes12[[#This Row],[CUIT]]="","-",VLOOKUP(compras_mes12[[#This Row],[CUIT]],Lista_CUIT[#All],2,0)),"CUIT NO CARGADO")</f>
        <v>SEBASTIAN GERCOVICH Y PABLO PONCE</v>
      </c>
      <c r="H110" s="42">
        <v>29600</v>
      </c>
      <c r="I110" s="81">
        <f>IF(compras_mes12[[#This Row],[NETO GRAVADO]]="","",compras_mes12[[#This Row],[NETO GRAVADO]]*0.21)</f>
        <v>6216</v>
      </c>
      <c r="J110" s="81"/>
      <c r="K110" s="81"/>
      <c r="L110" s="81"/>
      <c r="M110" s="81"/>
      <c r="N110" s="81"/>
      <c r="O110" s="81"/>
      <c r="P110" s="44">
        <f>SUM(compras_mes12[[#This Row],[NETO GRAVADO]:[Otros / No Grav.]])</f>
        <v>35816</v>
      </c>
      <c r="Q110" s="45" t="str">
        <f>IFERROR(IF(compras_mes12[[#This Row],[CUIT]]="","-",VLOOKUP(compras_mes12[[#This Row],[CUIT]],Lista_CUIT[#All],3,0)),"CUIT NO CARGADO")</f>
        <v>Mantenimiento Auto</v>
      </c>
      <c r="R110" s="45">
        <f>IFERROR(IF(compras_mes12[[#This Row],[CUIT]]="","-",VLOOKUP(compras_mes12[[#This Row],[CUIT]],Lista_CUIT[#All],4,0)),"CUIT NO CARGADO")</f>
        <v>0</v>
      </c>
    </row>
    <row r="111" spans="2:18" x14ac:dyDescent="0.3">
      <c r="B111" s="36">
        <v>44866</v>
      </c>
      <c r="C111" s="37">
        <v>1</v>
      </c>
      <c r="D111" s="38">
        <v>6</v>
      </c>
      <c r="E111" s="39">
        <v>2282</v>
      </c>
      <c r="F111" s="40">
        <v>30574603788</v>
      </c>
      <c r="G111" s="41" t="str">
        <f>IFERROR(IF(compras_mes12[[#This Row],[CUIT]]="","-",VLOOKUP(compras_mes12[[#This Row],[CUIT]],Lista_CUIT[#All],2,0)),"CUIT NO CARGADO")</f>
        <v>Codac SRL</v>
      </c>
      <c r="H111" s="42">
        <v>1894612</v>
      </c>
      <c r="I111" s="81">
        <f>IF(compras_mes12[[#This Row],[NETO GRAVADO]]="","",compras_mes12[[#This Row],[NETO GRAVADO]]*0.21)</f>
        <v>397868.51999999996</v>
      </c>
      <c r="J111" s="81"/>
      <c r="K111" s="81"/>
      <c r="L111" s="81"/>
      <c r="M111" s="81"/>
      <c r="N111" s="81"/>
      <c r="O111" s="81"/>
      <c r="P111" s="44">
        <f>SUM(compras_mes12[[#This Row],[NETO GRAVADO]:[Otros / No Grav.]])</f>
        <v>2292480.52</v>
      </c>
      <c r="Q111" s="45" t="str">
        <f>IFERROR(IF(compras_mes12[[#This Row],[CUIT]]="","-",VLOOKUP(compras_mes12[[#This Row],[CUIT]],Lista_CUIT[#All],3,0)),"CUIT NO CARGADO")</f>
        <v>Mercaderia</v>
      </c>
      <c r="R111" s="45">
        <f>IFERROR(IF(compras_mes12[[#This Row],[CUIT]]="","-",VLOOKUP(compras_mes12[[#This Row],[CUIT]],Lista_CUIT[#All],4,0)),"CUIT NO CARGADO")</f>
        <v>0</v>
      </c>
    </row>
    <row r="112" spans="2:18" x14ac:dyDescent="0.3">
      <c r="B112" s="36">
        <v>44866</v>
      </c>
      <c r="C112" s="37">
        <v>1</v>
      </c>
      <c r="D112" s="38">
        <v>3</v>
      </c>
      <c r="E112" s="39">
        <v>6273</v>
      </c>
      <c r="F112" s="40">
        <v>30708006420</v>
      </c>
      <c r="G112" s="41" t="str">
        <f>IFERROR(IF(compras_mes12[[#This Row],[CUIT]]="","-",VLOOKUP(compras_mes12[[#This Row],[CUIT]],Lista_CUIT[#All],2,0)),"CUIT NO CARGADO")</f>
        <v>MEDILEA  S.A.</v>
      </c>
      <c r="H112" s="42">
        <v>256400</v>
      </c>
      <c r="I112" s="81">
        <f>IF(compras_mes12[[#This Row],[NETO GRAVADO]]="","",compras_mes12[[#This Row],[NETO GRAVADO]]*0.21)</f>
        <v>53844</v>
      </c>
      <c r="J112" s="81"/>
      <c r="K112" s="81"/>
      <c r="L112" s="81"/>
      <c r="M112" s="81"/>
      <c r="N112" s="81"/>
      <c r="O112" s="81"/>
      <c r="P112" s="44">
        <f>SUM(compras_mes12[[#This Row],[NETO GRAVADO]:[Otros / No Grav.]])</f>
        <v>310244</v>
      </c>
      <c r="Q112" s="45" t="str">
        <f>IFERROR(IF(compras_mes12[[#This Row],[CUIT]]="","-",VLOOKUP(compras_mes12[[#This Row],[CUIT]],Lista_CUIT[#All],3,0)),"CUIT NO CARGADO")</f>
        <v>Mercaderia</v>
      </c>
      <c r="R112" s="45">
        <f>IFERROR(IF(compras_mes12[[#This Row],[CUIT]]="","-",VLOOKUP(compras_mes12[[#This Row],[CUIT]],Lista_CUIT[#All],4,0)),"CUIT NO CARGADO")</f>
        <v>0</v>
      </c>
    </row>
    <row r="113" spans="2:18" x14ac:dyDescent="0.3">
      <c r="B113" s="36">
        <v>44866</v>
      </c>
      <c r="C113" s="37">
        <v>1</v>
      </c>
      <c r="D113" s="38">
        <v>1</v>
      </c>
      <c r="E113" s="39">
        <v>93</v>
      </c>
      <c r="F113" s="40">
        <v>20077604627</v>
      </c>
      <c r="G113" s="41" t="str">
        <f>IFERROR(IF(compras_mes12[[#This Row],[CUIT]]="","-",VLOOKUP(compras_mes12[[#This Row],[CUIT]],Lista_CUIT[#All],2,0)),"CUIT NO CARGADO")</f>
        <v>OCAÑO ENRIQUE</v>
      </c>
      <c r="H113" s="42">
        <v>84298.5</v>
      </c>
      <c r="I113" s="81">
        <f>IF(compras_mes12[[#This Row],[NETO GRAVADO]]="","",compras_mes12[[#This Row],[NETO GRAVADO]]*0.21)</f>
        <v>17702.684999999998</v>
      </c>
      <c r="J113" s="81"/>
      <c r="K113" s="81"/>
      <c r="L113" s="81"/>
      <c r="M113" s="81"/>
      <c r="N113" s="81"/>
      <c r="O113" s="81"/>
      <c r="P113" s="44">
        <f>SUM(compras_mes12[[#This Row],[NETO GRAVADO]:[Otros / No Grav.]])</f>
        <v>102001.185</v>
      </c>
      <c r="Q113" s="45" t="str">
        <f>IFERROR(IF(compras_mes12[[#This Row],[CUIT]]="","-",VLOOKUP(compras_mes12[[#This Row],[CUIT]],Lista_CUIT[#All],3,0)),"CUIT NO CARGADO")</f>
        <v>Mercaderia</v>
      </c>
      <c r="R113" s="45">
        <f>IFERROR(IF(compras_mes12[[#This Row],[CUIT]]="","-",VLOOKUP(compras_mes12[[#This Row],[CUIT]],Lista_CUIT[#All],4,0)),"CUIT NO CARGADO")</f>
        <v>0</v>
      </c>
    </row>
    <row r="114" spans="2:18" x14ac:dyDescent="0.3">
      <c r="B114" s="36">
        <v>44867</v>
      </c>
      <c r="C114" s="37">
        <v>1</v>
      </c>
      <c r="D114" s="38">
        <v>6</v>
      </c>
      <c r="E114" s="39">
        <v>22217</v>
      </c>
      <c r="F114" s="40">
        <v>33640878679</v>
      </c>
      <c r="G114" s="41" t="str">
        <f>IFERROR(IF(compras_mes12[[#This Row],[CUIT]]="","-",VLOOKUP(compras_mes12[[#This Row],[CUIT]],Lista_CUIT[#All],2,0)),"CUIT NO CARGADO")</f>
        <v>DHACAM  S.R.L.</v>
      </c>
      <c r="H114" s="42">
        <v>402070</v>
      </c>
      <c r="I114" s="81">
        <f>IF(compras_mes12[[#This Row],[NETO GRAVADO]]="","",compras_mes12[[#This Row],[NETO GRAVADO]]*0.21)</f>
        <v>84434.7</v>
      </c>
      <c r="J114" s="81"/>
      <c r="K114" s="81"/>
      <c r="L114" s="81"/>
      <c r="M114" s="81"/>
      <c r="N114" s="81"/>
      <c r="O114" s="81"/>
      <c r="P114" s="44">
        <f>SUM(compras_mes12[[#This Row],[NETO GRAVADO]:[Otros / No Grav.]])</f>
        <v>486504.7</v>
      </c>
      <c r="Q114" s="45" t="str">
        <f>IFERROR(IF(compras_mes12[[#This Row],[CUIT]]="","-",VLOOKUP(compras_mes12[[#This Row],[CUIT]],Lista_CUIT[#All],3,0)),"CUIT NO CARGADO")</f>
        <v>Mercaderia</v>
      </c>
      <c r="R114" s="45">
        <f>IFERROR(IF(compras_mes12[[#This Row],[CUIT]]="","-",VLOOKUP(compras_mes12[[#This Row],[CUIT]],Lista_CUIT[#All],4,0)),"CUIT NO CARGADO")</f>
        <v>0</v>
      </c>
    </row>
    <row r="115" spans="2:18" x14ac:dyDescent="0.3">
      <c r="B115" s="36">
        <v>44867</v>
      </c>
      <c r="C115" s="37">
        <v>1</v>
      </c>
      <c r="D115" s="38">
        <v>2</v>
      </c>
      <c r="E115" s="39">
        <v>3185</v>
      </c>
      <c r="F115" s="40">
        <v>30629863571</v>
      </c>
      <c r="G115" s="41" t="str">
        <f>IFERROR(IF(compras_mes12[[#This Row],[CUIT]]="","-",VLOOKUP(compras_mes12[[#This Row],[CUIT]],Lista_CUIT[#All],2,0)),"CUIT NO CARGADO")</f>
        <v>TECNIMAR S R L</v>
      </c>
      <c r="H115" s="42">
        <v>346660</v>
      </c>
      <c r="I115" s="81">
        <f>IF(compras_mes12[[#This Row],[NETO GRAVADO]]="","",compras_mes12[[#This Row],[NETO GRAVADO]]*0.21)</f>
        <v>72798.599999999991</v>
      </c>
      <c r="J115" s="81"/>
      <c r="K115" s="81"/>
      <c r="L115" s="81"/>
      <c r="M115" s="81"/>
      <c r="N115" s="81"/>
      <c r="O115" s="81"/>
      <c r="P115" s="44">
        <f>SUM(compras_mes12[[#This Row],[NETO GRAVADO]:[Otros / No Grav.]])</f>
        <v>419458.6</v>
      </c>
      <c r="Q115" s="45" t="str">
        <f>IFERROR(IF(compras_mes12[[#This Row],[CUIT]]="","-",VLOOKUP(compras_mes12[[#This Row],[CUIT]],Lista_CUIT[#All],3,0)),"CUIT NO CARGADO")</f>
        <v>Mercaderia</v>
      </c>
      <c r="R115" s="45">
        <f>IFERROR(IF(compras_mes12[[#This Row],[CUIT]]="","-",VLOOKUP(compras_mes12[[#This Row],[CUIT]],Lista_CUIT[#All],4,0)),"CUIT NO CARGADO")</f>
        <v>0</v>
      </c>
    </row>
    <row r="116" spans="2:18" x14ac:dyDescent="0.3">
      <c r="B116" s="36">
        <v>44868</v>
      </c>
      <c r="C116" s="37">
        <v>1</v>
      </c>
      <c r="D116" s="38">
        <v>3</v>
      </c>
      <c r="E116" s="39">
        <v>18673</v>
      </c>
      <c r="F116" s="40">
        <v>30707463143</v>
      </c>
      <c r="G116" s="41" t="str">
        <f>IFERROR(IF(compras_mes12[[#This Row],[CUIT]]="","-",VLOOKUP(compras_mes12[[#This Row],[CUIT]],Lista_CUIT[#All],2,0)),"CUIT NO CARGADO")</f>
        <v>AROMATICA S.A.</v>
      </c>
      <c r="H116" s="42">
        <v>208462.5</v>
      </c>
      <c r="I116" s="81">
        <f>IF(compras_mes12[[#This Row],[NETO GRAVADO]]="","",compras_mes12[[#This Row],[NETO GRAVADO]]*0.21)</f>
        <v>43777.125</v>
      </c>
      <c r="J116" s="81"/>
      <c r="K116" s="81"/>
      <c r="L116" s="81"/>
      <c r="M116" s="81"/>
      <c r="N116" s="81"/>
      <c r="O116" s="81"/>
      <c r="P116" s="44">
        <f>SUM(compras_mes12[[#This Row],[NETO GRAVADO]:[Otros / No Grav.]])</f>
        <v>252239.625</v>
      </c>
      <c r="Q116" s="45" t="str">
        <f>IFERROR(IF(compras_mes12[[#This Row],[CUIT]]="","-",VLOOKUP(compras_mes12[[#This Row],[CUIT]],Lista_CUIT[#All],3,0)),"CUIT NO CARGADO")</f>
        <v>Mercaderia</v>
      </c>
      <c r="R116" s="45">
        <f>IFERROR(IF(compras_mes12[[#This Row],[CUIT]]="","-",VLOOKUP(compras_mes12[[#This Row],[CUIT]],Lista_CUIT[#All],4,0)),"CUIT NO CARGADO")</f>
        <v>0</v>
      </c>
    </row>
    <row r="117" spans="2:18" x14ac:dyDescent="0.3">
      <c r="B117" s="36">
        <v>44869</v>
      </c>
      <c r="C117" s="37">
        <v>1</v>
      </c>
      <c r="D117" s="38">
        <v>6</v>
      </c>
      <c r="E117" s="39">
        <v>22230</v>
      </c>
      <c r="F117" s="40">
        <v>33640878679</v>
      </c>
      <c r="G117" s="41" t="str">
        <f>IFERROR(IF(compras_mes12[[#This Row],[CUIT]]="","-",VLOOKUP(compras_mes12[[#This Row],[CUIT]],Lista_CUIT[#All],2,0)),"CUIT NO CARGADO")</f>
        <v>DHACAM  S.R.L.</v>
      </c>
      <c r="H117" s="42">
        <v>16810</v>
      </c>
      <c r="I117" s="81">
        <f>IF(compras_mes12[[#This Row],[NETO GRAVADO]]="","",compras_mes12[[#This Row],[NETO GRAVADO]]*0.21)</f>
        <v>3530.1</v>
      </c>
      <c r="J117" s="81"/>
      <c r="K117" s="81"/>
      <c r="L117" s="81"/>
      <c r="M117" s="81"/>
      <c r="N117" s="81"/>
      <c r="O117" s="81"/>
      <c r="P117" s="44">
        <f>SUM(compras_mes12[[#This Row],[NETO GRAVADO]:[Otros / No Grav.]])</f>
        <v>20340.099999999999</v>
      </c>
      <c r="Q117" s="45" t="str">
        <f>IFERROR(IF(compras_mes12[[#This Row],[CUIT]]="","-",VLOOKUP(compras_mes12[[#This Row],[CUIT]],Lista_CUIT[#All],3,0)),"CUIT NO CARGADO")</f>
        <v>Mercaderia</v>
      </c>
      <c r="R117" s="45">
        <f>IFERROR(IF(compras_mes12[[#This Row],[CUIT]]="","-",VLOOKUP(compras_mes12[[#This Row],[CUIT]],Lista_CUIT[#All],4,0)),"CUIT NO CARGADO")</f>
        <v>0</v>
      </c>
    </row>
    <row r="118" spans="2:18" x14ac:dyDescent="0.3">
      <c r="B118" s="36">
        <v>44869</v>
      </c>
      <c r="C118" s="37">
        <v>1</v>
      </c>
      <c r="D118" s="38">
        <v>2</v>
      </c>
      <c r="E118" s="39">
        <v>3189</v>
      </c>
      <c r="F118" s="40">
        <v>30629863571</v>
      </c>
      <c r="G118" s="41" t="str">
        <f>IFERROR(IF(compras_mes12[[#This Row],[CUIT]]="","-",VLOOKUP(compras_mes12[[#This Row],[CUIT]],Lista_CUIT[#All],2,0)),"CUIT NO CARGADO")</f>
        <v>TECNIMAR S R L</v>
      </c>
      <c r="H118" s="42">
        <v>423480</v>
      </c>
      <c r="I118" s="81">
        <f>IF(compras_mes12[[#This Row],[NETO GRAVADO]]="","",compras_mes12[[#This Row],[NETO GRAVADO]]*0.21)</f>
        <v>88930.8</v>
      </c>
      <c r="J118" s="81"/>
      <c r="K118" s="81"/>
      <c r="L118" s="81"/>
      <c r="M118" s="81"/>
      <c r="N118" s="81"/>
      <c r="O118" s="81"/>
      <c r="P118" s="44">
        <f>SUM(compras_mes12[[#This Row],[NETO GRAVADO]:[Otros / No Grav.]])</f>
        <v>512410.8</v>
      </c>
      <c r="Q118" s="45" t="str">
        <f>IFERROR(IF(compras_mes12[[#This Row],[CUIT]]="","-",VLOOKUP(compras_mes12[[#This Row],[CUIT]],Lista_CUIT[#All],3,0)),"CUIT NO CARGADO")</f>
        <v>Mercaderia</v>
      </c>
      <c r="R118" s="45">
        <f>IFERROR(IF(compras_mes12[[#This Row],[CUIT]]="","-",VLOOKUP(compras_mes12[[#This Row],[CUIT]],Lista_CUIT[#All],4,0)),"CUIT NO CARGADO")</f>
        <v>0</v>
      </c>
    </row>
    <row r="119" spans="2:18" x14ac:dyDescent="0.3">
      <c r="B119" s="36">
        <v>44873</v>
      </c>
      <c r="C119" s="37">
        <v>1</v>
      </c>
      <c r="D119" s="38">
        <v>1</v>
      </c>
      <c r="E119" s="39">
        <v>1932</v>
      </c>
      <c r="F119" s="40">
        <v>27181689183</v>
      </c>
      <c r="G119" s="41" t="str">
        <f>IFERROR(IF(compras_mes12[[#This Row],[CUIT]]="","-",VLOOKUP(compras_mes12[[#This Row],[CUIT]],Lista_CUIT[#All],2,0)),"CUIT NO CARGADO")</f>
        <v>REPETTO MARIA FERNANDA</v>
      </c>
      <c r="H119" s="42">
        <v>172500</v>
      </c>
      <c r="I119" s="81">
        <f>IF(compras_mes12[[#This Row],[NETO GRAVADO]]="","",compras_mes12[[#This Row],[NETO GRAVADO]]*0.21)</f>
        <v>36225</v>
      </c>
      <c r="J119" s="81"/>
      <c r="K119" s="81"/>
      <c r="L119" s="81"/>
      <c r="M119" s="81"/>
      <c r="N119" s="81"/>
      <c r="O119" s="81"/>
      <c r="P119" s="44">
        <f>SUM(compras_mes12[[#This Row],[NETO GRAVADO]:[Otros / No Grav.]])</f>
        <v>208725</v>
      </c>
      <c r="Q119" s="45" t="str">
        <f>IFERROR(IF(compras_mes12[[#This Row],[CUIT]]="","-",VLOOKUP(compras_mes12[[#This Row],[CUIT]],Lista_CUIT[#All],3,0)),"CUIT NO CARGADO")</f>
        <v>Mercaderia</v>
      </c>
      <c r="R119" s="45">
        <f>IFERROR(IF(compras_mes12[[#This Row],[CUIT]]="","-",VLOOKUP(compras_mes12[[#This Row],[CUIT]],Lista_CUIT[#All],4,0)),"CUIT NO CARGADO")</f>
        <v>0</v>
      </c>
    </row>
    <row r="120" spans="2:18" x14ac:dyDescent="0.3">
      <c r="B120" s="36">
        <v>44874</v>
      </c>
      <c r="C120" s="37">
        <v>1</v>
      </c>
      <c r="D120" s="38">
        <v>9</v>
      </c>
      <c r="E120" s="39">
        <v>716</v>
      </c>
      <c r="F120" s="40">
        <v>30710446047</v>
      </c>
      <c r="G120" s="41" t="str">
        <f>IFERROR(IF(compras_mes12[[#This Row],[CUIT]]="","-",VLOOKUP(compras_mes12[[#This Row],[CUIT]],Lista_CUIT[#All],2,0)),"CUIT NO CARGADO")</f>
        <v>ENSAMBLE GRAFICO S.H.</v>
      </c>
      <c r="H120" s="42">
        <v>520000</v>
      </c>
      <c r="I120" s="81">
        <f>IF(compras_mes12[[#This Row],[NETO GRAVADO]]="","",compras_mes12[[#This Row],[NETO GRAVADO]]*0.21)</f>
        <v>109200</v>
      </c>
      <c r="J120" s="81"/>
      <c r="K120" s="81"/>
      <c r="L120" s="81"/>
      <c r="M120" s="81"/>
      <c r="N120" s="81"/>
      <c r="O120" s="81"/>
      <c r="P120" s="44">
        <f>SUM(compras_mes12[[#This Row],[NETO GRAVADO]:[Otros / No Grav.]])</f>
        <v>629200</v>
      </c>
      <c r="Q120" s="45" t="str">
        <f>IFERROR(IF(compras_mes12[[#This Row],[CUIT]]="","-",VLOOKUP(compras_mes12[[#This Row],[CUIT]],Lista_CUIT[#All],3,0)),"CUIT NO CARGADO")</f>
        <v>Mercaderia</v>
      </c>
      <c r="R120" s="45">
        <f>IFERROR(IF(compras_mes12[[#This Row],[CUIT]]="","-",VLOOKUP(compras_mes12[[#This Row],[CUIT]],Lista_CUIT[#All],4,0)),"CUIT NO CARGADO")</f>
        <v>0</v>
      </c>
    </row>
    <row r="121" spans="2:18" x14ac:dyDescent="0.3">
      <c r="B121" s="36">
        <v>44875</v>
      </c>
      <c r="C121" s="37">
        <v>1</v>
      </c>
      <c r="D121" s="38">
        <v>9</v>
      </c>
      <c r="E121" s="39">
        <v>717</v>
      </c>
      <c r="F121" s="40">
        <v>30710446047</v>
      </c>
      <c r="G121" s="41" t="str">
        <f>IFERROR(IF(compras_mes12[[#This Row],[CUIT]]="","-",VLOOKUP(compras_mes12[[#This Row],[CUIT]],Lista_CUIT[#All],2,0)),"CUIT NO CARGADO")</f>
        <v>ENSAMBLE GRAFICO S.H.</v>
      </c>
      <c r="H121" s="42">
        <v>357075</v>
      </c>
      <c r="I121" s="81">
        <f>IF(compras_mes12[[#This Row],[NETO GRAVADO]]="","",compras_mes12[[#This Row],[NETO GRAVADO]]*0.21)</f>
        <v>74985.75</v>
      </c>
      <c r="J121" s="81"/>
      <c r="K121" s="81"/>
      <c r="L121" s="81"/>
      <c r="M121" s="81"/>
      <c r="N121" s="81"/>
      <c r="O121" s="81"/>
      <c r="P121" s="44">
        <f>SUM(compras_mes12[[#This Row],[NETO GRAVADO]:[Otros / No Grav.]])</f>
        <v>432060.75</v>
      </c>
      <c r="Q121" s="45" t="str">
        <f>IFERROR(IF(compras_mes12[[#This Row],[CUIT]]="","-",VLOOKUP(compras_mes12[[#This Row],[CUIT]],Lista_CUIT[#All],3,0)),"CUIT NO CARGADO")</f>
        <v>Mercaderia</v>
      </c>
      <c r="R121" s="45">
        <f>IFERROR(IF(compras_mes12[[#This Row],[CUIT]]="","-",VLOOKUP(compras_mes12[[#This Row],[CUIT]],Lista_CUIT[#All],4,0)),"CUIT NO CARGADO")</f>
        <v>0</v>
      </c>
    </row>
    <row r="122" spans="2:18" x14ac:dyDescent="0.3">
      <c r="B122" s="36">
        <v>44875</v>
      </c>
      <c r="C122" s="37">
        <v>1</v>
      </c>
      <c r="D122" s="38">
        <v>2</v>
      </c>
      <c r="E122" s="39">
        <v>3193</v>
      </c>
      <c r="F122" s="40">
        <v>30629863571</v>
      </c>
      <c r="G122" s="41" t="str">
        <f>IFERROR(IF(compras_mes12[[#This Row],[CUIT]]="","-",VLOOKUP(compras_mes12[[#This Row],[CUIT]],Lista_CUIT[#All],2,0)),"CUIT NO CARGADO")</f>
        <v>TECNIMAR S R L</v>
      </c>
      <c r="H122" s="42">
        <v>357900</v>
      </c>
      <c r="I122" s="81">
        <f>IF(compras_mes12[[#This Row],[NETO GRAVADO]]="","",compras_mes12[[#This Row],[NETO GRAVADO]]*0.21)</f>
        <v>75159</v>
      </c>
      <c r="J122" s="81"/>
      <c r="K122" s="81"/>
      <c r="L122" s="81"/>
      <c r="M122" s="81"/>
      <c r="N122" s="81"/>
      <c r="O122" s="81"/>
      <c r="P122" s="44">
        <f>SUM(compras_mes12[[#This Row],[NETO GRAVADO]:[Otros / No Grav.]])</f>
        <v>433059</v>
      </c>
      <c r="Q122" s="45" t="str">
        <f>IFERROR(IF(compras_mes12[[#This Row],[CUIT]]="","-",VLOOKUP(compras_mes12[[#This Row],[CUIT]],Lista_CUIT[#All],3,0)),"CUIT NO CARGADO")</f>
        <v>Mercaderia</v>
      </c>
      <c r="R122" s="45">
        <f>IFERROR(IF(compras_mes12[[#This Row],[CUIT]]="","-",VLOOKUP(compras_mes12[[#This Row],[CUIT]],Lista_CUIT[#All],4,0)),"CUIT NO CARGADO")</f>
        <v>0</v>
      </c>
    </row>
    <row r="123" spans="2:18" x14ac:dyDescent="0.3">
      <c r="B123" s="36">
        <v>44876</v>
      </c>
      <c r="C123" s="37">
        <v>1</v>
      </c>
      <c r="D123" s="38">
        <v>5</v>
      </c>
      <c r="E123" s="39">
        <v>943</v>
      </c>
      <c r="F123" s="40">
        <v>30707397256</v>
      </c>
      <c r="G123" s="41" t="str">
        <f>IFERROR(IF(compras_mes12[[#This Row],[CUIT]]="","-",VLOOKUP(compras_mes12[[#This Row],[CUIT]],Lista_CUIT[#All],2,0)),"CUIT NO CARGADO")</f>
        <v>GRAFICA Y FOTOGRABADOS LA PLAZA S.R.L.</v>
      </c>
      <c r="H123" s="42">
        <v>337980</v>
      </c>
      <c r="I123" s="81">
        <f>IF(compras_mes12[[#This Row],[NETO GRAVADO]]="","",compras_mes12[[#This Row],[NETO GRAVADO]]*0.21)</f>
        <v>70975.8</v>
      </c>
      <c r="J123" s="81"/>
      <c r="K123" s="81"/>
      <c r="L123" s="81"/>
      <c r="M123" s="81"/>
      <c r="N123" s="81"/>
      <c r="O123" s="81"/>
      <c r="P123" s="44">
        <f>SUM(compras_mes12[[#This Row],[NETO GRAVADO]:[Otros / No Grav.]])</f>
        <v>408955.8</v>
      </c>
      <c r="Q123" s="45" t="str">
        <f>IFERROR(IF(compras_mes12[[#This Row],[CUIT]]="","-",VLOOKUP(compras_mes12[[#This Row],[CUIT]],Lista_CUIT[#All],3,0)),"CUIT NO CARGADO")</f>
        <v>Mercaderia</v>
      </c>
      <c r="R123" s="45">
        <f>IFERROR(IF(compras_mes12[[#This Row],[CUIT]]="","-",VLOOKUP(compras_mes12[[#This Row],[CUIT]],Lista_CUIT[#All],4,0)),"CUIT NO CARGADO")</f>
        <v>0</v>
      </c>
    </row>
    <row r="124" spans="2:18" x14ac:dyDescent="0.3">
      <c r="B124" s="36">
        <v>44876</v>
      </c>
      <c r="C124" s="37">
        <v>1</v>
      </c>
      <c r="D124" s="38">
        <v>15</v>
      </c>
      <c r="E124" s="39">
        <v>2895</v>
      </c>
      <c r="F124" s="40">
        <v>30691617773</v>
      </c>
      <c r="G124" s="41" t="str">
        <f>IFERROR(IF(compras_mes12[[#This Row],[CUIT]]="","-",VLOOKUP(compras_mes12[[#This Row],[CUIT]],Lista_CUIT[#All],2,0)),"CUIT NO CARGADO")</f>
        <v>NOVACHEM S R L</v>
      </c>
      <c r="H124" s="42">
        <v>41499.5</v>
      </c>
      <c r="I124" s="81">
        <f>IF(compras_mes12[[#This Row],[NETO GRAVADO]]="","",compras_mes12[[#This Row],[NETO GRAVADO]]*0.21)</f>
        <v>8714.8950000000004</v>
      </c>
      <c r="J124" s="81"/>
      <c r="K124" s="81"/>
      <c r="L124" s="81"/>
      <c r="M124" s="81"/>
      <c r="N124" s="81"/>
      <c r="O124" s="81"/>
      <c r="P124" s="44">
        <f>SUM(compras_mes12[[#This Row],[NETO GRAVADO]:[Otros / No Grav.]])</f>
        <v>50214.395000000004</v>
      </c>
      <c r="Q124" s="45" t="str">
        <f>IFERROR(IF(compras_mes12[[#This Row],[CUIT]]="","-",VLOOKUP(compras_mes12[[#This Row],[CUIT]],Lista_CUIT[#All],3,0)),"CUIT NO CARGADO")</f>
        <v>Mercaderia</v>
      </c>
      <c r="R124" s="45">
        <f>IFERROR(IF(compras_mes12[[#This Row],[CUIT]]="","-",VLOOKUP(compras_mes12[[#This Row],[CUIT]],Lista_CUIT[#All],4,0)),"CUIT NO CARGADO")</f>
        <v>0</v>
      </c>
    </row>
    <row r="125" spans="2:18" x14ac:dyDescent="0.3">
      <c r="B125" s="36">
        <v>44879</v>
      </c>
      <c r="C125" s="37">
        <v>1</v>
      </c>
      <c r="D125" s="38">
        <v>2</v>
      </c>
      <c r="E125" s="39">
        <v>3195</v>
      </c>
      <c r="F125" s="40">
        <v>30629863571</v>
      </c>
      <c r="G125" s="41" t="str">
        <f>IFERROR(IF(compras_mes12[[#This Row],[CUIT]]="","-",VLOOKUP(compras_mes12[[#This Row],[CUIT]],Lista_CUIT[#All],2,0)),"CUIT NO CARGADO")</f>
        <v>TECNIMAR S R L</v>
      </c>
      <c r="H125" s="42">
        <v>807033</v>
      </c>
      <c r="I125" s="81">
        <f>IF(compras_mes12[[#This Row],[NETO GRAVADO]]="","",compras_mes12[[#This Row],[NETO GRAVADO]]*0.21)</f>
        <v>169476.93</v>
      </c>
      <c r="J125" s="81"/>
      <c r="K125" s="81"/>
      <c r="L125" s="81"/>
      <c r="M125" s="81"/>
      <c r="N125" s="81"/>
      <c r="O125" s="81"/>
      <c r="P125" s="44">
        <f>SUM(compras_mes12[[#This Row],[NETO GRAVADO]:[Otros / No Grav.]])</f>
        <v>976509.92999999993</v>
      </c>
      <c r="Q125" s="45" t="str">
        <f>IFERROR(IF(compras_mes12[[#This Row],[CUIT]]="","-",VLOOKUP(compras_mes12[[#This Row],[CUIT]],Lista_CUIT[#All],3,0)),"CUIT NO CARGADO")</f>
        <v>Mercaderia</v>
      </c>
      <c r="R125" s="45">
        <f>IFERROR(IF(compras_mes12[[#This Row],[CUIT]]="","-",VLOOKUP(compras_mes12[[#This Row],[CUIT]],Lista_CUIT[#All],4,0)),"CUIT NO CARGADO")</f>
        <v>0</v>
      </c>
    </row>
    <row r="126" spans="2:18" x14ac:dyDescent="0.3">
      <c r="B126" s="36">
        <v>44880</v>
      </c>
      <c r="C126" s="37">
        <v>1</v>
      </c>
      <c r="D126" s="38">
        <v>5</v>
      </c>
      <c r="E126" s="39">
        <v>44302</v>
      </c>
      <c r="F126" s="40">
        <v>30709932876</v>
      </c>
      <c r="G126" s="41" t="str">
        <f>IFERROR(IF(compras_mes12[[#This Row],[CUIT]]="","-",VLOOKUP(compras_mes12[[#This Row],[CUIT]],Lista_CUIT[#All],2,0)),"CUIT NO CARGADO")</f>
        <v>Mega Envases S.A.</v>
      </c>
      <c r="H126" s="42">
        <v>850676</v>
      </c>
      <c r="I126" s="81">
        <f>IF(compras_mes12[[#This Row],[NETO GRAVADO]]="","",compras_mes12[[#This Row],[NETO GRAVADO]]*0.21)</f>
        <v>178641.96</v>
      </c>
      <c r="J126" s="81"/>
      <c r="K126" s="81"/>
      <c r="L126" s="81"/>
      <c r="M126" s="81"/>
      <c r="N126" s="81">
        <v>51040.56</v>
      </c>
      <c r="O126" s="81"/>
      <c r="P126" s="44">
        <f>SUM(compras_mes12[[#This Row],[NETO GRAVADO]:[Otros / No Grav.]])</f>
        <v>1080358.52</v>
      </c>
      <c r="Q126" s="45" t="str">
        <f>IFERROR(IF(compras_mes12[[#This Row],[CUIT]]="","-",VLOOKUP(compras_mes12[[#This Row],[CUIT]],Lista_CUIT[#All],3,0)),"CUIT NO CARGADO")</f>
        <v>Mercaderia</v>
      </c>
      <c r="R126" s="45">
        <f>IFERROR(IF(compras_mes12[[#This Row],[CUIT]]="","-",VLOOKUP(compras_mes12[[#This Row],[CUIT]],Lista_CUIT[#All],4,0)),"CUIT NO CARGADO")</f>
        <v>0</v>
      </c>
    </row>
    <row r="127" spans="2:18" x14ac:dyDescent="0.3">
      <c r="B127" s="36">
        <v>44880</v>
      </c>
      <c r="C127" s="37">
        <v>1</v>
      </c>
      <c r="D127" s="38">
        <v>1</v>
      </c>
      <c r="E127" s="39">
        <v>96</v>
      </c>
      <c r="F127" s="40">
        <v>20077604627</v>
      </c>
      <c r="G127" s="41" t="str">
        <f>IFERROR(IF(compras_mes12[[#This Row],[CUIT]]="","-",VLOOKUP(compras_mes12[[#This Row],[CUIT]],Lista_CUIT[#All],2,0)),"CUIT NO CARGADO")</f>
        <v>OCAÑO ENRIQUE</v>
      </c>
      <c r="H127" s="42">
        <v>778450.5</v>
      </c>
      <c r="I127" s="81">
        <f>IF(compras_mes12[[#This Row],[NETO GRAVADO]]="","",compras_mes12[[#This Row],[NETO GRAVADO]]*0.21)</f>
        <v>163474.60499999998</v>
      </c>
      <c r="J127" s="81"/>
      <c r="K127" s="81"/>
      <c r="L127" s="81"/>
      <c r="M127" s="81"/>
      <c r="N127" s="81"/>
      <c r="O127" s="81"/>
      <c r="P127" s="44">
        <f>SUM(compras_mes12[[#This Row],[NETO GRAVADO]:[Otros / No Grav.]])</f>
        <v>941925.10499999998</v>
      </c>
      <c r="Q127" s="45" t="str">
        <f>IFERROR(IF(compras_mes12[[#This Row],[CUIT]]="","-",VLOOKUP(compras_mes12[[#This Row],[CUIT]],Lista_CUIT[#All],3,0)),"CUIT NO CARGADO")</f>
        <v>Mercaderia</v>
      </c>
      <c r="R127" s="45">
        <f>IFERROR(IF(compras_mes12[[#This Row],[CUIT]]="","-",VLOOKUP(compras_mes12[[#This Row],[CUIT]],Lista_CUIT[#All],4,0)),"CUIT NO CARGADO")</f>
        <v>0</v>
      </c>
    </row>
    <row r="128" spans="2:18" x14ac:dyDescent="0.3">
      <c r="B128" s="36">
        <v>44881</v>
      </c>
      <c r="C128" s="37">
        <v>1</v>
      </c>
      <c r="D128" s="38">
        <v>2</v>
      </c>
      <c r="E128" s="39">
        <v>5145</v>
      </c>
      <c r="F128" s="40">
        <v>23180288899</v>
      </c>
      <c r="G128" s="41" t="str">
        <f>IFERROR(IF(compras_mes12[[#This Row],[CUIT]]="","-",VLOOKUP(compras_mes12[[#This Row],[CUIT]],Lista_CUIT[#All],2,0)),"CUIT NO CARGADO")</f>
        <v>ROMERO EMILIO</v>
      </c>
      <c r="H128" s="42">
        <v>290000</v>
      </c>
      <c r="I128" s="81">
        <f>IF(compras_mes12[[#This Row],[NETO GRAVADO]]="","",compras_mes12[[#This Row],[NETO GRAVADO]]*0.21)</f>
        <v>60900</v>
      </c>
      <c r="J128" s="81"/>
      <c r="K128" s="81"/>
      <c r="L128" s="81"/>
      <c r="M128" s="81"/>
      <c r="N128" s="81"/>
      <c r="O128" s="81"/>
      <c r="P128" s="44">
        <f>SUM(compras_mes12[[#This Row],[NETO GRAVADO]:[Otros / No Grav.]])</f>
        <v>350900</v>
      </c>
      <c r="Q128" s="45" t="str">
        <f>IFERROR(IF(compras_mes12[[#This Row],[CUIT]]="","-",VLOOKUP(compras_mes12[[#This Row],[CUIT]],Lista_CUIT[#All],3,0)),"CUIT NO CARGADO")</f>
        <v>Mercaderia</v>
      </c>
      <c r="R128" s="45" t="str">
        <f>IFERROR(IF(compras_mes12[[#This Row],[CUIT]]="","-",VLOOKUP(compras_mes12[[#This Row],[CUIT]],Lista_CUIT[#All],4,0)),"CUIT NO CARGADO")</f>
        <v>BUENOS AIRES</v>
      </c>
    </row>
    <row r="129" spans="1:18" x14ac:dyDescent="0.3">
      <c r="B129" s="36">
        <v>44881</v>
      </c>
      <c r="C129" s="37">
        <v>1</v>
      </c>
      <c r="D129" s="38">
        <v>2</v>
      </c>
      <c r="E129" s="39">
        <v>3196</v>
      </c>
      <c r="F129" s="40">
        <v>30629863571</v>
      </c>
      <c r="G129" s="41" t="str">
        <f>IFERROR(IF(compras_mes12[[#This Row],[CUIT]]="","-",VLOOKUP(compras_mes12[[#This Row],[CUIT]],Lista_CUIT[#All],2,0)),"CUIT NO CARGADO")</f>
        <v>TECNIMAR S R L</v>
      </c>
      <c r="H129" s="42">
        <v>269280</v>
      </c>
      <c r="I129" s="81">
        <f>IF(compras_mes12[[#This Row],[NETO GRAVADO]]="","",compras_mes12[[#This Row],[NETO GRAVADO]]*0.21)</f>
        <v>56548.799999999996</v>
      </c>
      <c r="J129" s="81"/>
      <c r="K129" s="81"/>
      <c r="L129" s="81"/>
      <c r="M129" s="81"/>
      <c r="N129" s="81"/>
      <c r="O129" s="81"/>
      <c r="P129" s="44">
        <f>SUM(compras_mes12[[#This Row],[NETO GRAVADO]:[Otros / No Grav.]])</f>
        <v>325828.8</v>
      </c>
      <c r="Q129" s="45" t="str">
        <f>IFERROR(IF(compras_mes12[[#This Row],[CUIT]]="","-",VLOOKUP(compras_mes12[[#This Row],[CUIT]],Lista_CUIT[#All],3,0)),"CUIT NO CARGADO")</f>
        <v>Mercaderia</v>
      </c>
      <c r="R129" s="45">
        <f>IFERROR(IF(compras_mes12[[#This Row],[CUIT]]="","-",VLOOKUP(compras_mes12[[#This Row],[CUIT]],Lista_CUIT[#All],4,0)),"CUIT NO CARGADO")</f>
        <v>0</v>
      </c>
    </row>
    <row r="130" spans="1:18" x14ac:dyDescent="0.3">
      <c r="B130" s="36">
        <v>44881</v>
      </c>
      <c r="C130" s="37">
        <v>1</v>
      </c>
      <c r="D130" s="38">
        <v>2</v>
      </c>
      <c r="E130" s="39">
        <v>3199</v>
      </c>
      <c r="F130" s="40">
        <v>30629863571</v>
      </c>
      <c r="G130" s="41" t="str">
        <f>IFERROR(IF(compras_mes12[[#This Row],[CUIT]]="","-",VLOOKUP(compras_mes12[[#This Row],[CUIT]],Lista_CUIT[#All],2,0)),"CUIT NO CARGADO")</f>
        <v>TECNIMAR S R L</v>
      </c>
      <c r="H130" s="42">
        <v>211542</v>
      </c>
      <c r="I130" s="81">
        <f>IF(compras_mes12[[#This Row],[NETO GRAVADO]]="","",compras_mes12[[#This Row],[NETO GRAVADO]]*0.21)</f>
        <v>44423.82</v>
      </c>
      <c r="J130" s="81"/>
      <c r="K130" s="81"/>
      <c r="L130" s="81"/>
      <c r="M130" s="81"/>
      <c r="N130" s="81"/>
      <c r="O130" s="81"/>
      <c r="P130" s="44">
        <f>SUM(compras_mes12[[#This Row],[NETO GRAVADO]:[Otros / No Grav.]])</f>
        <v>255965.82</v>
      </c>
      <c r="Q130" s="45" t="str">
        <f>IFERROR(IF(compras_mes12[[#This Row],[CUIT]]="","-",VLOOKUP(compras_mes12[[#This Row],[CUIT]],Lista_CUIT[#All],3,0)),"CUIT NO CARGADO")</f>
        <v>Mercaderia</v>
      </c>
      <c r="R130" s="45">
        <f>IFERROR(IF(compras_mes12[[#This Row],[CUIT]]="","-",VLOOKUP(compras_mes12[[#This Row],[CUIT]],Lista_CUIT[#All],4,0)),"CUIT NO CARGADO")</f>
        <v>0</v>
      </c>
    </row>
    <row r="131" spans="1:18" x14ac:dyDescent="0.3">
      <c r="B131" s="36">
        <v>44882</v>
      </c>
      <c r="C131" s="37">
        <v>1</v>
      </c>
      <c r="D131" s="38">
        <v>1</v>
      </c>
      <c r="E131" s="39">
        <v>98</v>
      </c>
      <c r="F131" s="40">
        <v>20077604627</v>
      </c>
      <c r="G131" s="41" t="str">
        <f>IFERROR(IF(compras_mes12[[#This Row],[CUIT]]="","-",VLOOKUP(compras_mes12[[#This Row],[CUIT]],Lista_CUIT[#All],2,0)),"CUIT NO CARGADO")</f>
        <v>OCAÑO ENRIQUE</v>
      </c>
      <c r="H131" s="42">
        <v>321840</v>
      </c>
      <c r="I131" s="81">
        <f>IF(compras_mes12[[#This Row],[NETO GRAVADO]]="","",compras_mes12[[#This Row],[NETO GRAVADO]]*0.21)</f>
        <v>67586.399999999994</v>
      </c>
      <c r="J131" s="81"/>
      <c r="K131" s="81"/>
      <c r="L131" s="81"/>
      <c r="M131" s="81"/>
      <c r="N131" s="81"/>
      <c r="O131" s="81"/>
      <c r="P131" s="44">
        <f>SUM(compras_mes12[[#This Row],[NETO GRAVADO]:[Otros / No Grav.]])</f>
        <v>389426.4</v>
      </c>
      <c r="Q131" s="45" t="str">
        <f>IFERROR(IF(compras_mes12[[#This Row],[CUIT]]="","-",VLOOKUP(compras_mes12[[#This Row],[CUIT]],Lista_CUIT[#All],3,0)),"CUIT NO CARGADO")</f>
        <v>Mercaderia</v>
      </c>
      <c r="R131" s="45">
        <f>IFERROR(IF(compras_mes12[[#This Row],[CUIT]]="","-",VLOOKUP(compras_mes12[[#This Row],[CUIT]],Lista_CUIT[#All],4,0)),"CUIT NO CARGADO")</f>
        <v>0</v>
      </c>
    </row>
    <row r="132" spans="1:18" x14ac:dyDescent="0.3">
      <c r="B132" s="36">
        <v>44882</v>
      </c>
      <c r="C132" s="37">
        <v>1</v>
      </c>
      <c r="D132" s="38">
        <v>1</v>
      </c>
      <c r="E132" s="39">
        <v>99</v>
      </c>
      <c r="F132" s="40">
        <v>20077604627</v>
      </c>
      <c r="G132" s="41" t="str">
        <f>IFERROR(IF(compras_mes12[[#This Row],[CUIT]]="","-",VLOOKUP(compras_mes12[[#This Row],[CUIT]],Lista_CUIT[#All],2,0)),"CUIT NO CARGADO")</f>
        <v>OCAÑO ENRIQUE</v>
      </c>
      <c r="H132" s="42">
        <v>87397.5</v>
      </c>
      <c r="I132" s="81">
        <f>IF(compras_mes12[[#This Row],[NETO GRAVADO]]="","",compras_mes12[[#This Row],[NETO GRAVADO]]*0.21)</f>
        <v>18353.474999999999</v>
      </c>
      <c r="J132" s="81"/>
      <c r="K132" s="81"/>
      <c r="L132" s="81"/>
      <c r="M132" s="81"/>
      <c r="N132" s="81"/>
      <c r="O132" s="81"/>
      <c r="P132" s="44">
        <f>SUM(compras_mes12[[#This Row],[NETO GRAVADO]:[Otros / No Grav.]])</f>
        <v>105750.97500000001</v>
      </c>
      <c r="Q132" s="45" t="str">
        <f>IFERROR(IF(compras_mes12[[#This Row],[CUIT]]="","-",VLOOKUP(compras_mes12[[#This Row],[CUIT]],Lista_CUIT[#All],3,0)),"CUIT NO CARGADO")</f>
        <v>Mercaderia</v>
      </c>
      <c r="R132" s="45">
        <f>IFERROR(IF(compras_mes12[[#This Row],[CUIT]]="","-",VLOOKUP(compras_mes12[[#This Row],[CUIT]],Lista_CUIT[#All],4,0)),"CUIT NO CARGADO")</f>
        <v>0</v>
      </c>
    </row>
    <row r="133" spans="1:18" x14ac:dyDescent="0.3">
      <c r="B133" s="36">
        <v>44883</v>
      </c>
      <c r="C133" s="37">
        <v>1</v>
      </c>
      <c r="D133" s="38">
        <v>6</v>
      </c>
      <c r="E133" s="39">
        <v>2312</v>
      </c>
      <c r="F133" s="40">
        <v>30574603788</v>
      </c>
      <c r="G133" s="41" t="str">
        <f>IFERROR(IF(compras_mes12[[#This Row],[CUIT]]="","-",VLOOKUP(compras_mes12[[#This Row],[CUIT]],Lista_CUIT[#All],2,0)),"CUIT NO CARGADO")</f>
        <v>Codac SRL</v>
      </c>
      <c r="H133" s="42">
        <v>855815</v>
      </c>
      <c r="I133" s="81">
        <f>IF(compras_mes12[[#This Row],[NETO GRAVADO]]="","",compras_mes12[[#This Row],[NETO GRAVADO]]*0.21)</f>
        <v>179721.15</v>
      </c>
      <c r="J133" s="81"/>
      <c r="K133" s="81"/>
      <c r="L133" s="81"/>
      <c r="M133" s="81"/>
      <c r="N133" s="81"/>
      <c r="O133" s="81"/>
      <c r="P133" s="44">
        <f>SUM(compras_mes12[[#This Row],[NETO GRAVADO]:[Otros / No Grav.]])</f>
        <v>1035536.15</v>
      </c>
      <c r="Q133" s="45" t="str">
        <f>IFERROR(IF(compras_mes12[[#This Row],[CUIT]]="","-",VLOOKUP(compras_mes12[[#This Row],[CUIT]],Lista_CUIT[#All],3,0)),"CUIT NO CARGADO")</f>
        <v>Mercaderia</v>
      </c>
      <c r="R133" s="45">
        <f>IFERROR(IF(compras_mes12[[#This Row],[CUIT]]="","-",VLOOKUP(compras_mes12[[#This Row],[CUIT]],Lista_CUIT[#All],4,0)),"CUIT NO CARGADO")</f>
        <v>0</v>
      </c>
    </row>
    <row r="134" spans="1:18" x14ac:dyDescent="0.3">
      <c r="B134" s="36">
        <v>44883</v>
      </c>
      <c r="C134" s="37">
        <v>1</v>
      </c>
      <c r="D134" s="38">
        <v>6</v>
      </c>
      <c r="E134" s="39">
        <v>364</v>
      </c>
      <c r="F134" s="40">
        <v>20219190469</v>
      </c>
      <c r="G134" s="41" t="str">
        <f>IFERROR(IF(compras_mes12[[#This Row],[CUIT]]="","-",VLOOKUP(compras_mes12[[#This Row],[CUIT]],Lista_CUIT[#All],2,0)),"CUIT NO CARGADO")</f>
        <v>PARADISO ESTEBAN DAMIAN</v>
      </c>
      <c r="H134" s="42">
        <v>156208.44</v>
      </c>
      <c r="I134" s="81">
        <f>IF(compras_mes12[[#This Row],[NETO GRAVADO]]="","",compras_mes12[[#This Row],[NETO GRAVADO]]*0.21)</f>
        <v>32803.772400000002</v>
      </c>
      <c r="J134" s="81"/>
      <c r="K134" s="81"/>
      <c r="L134" s="81"/>
      <c r="M134" s="81"/>
      <c r="N134" s="81"/>
      <c r="O134" s="81"/>
      <c r="P134" s="44">
        <f>SUM(compras_mes12[[#This Row],[NETO GRAVADO]:[Otros / No Grav.]])</f>
        <v>189012.21240000002</v>
      </c>
      <c r="Q134" s="45" t="str">
        <f>IFERROR(IF(compras_mes12[[#This Row],[CUIT]]="","-",VLOOKUP(compras_mes12[[#This Row],[CUIT]],Lista_CUIT[#All],3,0)),"CUIT NO CARGADO")</f>
        <v>Mercaderia</v>
      </c>
      <c r="R134" s="45">
        <f>IFERROR(IF(compras_mes12[[#This Row],[CUIT]]="","-",VLOOKUP(compras_mes12[[#This Row],[CUIT]],Lista_CUIT[#All],4,0)),"CUIT NO CARGADO")</f>
        <v>0</v>
      </c>
    </row>
    <row r="135" spans="1:18" x14ac:dyDescent="0.3">
      <c r="A135">
        <v>3</v>
      </c>
      <c r="B135" s="36">
        <v>44884</v>
      </c>
      <c r="C135" s="37">
        <v>1</v>
      </c>
      <c r="D135" s="38">
        <v>1</v>
      </c>
      <c r="E135" s="39">
        <v>100</v>
      </c>
      <c r="F135" s="40">
        <v>20077604627</v>
      </c>
      <c r="G135" s="41" t="str">
        <f>IFERROR(IF(compras_mes12[[#This Row],[CUIT]]="","-",VLOOKUP(compras_mes12[[#This Row],[CUIT]],Lista_CUIT[#All],2,0)),"CUIT NO CARGADO")</f>
        <v>OCAÑO ENRIQUE</v>
      </c>
      <c r="H135" s="42">
        <v>41905.5</v>
      </c>
      <c r="I135" s="81">
        <f>IF(compras_mes12[[#This Row],[NETO GRAVADO]]="","",compras_mes12[[#This Row],[NETO GRAVADO]]*0.21)</f>
        <v>8800.1549999999988</v>
      </c>
      <c r="J135" s="81"/>
      <c r="K135" s="81"/>
      <c r="L135" s="81"/>
      <c r="M135" s="81"/>
      <c r="N135" s="81"/>
      <c r="O135" s="81"/>
      <c r="P135" s="44">
        <f>SUM(compras_mes12[[#This Row],[NETO GRAVADO]:[Otros / No Grav.]])</f>
        <v>50705.654999999999</v>
      </c>
      <c r="Q135" s="45" t="str">
        <f>IFERROR(IF(compras_mes12[[#This Row],[CUIT]]="","-",VLOOKUP(compras_mes12[[#This Row],[CUIT]],Lista_CUIT[#All],3,0)),"CUIT NO CARGADO")</f>
        <v>Mercaderia</v>
      </c>
      <c r="R135" s="45">
        <f>IFERROR(IF(compras_mes12[[#This Row],[CUIT]]="","-",VLOOKUP(compras_mes12[[#This Row],[CUIT]],Lista_CUIT[#All],4,0)),"CUIT NO CARGADO")</f>
        <v>0</v>
      </c>
    </row>
    <row r="136" spans="1:18" x14ac:dyDescent="0.3">
      <c r="B136" s="36">
        <v>44887</v>
      </c>
      <c r="C136" s="37">
        <v>1</v>
      </c>
      <c r="D136" s="38">
        <v>2</v>
      </c>
      <c r="E136" s="39">
        <v>3201</v>
      </c>
      <c r="F136" s="40">
        <v>30629863571</v>
      </c>
      <c r="G136" s="41" t="str">
        <f>IFERROR(IF(compras_mes12[[#This Row],[CUIT]]="","-",VLOOKUP(compras_mes12[[#This Row],[CUIT]],Lista_CUIT[#All],2,0)),"CUIT NO CARGADO")</f>
        <v>TECNIMAR S R L</v>
      </c>
      <c r="H136" s="42">
        <v>483463.5</v>
      </c>
      <c r="I136" s="81">
        <f>IF(compras_mes12[[#This Row],[NETO GRAVADO]]="","",compras_mes12[[#This Row],[NETO GRAVADO]]*0.21)</f>
        <v>101527.33499999999</v>
      </c>
      <c r="J136" s="81"/>
      <c r="K136" s="81"/>
      <c r="L136" s="81"/>
      <c r="M136" s="81"/>
      <c r="N136" s="81"/>
      <c r="O136" s="81"/>
      <c r="P136" s="44">
        <f>SUM(compras_mes12[[#This Row],[NETO GRAVADO]:[Otros / No Grav.]])</f>
        <v>584990.83499999996</v>
      </c>
      <c r="Q136" s="45" t="str">
        <f>IFERROR(IF(compras_mes12[[#This Row],[CUIT]]="","-",VLOOKUP(compras_mes12[[#This Row],[CUIT]],Lista_CUIT[#All],3,0)),"CUIT NO CARGADO")</f>
        <v>Mercaderia</v>
      </c>
      <c r="R136" s="45">
        <f>IFERROR(IF(compras_mes12[[#This Row],[CUIT]]="","-",VLOOKUP(compras_mes12[[#This Row],[CUIT]],Lista_CUIT[#All],4,0)),"CUIT NO CARGADO")</f>
        <v>0</v>
      </c>
    </row>
    <row r="137" spans="1:18" x14ac:dyDescent="0.3">
      <c r="B137" s="36">
        <v>44889</v>
      </c>
      <c r="C137" s="37">
        <v>1</v>
      </c>
      <c r="D137" s="38">
        <v>2</v>
      </c>
      <c r="E137" s="39">
        <v>3204</v>
      </c>
      <c r="F137" s="40">
        <v>30629863571</v>
      </c>
      <c r="G137" s="41" t="str">
        <f>IFERROR(IF(compras_mes12[[#This Row],[CUIT]]="","-",VLOOKUP(compras_mes12[[#This Row],[CUIT]],Lista_CUIT[#All],2,0)),"CUIT NO CARGADO")</f>
        <v>TECNIMAR S R L</v>
      </c>
      <c r="H137" s="42">
        <v>216231</v>
      </c>
      <c r="I137" s="81">
        <f>IF(compras_mes12[[#This Row],[NETO GRAVADO]]="","",compras_mes12[[#This Row],[NETO GRAVADO]]*0.21)</f>
        <v>45408.509999999995</v>
      </c>
      <c r="J137" s="81"/>
      <c r="K137" s="81"/>
      <c r="L137" s="81"/>
      <c r="M137" s="81"/>
      <c r="N137" s="81"/>
      <c r="O137" s="81"/>
      <c r="P137" s="44">
        <f>SUM(compras_mes12[[#This Row],[NETO GRAVADO]:[Otros / No Grav.]])</f>
        <v>261639.51</v>
      </c>
      <c r="Q137" s="45" t="str">
        <f>IFERROR(IF(compras_mes12[[#This Row],[CUIT]]="","-",VLOOKUP(compras_mes12[[#This Row],[CUIT]],Lista_CUIT[#All],3,0)),"CUIT NO CARGADO")</f>
        <v>Mercaderia</v>
      </c>
      <c r="R137" s="45">
        <f>IFERROR(IF(compras_mes12[[#This Row],[CUIT]]="","-",VLOOKUP(compras_mes12[[#This Row],[CUIT]],Lista_CUIT[#All],4,0)),"CUIT NO CARGADO")</f>
        <v>0</v>
      </c>
    </row>
    <row r="138" spans="1:18" x14ac:dyDescent="0.3">
      <c r="B138" s="36">
        <v>44890</v>
      </c>
      <c r="C138" s="37">
        <v>2</v>
      </c>
      <c r="D138" s="38">
        <v>4</v>
      </c>
      <c r="E138" s="39">
        <v>3844</v>
      </c>
      <c r="F138" s="40">
        <v>30585948817</v>
      </c>
      <c r="G138" s="41" t="str">
        <f>IFERROR(IF(compras_mes12[[#This Row],[CUIT]]="","-",VLOOKUP(compras_mes12[[#This Row],[CUIT]],Lista_CUIT[#All],2,0)),"CUIT NO CARGADO")</f>
        <v xml:space="preserve">GLASCAR </v>
      </c>
      <c r="H138" s="42">
        <v>14029.55</v>
      </c>
      <c r="I138" s="81">
        <f>IF(compras_mes12[[#This Row],[NETO GRAVADO]]="","",compras_mes12[[#This Row],[NETO GRAVADO]]*0.21)</f>
        <v>2946.2054999999996</v>
      </c>
      <c r="J138" s="81"/>
      <c r="K138" s="81"/>
      <c r="L138" s="81"/>
      <c r="M138" s="81"/>
      <c r="N138" s="81"/>
      <c r="O138" s="81"/>
      <c r="P138" s="44">
        <f>SUM(compras_mes12[[#This Row],[NETO GRAVADO]:[Otros / No Grav.]])</f>
        <v>16975.755499999999</v>
      </c>
      <c r="Q138" s="45" t="str">
        <f>IFERROR(IF(compras_mes12[[#This Row],[CUIT]]="","-",VLOOKUP(compras_mes12[[#This Row],[CUIT]],Lista_CUIT[#All],3,0)),"CUIT NO CARGADO")</f>
        <v>Mercaderia</v>
      </c>
      <c r="R138" s="45">
        <f>IFERROR(IF(compras_mes12[[#This Row],[CUIT]]="","-",VLOOKUP(compras_mes12[[#This Row],[CUIT]],Lista_CUIT[#All],4,0)),"CUIT NO CARGADO")</f>
        <v>0</v>
      </c>
    </row>
    <row r="139" spans="1:18" x14ac:dyDescent="0.3">
      <c r="B139" s="36">
        <v>44894</v>
      </c>
      <c r="C139" s="37">
        <v>1</v>
      </c>
      <c r="D139" s="38">
        <v>2</v>
      </c>
      <c r="E139" s="39">
        <v>3207</v>
      </c>
      <c r="F139" s="40">
        <v>30629863571</v>
      </c>
      <c r="G139" s="41" t="str">
        <f>IFERROR(IF(compras_mes12[[#This Row],[CUIT]]="","-",VLOOKUP(compras_mes12[[#This Row],[CUIT]],Lista_CUIT[#All],2,0)),"CUIT NO CARGADO")</f>
        <v>TECNIMAR S R L</v>
      </c>
      <c r="H139" s="42">
        <v>420314.4</v>
      </c>
      <c r="I139" s="81">
        <f>IF(compras_mes12[[#This Row],[NETO GRAVADO]]="","",compras_mes12[[#This Row],[NETO GRAVADO]]*0.21)</f>
        <v>88266.024000000005</v>
      </c>
      <c r="J139" s="81"/>
      <c r="K139" s="81"/>
      <c r="L139" s="81"/>
      <c r="M139" s="81"/>
      <c r="N139" s="81"/>
      <c r="O139" s="81"/>
      <c r="P139" s="44">
        <f>SUM(compras_mes12[[#This Row],[NETO GRAVADO]:[Otros / No Grav.]])</f>
        <v>508580.424</v>
      </c>
      <c r="Q139" s="45" t="str">
        <f>IFERROR(IF(compras_mes12[[#This Row],[CUIT]]="","-",VLOOKUP(compras_mes12[[#This Row],[CUIT]],Lista_CUIT[#All],3,0)),"CUIT NO CARGADO")</f>
        <v>Mercaderia</v>
      </c>
      <c r="R139" s="45">
        <f>IFERROR(IF(compras_mes12[[#This Row],[CUIT]]="","-",VLOOKUP(compras_mes12[[#This Row],[CUIT]],Lista_CUIT[#All],4,0)),"CUIT NO CARGADO")</f>
        <v>0</v>
      </c>
    </row>
    <row r="140" spans="1:18" x14ac:dyDescent="0.3">
      <c r="B140" s="314">
        <v>44895</v>
      </c>
      <c r="C140" s="299">
        <v>1</v>
      </c>
      <c r="D140" s="315">
        <v>5</v>
      </c>
      <c r="E140" s="39">
        <v>44549</v>
      </c>
      <c r="F140" s="316">
        <v>30709932876</v>
      </c>
      <c r="G140" s="317" t="str">
        <f>IFERROR(IF(compras_mes12[[#This Row],[CUIT]]="","-",VLOOKUP(compras_mes12[[#This Row],[CUIT]],Lista_CUIT[#All],2,0)),"CUIT NO CARGADO")</f>
        <v>Mega Envases S.A.</v>
      </c>
      <c r="H140" s="318">
        <v>301765.01</v>
      </c>
      <c r="I140" s="319">
        <f>IF(compras_mes12[[#This Row],[NETO GRAVADO]]="","",compras_mes12[[#This Row],[NETO GRAVADO]]*0.21)</f>
        <v>63370.652099999999</v>
      </c>
      <c r="J140" s="319"/>
      <c r="K140" s="319"/>
      <c r="L140" s="319"/>
      <c r="M140" s="319"/>
      <c r="N140" s="319">
        <v>18105.900000000001</v>
      </c>
      <c r="O140" s="319"/>
      <c r="P140" s="320">
        <f>SUM(compras_mes12[[#This Row],[NETO GRAVADO]:[Otros / No Grav.]])</f>
        <v>383241.56210000004</v>
      </c>
      <c r="Q140" s="321" t="str">
        <f>IFERROR(IF(compras_mes12[[#This Row],[CUIT]]="","-",VLOOKUP(compras_mes12[[#This Row],[CUIT]],Lista_CUIT[#All],3,0)),"CUIT NO CARGADO")</f>
        <v>Mercaderia</v>
      </c>
      <c r="R140" s="321">
        <f>IFERROR(IF(compras_mes12[[#This Row],[CUIT]]="","-",VLOOKUP(compras_mes12[[#This Row],[CUIT]],Lista_CUIT[#All],4,0)),"CUIT NO CARGADO")</f>
        <v>0</v>
      </c>
    </row>
    <row r="141" spans="1:18" x14ac:dyDescent="0.3">
      <c r="B141" s="36">
        <v>44867</v>
      </c>
      <c r="C141" s="37">
        <v>1</v>
      </c>
      <c r="D141" s="38">
        <v>50</v>
      </c>
      <c r="E141" s="39">
        <v>2811380</v>
      </c>
      <c r="F141" s="40">
        <v>30714112836</v>
      </c>
      <c r="G141" s="41" t="str">
        <f>IFERROR(IF(compras_mes12[[#This Row],[CUIT]]="","-",VLOOKUP(compras_mes12[[#This Row],[CUIT]],Lista_CUIT[#All],2,0)),"CUIT NO CARGADO")</f>
        <v>AUTOPISTAS DE BS AS</v>
      </c>
      <c r="H141" s="42">
        <v>1309.92</v>
      </c>
      <c r="I141" s="336">
        <v>258.81</v>
      </c>
      <c r="J141" s="81"/>
      <c r="K141" s="81"/>
      <c r="L141" s="81">
        <v>39.299999999999997</v>
      </c>
      <c r="M141" s="81"/>
      <c r="N141" s="81"/>
      <c r="O141" s="81"/>
      <c r="P141" s="44">
        <f>SUM(compras_mes12[[#This Row],[NETO GRAVADO]:[Otros / No Grav.]])</f>
        <v>1608.03</v>
      </c>
      <c r="Q141" s="45" t="str">
        <f>IFERROR(IF(compras_mes12[[#This Row],[CUIT]]="","-",VLOOKUP(compras_mes12[[#This Row],[CUIT]],Lista_CUIT[#All],3,0)),"CUIT NO CARGADO")</f>
        <v>Peaje</v>
      </c>
      <c r="R141" s="45">
        <f>IFERROR(IF(compras_mes12[[#This Row],[CUIT]]="","-",VLOOKUP(compras_mes12[[#This Row],[CUIT]],Lista_CUIT[#All],4,0)),"CUIT NO CARGADO")</f>
        <v>0</v>
      </c>
    </row>
    <row r="142" spans="1:18" x14ac:dyDescent="0.3">
      <c r="B142" s="36">
        <v>44868</v>
      </c>
      <c r="C142" s="37">
        <v>1</v>
      </c>
      <c r="D142" s="38">
        <v>711</v>
      </c>
      <c r="E142" s="39">
        <v>3578404</v>
      </c>
      <c r="F142" s="40">
        <v>30677237119</v>
      </c>
      <c r="G142" s="41" t="str">
        <f>IFERROR(IF(compras_mes12[[#This Row],[CUIT]]="","-",VLOOKUP(compras_mes12[[#This Row],[CUIT]],Lista_CUIT[#All],2,0)),"CUIT NO CARGADO")</f>
        <v>AUTOPISTAS DEL SOL S A</v>
      </c>
      <c r="H142" s="42">
        <v>2568.6</v>
      </c>
      <c r="I142" s="81">
        <f>IF(compras_mes12[[#This Row],[NETO GRAVADO]]="","",compras_mes12[[#This Row],[NETO GRAVADO]]*0.21)</f>
        <v>539.40599999999995</v>
      </c>
      <c r="J142" s="81"/>
      <c r="K142" s="81"/>
      <c r="L142" s="81"/>
      <c r="M142" s="81"/>
      <c r="N142" s="81"/>
      <c r="O142" s="81">
        <v>77.06</v>
      </c>
      <c r="P142" s="44">
        <f>SUM(compras_mes12[[#This Row],[NETO GRAVADO]:[Otros / No Grav.]])</f>
        <v>3185.0659999999998</v>
      </c>
      <c r="Q142" s="45" t="str">
        <f>IFERROR(IF(compras_mes12[[#This Row],[CUIT]]="","-",VLOOKUP(compras_mes12[[#This Row],[CUIT]],Lista_CUIT[#All],3,0)),"CUIT NO CARGADO")</f>
        <v>Peaje</v>
      </c>
      <c r="R142" s="45">
        <f>IFERROR(IF(compras_mes12[[#This Row],[CUIT]]="","-",VLOOKUP(compras_mes12[[#This Row],[CUIT]],Lista_CUIT[#All],4,0)),"CUIT NO CARGADO")</f>
        <v>0</v>
      </c>
    </row>
    <row r="143" spans="1:18" x14ac:dyDescent="0.3">
      <c r="B143" s="36">
        <v>44868</v>
      </c>
      <c r="C143" s="37">
        <v>1</v>
      </c>
      <c r="D143" s="38">
        <v>5014</v>
      </c>
      <c r="E143" s="39">
        <v>319091</v>
      </c>
      <c r="F143" s="40">
        <v>30574876474</v>
      </c>
      <c r="G143" s="41" t="str">
        <f>IFERROR(IF(compras_mes12[[#This Row],[CUIT]]="","-",VLOOKUP(compras_mes12[[#This Row],[CUIT]],Lista_CUIT[#All],2,0)),"CUIT NO CARGADO")</f>
        <v>AUTOPISTAS URBANAS S A</v>
      </c>
      <c r="H143" s="42">
        <v>16457.599999999999</v>
      </c>
      <c r="I143" s="81">
        <f>IF(compras_mes12[[#This Row],[NETO GRAVADO]]="","",compras_mes12[[#This Row],[NETO GRAVADO]]*0.21)</f>
        <v>3456.0959999999995</v>
      </c>
      <c r="J143" s="81"/>
      <c r="K143" s="81"/>
      <c r="L143" s="81"/>
      <c r="M143" s="81"/>
      <c r="N143" s="81"/>
      <c r="O143" s="81">
        <v>2138.21</v>
      </c>
      <c r="P143" s="44">
        <f>SUM(compras_mes12[[#This Row],[NETO GRAVADO]:[Otros / No Grav.]])</f>
        <v>22051.905999999995</v>
      </c>
      <c r="Q143" s="45" t="str">
        <f>IFERROR(IF(compras_mes12[[#This Row],[CUIT]]="","-",VLOOKUP(compras_mes12[[#This Row],[CUIT]],Lista_CUIT[#All],3,0)),"CUIT NO CARGADO")</f>
        <v>Peaje</v>
      </c>
      <c r="R143" s="45">
        <f>IFERROR(IF(compras_mes12[[#This Row],[CUIT]]="","-",VLOOKUP(compras_mes12[[#This Row],[CUIT]],Lista_CUIT[#All],4,0)),"CUIT NO CARGADO")</f>
        <v>0</v>
      </c>
    </row>
    <row r="144" spans="1:18" x14ac:dyDescent="0.3">
      <c r="B144" s="36">
        <v>44868</v>
      </c>
      <c r="C144" s="37">
        <v>1</v>
      </c>
      <c r="D144" s="38">
        <v>629</v>
      </c>
      <c r="E144" s="39">
        <v>3670038</v>
      </c>
      <c r="F144" s="40">
        <v>30663498513</v>
      </c>
      <c r="G144" s="41" t="str">
        <f>IFERROR(IF(compras_mes12[[#This Row],[CUIT]]="","-",VLOOKUP(compras_mes12[[#This Row],[CUIT]],Lista_CUIT[#All],2,0)),"CUIT NO CARGADO")</f>
        <v>GRUPO CONCES. DEL OESTE SA</v>
      </c>
      <c r="H144" s="42">
        <v>1728.92</v>
      </c>
      <c r="I144" s="81">
        <f>IF(compras_mes12[[#This Row],[NETO GRAVADO]]="","",compras_mes12[[#This Row],[NETO GRAVADO]]*0.21)</f>
        <v>363.07319999999999</v>
      </c>
      <c r="J144" s="81"/>
      <c r="K144" s="81"/>
      <c r="L144" s="81"/>
      <c r="M144" s="81"/>
      <c r="N144" s="81"/>
      <c r="O144" s="81"/>
      <c r="P144" s="44">
        <f>SUM(compras_mes12[[#This Row],[NETO GRAVADO]:[Otros / No Grav.]])</f>
        <v>2091.9931999999999</v>
      </c>
      <c r="Q144" s="45" t="str">
        <f>IFERROR(IF(compras_mes12[[#This Row],[CUIT]]="","-",VLOOKUP(compras_mes12[[#This Row],[CUIT]],Lista_CUIT[#All],3,0)),"CUIT NO CARGADO")</f>
        <v>Peaje</v>
      </c>
      <c r="R144" s="45">
        <f>IFERROR(IF(compras_mes12[[#This Row],[CUIT]]="","-",VLOOKUP(compras_mes12[[#This Row],[CUIT]],Lista_CUIT[#All],4,0)),"CUIT NO CARGADO")</f>
        <v>0</v>
      </c>
    </row>
    <row r="145" spans="2:18" x14ac:dyDescent="0.3">
      <c r="B145" s="36">
        <v>44882</v>
      </c>
      <c r="C145" s="37">
        <v>1</v>
      </c>
      <c r="D145" s="38">
        <v>711</v>
      </c>
      <c r="E145" s="39">
        <v>3635246</v>
      </c>
      <c r="F145" s="40">
        <v>30677237119</v>
      </c>
      <c r="G145" s="41" t="str">
        <f>IFERROR(IF(compras_mes12[[#This Row],[CUIT]]="","-",VLOOKUP(compras_mes12[[#This Row],[CUIT]],Lista_CUIT[#All],2,0)),"CUIT NO CARGADO")</f>
        <v>AUTOPISTAS DEL SOL S A</v>
      </c>
      <c r="H145" s="42">
        <v>3083.48</v>
      </c>
      <c r="I145" s="81">
        <f>IF(compras_mes12[[#This Row],[NETO GRAVADO]]="","",compras_mes12[[#This Row],[NETO GRAVADO]]*0.21)</f>
        <v>647.5308</v>
      </c>
      <c r="J145" s="81"/>
      <c r="K145" s="81"/>
      <c r="L145" s="81"/>
      <c r="M145" s="81"/>
      <c r="N145" s="81"/>
      <c r="O145" s="81">
        <v>92.5</v>
      </c>
      <c r="P145" s="44">
        <f>SUM(compras_mes12[[#This Row],[NETO GRAVADO]:[Otros / No Grav.]])</f>
        <v>3823.5108</v>
      </c>
      <c r="Q145" s="45" t="str">
        <f>IFERROR(IF(compras_mes12[[#This Row],[CUIT]]="","-",VLOOKUP(compras_mes12[[#This Row],[CUIT]],Lista_CUIT[#All],3,0)),"CUIT NO CARGADO")</f>
        <v>Peaje</v>
      </c>
      <c r="R145" s="45">
        <f>IFERROR(IF(compras_mes12[[#This Row],[CUIT]]="","-",VLOOKUP(compras_mes12[[#This Row],[CUIT]],Lista_CUIT[#All],4,0)),"CUIT NO CARGADO")</f>
        <v>0</v>
      </c>
    </row>
    <row r="146" spans="2:18" x14ac:dyDescent="0.3">
      <c r="B146" s="36">
        <v>44882</v>
      </c>
      <c r="C146" s="37">
        <v>1</v>
      </c>
      <c r="D146" s="38">
        <v>629</v>
      </c>
      <c r="E146" s="39">
        <v>3709365</v>
      </c>
      <c r="F146" s="40">
        <v>30663498513</v>
      </c>
      <c r="G146" s="41" t="str">
        <f>IFERROR(IF(compras_mes12[[#This Row],[CUIT]]="","-",VLOOKUP(compras_mes12[[#This Row],[CUIT]],Lista_CUIT[#All],2,0)),"CUIT NO CARGADO")</f>
        <v>GRUPO CONCES. DEL OESTE SA</v>
      </c>
      <c r="H146" s="42">
        <v>1324.79</v>
      </c>
      <c r="I146" s="81">
        <f>IF(compras_mes12[[#This Row],[NETO GRAVADO]]="","",compras_mes12[[#This Row],[NETO GRAVADO]]*0.21)</f>
        <v>278.20589999999999</v>
      </c>
      <c r="J146" s="81"/>
      <c r="K146" s="81"/>
      <c r="L146" s="81"/>
      <c r="M146" s="81"/>
      <c r="N146" s="81"/>
      <c r="O146" s="81"/>
      <c r="P146" s="44">
        <f>SUM(compras_mes12[[#This Row],[NETO GRAVADO]:[Otros / No Grav.]])</f>
        <v>1602.9958999999999</v>
      </c>
      <c r="Q146" s="45" t="str">
        <f>IFERROR(IF(compras_mes12[[#This Row],[CUIT]]="","-",VLOOKUP(compras_mes12[[#This Row],[CUIT]],Lista_CUIT[#All],3,0)),"CUIT NO CARGADO")</f>
        <v>Peaje</v>
      </c>
      <c r="R146" s="45">
        <f>IFERROR(IF(compras_mes12[[#This Row],[CUIT]]="","-",VLOOKUP(compras_mes12[[#This Row],[CUIT]],Lista_CUIT[#All],4,0)),"CUIT NO CARGADO")</f>
        <v>0</v>
      </c>
    </row>
    <row r="147" spans="2:18" x14ac:dyDescent="0.3">
      <c r="B147" s="36">
        <v>44883</v>
      </c>
      <c r="C147" s="37">
        <v>1</v>
      </c>
      <c r="D147" s="38">
        <v>5014</v>
      </c>
      <c r="E147" s="39">
        <v>327242</v>
      </c>
      <c r="F147" s="40">
        <v>30574876474</v>
      </c>
      <c r="G147" s="41" t="str">
        <f>IFERROR(IF(compras_mes12[[#This Row],[CUIT]]="","-",VLOOKUP(compras_mes12[[#This Row],[CUIT]],Lista_CUIT[#All],2,0)),"CUIT NO CARGADO")</f>
        <v>AUTOPISTAS URBANAS S A</v>
      </c>
      <c r="H147" s="42">
        <v>14068.28</v>
      </c>
      <c r="I147" s="81">
        <f>IF(compras_mes12[[#This Row],[NETO GRAVADO]]="","",compras_mes12[[#This Row],[NETO GRAVADO]]*0.21)</f>
        <v>2954.3388</v>
      </c>
      <c r="J147" s="81"/>
      <c r="K147" s="81"/>
      <c r="L147" s="81"/>
      <c r="M147" s="81"/>
      <c r="N147" s="81"/>
      <c r="O147" s="81">
        <v>1827.7</v>
      </c>
      <c r="P147" s="44">
        <f>SUM(compras_mes12[[#This Row],[NETO GRAVADO]:[Otros / No Grav.]])</f>
        <v>18850.318800000001</v>
      </c>
      <c r="Q147" s="45" t="str">
        <f>IFERROR(IF(compras_mes12[[#This Row],[CUIT]]="","-",VLOOKUP(compras_mes12[[#This Row],[CUIT]],Lista_CUIT[#All],3,0)),"CUIT NO CARGADO")</f>
        <v>Peaje</v>
      </c>
      <c r="R147" s="45">
        <f>IFERROR(IF(compras_mes12[[#This Row],[CUIT]]="","-",VLOOKUP(compras_mes12[[#This Row],[CUIT]],Lista_CUIT[#All],4,0)),"CUIT NO CARGADO")</f>
        <v>0</v>
      </c>
    </row>
    <row r="148" spans="2:18" x14ac:dyDescent="0.3">
      <c r="B148" s="36">
        <v>44893</v>
      </c>
      <c r="C148" s="37">
        <v>1</v>
      </c>
      <c r="D148" s="38">
        <v>700</v>
      </c>
      <c r="E148" s="39">
        <v>720364</v>
      </c>
      <c r="F148" s="40">
        <v>30715804812</v>
      </c>
      <c r="G148" s="41" t="str">
        <f>IFERROR(IF(compras_mes12[[#This Row],[CUIT]]="","-",VLOOKUP(compras_mes12[[#This Row],[CUIT]],Lista_CUIT[#All],2,0)),"CUIT NO CARGADO")</f>
        <v>CORREDORES VIALES SOCIEDAD ANONIMA</v>
      </c>
      <c r="H148" s="42">
        <v>1028.92</v>
      </c>
      <c r="I148" s="81">
        <f>IF(compras_mes12[[#This Row],[NETO GRAVADO]]="","",compras_mes12[[#This Row],[NETO GRAVADO]]*0.21)</f>
        <v>216.07320000000001</v>
      </c>
      <c r="J148" s="81"/>
      <c r="K148" s="81"/>
      <c r="L148" s="81"/>
      <c r="M148" s="81"/>
      <c r="N148" s="81"/>
      <c r="O148" s="81"/>
      <c r="P148" s="44">
        <f>SUM(compras_mes12[[#This Row],[NETO GRAVADO]:[Otros / No Grav.]])</f>
        <v>1244.9932000000001</v>
      </c>
      <c r="Q148" s="45" t="str">
        <f>IFERROR(IF(compras_mes12[[#This Row],[CUIT]]="","-",VLOOKUP(compras_mes12[[#This Row],[CUIT]],Lista_CUIT[#All],3,0)),"CUIT NO CARGADO")</f>
        <v>Peaje</v>
      </c>
      <c r="R148" s="45">
        <f>IFERROR(IF(compras_mes12[[#This Row],[CUIT]]="","-",VLOOKUP(compras_mes12[[#This Row],[CUIT]],Lista_CUIT[#All],4,0)),"CUIT NO CARGADO")</f>
        <v>0</v>
      </c>
    </row>
    <row r="149" spans="2:18" x14ac:dyDescent="0.3">
      <c r="B149" s="36">
        <v>44876</v>
      </c>
      <c r="C149" s="37">
        <v>1</v>
      </c>
      <c r="D149" s="38">
        <v>4</v>
      </c>
      <c r="E149" s="39">
        <v>2070</v>
      </c>
      <c r="F149" s="40">
        <v>20328816807</v>
      </c>
      <c r="G149" s="41" t="str">
        <f>IFERROR(IF(compras_mes12[[#This Row],[CUIT]]="","-",VLOOKUP(compras_mes12[[#This Row],[CUIT]],Lista_CUIT[#All],2,0)),"CUIT NO CARGADO")</f>
        <v>LUPONE ALBANO SEBASTIAN</v>
      </c>
      <c r="H149" s="42">
        <v>9087.6</v>
      </c>
      <c r="I149" s="81">
        <f>IF(compras_mes12[[#This Row],[NETO GRAVADO]]="","",compras_mes12[[#This Row],[NETO GRAVADO]]*0.21)</f>
        <v>1908.396</v>
      </c>
      <c r="J149" s="81"/>
      <c r="K149" s="81"/>
      <c r="L149" s="81"/>
      <c r="M149" s="81"/>
      <c r="N149" s="81"/>
      <c r="O149" s="81"/>
      <c r="P149" s="44">
        <f>SUM(compras_mes12[[#This Row],[NETO GRAVADO]:[Otros / No Grav.]])</f>
        <v>10995.996000000001</v>
      </c>
      <c r="Q149" s="45" t="str">
        <f>IFERROR(IF(compras_mes12[[#This Row],[CUIT]]="","-",VLOOKUP(compras_mes12[[#This Row],[CUIT]],Lista_CUIT[#All],3,0)),"CUIT NO CARGADO")</f>
        <v>Publicidad</v>
      </c>
      <c r="R149" s="45">
        <f>IFERROR(IF(compras_mes12[[#This Row],[CUIT]]="","-",VLOOKUP(compras_mes12[[#This Row],[CUIT]],Lista_CUIT[#All],4,0)),"CUIT NO CARGADO")</f>
        <v>0</v>
      </c>
    </row>
    <row r="150" spans="2:18" x14ac:dyDescent="0.3">
      <c r="B150" s="36">
        <v>44875</v>
      </c>
      <c r="C150" s="37">
        <v>1</v>
      </c>
      <c r="D150" s="38">
        <v>4</v>
      </c>
      <c r="E150" s="39">
        <v>198</v>
      </c>
      <c r="F150" s="40">
        <v>20334416632</v>
      </c>
      <c r="G150" s="41" t="str">
        <f>IFERROR(IF(compras_mes12[[#This Row],[CUIT]]="","-",VLOOKUP(compras_mes12[[#This Row],[CUIT]],Lista_CUIT[#All],2,0)),"CUIT NO CARGADO")</f>
        <v>VIGABRIEL JONATAN ARTURO</v>
      </c>
      <c r="H150" s="42">
        <v>16020</v>
      </c>
      <c r="I150" s="81">
        <f>IF(compras_mes12[[#This Row],[NETO GRAVADO]]="","",compras_mes12[[#This Row],[NETO GRAVADO]]*0.21)</f>
        <v>3364.2</v>
      </c>
      <c r="J150" s="81"/>
      <c r="K150" s="81"/>
      <c r="L150" s="81"/>
      <c r="M150" s="81"/>
      <c r="N150" s="81"/>
      <c r="O150" s="81"/>
      <c r="P150" s="44">
        <f>SUM(compras_mes12[[#This Row],[NETO GRAVADO]:[Otros / No Grav.]])</f>
        <v>19384.2</v>
      </c>
      <c r="Q150" s="45" t="str">
        <f>IFERROR(IF(compras_mes12[[#This Row],[CUIT]]="","-",VLOOKUP(compras_mes12[[#This Row],[CUIT]],Lista_CUIT[#All],3,0)),"CUIT NO CARGADO")</f>
        <v>Alquiler de Filmacion</v>
      </c>
      <c r="R150" s="45">
        <f>IFERROR(IF(compras_mes12[[#This Row],[CUIT]]="","-",VLOOKUP(compras_mes12[[#This Row],[CUIT]],Lista_CUIT[#All],4,0)),"CUIT NO CARGADO")</f>
        <v>0</v>
      </c>
    </row>
    <row r="151" spans="2:18" x14ac:dyDescent="0.3">
      <c r="B151" s="36">
        <v>44868</v>
      </c>
      <c r="C151" s="37">
        <v>1</v>
      </c>
      <c r="D151" s="38">
        <v>943</v>
      </c>
      <c r="E151" s="39">
        <v>1249461</v>
      </c>
      <c r="F151" s="40">
        <v>30639453975</v>
      </c>
      <c r="G151" s="41" t="str">
        <f>IFERROR(IF(compras_mes12[[#This Row],[CUIT]]="","-",VLOOKUP(compras_mes12[[#This Row],[CUIT]],Lista_CUIT[#All],2,0)),"CUIT NO CARGADO")</f>
        <v>TELEFONICA DE ARG S.A.</v>
      </c>
      <c r="H151" s="42">
        <v>12128</v>
      </c>
      <c r="I151" s="81"/>
      <c r="J151" s="81">
        <f>compras_mes12[[#This Row],[NETO GRAVADO]]*27/100</f>
        <v>3274.56</v>
      </c>
      <c r="K151" s="81"/>
      <c r="L151" s="81">
        <v>363.84</v>
      </c>
      <c r="M151" s="81"/>
      <c r="N151" s="81">
        <v>727.68</v>
      </c>
      <c r="O151" s="81"/>
      <c r="P151" s="44">
        <f>SUM(compras_mes12[[#This Row],[NETO GRAVADO]:[Otros / No Grav.]])</f>
        <v>16494.079999999998</v>
      </c>
      <c r="Q151" s="45" t="str">
        <f>IFERROR(IF(compras_mes12[[#This Row],[CUIT]]="","-",VLOOKUP(compras_mes12[[#This Row],[CUIT]],Lista_CUIT[#All],3,0)),"CUIT NO CARGADO")</f>
        <v>Servicios Gas, Luz, etc.</v>
      </c>
      <c r="R151" s="45">
        <f>IFERROR(IF(compras_mes12[[#This Row],[CUIT]]="","-",VLOOKUP(compras_mes12[[#This Row],[CUIT]],Lista_CUIT[#All],4,0)),"CUIT NO CARGADO")</f>
        <v>0</v>
      </c>
    </row>
    <row r="152" spans="2:18" x14ac:dyDescent="0.3">
      <c r="B152" s="36">
        <v>44869</v>
      </c>
      <c r="C152" s="37">
        <v>1</v>
      </c>
      <c r="D152" s="38">
        <v>63</v>
      </c>
      <c r="E152" s="39">
        <v>2147902</v>
      </c>
      <c r="F152" s="40">
        <v>30640897267</v>
      </c>
      <c r="G152" s="41" t="str">
        <f>IFERROR(IF(compras_mes12[[#This Row],[CUIT]]="","-",VLOOKUP(compras_mes12[[#This Row],[CUIT]],Lista_CUIT[#All],2,0)),"CUIT NO CARGADO")</f>
        <v>TELECENTRO S.A.</v>
      </c>
      <c r="H152" s="42">
        <v>6714.34</v>
      </c>
      <c r="I152" s="81">
        <f>IF(compras_mes12[[#This Row],[NETO GRAVADO]]="","",compras_mes12[[#This Row],[NETO GRAVADO]]*0.21)</f>
        <v>1410.0113999999999</v>
      </c>
      <c r="J152" s="81"/>
      <c r="K152" s="81"/>
      <c r="L152" s="81">
        <v>201.43</v>
      </c>
      <c r="M152" s="81">
        <v>402.86</v>
      </c>
      <c r="N152" s="81"/>
      <c r="O152" s="81"/>
      <c r="P152" s="44">
        <f>SUM(compras_mes12[[#This Row],[NETO GRAVADO]:[Otros / No Grav.]])</f>
        <v>8728.6414000000004</v>
      </c>
      <c r="Q152" s="45" t="str">
        <f>IFERROR(IF(compras_mes12[[#This Row],[CUIT]]="","-",VLOOKUP(compras_mes12[[#This Row],[CUIT]],Lista_CUIT[#All],3,0)),"CUIT NO CARGADO")</f>
        <v>Servicios Gas, Luz, etc.</v>
      </c>
      <c r="R152" s="45">
        <f>IFERROR(IF(compras_mes12[[#This Row],[CUIT]]="","-",VLOOKUP(compras_mes12[[#This Row],[CUIT]],Lista_CUIT[#All],4,0)),"CUIT NO CARGADO")</f>
        <v>0</v>
      </c>
    </row>
    <row r="153" spans="2:18" x14ac:dyDescent="0.3">
      <c r="B153" s="36">
        <v>44869</v>
      </c>
      <c r="C153" s="37">
        <v>1</v>
      </c>
      <c r="D153" s="38">
        <v>63</v>
      </c>
      <c r="E153" s="39">
        <v>2148540</v>
      </c>
      <c r="F153" s="40">
        <v>30640897267</v>
      </c>
      <c r="G153" s="41" t="str">
        <f>IFERROR(IF(compras_mes12[[#This Row],[CUIT]]="","-",VLOOKUP(compras_mes12[[#This Row],[CUIT]],Lista_CUIT[#All],2,0)),"CUIT NO CARGADO")</f>
        <v>TELECENTRO S.A.</v>
      </c>
      <c r="H153" s="42">
        <v>6714.34</v>
      </c>
      <c r="I153" s="81">
        <f>IF(compras_mes12[[#This Row],[NETO GRAVADO]]="","",compras_mes12[[#This Row],[NETO GRAVADO]]*0.21)</f>
        <v>1410.0113999999999</v>
      </c>
      <c r="J153" s="81"/>
      <c r="K153" s="81"/>
      <c r="L153" s="81">
        <v>201.43</v>
      </c>
      <c r="M153" s="81">
        <v>402.86</v>
      </c>
      <c r="N153" s="81"/>
      <c r="O153" s="81"/>
      <c r="P153" s="44">
        <f>SUM(compras_mes12[[#This Row],[NETO GRAVADO]:[Otros / No Grav.]])</f>
        <v>8728.6414000000004</v>
      </c>
      <c r="Q153" s="45" t="str">
        <f>IFERROR(IF(compras_mes12[[#This Row],[CUIT]]="","-",VLOOKUP(compras_mes12[[#This Row],[CUIT]],Lista_CUIT[#All],3,0)),"CUIT NO CARGADO")</f>
        <v>Servicios Gas, Luz, etc.</v>
      </c>
      <c r="R153" s="45">
        <f>IFERROR(IF(compras_mes12[[#This Row],[CUIT]]="","-",VLOOKUP(compras_mes12[[#This Row],[CUIT]],Lista_CUIT[#All],4,0)),"CUIT NO CARGADO")</f>
        <v>0</v>
      </c>
    </row>
    <row r="154" spans="2:18" x14ac:dyDescent="0.3">
      <c r="B154" s="36">
        <v>44874</v>
      </c>
      <c r="C154" s="37">
        <v>1</v>
      </c>
      <c r="D154" s="38">
        <v>948</v>
      </c>
      <c r="E154" s="39">
        <v>803715</v>
      </c>
      <c r="F154" s="40">
        <v>30639453975</v>
      </c>
      <c r="G154" s="41" t="str">
        <f>IFERROR(IF(compras_mes12[[#This Row],[CUIT]]="","-",VLOOKUP(compras_mes12[[#This Row],[CUIT]],Lista_CUIT[#All],2,0)),"CUIT NO CARGADO")</f>
        <v>TELEFONICA DE ARG S.A.</v>
      </c>
      <c r="H154" s="42">
        <v>3581</v>
      </c>
      <c r="I154" s="81"/>
      <c r="J154" s="81">
        <f>compras_mes12[[#This Row],[NETO GRAVADO]]*27/100</f>
        <v>966.87</v>
      </c>
      <c r="K154" s="81"/>
      <c r="L154" s="81">
        <v>107.43</v>
      </c>
      <c r="M154" s="81"/>
      <c r="N154" s="81">
        <v>214.86</v>
      </c>
      <c r="O154" s="81"/>
      <c r="P154" s="44">
        <f>SUM(compras_mes12[[#This Row],[NETO GRAVADO]:[Otros / No Grav.]])</f>
        <v>4870.16</v>
      </c>
      <c r="Q154" s="45" t="str">
        <f>IFERROR(IF(compras_mes12[[#This Row],[CUIT]]="","-",VLOOKUP(compras_mes12[[#This Row],[CUIT]],Lista_CUIT[#All],3,0)),"CUIT NO CARGADO")</f>
        <v>Servicios Gas, Luz, etc.</v>
      </c>
      <c r="R154" s="45">
        <f>IFERROR(IF(compras_mes12[[#This Row],[CUIT]]="","-",VLOOKUP(compras_mes12[[#This Row],[CUIT]],Lista_CUIT[#All],4,0)),"CUIT NO CARGADO")</f>
        <v>0</v>
      </c>
    </row>
    <row r="155" spans="2:18" s="332" customFormat="1" x14ac:dyDescent="0.3">
      <c r="B155" s="36">
        <v>44875</v>
      </c>
      <c r="C155" s="37">
        <v>1</v>
      </c>
      <c r="D155" s="38">
        <v>6364</v>
      </c>
      <c r="E155" s="39">
        <v>6972352</v>
      </c>
      <c r="F155" s="40">
        <v>30639453738</v>
      </c>
      <c r="G155" s="41" t="str">
        <f>IFERROR(IF(compras_mes12[[#This Row],[CUIT]]="","-",VLOOKUP(compras_mes12[[#This Row],[CUIT]],Lista_CUIT[#All],2,0)),"CUIT NO CARGADO")</f>
        <v>TELECOM ARG SA</v>
      </c>
      <c r="H155" s="42">
        <v>69189.83</v>
      </c>
      <c r="I155" s="81">
        <v>12722.92</v>
      </c>
      <c r="J155" s="81">
        <v>2323.2199999999998</v>
      </c>
      <c r="K155" s="81"/>
      <c r="L155" s="81"/>
      <c r="M155" s="81">
        <v>2075.69</v>
      </c>
      <c r="N155" s="81">
        <v>3895.3</v>
      </c>
      <c r="O155" s="81">
        <v>101.75</v>
      </c>
      <c r="P155" s="44">
        <f>SUM(compras_mes12[[#This Row],[NETO GRAVADO]:[Otros / No Grav.]])</f>
        <v>90308.71</v>
      </c>
      <c r="Q155" s="45" t="str">
        <f>IFERROR(IF(compras_mes12[[#This Row],[CUIT]]="","-",VLOOKUP(compras_mes12[[#This Row],[CUIT]],Lista_CUIT[#All],3,0)),"CUIT NO CARGADO")</f>
        <v>Servicios Gas, Luz, etc.</v>
      </c>
      <c r="R155" s="45">
        <f>IFERROR(IF(compras_mes12[[#This Row],[CUIT]]="","-",VLOOKUP(compras_mes12[[#This Row],[CUIT]],Lista_CUIT[#All],4,0)),"CUIT NO CARGADO")</f>
        <v>0</v>
      </c>
    </row>
    <row r="156" spans="2:18" x14ac:dyDescent="0.3">
      <c r="B156" s="36">
        <v>44881</v>
      </c>
      <c r="C156" s="37">
        <v>1</v>
      </c>
      <c r="D156" s="38">
        <v>4264</v>
      </c>
      <c r="E156" s="39">
        <v>751887</v>
      </c>
      <c r="F156" s="40">
        <v>30639453738</v>
      </c>
      <c r="G156" s="41" t="str">
        <f>IFERROR(IF(compras_mes12[[#This Row],[CUIT]]="","-",VLOOKUP(compras_mes12[[#This Row],[CUIT]],Lista_CUIT[#All],2,0)),"CUIT NO CARGADO")</f>
        <v>TELECOM ARG SA</v>
      </c>
      <c r="H156" s="42">
        <v>8850</v>
      </c>
      <c r="I156" s="81">
        <f>IF(compras_mes12[[#This Row],[NETO GRAVADO]]="","",compras_mes12[[#This Row],[NETO GRAVADO]]*0.21)</f>
        <v>1858.5</v>
      </c>
      <c r="J156" s="81"/>
      <c r="K156" s="81"/>
      <c r="L156" s="81"/>
      <c r="M156" s="81"/>
      <c r="N156" s="81">
        <v>796.5</v>
      </c>
      <c r="O156" s="81"/>
      <c r="P156" s="44">
        <f>SUM(compras_mes12[[#This Row],[NETO GRAVADO]:[Otros / No Grav.]])</f>
        <v>11505</v>
      </c>
      <c r="Q156" s="45" t="str">
        <f>IFERROR(IF(compras_mes12[[#This Row],[CUIT]]="","-",VLOOKUP(compras_mes12[[#This Row],[CUIT]],Lista_CUIT[#All],3,0)),"CUIT NO CARGADO")</f>
        <v>Servicios Gas, Luz, etc.</v>
      </c>
      <c r="R156" s="45">
        <f>IFERROR(IF(compras_mes12[[#This Row],[CUIT]]="","-",VLOOKUP(compras_mes12[[#This Row],[CUIT]],Lista_CUIT[#All],4,0)),"CUIT NO CARGADO")</f>
        <v>0</v>
      </c>
    </row>
    <row r="157" spans="2:18" x14ac:dyDescent="0.3">
      <c r="B157" s="36">
        <v>44881</v>
      </c>
      <c r="C157" s="37">
        <v>1</v>
      </c>
      <c r="D157" s="38">
        <v>4264</v>
      </c>
      <c r="E157" s="39">
        <v>756000</v>
      </c>
      <c r="F157" s="40">
        <v>30639453738</v>
      </c>
      <c r="G157" s="41" t="str">
        <f>IFERROR(IF(compras_mes12[[#This Row],[CUIT]]="","-",VLOOKUP(compras_mes12[[#This Row],[CUIT]],Lista_CUIT[#All],2,0)),"CUIT NO CARGADO")</f>
        <v>TELECOM ARG SA</v>
      </c>
      <c r="H157" s="42">
        <v>6600</v>
      </c>
      <c r="I157" s="81">
        <f>IF(compras_mes12[[#This Row],[NETO GRAVADO]]="","",compras_mes12[[#This Row],[NETO GRAVADO]]*0.21)</f>
        <v>1386</v>
      </c>
      <c r="J157" s="81"/>
      <c r="K157" s="81"/>
      <c r="L157" s="81"/>
      <c r="M157" s="81"/>
      <c r="N157" s="81">
        <v>198</v>
      </c>
      <c r="O157" s="81"/>
      <c r="P157" s="44">
        <f>SUM(compras_mes12[[#This Row],[NETO GRAVADO]:[Otros / No Grav.]])</f>
        <v>8184</v>
      </c>
      <c r="Q157" s="45" t="str">
        <f>IFERROR(IF(compras_mes12[[#This Row],[CUIT]]="","-",VLOOKUP(compras_mes12[[#This Row],[CUIT]],Lista_CUIT[#All],3,0)),"CUIT NO CARGADO")</f>
        <v>Servicios Gas, Luz, etc.</v>
      </c>
      <c r="R157" s="45">
        <f>IFERROR(IF(compras_mes12[[#This Row],[CUIT]]="","-",VLOOKUP(compras_mes12[[#This Row],[CUIT]],Lista_CUIT[#All],4,0)),"CUIT NO CARGADO")</f>
        <v>0</v>
      </c>
    </row>
    <row r="158" spans="2:18" x14ac:dyDescent="0.3">
      <c r="B158" s="36">
        <v>44881</v>
      </c>
      <c r="C158" s="37">
        <v>1</v>
      </c>
      <c r="D158" s="38">
        <v>4264</v>
      </c>
      <c r="E158" s="39">
        <v>796704</v>
      </c>
      <c r="F158" s="40">
        <v>30639453738</v>
      </c>
      <c r="G158" s="41" t="str">
        <f>IFERROR(IF(compras_mes12[[#This Row],[CUIT]]="","-",VLOOKUP(compras_mes12[[#This Row],[CUIT]],Lista_CUIT[#All],2,0)),"CUIT NO CARGADO")</f>
        <v>TELECOM ARG SA</v>
      </c>
      <c r="H158" s="42">
        <v>13900</v>
      </c>
      <c r="I158" s="81">
        <f>IF(compras_mes12[[#This Row],[NETO GRAVADO]]="","",compras_mes12[[#This Row],[NETO GRAVADO]]*0.21)</f>
        <v>2919</v>
      </c>
      <c r="J158" s="81"/>
      <c r="K158" s="81"/>
      <c r="L158" s="81"/>
      <c r="M158" s="81"/>
      <c r="N158" s="81">
        <v>1251</v>
      </c>
      <c r="O158" s="81"/>
      <c r="P158" s="44">
        <f>SUM(compras_mes12[[#This Row],[NETO GRAVADO]:[Otros / No Grav.]])</f>
        <v>18070</v>
      </c>
      <c r="Q158" s="45" t="str">
        <f>IFERROR(IF(compras_mes12[[#This Row],[CUIT]]="","-",VLOOKUP(compras_mes12[[#This Row],[CUIT]],Lista_CUIT[#All],3,0)),"CUIT NO CARGADO")</f>
        <v>Servicios Gas, Luz, etc.</v>
      </c>
      <c r="R158" s="45">
        <f>IFERROR(IF(compras_mes12[[#This Row],[CUIT]]="","-",VLOOKUP(compras_mes12[[#This Row],[CUIT]],Lista_CUIT[#All],4,0)),"CUIT NO CARGADO")</f>
        <v>0</v>
      </c>
    </row>
    <row r="159" spans="2:18" x14ac:dyDescent="0.3">
      <c r="B159" s="36">
        <v>44887</v>
      </c>
      <c r="C159" s="37">
        <v>1</v>
      </c>
      <c r="D159" s="38">
        <v>5</v>
      </c>
      <c r="E159" s="39">
        <v>2646461</v>
      </c>
      <c r="F159" s="40">
        <v>30702652975</v>
      </c>
      <c r="G159" s="41" t="str">
        <f>IFERROR(IF(compras_mes12[[#This Row],[CUIT]]="","-",VLOOKUP(compras_mes12[[#This Row],[CUIT]],Lista_CUIT[#All],2,0)),"CUIT NO CARGADO")</f>
        <v>NSS SA</v>
      </c>
      <c r="H159" s="42">
        <v>4562.7700000000004</v>
      </c>
      <c r="I159" s="81">
        <f>IF(compras_mes12[[#This Row],[NETO GRAVADO]]="","",compras_mes12[[#This Row],[NETO GRAVADO]]*0.21)</f>
        <v>958.18170000000009</v>
      </c>
      <c r="J159" s="81"/>
      <c r="K159" s="81"/>
      <c r="L159" s="81"/>
      <c r="M159" s="81"/>
      <c r="N159" s="81">
        <v>273.77</v>
      </c>
      <c r="O159" s="81"/>
      <c r="P159" s="44">
        <f>SUM(compras_mes12[[#This Row],[NETO GRAVADO]:[Otros / No Grav.]])</f>
        <v>5794.7217000000001</v>
      </c>
      <c r="Q159" s="45" t="str">
        <f>IFERROR(IF(compras_mes12[[#This Row],[CUIT]]="","-",VLOOKUP(compras_mes12[[#This Row],[CUIT]],Lista_CUIT[#All],3,0)),"CUIT NO CARGADO")</f>
        <v>Servicios Gas, Luz, etc.</v>
      </c>
      <c r="R159" s="45">
        <f>IFERROR(IF(compras_mes12[[#This Row],[CUIT]]="","-",VLOOKUP(compras_mes12[[#This Row],[CUIT]],Lista_CUIT[#All],4,0)),"CUIT NO CARGADO")</f>
        <v>0</v>
      </c>
    </row>
    <row r="160" spans="2:18" s="313" customFormat="1" x14ac:dyDescent="0.3">
      <c r="B160" s="36">
        <v>44872</v>
      </c>
      <c r="C160" s="37">
        <v>1</v>
      </c>
      <c r="D160" s="38">
        <v>2</v>
      </c>
      <c r="E160" s="39">
        <v>32511</v>
      </c>
      <c r="F160" s="40">
        <v>33714232199</v>
      </c>
      <c r="G160" s="41" t="str">
        <f>IFERROR(IF(compras_mes12[[#This Row],[CUIT]]="","-",VLOOKUP(compras_mes12[[#This Row],[CUIT]],Lista_CUIT[#All],2,0)),"CUIT NO CARGADO")</f>
        <v>NUAGE SYSTEMS S.A</v>
      </c>
      <c r="H160" s="42">
        <v>24108</v>
      </c>
      <c r="I160" s="81">
        <f>IF(compras_mes12[[#This Row],[NETO GRAVADO]]="","",compras_mes12[[#This Row],[NETO GRAVADO]]*0.21)</f>
        <v>5062.6799999999994</v>
      </c>
      <c r="J160" s="81"/>
      <c r="K160" s="81"/>
      <c r="L160" s="81"/>
      <c r="M160" s="81"/>
      <c r="N160" s="81"/>
      <c r="O160" s="81"/>
      <c r="P160" s="44">
        <f>SUM(compras_mes12[[#This Row],[NETO GRAVADO]:[Otros / No Grav.]])</f>
        <v>29170.68</v>
      </c>
      <c r="Q160" s="45" t="str">
        <f>IFERROR(IF(compras_mes12[[#This Row],[CUIT]]="","-",VLOOKUP(compras_mes12[[#This Row],[CUIT]],Lista_CUIT[#All],3,0)),"CUIT NO CARGADO")</f>
        <v>Servicios Informatica</v>
      </c>
      <c r="R160" s="45">
        <f>IFERROR(IF(compras_mes12[[#This Row],[CUIT]]="","-",VLOOKUP(compras_mes12[[#This Row],[CUIT]],Lista_CUIT[#All],4,0)),"CUIT NO CARGADO")</f>
        <v>0</v>
      </c>
    </row>
    <row r="161" spans="2:18" x14ac:dyDescent="0.3">
      <c r="B161" s="92" t="s">
        <v>83</v>
      </c>
      <c r="C161" s="92"/>
      <c r="D161" s="92"/>
      <c r="E161" s="92"/>
      <c r="F161" s="92"/>
      <c r="G161" s="93"/>
      <c r="H161" s="94">
        <f>SUBTOTAL(109,compras_mes12[NETO GRAVADO])</f>
        <v>18890755.510000009</v>
      </c>
      <c r="I161" s="94">
        <f>SUBTOTAL(109,compras_mes12[IVA 21 %])</f>
        <v>3953021.4571000002</v>
      </c>
      <c r="J161" s="94">
        <f>SUBTOTAL(109,compras_mes12[IVA 27%])</f>
        <v>6564.65</v>
      </c>
      <c r="K161" s="94">
        <f>SUBTOTAL(109,compras_mes12[IVA 10,5%])</f>
        <v>4457.5399000000007</v>
      </c>
      <c r="L161" s="94">
        <f>SUBTOTAL(109,compras_mes12[PERC. IVA])</f>
        <v>2989.91</v>
      </c>
      <c r="M161" s="94">
        <f>SUBTOTAL(109,compras_mes12[PERC IIBB 
BS AS])</f>
        <v>5087.17</v>
      </c>
      <c r="N161" s="94">
        <f>SUBTOTAL(109,compras_mes12[PERC. IIBB CABA])</f>
        <v>100548.33999999998</v>
      </c>
      <c r="O161" s="94">
        <f>SUBTOTAL(109,compras_mes12[Otros / No Grav.])</f>
        <v>46750.45</v>
      </c>
      <c r="P161" s="380">
        <f>SUBTOTAL(109,compras_mes12[TOTAL])</f>
        <v>23010175.027000003</v>
      </c>
      <c r="Q161" s="92"/>
      <c r="R161" s="92"/>
    </row>
    <row r="162" spans="2:18" x14ac:dyDescent="0.3">
      <c r="B162" s="36"/>
      <c r="C162" s="37"/>
      <c r="D162" s="38"/>
      <c r="E162" s="39"/>
      <c r="F162" s="40"/>
      <c r="G162" s="41"/>
      <c r="H162" s="42"/>
      <c r="I162" s="43"/>
      <c r="J162" s="43"/>
      <c r="K162" s="43"/>
      <c r="L162" s="43"/>
      <c r="M162" s="43"/>
      <c r="N162" s="43"/>
      <c r="O162" s="43"/>
      <c r="P162" s="44"/>
      <c r="Q162" s="45"/>
      <c r="R162" s="45"/>
    </row>
    <row r="163" spans="2:18" x14ac:dyDescent="0.3">
      <c r="B163" s="36"/>
      <c r="C163" s="37"/>
      <c r="D163" s="38"/>
      <c r="E163" s="39"/>
      <c r="F163" s="40"/>
      <c r="G163" s="41"/>
      <c r="H163" s="42"/>
      <c r="I163" s="43"/>
      <c r="J163" s="43"/>
      <c r="K163" s="43"/>
      <c r="L163" s="43"/>
      <c r="M163" s="43"/>
      <c r="N163" s="43"/>
      <c r="O163" s="43"/>
      <c r="P163" s="44"/>
      <c r="Q163" s="45"/>
      <c r="R163" s="45"/>
    </row>
    <row r="164" spans="2:18" x14ac:dyDescent="0.3">
      <c r="B164" s="36"/>
      <c r="C164" s="37"/>
      <c r="D164" s="38"/>
      <c r="E164" s="39"/>
      <c r="F164" s="40"/>
      <c r="G164" s="41"/>
      <c r="H164" s="42"/>
      <c r="I164" s="43"/>
      <c r="J164" s="43"/>
      <c r="K164" s="43"/>
      <c r="L164" s="43"/>
      <c r="M164" s="43"/>
      <c r="N164" s="43"/>
      <c r="O164" s="43"/>
      <c r="P164" s="44"/>
      <c r="Q164" s="45"/>
      <c r="R164" s="45"/>
    </row>
    <row r="165" spans="2:18" x14ac:dyDescent="0.3">
      <c r="B165" s="36"/>
      <c r="C165" s="37"/>
      <c r="D165" s="38"/>
      <c r="E165" s="39"/>
      <c r="F165" s="40"/>
      <c r="G165" s="41"/>
      <c r="H165" s="42"/>
      <c r="I165" s="43"/>
      <c r="J165" s="43"/>
      <c r="K165" s="43"/>
      <c r="L165" s="43"/>
    </row>
    <row r="166" spans="2:18" ht="21" x14ac:dyDescent="0.3">
      <c r="D166" s="441" t="s">
        <v>15</v>
      </c>
      <c r="E166" s="441"/>
      <c r="F166" s="441"/>
      <c r="G166" s="441"/>
      <c r="H166" s="441"/>
      <c r="I166" s="441"/>
      <c r="J166" s="441"/>
      <c r="K166" s="441"/>
      <c r="L166" s="441"/>
    </row>
    <row r="167" spans="2:18" ht="15.6" x14ac:dyDescent="0.3">
      <c r="D167" s="69" t="s">
        <v>0</v>
      </c>
      <c r="E167" s="70" t="s">
        <v>26</v>
      </c>
      <c r="F167" s="70" t="s">
        <v>16</v>
      </c>
      <c r="G167" s="70" t="s">
        <v>5</v>
      </c>
      <c r="H167" s="70" t="s">
        <v>17</v>
      </c>
      <c r="I167" s="70" t="s">
        <v>7</v>
      </c>
      <c r="J167" s="71" t="s">
        <v>18</v>
      </c>
      <c r="K167" s="71" t="s">
        <v>19</v>
      </c>
      <c r="L167" s="72" t="s">
        <v>20</v>
      </c>
    </row>
    <row r="168" spans="2:18" x14ac:dyDescent="0.3">
      <c r="D168" s="46">
        <v>44895</v>
      </c>
      <c r="E168" s="280">
        <v>301122</v>
      </c>
      <c r="F168" s="333" t="s">
        <v>95</v>
      </c>
      <c r="G168" s="335">
        <f>extracto_banco_mes12[[#This Row],[IVA 21%]]*100/21</f>
        <v>17769.619047619046</v>
      </c>
      <c r="H168" s="77">
        <v>3731.62</v>
      </c>
      <c r="I168" s="77"/>
      <c r="J168" s="77"/>
      <c r="K168" s="77">
        <v>524.85</v>
      </c>
      <c r="L168" s="77"/>
    </row>
    <row r="169" spans="2:18" x14ac:dyDescent="0.3">
      <c r="D169" s="46">
        <v>44895</v>
      </c>
      <c r="E169" s="280">
        <v>291122</v>
      </c>
      <c r="F169" s="334" t="s">
        <v>2536</v>
      </c>
      <c r="G169" s="335">
        <v>354930.82999999996</v>
      </c>
      <c r="H169" s="77">
        <v>22924.80959999999</v>
      </c>
      <c r="I169" s="77">
        <v>25805.298449999998</v>
      </c>
      <c r="J169" s="77">
        <v>270730.16000000003</v>
      </c>
      <c r="K169" s="77">
        <v>4996.7400000000007</v>
      </c>
      <c r="L169" s="77"/>
    </row>
    <row r="170" spans="2:18" x14ac:dyDescent="0.3">
      <c r="D170" s="46">
        <v>44895</v>
      </c>
      <c r="E170" s="280">
        <v>281122</v>
      </c>
      <c r="F170" s="333" t="s">
        <v>2534</v>
      </c>
      <c r="G170" s="335">
        <f>extracto_banco_mes12[[#This Row],[IVA 21%]]*100/21</f>
        <v>17495</v>
      </c>
      <c r="H170" s="77">
        <v>3673.95</v>
      </c>
      <c r="I170" s="77"/>
      <c r="J170" s="77"/>
      <c r="K170" s="77"/>
      <c r="L170" s="77"/>
    </row>
    <row r="171" spans="2:18" x14ac:dyDescent="0.3">
      <c r="D171" s="46">
        <v>44895</v>
      </c>
      <c r="E171" s="280">
        <v>271122</v>
      </c>
      <c r="F171" s="333" t="s">
        <v>97</v>
      </c>
      <c r="G171" s="335">
        <f>extracto_banco_mes12[[#This Row],[IVA 21%]]*100/21</f>
        <v>1272</v>
      </c>
      <c r="H171" s="77">
        <v>267.12</v>
      </c>
      <c r="I171" s="77"/>
      <c r="J171" s="77">
        <v>7097.7799999999988</v>
      </c>
      <c r="K171" s="77"/>
      <c r="L171" s="77"/>
    </row>
    <row r="172" spans="2:18" x14ac:dyDescent="0.3">
      <c r="D172" s="46">
        <v>44895</v>
      </c>
      <c r="E172" s="280">
        <v>632117</v>
      </c>
      <c r="F172" s="333" t="s">
        <v>2535</v>
      </c>
      <c r="G172" s="335">
        <f>extracto_banco_mes12[[#This Row],[IVA 21%]]*100/21</f>
        <v>413</v>
      </c>
      <c r="H172" s="77">
        <v>86.73</v>
      </c>
      <c r="I172" s="77"/>
      <c r="J172" s="77"/>
      <c r="K172" s="77">
        <f>2553.15+300</f>
        <v>2853.15</v>
      </c>
      <c r="L172" s="77"/>
    </row>
    <row r="173" spans="2:18" x14ac:dyDescent="0.3">
      <c r="D173" s="46">
        <v>44895</v>
      </c>
      <c r="E173" s="280">
        <v>123160</v>
      </c>
      <c r="F173" s="333" t="s">
        <v>2537</v>
      </c>
      <c r="G173" s="335">
        <f>extracto_banco_mes12[[#This Row],[IVA 21%]]*100/21</f>
        <v>496</v>
      </c>
      <c r="H173" s="77">
        <v>104.16</v>
      </c>
      <c r="I173" s="77"/>
      <c r="J173" s="77"/>
      <c r="K173" s="77"/>
      <c r="L173" s="77"/>
    </row>
    <row r="174" spans="2:18" x14ac:dyDescent="0.3">
      <c r="D174" s="46">
        <v>44895</v>
      </c>
      <c r="E174" s="280">
        <v>301122</v>
      </c>
      <c r="F174" s="333" t="s">
        <v>100</v>
      </c>
      <c r="G174" s="335">
        <f>extracto_banco_mes12[[#This Row],[IVA 21%]]*100/21</f>
        <v>5625</v>
      </c>
      <c r="H174" s="77">
        <v>1181.25</v>
      </c>
      <c r="I174" s="77"/>
      <c r="J174" s="77">
        <v>270</v>
      </c>
      <c r="K174" s="77"/>
      <c r="L174" s="77"/>
    </row>
    <row r="175" spans="2:18" x14ac:dyDescent="0.3">
      <c r="D175" s="46"/>
      <c r="E175" s="280"/>
      <c r="F175" s="333"/>
      <c r="G175" s="77">
        <f>extracto_banco_mes12[[#This Row],[IVA 21%]]*100/21</f>
        <v>0</v>
      </c>
      <c r="H175" s="77"/>
      <c r="I175" s="77"/>
      <c r="J175" s="77"/>
      <c r="K175" s="77"/>
      <c r="L175" s="77"/>
    </row>
    <row r="176" spans="2:18" x14ac:dyDescent="0.3">
      <c r="D176" s="46"/>
      <c r="E176" s="75"/>
      <c r="F176" s="76"/>
      <c r="G176" s="77">
        <f>extracto_banco_mes12[[#This Row],[IVA 21%]]*100/21</f>
        <v>0</v>
      </c>
      <c r="H176" s="77"/>
      <c r="I176" s="77"/>
      <c r="J176" s="77"/>
      <c r="K176" s="77"/>
      <c r="L176" s="77"/>
    </row>
    <row r="177" spans="4:12" x14ac:dyDescent="0.3">
      <c r="D177" s="430" t="s">
        <v>83</v>
      </c>
      <c r="E177" s="431"/>
      <c r="F177" s="431"/>
      <c r="G177" s="432">
        <f>SUBTOTAL(109,extracto_banco_mes12[NETO])</f>
        <v>398001.44904761901</v>
      </c>
      <c r="H177" s="432">
        <f>SUBTOTAL(109,extracto_banco_mes12[IVA 21%])</f>
        <v>31969.639599999988</v>
      </c>
      <c r="I177" s="432">
        <f>SUBTOTAL(109,extracto_banco_mes12[IVA 10,5%])</f>
        <v>25805.298449999998</v>
      </c>
      <c r="J177" s="432">
        <f>SUBTOTAL(109,extracto_banco_mes12[RET IIBB CABA])</f>
        <v>278097.94000000006</v>
      </c>
      <c r="K177" s="432">
        <f>SUBTOTAL(109,extracto_banco_mes12[PERC IVA])</f>
        <v>8374.7400000000016</v>
      </c>
      <c r="L177" s="432">
        <f>SUBTOTAL(109,extracto_banco_mes12[PERC IIBB])</f>
        <v>0</v>
      </c>
    </row>
    <row r="181" spans="4:12" ht="21" x14ac:dyDescent="0.3">
      <c r="D181" s="441" t="s">
        <v>2133</v>
      </c>
      <c r="E181" s="441"/>
      <c r="F181" s="441"/>
      <c r="G181" s="441"/>
      <c r="H181" s="441"/>
      <c r="I181" s="441"/>
      <c r="J181" s="441"/>
      <c r="K181" s="441"/>
    </row>
    <row r="182" spans="4:12" x14ac:dyDescent="0.3">
      <c r="D182" s="47" t="s">
        <v>0</v>
      </c>
      <c r="E182" s="47" t="s">
        <v>2</v>
      </c>
      <c r="F182" s="47" t="s">
        <v>56</v>
      </c>
      <c r="G182" s="47" t="s">
        <v>3</v>
      </c>
      <c r="H182" s="47" t="s">
        <v>4</v>
      </c>
      <c r="I182" s="48" t="s">
        <v>10</v>
      </c>
      <c r="J182" s="47" t="s">
        <v>13</v>
      </c>
      <c r="K182" s="47" t="s">
        <v>38</v>
      </c>
    </row>
    <row r="183" spans="4:12" x14ac:dyDescent="0.3">
      <c r="D183" s="257">
        <v>44866</v>
      </c>
      <c r="E183" s="252">
        <v>3</v>
      </c>
      <c r="F183" s="276">
        <v>36</v>
      </c>
      <c r="G183" s="278">
        <v>20173025557</v>
      </c>
      <c r="H183" s="258" t="str">
        <f>IFERROR(IF(factura_c_mes12[[#This Row],[CUIT]]="","-",VLOOKUP(factura_c_mes12[[#This Row],[CUIT]],Lista_CUIT[#All],2,0)),"CUIT NO CARGADO")</f>
        <v>MARAUDA HECTOR</v>
      </c>
      <c r="I183" s="259">
        <v>900</v>
      </c>
      <c r="J183" s="260" t="str">
        <f>IFERROR(IF(factura_c_mes12[[#This Row],[CUIT]]="","-",VLOOKUP(factura_c_mes12[[#This Row],[CUIT]],Lista_CUIT[#All],3,0)),"CUIT NO CARGADO")</f>
        <v>Gastos Varios</v>
      </c>
      <c r="K183" s="260">
        <f>IFERROR(IF(factura_c_mes12[[#This Row],[CUIT]]="","-",VLOOKUP(factura_c_mes12[[#This Row],[CUIT]],Lista_CUIT[#All],4,0)),"CUIT NO CARGADO")</f>
        <v>0</v>
      </c>
    </row>
    <row r="184" spans="4:12" x14ac:dyDescent="0.3">
      <c r="D184" s="257">
        <v>44883</v>
      </c>
      <c r="E184" s="252">
        <v>3</v>
      </c>
      <c r="F184" s="276">
        <v>69</v>
      </c>
      <c r="G184" s="278">
        <v>20226549758</v>
      </c>
      <c r="H184" s="258" t="str">
        <f>IFERROR(IF(factura_c_mes12[[#This Row],[CUIT]]="","-",VLOOKUP(factura_c_mes12[[#This Row],[CUIT]],Lista_CUIT[#All],2,0)),"CUIT NO CARGADO")</f>
        <v>JANEIRO VERONICA BELEN</v>
      </c>
      <c r="I184" s="259">
        <v>70000</v>
      </c>
      <c r="J184" s="260" t="str">
        <f>IFERROR(IF(factura_c_mes12[[#This Row],[CUIT]]="","-",VLOOKUP(factura_c_mes12[[#This Row],[CUIT]],Lista_CUIT[#All],3,0)),"CUIT NO CARGADO")</f>
        <v>GASTO FERIAS</v>
      </c>
      <c r="K184" s="260">
        <f>IFERROR(IF(factura_c_mes12[[#This Row],[CUIT]]="","-",VLOOKUP(factura_c_mes12[[#This Row],[CUIT]],Lista_CUIT[#All],4,0)),"CUIT NO CARGADO")</f>
        <v>0</v>
      </c>
    </row>
    <row r="185" spans="4:12" x14ac:dyDescent="0.3">
      <c r="D185" s="257">
        <v>44894</v>
      </c>
      <c r="E185" s="252">
        <v>8</v>
      </c>
      <c r="F185" s="253">
        <v>79</v>
      </c>
      <c r="G185" s="254">
        <v>27409592487</v>
      </c>
      <c r="H185" s="258" t="str">
        <f>IFERROR(IF(factura_c_mes12[[#This Row],[CUIT]]="","-",VLOOKUP(factura_c_mes12[[#This Row],[CUIT]],Lista_CUIT[#All],2,0)),"CUIT NO CARGADO")</f>
        <v>BAUDONE ANTONELLA AGOSTINA</v>
      </c>
      <c r="I185" s="261">
        <v>16340</v>
      </c>
      <c r="J185" s="260" t="str">
        <f>IFERROR(IF(factura_c_mes12[[#This Row],[CUIT]]="","-",VLOOKUP(factura_c_mes12[[#This Row],[CUIT]],Lista_CUIT[#All],3,0)),"CUIT NO CARGADO")</f>
        <v>Gastos Cursos</v>
      </c>
      <c r="K185" s="260">
        <f>IFERROR(IF(factura_c_mes12[[#This Row],[CUIT]]="","-",VLOOKUP(factura_c_mes12[[#This Row],[CUIT]],Lista_CUIT[#All],4,0)),"CUIT NO CARGADO")</f>
        <v>0</v>
      </c>
    </row>
    <row r="186" spans="4:12" x14ac:dyDescent="0.3">
      <c r="D186" s="257">
        <v>44869</v>
      </c>
      <c r="E186" s="252">
        <v>2</v>
      </c>
      <c r="F186" s="276">
        <v>198</v>
      </c>
      <c r="G186" s="278">
        <v>23319210954</v>
      </c>
      <c r="H186" s="258" t="str">
        <f>IFERROR(IF(factura_c_mes12[[#This Row],[CUIT]]="","-",VLOOKUP(factura_c_mes12[[#This Row],[CUIT]],Lista_CUIT[#All],2,0)),"CUIT NO CARGADO")</f>
        <v>CAFFARATTI ROMINA PAOLA</v>
      </c>
      <c r="I186" s="259">
        <v>6100</v>
      </c>
      <c r="J186" s="260" t="str">
        <f>IFERROR(IF(factura_c_mes12[[#This Row],[CUIT]]="","-",VLOOKUP(factura_c_mes12[[#This Row],[CUIT]],Lista_CUIT[#All],3,0)),"CUIT NO CARGADO")</f>
        <v>Honorarios Contables</v>
      </c>
      <c r="K186" s="260">
        <f>IFERROR(IF(factura_c_mes12[[#This Row],[CUIT]]="","-",VLOOKUP(factura_c_mes12[[#This Row],[CUIT]],Lista_CUIT[#All],4,0)),"CUIT NO CARGADO")</f>
        <v>0</v>
      </c>
    </row>
    <row r="187" spans="4:12" x14ac:dyDescent="0.3">
      <c r="D187" s="257">
        <v>44873</v>
      </c>
      <c r="E187" s="252">
        <v>2</v>
      </c>
      <c r="F187" s="276">
        <v>199</v>
      </c>
      <c r="G187" s="278">
        <v>23319210954</v>
      </c>
      <c r="H187" s="258" t="str">
        <f>IFERROR(IF(factura_c_mes12[[#This Row],[CUIT]]="","-",VLOOKUP(factura_c_mes12[[#This Row],[CUIT]],Lista_CUIT[#All],2,0)),"CUIT NO CARGADO")</f>
        <v>CAFFARATTI ROMINA PAOLA</v>
      </c>
      <c r="I187" s="259">
        <v>10300</v>
      </c>
      <c r="J187" s="260" t="str">
        <f>IFERROR(IF(factura_c_mes12[[#This Row],[CUIT]]="","-",VLOOKUP(factura_c_mes12[[#This Row],[CUIT]],Lista_CUIT[#All],3,0)),"CUIT NO CARGADO")</f>
        <v>Honorarios Contables</v>
      </c>
      <c r="K187" s="260">
        <f>IFERROR(IF(factura_c_mes12[[#This Row],[CUIT]]="","-",VLOOKUP(factura_c_mes12[[#This Row],[CUIT]],Lista_CUIT[#All],4,0)),"CUIT NO CARGADO")</f>
        <v>0</v>
      </c>
    </row>
    <row r="188" spans="4:12" x14ac:dyDescent="0.3">
      <c r="D188" s="257">
        <v>44867</v>
      </c>
      <c r="E188" s="252">
        <v>2</v>
      </c>
      <c r="F188" s="276">
        <v>251</v>
      </c>
      <c r="G188" s="278">
        <v>20300814094</v>
      </c>
      <c r="H188" s="258" t="str">
        <f>IFERROR(IF(factura_c_mes12[[#This Row],[CUIT]]="","-",VLOOKUP(factura_c_mes12[[#This Row],[CUIT]],Lista_CUIT[#All],2,0)),"CUIT NO CARGADO")</f>
        <v>FARRAPEIRA OSCAR MAXIMO</v>
      </c>
      <c r="I188" s="259">
        <v>88640.95</v>
      </c>
      <c r="J188" s="260" t="str">
        <f>IFERROR(IF(factura_c_mes12[[#This Row],[CUIT]]="","-",VLOOKUP(factura_c_mes12[[#This Row],[CUIT]],Lista_CUIT[#All],3,0)),"CUIT NO CARGADO")</f>
        <v>Gtos Comercializacion</v>
      </c>
      <c r="K188" s="260">
        <f>IFERROR(IF(factura_c_mes12[[#This Row],[CUIT]]="","-",VLOOKUP(factura_c_mes12[[#This Row],[CUIT]],Lista_CUIT[#All],4,0)),"CUIT NO CARGADO")</f>
        <v>0</v>
      </c>
    </row>
    <row r="189" spans="4:12" x14ac:dyDescent="0.3">
      <c r="D189" s="257">
        <v>44875</v>
      </c>
      <c r="E189" s="252">
        <v>2</v>
      </c>
      <c r="F189" s="276">
        <v>252</v>
      </c>
      <c r="G189" s="278">
        <v>20300814094</v>
      </c>
      <c r="H189" s="258" t="str">
        <f>IFERROR(IF(factura_c_mes12[[#This Row],[CUIT]]="","-",VLOOKUP(factura_c_mes12[[#This Row],[CUIT]],Lista_CUIT[#All],2,0)),"CUIT NO CARGADO")</f>
        <v>FARRAPEIRA OSCAR MAXIMO</v>
      </c>
      <c r="I189" s="259">
        <v>93632.5</v>
      </c>
      <c r="J189" s="260" t="str">
        <f>IFERROR(IF(factura_c_mes12[[#This Row],[CUIT]]="","-",VLOOKUP(factura_c_mes12[[#This Row],[CUIT]],Lista_CUIT[#All],3,0)),"CUIT NO CARGADO")</f>
        <v>Gtos Comercializacion</v>
      </c>
      <c r="K189" s="260">
        <f>IFERROR(IF(factura_c_mes12[[#This Row],[CUIT]]="","-",VLOOKUP(factura_c_mes12[[#This Row],[CUIT]],Lista_CUIT[#All],4,0)),"CUIT NO CARGADO")</f>
        <v>0</v>
      </c>
    </row>
    <row r="190" spans="4:12" x14ac:dyDescent="0.3">
      <c r="D190" s="257">
        <v>44882</v>
      </c>
      <c r="E190" s="252">
        <v>2</v>
      </c>
      <c r="F190" s="276">
        <v>254</v>
      </c>
      <c r="G190" s="278">
        <v>20300814094</v>
      </c>
      <c r="H190" s="258" t="str">
        <f>IFERROR(IF(factura_c_mes12[[#This Row],[CUIT]]="","-",VLOOKUP(factura_c_mes12[[#This Row],[CUIT]],Lista_CUIT[#All],2,0)),"CUIT NO CARGADO")</f>
        <v>FARRAPEIRA OSCAR MAXIMO</v>
      </c>
      <c r="I190" s="259">
        <v>72452.55</v>
      </c>
      <c r="J190" s="260" t="str">
        <f>IFERROR(IF(factura_c_mes12[[#This Row],[CUIT]]="","-",VLOOKUP(factura_c_mes12[[#This Row],[CUIT]],Lista_CUIT[#All],3,0)),"CUIT NO CARGADO")</f>
        <v>Gtos Comercializacion</v>
      </c>
      <c r="K190" s="260">
        <f>IFERROR(IF(factura_c_mes12[[#This Row],[CUIT]]="","-",VLOOKUP(factura_c_mes12[[#This Row],[CUIT]],Lista_CUIT[#All],4,0)),"CUIT NO CARGADO")</f>
        <v>0</v>
      </c>
    </row>
    <row r="191" spans="4:12" x14ac:dyDescent="0.3">
      <c r="D191" s="257">
        <v>44890</v>
      </c>
      <c r="E191" s="252">
        <v>2</v>
      </c>
      <c r="F191" s="276">
        <v>255</v>
      </c>
      <c r="G191" s="278">
        <v>20300814094</v>
      </c>
      <c r="H191" s="258" t="str">
        <f>IFERROR(IF(factura_c_mes12[[#This Row],[CUIT]]="","-",VLOOKUP(factura_c_mes12[[#This Row],[CUIT]],Lista_CUIT[#All],2,0)),"CUIT NO CARGADO")</f>
        <v>FARRAPEIRA OSCAR MAXIMO</v>
      </c>
      <c r="I191" s="259">
        <v>257596.79999999999</v>
      </c>
      <c r="J191" s="260" t="str">
        <f>IFERROR(IF(factura_c_mes12[[#This Row],[CUIT]]="","-",VLOOKUP(factura_c_mes12[[#This Row],[CUIT]],Lista_CUIT[#All],3,0)),"CUIT NO CARGADO")</f>
        <v>Gtos Comercializacion</v>
      </c>
      <c r="K191" s="260">
        <f>IFERROR(IF(factura_c_mes12[[#This Row],[CUIT]]="","-",VLOOKUP(factura_c_mes12[[#This Row],[CUIT]],Lista_CUIT[#All],4,0)),"CUIT NO CARGADO")</f>
        <v>0</v>
      </c>
    </row>
    <row r="192" spans="4:12" x14ac:dyDescent="0.3">
      <c r="D192" s="257">
        <v>44874</v>
      </c>
      <c r="E192" s="252">
        <v>3</v>
      </c>
      <c r="F192" s="276">
        <v>362</v>
      </c>
      <c r="G192" s="278">
        <v>20210551574</v>
      </c>
      <c r="H192" s="258" t="str">
        <f>IFERROR(IF(factura_c_mes12[[#This Row],[CUIT]]="","-",VLOOKUP(factura_c_mes12[[#This Row],[CUIT]],Lista_CUIT[#All],2,0)),"CUIT NO CARGADO")</f>
        <v>REUS JORGE DIEGO</v>
      </c>
      <c r="I192" s="259">
        <v>60000</v>
      </c>
      <c r="J192" s="260" t="str">
        <f>IFERROR(IF(factura_c_mes12[[#This Row],[CUIT]]="","-",VLOOKUP(factura_c_mes12[[#This Row],[CUIT]],Lista_CUIT[#All],3,0)),"CUIT NO CARGADO")</f>
        <v>Honorarios Juridicos</v>
      </c>
      <c r="K192" s="260">
        <f>IFERROR(IF(factura_c_mes12[[#This Row],[CUIT]]="","-",VLOOKUP(factura_c_mes12[[#This Row],[CUIT]],Lista_CUIT[#All],4,0)),"CUIT NO CARGADO")</f>
        <v>0</v>
      </c>
    </row>
    <row r="193" spans="2:18" x14ac:dyDescent="0.3">
      <c r="D193" s="257">
        <v>44867</v>
      </c>
      <c r="E193" s="252">
        <v>3</v>
      </c>
      <c r="F193" s="276">
        <v>646</v>
      </c>
      <c r="G193" s="278">
        <v>20086277523</v>
      </c>
      <c r="H193" s="258" t="str">
        <f>IFERROR(IF(factura_c_mes12[[#This Row],[CUIT]]="","-",VLOOKUP(factura_c_mes12[[#This Row],[CUIT]],Lista_CUIT[#All],2,0)),"CUIT NO CARGADO")</f>
        <v>BOTINDARI JUAN CARLOS</v>
      </c>
      <c r="I193" s="259">
        <v>60000</v>
      </c>
      <c r="J193" s="260" t="str">
        <f>IFERROR(IF(factura_c_mes12[[#This Row],[CUIT]]="","-",VLOOKUP(factura_c_mes12[[#This Row],[CUIT]],Lista_CUIT[#All],3,0)),"CUIT NO CARGADO")</f>
        <v>Honorarios Contables</v>
      </c>
      <c r="K193" s="260">
        <f>IFERROR(IF(factura_c_mes12[[#This Row],[CUIT]]="","-",VLOOKUP(factura_c_mes12[[#This Row],[CUIT]],Lista_CUIT[#All],4,0)),"CUIT NO CARGADO")</f>
        <v>0</v>
      </c>
    </row>
    <row r="194" spans="2:18" x14ac:dyDescent="0.3">
      <c r="D194" s="268">
        <v>44867</v>
      </c>
      <c r="E194" s="262">
        <v>2</v>
      </c>
      <c r="F194" s="277">
        <v>1144</v>
      </c>
      <c r="G194" s="270">
        <v>23277121859</v>
      </c>
      <c r="H194" s="271" t="str">
        <f>IFERROR(IF(factura_c_mes12[[#This Row],[CUIT]]="","-",VLOOKUP(factura_c_mes12[[#This Row],[CUIT]],Lista_CUIT[#All],2,0)),"CUIT NO CARGADO")</f>
        <v>LOPEZ JUSTO EZEQUIEL</v>
      </c>
      <c r="I194" s="272">
        <v>3560</v>
      </c>
      <c r="J194" s="273" t="str">
        <f>IFERROR(IF(factura_c_mes12[[#This Row],[CUIT]]="","-",VLOOKUP(factura_c_mes12[[#This Row],[CUIT]],Lista_CUIT[#All],3,0)),"CUIT NO CARGADO")</f>
        <v>Mantenimiento Auto</v>
      </c>
      <c r="K194" s="273">
        <f>IFERROR(IF(factura_c_mes12[[#This Row],[CUIT]]="","-",VLOOKUP(factura_c_mes12[[#This Row],[CUIT]],Lista_CUIT[#All],4,0)),"CUIT NO CARGADO")</f>
        <v>0</v>
      </c>
    </row>
    <row r="195" spans="2:18" x14ac:dyDescent="0.3">
      <c r="D195" s="257">
        <v>44894</v>
      </c>
      <c r="E195" s="252">
        <v>2</v>
      </c>
      <c r="F195" s="276">
        <v>3297</v>
      </c>
      <c r="G195" s="278">
        <v>20136536320</v>
      </c>
      <c r="H195" s="266" t="str">
        <f>IFERROR(IF(factura_c_mes12[[#This Row],[CUIT]]="","-",VLOOKUP(factura_c_mes12[[#This Row],[CUIT]],Lista_CUIT[#All],2,0)),"CUIT NO CARGADO")</f>
        <v>FONTENLA ERNESTO MARIO</v>
      </c>
      <c r="I195" s="259">
        <v>849</v>
      </c>
      <c r="J195" s="267" t="str">
        <f>IFERROR(IF(factura_c_mes12[[#This Row],[CUIT]]="","-",VLOOKUP(factura_c_mes12[[#This Row],[CUIT]],Lista_CUIT[#All],3,0)),"CUIT NO CARGADO")</f>
        <v>Gastos Varios</v>
      </c>
      <c r="K195" s="267">
        <f>IFERROR(IF(factura_c_mes12[[#This Row],[CUIT]]="","-",VLOOKUP(factura_c_mes12[[#This Row],[CUIT]],Lista_CUIT[#All],4,0)),"CUIT NO CARGADO")</f>
        <v>0</v>
      </c>
    </row>
    <row r="196" spans="2:18" x14ac:dyDescent="0.3">
      <c r="D196" s="46">
        <v>44877</v>
      </c>
      <c r="E196" s="38">
        <v>11</v>
      </c>
      <c r="F196" s="39">
        <v>4030</v>
      </c>
      <c r="G196" s="40">
        <v>20113715538</v>
      </c>
      <c r="H196" s="49" t="str">
        <f>IFERROR(IF(factura_c_mes12[[#This Row],[CUIT]]="","-",VLOOKUP(factura_c_mes12[[#This Row],[CUIT]],Lista_CUIT[#All],2,0)),"CUIT NO CARGADO")</f>
        <v>NEUMACENTER</v>
      </c>
      <c r="I196" s="77">
        <v>1400</v>
      </c>
      <c r="J196" s="50" t="str">
        <f>IFERROR(IF(factura_c_mes12[[#This Row],[CUIT]]="","-",VLOOKUP(factura_c_mes12[[#This Row],[CUIT]],Lista_CUIT[#All],3,0)),"CUIT NO CARGADO")</f>
        <v xml:space="preserve">Gastos Mantenimiento </v>
      </c>
      <c r="K196" s="50">
        <f>IFERROR(IF(factura_c_mes12[[#This Row],[CUIT]]="","-",VLOOKUP(factura_c_mes12[[#This Row],[CUIT]],Lista_CUIT[#All],4,0)),"CUIT NO CARGADO")</f>
        <v>0</v>
      </c>
    </row>
    <row r="197" spans="2:18" x14ac:dyDescent="0.3">
      <c r="D197" s="268">
        <v>44872</v>
      </c>
      <c r="E197" s="262">
        <v>5</v>
      </c>
      <c r="F197" s="277">
        <v>5448</v>
      </c>
      <c r="G197" s="279">
        <v>30711651779</v>
      </c>
      <c r="H197" s="271" t="str">
        <f>IFERROR(IF(factura_c_mes12[[#This Row],[CUIT]]="","-",VLOOKUP(factura_c_mes12[[#This Row],[CUIT]],Lista_CUIT[#All],2,0)),"CUIT NO CARGADO")</f>
        <v>INFOSOL BUENOS AIRES S.R.L.</v>
      </c>
      <c r="I197" s="272">
        <v>4844</v>
      </c>
      <c r="J197" s="273" t="str">
        <f>IFERROR(IF(factura_c_mes12[[#This Row],[CUIT]]="","-",VLOOKUP(factura_c_mes12[[#This Row],[CUIT]],Lista_CUIT[#All],3,0)),"CUIT NO CARGADO")</f>
        <v>Equipos de Informatica</v>
      </c>
      <c r="K197" s="273">
        <f>IFERROR(IF(factura_c_mes12[[#This Row],[CUIT]]="","-",VLOOKUP(factura_c_mes12[[#This Row],[CUIT]],Lista_CUIT[#All],4,0)),"CUIT NO CARGADO")</f>
        <v>0</v>
      </c>
    </row>
    <row r="198" spans="2:18" x14ac:dyDescent="0.3">
      <c r="D198" s="268">
        <v>44879</v>
      </c>
      <c r="E198" s="262">
        <v>2</v>
      </c>
      <c r="F198" s="277">
        <v>9566</v>
      </c>
      <c r="G198" s="279">
        <v>23234730959</v>
      </c>
      <c r="H198" s="274" t="str">
        <f>IFERROR(IF(factura_c_mes12[[#This Row],[CUIT]]="","-",VLOOKUP(factura_c_mes12[[#This Row],[CUIT]],Lista_CUIT[#All],2,0)),"CUIT NO CARGADO")</f>
        <v xml:space="preserve">ENCENDIDO INDEPENDENCIA </v>
      </c>
      <c r="I198" s="272">
        <v>3250</v>
      </c>
      <c r="J198" s="275" t="str">
        <f>IFERROR(IF(factura_c_mes12[[#This Row],[CUIT]]="","-",VLOOKUP(factura_c_mes12[[#This Row],[CUIT]],Lista_CUIT[#All],3,0)),"CUIT NO CARGADO")</f>
        <v>SERVICIOS</v>
      </c>
      <c r="K198" s="275">
        <f>IFERROR(IF(factura_c_mes12[[#This Row],[CUIT]]="","-",VLOOKUP(factura_c_mes12[[#This Row],[CUIT]],Lista_CUIT[#All],4,0)),"CUIT NO CARGADO")</f>
        <v>0</v>
      </c>
    </row>
    <row r="199" spans="2:18" x14ac:dyDescent="0.3">
      <c r="D199" s="46">
        <v>44895</v>
      </c>
      <c r="E199" s="38">
        <v>2</v>
      </c>
      <c r="F199" s="39">
        <v>15624</v>
      </c>
      <c r="G199" s="40">
        <v>23120106953</v>
      </c>
      <c r="H199" s="49" t="str">
        <f>IFERROR(IF(factura_c_mes12[[#This Row],[CUIT]]="","-",VLOOKUP(factura_c_mes12[[#This Row],[CUIT]],Lista_CUIT[#All],2,0)),"CUIT NO CARGADO")</f>
        <v>LIBRERÍA CARABELAS</v>
      </c>
      <c r="I199" s="77">
        <v>800</v>
      </c>
      <c r="J199" s="50" t="str">
        <f>IFERROR(IF(factura_c_mes12[[#This Row],[CUIT]]="","-",VLOOKUP(factura_c_mes12[[#This Row],[CUIT]],Lista_CUIT[#All],3,0)),"CUIT NO CARGADO")</f>
        <v>Librería</v>
      </c>
      <c r="K199" s="50">
        <f>IFERROR(IF(factura_c_mes12[[#This Row],[CUIT]]="","-",VLOOKUP(factura_c_mes12[[#This Row],[CUIT]],Lista_CUIT[#All],4,0)),"CUIT NO CARGADO")</f>
        <v>0</v>
      </c>
    </row>
    <row r="200" spans="2:18" x14ac:dyDescent="0.3">
      <c r="D200" s="268">
        <v>44874</v>
      </c>
      <c r="E200" s="262">
        <v>1004</v>
      </c>
      <c r="F200" s="277">
        <v>16688</v>
      </c>
      <c r="G200" s="279">
        <v>30712289046</v>
      </c>
      <c r="H200" s="271" t="str">
        <f>IFERROR(IF(factura_c_mes12[[#This Row],[CUIT]]="","-",VLOOKUP(factura_c_mes12[[#This Row],[CUIT]],Lista_CUIT[#All],2,0)),"CUIT NO CARGADO")</f>
        <v>IMPIERI, PIÑEIRO, RIZZO Y ASOC S.A.</v>
      </c>
      <c r="I200" s="272">
        <v>606.16999999999996</v>
      </c>
      <c r="J200" s="273" t="str">
        <f>IFERROR(IF(factura_c_mes12[[#This Row],[CUIT]]="","-",VLOOKUP(factura_c_mes12[[#This Row],[CUIT]],Lista_CUIT[#All],3,0)),"CUIT NO CARGADO")</f>
        <v>Combustible</v>
      </c>
      <c r="K200" s="273">
        <f>IFERROR(IF(factura_c_mes12[[#This Row],[CUIT]]="","-",VLOOKUP(factura_c_mes12[[#This Row],[CUIT]],Lista_CUIT[#All],4,0)),"CUIT NO CARGADO")</f>
        <v>0</v>
      </c>
    </row>
    <row r="201" spans="2:18" x14ac:dyDescent="0.3">
      <c r="D201" s="269"/>
      <c r="E201" s="269"/>
      <c r="F201" s="277"/>
      <c r="G201" s="270"/>
      <c r="H201" s="271" t="str">
        <f>IFERROR(IF(factura_c_mes12[[#This Row],[CUIT]]="","-",VLOOKUP(factura_c_mes12[[#This Row],[CUIT]],Lista_CUIT[#All],2,0)),"CUIT NO CARGADO")</f>
        <v>-</v>
      </c>
      <c r="I201" s="272"/>
      <c r="J201" s="273" t="str">
        <f>IFERROR(IF(factura_c_mes12[[#This Row],[CUIT]]="","-",VLOOKUP(factura_c_mes12[[#This Row],[CUIT]],Lista_CUIT[#All],3,0)),"CUIT NO CARGADO")</f>
        <v>-</v>
      </c>
      <c r="K201" s="273" t="str">
        <f>IFERROR(IF(factura_c_mes12[[#This Row],[CUIT]]="","-",VLOOKUP(factura_c_mes12[[#This Row],[CUIT]],Lista_CUIT[#All],4,0)),"CUIT NO CARGADO")</f>
        <v>-</v>
      </c>
    </row>
    <row r="202" spans="2:18" x14ac:dyDescent="0.3">
      <c r="B202" s="52"/>
      <c r="C202" s="52"/>
      <c r="D202" s="263" t="s">
        <v>83</v>
      </c>
      <c r="E202" s="263"/>
      <c r="F202" s="263"/>
      <c r="G202" s="263"/>
      <c r="H202" s="264"/>
      <c r="I202" s="265">
        <f>SUBTOTAL(109,factura_c_mes12[TOTAL])</f>
        <v>751271.97000000009</v>
      </c>
      <c r="J202" s="263"/>
      <c r="K202" s="263"/>
      <c r="L202" s="52"/>
      <c r="M202" s="52"/>
      <c r="N202" s="52"/>
      <c r="O202" s="52"/>
      <c r="P202" s="52"/>
      <c r="Q202" s="52"/>
      <c r="R202" s="52"/>
    </row>
    <row r="207" spans="2:18" ht="25.8" x14ac:dyDescent="0.3">
      <c r="B207" s="456" t="s">
        <v>29</v>
      </c>
      <c r="C207" s="456"/>
      <c r="D207" s="456"/>
      <c r="E207" s="456"/>
      <c r="F207" s="456"/>
      <c r="G207" s="456"/>
      <c r="H207" s="456"/>
      <c r="I207" s="456"/>
      <c r="J207" s="456"/>
      <c r="K207" s="452">
        <f>N1</f>
        <v>44896</v>
      </c>
      <c r="L207" s="452"/>
      <c r="M207" s="452"/>
    </row>
    <row r="209" spans="2:13" ht="21" x14ac:dyDescent="0.3">
      <c r="B209" s="449" t="s">
        <v>30</v>
      </c>
      <c r="C209" s="449"/>
    </row>
    <row r="210" spans="2:13" ht="31.2" x14ac:dyDescent="0.3">
      <c r="B210" s="56" t="s">
        <v>0</v>
      </c>
      <c r="C210" s="57" t="s">
        <v>1</v>
      </c>
      <c r="D210" s="57" t="s">
        <v>21</v>
      </c>
      <c r="E210" s="57" t="s">
        <v>22</v>
      </c>
      <c r="F210" s="57" t="s">
        <v>3</v>
      </c>
      <c r="G210" s="57" t="s">
        <v>4</v>
      </c>
      <c r="H210" s="57" t="s">
        <v>23</v>
      </c>
      <c r="I210" s="57" t="s">
        <v>17</v>
      </c>
      <c r="J210" s="57" t="s">
        <v>7</v>
      </c>
      <c r="K210" s="57" t="s">
        <v>24</v>
      </c>
      <c r="L210" s="57" t="s">
        <v>10</v>
      </c>
      <c r="M210" s="58" t="s">
        <v>38</v>
      </c>
    </row>
    <row r="211" spans="2:13" x14ac:dyDescent="0.3">
      <c r="B211" s="36">
        <v>44866</v>
      </c>
      <c r="C211" s="37">
        <v>1</v>
      </c>
      <c r="D211" s="38">
        <v>10</v>
      </c>
      <c r="E211" s="39">
        <v>9523</v>
      </c>
      <c r="F211" s="40">
        <v>20181612410</v>
      </c>
      <c r="G211" s="95" t="str">
        <f>IFERROR(IF(venta_a_mes12[[#This Row],[CUIT]]="","-",VLOOKUP(venta_a_mes12[[#This Row],[CUIT]],Lista_CUIT[#All],2,0)),"CUIT NO CARGADO")</f>
        <v>PACCOR ANGEL LUIS</v>
      </c>
      <c r="H211" s="96">
        <v>54217.34</v>
      </c>
      <c r="I211" s="97">
        <f>venta_a_mes12[[#This Row],[IMPORTE NETO]]*0.21</f>
        <v>11385.641399999999</v>
      </c>
      <c r="J211" s="61"/>
      <c r="K211" s="61"/>
      <c r="L211" s="61">
        <f>SUM(venta_a_mes12[[#This Row],[IMPORTE NETO]:[EXENTO]])</f>
        <v>65602.98139999999</v>
      </c>
      <c r="M211" s="55"/>
    </row>
    <row r="212" spans="2:13" x14ac:dyDescent="0.3">
      <c r="B212" s="36">
        <v>44866</v>
      </c>
      <c r="C212" s="37">
        <v>1</v>
      </c>
      <c r="D212" s="38">
        <v>10</v>
      </c>
      <c r="E212" s="39">
        <v>9524</v>
      </c>
      <c r="F212" s="40">
        <v>27327364567</v>
      </c>
      <c r="G212" s="95" t="str">
        <f>IFERROR(IF(venta_a_mes12[[#This Row],[CUIT]]="","-",VLOOKUP(venta_a_mes12[[#This Row],[CUIT]],Lista_CUIT[#All],2,0)),"CUIT NO CARGADO")</f>
        <v>CENTURION, Maria</v>
      </c>
      <c r="H212" s="96">
        <v>29857.85</v>
      </c>
      <c r="I212" s="97">
        <f>venta_a_mes12[[#This Row],[IMPORTE NETO]]*0.21</f>
        <v>6270.1484999999993</v>
      </c>
      <c r="J212" s="61"/>
      <c r="K212" s="61"/>
      <c r="L212" s="61">
        <f>SUM(venta_a_mes12[[#This Row],[IMPORTE NETO]:[EXENTO]])</f>
        <v>36127.998500000002</v>
      </c>
      <c r="M212" s="55"/>
    </row>
    <row r="213" spans="2:13" x14ac:dyDescent="0.3">
      <c r="B213" s="36">
        <v>44866</v>
      </c>
      <c r="C213" s="37">
        <v>1</v>
      </c>
      <c r="D213" s="38">
        <v>11</v>
      </c>
      <c r="E213" s="39">
        <v>1627</v>
      </c>
      <c r="F213" s="40">
        <v>27280796552</v>
      </c>
      <c r="G213" s="95" t="str">
        <f>IFERROR(IF(venta_a_mes12[[#This Row],[CUIT]]="","-",VLOOKUP(venta_a_mes12[[#This Row],[CUIT]],Lista_CUIT[#All],2,0)),"CUIT NO CARGADO")</f>
        <v>CARRERO DANIELA SOLANGE </v>
      </c>
      <c r="H213" s="96">
        <v>30371.93</v>
      </c>
      <c r="I213" s="97">
        <f>venta_a_mes12[[#This Row],[IMPORTE NETO]]*0.21</f>
        <v>6378.1053000000002</v>
      </c>
      <c r="J213" s="61"/>
      <c r="K213" s="61"/>
      <c r="L213" s="61">
        <f>SUM(venta_a_mes12[[#This Row],[IMPORTE NETO]:[EXENTO]])</f>
        <v>36750.035300000003</v>
      </c>
      <c r="M213" s="55"/>
    </row>
    <row r="214" spans="2:13" x14ac:dyDescent="0.3">
      <c r="B214" s="36">
        <v>44866</v>
      </c>
      <c r="C214" s="37">
        <v>1</v>
      </c>
      <c r="D214" s="38">
        <v>10</v>
      </c>
      <c r="E214" s="39">
        <v>9525</v>
      </c>
      <c r="F214" s="40">
        <v>27266689875</v>
      </c>
      <c r="G214" s="95" t="str">
        <f>IFERROR(IF(venta_a_mes12[[#This Row],[CUIT]]="","-",VLOOKUP(venta_a_mes12[[#This Row],[CUIT]],Lista_CUIT[#All],2,0)),"CUIT NO CARGADO")</f>
        <v>KIKA COSMETICA</v>
      </c>
      <c r="H214" s="96">
        <v>19045.04</v>
      </c>
      <c r="I214" s="97">
        <f>venta_a_mes12[[#This Row],[IMPORTE NETO]]*0.21</f>
        <v>3999.4584</v>
      </c>
      <c r="J214" s="61"/>
      <c r="K214" s="61"/>
      <c r="L214" s="61">
        <f>SUM(venta_a_mes12[[#This Row],[IMPORTE NETO]:[EXENTO]])</f>
        <v>23044.4984</v>
      </c>
      <c r="M214" s="55"/>
    </row>
    <row r="215" spans="2:13" x14ac:dyDescent="0.3">
      <c r="B215" s="36">
        <v>44866</v>
      </c>
      <c r="C215" s="37">
        <v>1</v>
      </c>
      <c r="D215" s="38">
        <v>13</v>
      </c>
      <c r="E215" s="39">
        <v>1080</v>
      </c>
      <c r="F215" s="40">
        <v>20242071574</v>
      </c>
      <c r="G215" s="95" t="str">
        <f>IFERROR(IF(venta_a_mes12[[#This Row],[CUIT]]="","-",VLOOKUP(venta_a_mes12[[#This Row],[CUIT]],Lista_CUIT[#All],2,0)),"CUIT NO CARGADO")</f>
        <v>VENDRAMINI PABLO HUGO</v>
      </c>
      <c r="H215" s="96">
        <v>5892.56</v>
      </c>
      <c r="I215" s="97">
        <f>venta_a_mes12[[#This Row],[IMPORTE NETO]]*0.21</f>
        <v>1237.4376</v>
      </c>
      <c r="J215" s="61"/>
      <c r="K215" s="61"/>
      <c r="L215" s="61">
        <f>SUM(venta_a_mes12[[#This Row],[IMPORTE NETO]:[EXENTO]])</f>
        <v>7129.9976000000006</v>
      </c>
      <c r="M215" s="55"/>
    </row>
    <row r="216" spans="2:13" x14ac:dyDescent="0.3">
      <c r="B216" s="36">
        <v>44867</v>
      </c>
      <c r="C216" s="37">
        <v>1</v>
      </c>
      <c r="D216" s="38">
        <v>10</v>
      </c>
      <c r="E216" s="39">
        <v>9528</v>
      </c>
      <c r="F216" s="40">
        <v>30711604703</v>
      </c>
      <c r="G216" s="95" t="str">
        <f>IFERROR(IF(venta_a_mes12[[#This Row],[CUIT]]="","-",VLOOKUP(venta_a_mes12[[#This Row],[CUIT]],Lista_CUIT[#All],2,0)),"CUIT NO CARGADO")</f>
        <v>KORE S.A.</v>
      </c>
      <c r="H216" s="96">
        <v>37559.5</v>
      </c>
      <c r="I216" s="97">
        <f>venta_a_mes12[[#This Row],[IMPORTE NETO]]*0.21</f>
        <v>7887.4949999999999</v>
      </c>
      <c r="J216" s="61"/>
      <c r="K216" s="61"/>
      <c r="L216" s="61">
        <f>SUM(venta_a_mes12[[#This Row],[IMPORTE NETO]:[EXENTO]])</f>
        <v>45446.995000000003</v>
      </c>
      <c r="M216" s="55"/>
    </row>
    <row r="217" spans="2:13" x14ac:dyDescent="0.3">
      <c r="B217" s="36">
        <v>44867</v>
      </c>
      <c r="C217" s="37">
        <v>1</v>
      </c>
      <c r="D217" s="38">
        <v>10</v>
      </c>
      <c r="E217" s="39">
        <v>9526</v>
      </c>
      <c r="F217" s="40">
        <v>27258239577</v>
      </c>
      <c r="G217" s="95" t="str">
        <f>IFERROR(IF(venta_a_mes12[[#This Row],[CUIT]]="","-",VLOOKUP(venta_a_mes12[[#This Row],[CUIT]],Lista_CUIT[#All],2,0)),"CUIT NO CARGADO")</f>
        <v>Lorena Fernandez Chipre</v>
      </c>
      <c r="H217" s="96">
        <v>49790.92</v>
      </c>
      <c r="I217" s="97">
        <f>venta_a_mes12[[#This Row],[IMPORTE NETO]]*0.21</f>
        <v>10456.093199999999</v>
      </c>
      <c r="J217" s="61"/>
      <c r="K217" s="61"/>
      <c r="L217" s="61">
        <f>SUM(venta_a_mes12[[#This Row],[IMPORTE NETO]:[EXENTO]])</f>
        <v>60247.013200000001</v>
      </c>
      <c r="M217" s="59"/>
    </row>
    <row r="218" spans="2:13" x14ac:dyDescent="0.3">
      <c r="B218" s="98">
        <v>44867</v>
      </c>
      <c r="C218" s="37">
        <v>1</v>
      </c>
      <c r="D218" s="100">
        <v>10</v>
      </c>
      <c r="E218" s="101">
        <v>9527</v>
      </c>
      <c r="F218" s="102">
        <v>20128057499</v>
      </c>
      <c r="G218" s="95" t="str">
        <f>IFERROR(IF(venta_a_mes12[[#This Row],[CUIT]]="","-",VLOOKUP(venta_a_mes12[[#This Row],[CUIT]],Lista_CUIT[#All],2,0)),"CUIT NO CARGADO")</f>
        <v>Parodi Claudio Omar</v>
      </c>
      <c r="H218" s="103">
        <v>6644.63</v>
      </c>
      <c r="I218" s="104">
        <f>venta_a_mes12[[#This Row],[IMPORTE NETO]]*0.21</f>
        <v>1395.3723</v>
      </c>
      <c r="J218" s="68"/>
      <c r="K218" s="68"/>
      <c r="L218" s="68">
        <f>SUM(venta_a_mes12[[#This Row],[IMPORTE NETO]:[EXENTO]])</f>
        <v>8040.0023000000001</v>
      </c>
      <c r="M218" s="59"/>
    </row>
    <row r="219" spans="2:13" x14ac:dyDescent="0.3">
      <c r="B219" s="105">
        <v>44867</v>
      </c>
      <c r="C219" s="37">
        <v>1</v>
      </c>
      <c r="D219" s="107">
        <v>11</v>
      </c>
      <c r="E219" s="108">
        <v>1628</v>
      </c>
      <c r="F219" s="109">
        <v>27161298285</v>
      </c>
      <c r="G219" s="95" t="str">
        <f>IFERROR(IF(venta_a_mes12[[#This Row],[CUIT]]="","-",VLOOKUP(venta_a_mes12[[#This Row],[CUIT]],Lista_CUIT[#All],2,0)),"CUIT NO CARGADO")</f>
        <v>ROLDAN MARIA CLAUDIA</v>
      </c>
      <c r="H219" s="96">
        <v>2909.11</v>
      </c>
      <c r="I219" s="97">
        <f>venta_a_mes12[[#This Row],[IMPORTE NETO]]*0.21</f>
        <v>610.91309999999999</v>
      </c>
      <c r="J219" s="61"/>
      <c r="K219" s="61"/>
      <c r="L219" s="61">
        <f>SUM(venta_a_mes12[[#This Row],[IMPORTE NETO]:[EXENTO]])</f>
        <v>3520.0231000000003</v>
      </c>
      <c r="M219" s="55"/>
    </row>
    <row r="220" spans="2:13" x14ac:dyDescent="0.3">
      <c r="B220" s="98">
        <v>44867</v>
      </c>
      <c r="C220" s="37">
        <v>1</v>
      </c>
      <c r="D220" s="100">
        <v>11</v>
      </c>
      <c r="E220" s="101">
        <v>1629</v>
      </c>
      <c r="F220" s="102">
        <v>27226500338</v>
      </c>
      <c r="G220" s="222" t="str">
        <f>IFERROR(IF(venta_a_mes12[[#This Row],[CUIT]]="","-",VLOOKUP(venta_a_mes12[[#This Row],[CUIT]],Lista_CUIT[#All],2,0)),"CUIT NO CARGADO")</f>
        <v>SINGER KARINA</v>
      </c>
      <c r="H220" s="103">
        <v>26206.639999999999</v>
      </c>
      <c r="I220" s="104">
        <f>venta_a_mes12[[#This Row],[IMPORTE NETO]]*0.21</f>
        <v>5503.3943999999992</v>
      </c>
      <c r="J220" s="68"/>
      <c r="K220" s="68"/>
      <c r="L220" s="68">
        <f>SUM(venta_a_mes12[[#This Row],[IMPORTE NETO]:[EXENTO]])</f>
        <v>31710.034399999997</v>
      </c>
      <c r="M220" s="59"/>
    </row>
    <row r="221" spans="2:13" x14ac:dyDescent="0.3">
      <c r="B221" s="98">
        <v>44868</v>
      </c>
      <c r="C221" s="37">
        <v>1</v>
      </c>
      <c r="D221" s="100">
        <v>11</v>
      </c>
      <c r="E221" s="101">
        <v>1630</v>
      </c>
      <c r="F221" s="102">
        <v>27280796552</v>
      </c>
      <c r="G221" s="222" t="str">
        <f>IFERROR(IF(venta_a_mes12[[#This Row],[CUIT]]="","-",VLOOKUP(venta_a_mes12[[#This Row],[CUIT]],Lista_CUIT[#All],2,0)),"CUIT NO CARGADO")</f>
        <v>CARRERO DANIELA SOLANGE </v>
      </c>
      <c r="H221" s="103">
        <v>3719.01</v>
      </c>
      <c r="I221" s="104">
        <f>venta_a_mes12[[#This Row],[IMPORTE NETO]]*0.21</f>
        <v>780.99210000000005</v>
      </c>
      <c r="J221" s="68"/>
      <c r="K221" s="68"/>
      <c r="L221" s="68">
        <f>SUM(venta_a_mes12[[#This Row],[IMPORTE NETO]:[EXENTO]])</f>
        <v>4500.0021000000006</v>
      </c>
      <c r="M221" s="59"/>
    </row>
    <row r="222" spans="2:13" x14ac:dyDescent="0.3">
      <c r="B222" s="105">
        <v>44868</v>
      </c>
      <c r="C222" s="37">
        <v>1</v>
      </c>
      <c r="D222" s="107">
        <v>12</v>
      </c>
      <c r="E222" s="108">
        <v>1188</v>
      </c>
      <c r="F222" s="109">
        <v>27175380146</v>
      </c>
      <c r="G222" s="95" t="str">
        <f>IFERROR(IF(venta_a_mes12[[#This Row],[CUIT]]="","-",VLOOKUP(venta_a_mes12[[#This Row],[CUIT]],Lista_CUIT[#All],2,0)),"CUIT NO CARGADO")</f>
        <v>CALICCHIO MARIA ANDREA</v>
      </c>
      <c r="H222" s="96">
        <v>5795.45</v>
      </c>
      <c r="I222" s="97">
        <f>venta_a_mes12[[#This Row],[IMPORTE NETO]]*0.21</f>
        <v>1217.0445</v>
      </c>
      <c r="J222" s="61"/>
      <c r="K222" s="61"/>
      <c r="L222" s="61">
        <f>SUM(venta_a_mes12[[#This Row],[IMPORTE NETO]:[EXENTO]])</f>
        <v>7012.4944999999998</v>
      </c>
      <c r="M222" s="55"/>
    </row>
    <row r="223" spans="2:13" x14ac:dyDescent="0.3">
      <c r="B223" s="105">
        <v>44868</v>
      </c>
      <c r="C223" s="37">
        <v>1</v>
      </c>
      <c r="D223" s="107">
        <v>12</v>
      </c>
      <c r="E223" s="108">
        <v>1187</v>
      </c>
      <c r="F223" s="109">
        <v>27103618792</v>
      </c>
      <c r="G223" s="95" t="str">
        <f>IFERROR(IF(venta_a_mes12[[#This Row],[CUIT]]="","-",VLOOKUP(venta_a_mes12[[#This Row],[CUIT]],Lista_CUIT[#All],2,0)),"CUIT NO CARGADO")</f>
        <v>SOSA MARIA TERESA</v>
      </c>
      <c r="H223" s="96">
        <v>4421.49</v>
      </c>
      <c r="I223" s="97">
        <f>venta_a_mes12[[#This Row],[IMPORTE NETO]]*0.21</f>
        <v>928.51289999999995</v>
      </c>
      <c r="J223" s="61"/>
      <c r="K223" s="61"/>
      <c r="L223" s="61">
        <f>SUM(venta_a_mes12[[#This Row],[IMPORTE NETO]:[EXENTO]])</f>
        <v>5350.0028999999995</v>
      </c>
      <c r="M223" s="55"/>
    </row>
    <row r="224" spans="2:13" x14ac:dyDescent="0.3">
      <c r="B224" s="105">
        <v>44869</v>
      </c>
      <c r="C224" s="37">
        <v>1</v>
      </c>
      <c r="D224" s="107">
        <v>10</v>
      </c>
      <c r="E224" s="108">
        <v>9534</v>
      </c>
      <c r="F224" s="109">
        <v>30712104550</v>
      </c>
      <c r="G224" s="95" t="str">
        <f>IFERROR(IF(venta_a_mes12[[#This Row],[CUIT]]="","-",VLOOKUP(venta_a_mes12[[#This Row],[CUIT]],Lista_CUIT[#All],2,0)),"CUIT NO CARGADO")</f>
        <v>EUROCOSMETICA S.A.</v>
      </c>
      <c r="H224" s="96">
        <v>8051.82</v>
      </c>
      <c r="I224" s="97">
        <f>venta_a_mes12[[#This Row],[IMPORTE NETO]]*0.21</f>
        <v>1690.8821999999998</v>
      </c>
      <c r="J224" s="61"/>
      <c r="K224" s="61"/>
      <c r="L224" s="61">
        <f>SUM(venta_a_mes12[[#This Row],[IMPORTE NETO]:[EXENTO]])</f>
        <v>9742.7021999999997</v>
      </c>
      <c r="M224" s="55"/>
    </row>
    <row r="225" spans="2:13" x14ac:dyDescent="0.3">
      <c r="B225" s="105">
        <v>44869</v>
      </c>
      <c r="C225" s="37">
        <v>1</v>
      </c>
      <c r="D225" s="107">
        <v>10</v>
      </c>
      <c r="E225" s="108">
        <v>9533</v>
      </c>
      <c r="F225" s="109">
        <v>30712104550</v>
      </c>
      <c r="G225" s="95" t="str">
        <f>IFERROR(IF(venta_a_mes12[[#This Row],[CUIT]]="","-",VLOOKUP(venta_a_mes12[[#This Row],[CUIT]],Lista_CUIT[#All],2,0)),"CUIT NO CARGADO")</f>
        <v>EUROCOSMETICA S.A.</v>
      </c>
      <c r="H225" s="96">
        <v>50665.84</v>
      </c>
      <c r="I225" s="97">
        <f>venta_a_mes12[[#This Row],[IMPORTE NETO]]*0.21</f>
        <v>10639.826399999998</v>
      </c>
      <c r="J225" s="61"/>
      <c r="K225" s="61"/>
      <c r="L225" s="61">
        <f>SUM(venta_a_mes12[[#This Row],[IMPORTE NETO]:[EXENTO]])</f>
        <v>61305.666399999995</v>
      </c>
      <c r="M225" s="55"/>
    </row>
    <row r="226" spans="2:13" x14ac:dyDescent="0.3">
      <c r="B226" s="105">
        <v>44869</v>
      </c>
      <c r="C226" s="37">
        <v>1</v>
      </c>
      <c r="D226" s="107">
        <v>10</v>
      </c>
      <c r="E226" s="108">
        <v>9530</v>
      </c>
      <c r="F226" s="109">
        <v>30712104550</v>
      </c>
      <c r="G226" s="95" t="str">
        <f>IFERROR(IF(venta_a_mes12[[#This Row],[CUIT]]="","-",VLOOKUP(venta_a_mes12[[#This Row],[CUIT]],Lista_CUIT[#All],2,0)),"CUIT NO CARGADO")</f>
        <v>EUROCOSMETICA S.A.</v>
      </c>
      <c r="H226" s="96">
        <v>117752.43</v>
      </c>
      <c r="I226" s="97">
        <f>venta_a_mes12[[#This Row],[IMPORTE NETO]]*0.21</f>
        <v>24728.010299999998</v>
      </c>
      <c r="J226" s="61"/>
      <c r="K226" s="61"/>
      <c r="L226" s="61">
        <f>SUM(venta_a_mes12[[#This Row],[IMPORTE NETO]:[EXENTO]])</f>
        <v>142480.44029999999</v>
      </c>
      <c r="M226" s="55"/>
    </row>
    <row r="227" spans="2:13" x14ac:dyDescent="0.3">
      <c r="B227" s="105">
        <v>44869</v>
      </c>
      <c r="C227" s="37">
        <v>1</v>
      </c>
      <c r="D227" s="107">
        <v>10</v>
      </c>
      <c r="E227" s="108">
        <v>9531</v>
      </c>
      <c r="F227" s="109">
        <v>30712104550</v>
      </c>
      <c r="G227" s="95" t="str">
        <f>IFERROR(IF(venta_a_mes12[[#This Row],[CUIT]]="","-",VLOOKUP(venta_a_mes12[[#This Row],[CUIT]],Lista_CUIT[#All],2,0)),"CUIT NO CARGADO")</f>
        <v>EUROCOSMETICA S.A.</v>
      </c>
      <c r="H227" s="96">
        <v>94762.02</v>
      </c>
      <c r="I227" s="97">
        <f>venta_a_mes12[[#This Row],[IMPORTE NETO]]*0.21</f>
        <v>19900.0242</v>
      </c>
      <c r="J227" s="61"/>
      <c r="K227" s="61"/>
      <c r="L227" s="61">
        <f>SUM(venta_a_mes12[[#This Row],[IMPORTE NETO]:[EXENTO]])</f>
        <v>114662.0442</v>
      </c>
      <c r="M227" s="55"/>
    </row>
    <row r="228" spans="2:13" x14ac:dyDescent="0.3">
      <c r="B228" s="105">
        <v>44869</v>
      </c>
      <c r="C228" s="37">
        <v>1</v>
      </c>
      <c r="D228" s="107">
        <v>10</v>
      </c>
      <c r="E228" s="108">
        <v>9532</v>
      </c>
      <c r="F228" s="109">
        <v>30712104550</v>
      </c>
      <c r="G228" s="95" t="str">
        <f>IFERROR(IF(venta_a_mes12[[#This Row],[CUIT]]="","-",VLOOKUP(venta_a_mes12[[#This Row],[CUIT]],Lista_CUIT[#All],2,0)),"CUIT NO CARGADO")</f>
        <v>EUROCOSMETICA S.A.</v>
      </c>
      <c r="H228" s="96">
        <v>63444.23</v>
      </c>
      <c r="I228" s="97">
        <f>venta_a_mes12[[#This Row],[IMPORTE NETO]]*0.21</f>
        <v>13323.2883</v>
      </c>
      <c r="J228" s="61"/>
      <c r="K228" s="61"/>
      <c r="L228" s="61">
        <f>SUM(venta_a_mes12[[#This Row],[IMPORTE NETO]:[EXENTO]])</f>
        <v>76767.518299999996</v>
      </c>
      <c r="M228" s="55"/>
    </row>
    <row r="229" spans="2:13" x14ac:dyDescent="0.3">
      <c r="B229" s="105">
        <v>44869</v>
      </c>
      <c r="C229" s="37">
        <v>1</v>
      </c>
      <c r="D229" s="107">
        <v>13</v>
      </c>
      <c r="E229" s="108">
        <v>1081</v>
      </c>
      <c r="F229" s="109">
        <v>30710144830</v>
      </c>
      <c r="G229" s="95" t="str">
        <f>IFERROR(IF(venta_a_mes12[[#This Row],[CUIT]]="","-",VLOOKUP(venta_a_mes12[[#This Row],[CUIT]],Lista_CUIT[#All],2,0)),"CUIT NO CARGADO")</f>
        <v>SEGURA HARO OMAR Y JARA FERNANDEZ MIRYAM S.H.</v>
      </c>
      <c r="H229" s="96">
        <v>2845.04</v>
      </c>
      <c r="I229" s="97">
        <f>venta_a_mes12[[#This Row],[IMPORTE NETO]]*0.21</f>
        <v>597.45839999999998</v>
      </c>
      <c r="J229" s="61"/>
      <c r="K229" s="61"/>
      <c r="L229" s="61">
        <f>SUM(venta_a_mes12[[#This Row],[IMPORTE NETO]:[EXENTO]])</f>
        <v>3442.4983999999999</v>
      </c>
      <c r="M229" s="55"/>
    </row>
    <row r="230" spans="2:13" x14ac:dyDescent="0.3">
      <c r="B230" s="105">
        <v>44869</v>
      </c>
      <c r="C230" s="37">
        <v>1</v>
      </c>
      <c r="D230" s="107">
        <v>10</v>
      </c>
      <c r="E230" s="108">
        <v>9529</v>
      </c>
      <c r="F230" s="109">
        <v>23269528214</v>
      </c>
      <c r="G230" s="95" t="str">
        <f>IFERROR(IF(venta_a_mes12[[#This Row],[CUIT]]="","-",VLOOKUP(venta_a_mes12[[#This Row],[CUIT]],Lista_CUIT[#All],2,0)),"CUIT NO CARGADO")</f>
        <v>VANINA ANABELLA ECHENIQUE</v>
      </c>
      <c r="H230" s="96">
        <v>93098.240000000005</v>
      </c>
      <c r="I230" s="97">
        <f>venta_a_mes12[[#This Row],[IMPORTE NETO]]*0.21</f>
        <v>19550.630400000002</v>
      </c>
      <c r="J230" s="61"/>
      <c r="K230" s="61"/>
      <c r="L230" s="61">
        <f>SUM(venta_a_mes12[[#This Row],[IMPORTE NETO]:[EXENTO]])</f>
        <v>112648.87040000001</v>
      </c>
      <c r="M230" s="55"/>
    </row>
    <row r="231" spans="2:13" x14ac:dyDescent="0.3">
      <c r="B231" s="105">
        <v>44869</v>
      </c>
      <c r="C231" s="37">
        <v>1</v>
      </c>
      <c r="D231" s="107">
        <v>10</v>
      </c>
      <c r="E231" s="108">
        <v>9535</v>
      </c>
      <c r="F231" s="109">
        <v>27266689875</v>
      </c>
      <c r="G231" s="95" t="str">
        <f>IFERROR(IF(venta_a_mes12[[#This Row],[CUIT]]="","-",VLOOKUP(venta_a_mes12[[#This Row],[CUIT]],Lista_CUIT[#All],2,0)),"CUIT NO CARGADO")</f>
        <v>KIKA COSMETICA</v>
      </c>
      <c r="H231" s="96">
        <v>50920.33</v>
      </c>
      <c r="I231" s="97">
        <f>venta_a_mes12[[#This Row],[IMPORTE NETO]]*0.21</f>
        <v>10693.2693</v>
      </c>
      <c r="J231" s="61"/>
      <c r="K231" s="61"/>
      <c r="L231" s="61">
        <f>SUM(venta_a_mes12[[#This Row],[IMPORTE NETO]:[EXENTO]])</f>
        <v>61613.599300000002</v>
      </c>
      <c r="M231" s="55"/>
    </row>
    <row r="232" spans="2:13" x14ac:dyDescent="0.3">
      <c r="B232" s="105">
        <v>44870</v>
      </c>
      <c r="C232" s="37">
        <v>1</v>
      </c>
      <c r="D232" s="107">
        <v>10</v>
      </c>
      <c r="E232" s="108">
        <v>9536</v>
      </c>
      <c r="F232" s="109">
        <v>30712104550</v>
      </c>
      <c r="G232" s="95" t="str">
        <f>IFERROR(IF(venta_a_mes12[[#This Row],[CUIT]]="","-",VLOOKUP(venta_a_mes12[[#This Row],[CUIT]],Lista_CUIT[#All],2,0)),"CUIT NO CARGADO")</f>
        <v>EUROCOSMETICA S.A.</v>
      </c>
      <c r="H232" s="96">
        <v>117752.43</v>
      </c>
      <c r="I232" s="97">
        <f>venta_a_mes12[[#This Row],[IMPORTE NETO]]*0.21</f>
        <v>24728.010299999998</v>
      </c>
      <c r="J232" s="61"/>
      <c r="K232" s="61"/>
      <c r="L232" s="61">
        <f>SUM(venta_a_mes12[[#This Row],[IMPORTE NETO]:[EXENTO]])</f>
        <v>142480.44029999999</v>
      </c>
      <c r="M232" s="55"/>
    </row>
    <row r="233" spans="2:13" x14ac:dyDescent="0.3">
      <c r="B233" s="105">
        <v>44872</v>
      </c>
      <c r="C233" s="37">
        <v>1</v>
      </c>
      <c r="D233" s="107">
        <v>11</v>
      </c>
      <c r="E233" s="108">
        <v>1632</v>
      </c>
      <c r="F233" s="109">
        <v>20148857696</v>
      </c>
      <c r="G233" s="95" t="str">
        <f>IFERROR(IF(venta_a_mes12[[#This Row],[CUIT]]="","-",VLOOKUP(venta_a_mes12[[#This Row],[CUIT]],Lista_CUIT[#All],2,0)),"CUIT NO CARGADO")</f>
        <v>GRIGUOLI RICARDO  ENRIQUE</v>
      </c>
      <c r="H233" s="96">
        <v>3838.84</v>
      </c>
      <c r="I233" s="97">
        <f>venta_a_mes12[[#This Row],[IMPORTE NETO]]*0.21</f>
        <v>806.15639999999996</v>
      </c>
      <c r="J233" s="61"/>
      <c r="K233" s="61"/>
      <c r="L233" s="61">
        <f>SUM(venta_a_mes12[[#This Row],[IMPORTE NETO]:[EXENTO]])</f>
        <v>4644.9964</v>
      </c>
      <c r="M233" s="55"/>
    </row>
    <row r="234" spans="2:13" x14ac:dyDescent="0.3">
      <c r="B234" s="105">
        <v>44872</v>
      </c>
      <c r="C234" s="37">
        <v>1</v>
      </c>
      <c r="D234" s="107">
        <v>10</v>
      </c>
      <c r="E234" s="108">
        <v>9537</v>
      </c>
      <c r="F234" s="109">
        <v>30708994924</v>
      </c>
      <c r="G234" s="95" t="str">
        <f>IFERROR(IF(venta_a_mes12[[#This Row],[CUIT]]="","-",VLOOKUP(venta_a_mes12[[#This Row],[CUIT]],Lista_CUIT[#All],2,0)),"CUIT NO CARGADO")</f>
        <v>MILANO SA</v>
      </c>
      <c r="H234" s="96">
        <v>747548.19</v>
      </c>
      <c r="I234" s="97">
        <f>venta_a_mes12[[#This Row],[IMPORTE NETO]]*0.21</f>
        <v>156985.11989999999</v>
      </c>
      <c r="J234" s="61"/>
      <c r="K234" s="61"/>
      <c r="L234" s="61">
        <f>SUM(venta_a_mes12[[#This Row],[IMPORTE NETO]:[EXENTO]])</f>
        <v>904533.30989999999</v>
      </c>
      <c r="M234" s="55"/>
    </row>
    <row r="235" spans="2:13" x14ac:dyDescent="0.3">
      <c r="B235" s="105">
        <v>44872</v>
      </c>
      <c r="C235" s="37">
        <v>1</v>
      </c>
      <c r="D235" s="107">
        <v>10</v>
      </c>
      <c r="E235" s="108">
        <v>9538</v>
      </c>
      <c r="F235" s="109">
        <v>30708994924</v>
      </c>
      <c r="G235" s="95" t="str">
        <f>IFERROR(IF(venta_a_mes12[[#This Row],[CUIT]]="","-",VLOOKUP(venta_a_mes12[[#This Row],[CUIT]],Lista_CUIT[#All],2,0)),"CUIT NO CARGADO")</f>
        <v>MILANO SA</v>
      </c>
      <c r="H235" s="96">
        <v>627943.87</v>
      </c>
      <c r="I235" s="97">
        <f>venta_a_mes12[[#This Row],[IMPORTE NETO]]*0.21</f>
        <v>131868.2127</v>
      </c>
      <c r="J235" s="61"/>
      <c r="K235" s="61"/>
      <c r="L235" s="61">
        <f>SUM(venta_a_mes12[[#This Row],[IMPORTE NETO]:[EXENTO]])</f>
        <v>759812.08270000003</v>
      </c>
      <c r="M235" s="55"/>
    </row>
    <row r="236" spans="2:13" x14ac:dyDescent="0.3">
      <c r="B236" s="105">
        <v>44872</v>
      </c>
      <c r="C236" s="37">
        <v>1</v>
      </c>
      <c r="D236" s="107">
        <v>15</v>
      </c>
      <c r="E236" s="108">
        <v>223</v>
      </c>
      <c r="F236" s="109">
        <v>27280036698</v>
      </c>
      <c r="G236" s="95" t="str">
        <f>IFERROR(IF(venta_a_mes12[[#This Row],[CUIT]]="","-",VLOOKUP(venta_a_mes12[[#This Row],[CUIT]],Lista_CUIT[#All],2,0)),"CUIT NO CARGADO")</f>
        <v>Espacio Fem</v>
      </c>
      <c r="H236" s="96">
        <v>13636.36</v>
      </c>
      <c r="I236" s="97">
        <f>venta_a_mes12[[#This Row],[IMPORTE NETO]]*0.21</f>
        <v>2863.6356000000001</v>
      </c>
      <c r="J236" s="61"/>
      <c r="K236" s="61"/>
      <c r="L236" s="61">
        <f>SUM(venta_a_mes12[[#This Row],[IMPORTE NETO]:[EXENTO]])</f>
        <v>16499.995600000002</v>
      </c>
      <c r="M236" s="55"/>
    </row>
    <row r="237" spans="2:13" x14ac:dyDescent="0.3">
      <c r="B237" s="105">
        <v>44872</v>
      </c>
      <c r="C237" s="37">
        <v>1</v>
      </c>
      <c r="D237" s="107">
        <v>10</v>
      </c>
      <c r="E237" s="108">
        <v>9544</v>
      </c>
      <c r="F237" s="109">
        <v>30708994924</v>
      </c>
      <c r="G237" s="95" t="str">
        <f>IFERROR(IF(venta_a_mes12[[#This Row],[CUIT]]="","-",VLOOKUP(venta_a_mes12[[#This Row],[CUIT]],Lista_CUIT[#All],2,0)),"CUIT NO CARGADO")</f>
        <v>MILANO SA</v>
      </c>
      <c r="H237" s="96">
        <v>145099.14000000001</v>
      </c>
      <c r="I237" s="97">
        <f>venta_a_mes12[[#This Row],[IMPORTE NETO]]*0.21</f>
        <v>30470.8194</v>
      </c>
      <c r="J237" s="61"/>
      <c r="K237" s="61"/>
      <c r="L237" s="61">
        <f>SUM(venta_a_mes12[[#This Row],[IMPORTE NETO]:[EXENTO]])</f>
        <v>175569.95940000002</v>
      </c>
      <c r="M237" s="55"/>
    </row>
    <row r="238" spans="2:13" x14ac:dyDescent="0.3">
      <c r="B238" s="105">
        <v>44872</v>
      </c>
      <c r="C238" s="37">
        <v>1</v>
      </c>
      <c r="D238" s="107">
        <v>10</v>
      </c>
      <c r="E238" s="108">
        <v>9543</v>
      </c>
      <c r="F238" s="109">
        <v>30708994924</v>
      </c>
      <c r="G238" s="95" t="str">
        <f>IFERROR(IF(venta_a_mes12[[#This Row],[CUIT]]="","-",VLOOKUP(venta_a_mes12[[#This Row],[CUIT]],Lista_CUIT[#All],2,0)),"CUIT NO CARGADO")</f>
        <v>MILANO SA</v>
      </c>
      <c r="H238" s="96">
        <v>173533.92</v>
      </c>
      <c r="I238" s="97">
        <f>venta_a_mes12[[#This Row],[IMPORTE NETO]]*0.21</f>
        <v>36442.123200000002</v>
      </c>
      <c r="J238" s="61"/>
      <c r="K238" s="61"/>
      <c r="L238" s="61">
        <f>SUM(venta_a_mes12[[#This Row],[IMPORTE NETO]:[EXENTO]])</f>
        <v>209976.04320000001</v>
      </c>
      <c r="M238" s="55"/>
    </row>
    <row r="239" spans="2:13" x14ac:dyDescent="0.3">
      <c r="B239" s="105">
        <v>44872</v>
      </c>
      <c r="C239" s="37">
        <v>1</v>
      </c>
      <c r="D239" s="107">
        <v>10</v>
      </c>
      <c r="E239" s="108">
        <v>9545</v>
      </c>
      <c r="F239" s="109">
        <v>30708994924</v>
      </c>
      <c r="G239" s="95" t="str">
        <f>IFERROR(IF(venta_a_mes12[[#This Row],[CUIT]]="","-",VLOOKUP(venta_a_mes12[[#This Row],[CUIT]],Lista_CUIT[#All],2,0)),"CUIT NO CARGADO")</f>
        <v>MILANO SA</v>
      </c>
      <c r="H239" s="96">
        <v>53876.02</v>
      </c>
      <c r="I239" s="97">
        <f>venta_a_mes12[[#This Row],[IMPORTE NETO]]*0.21</f>
        <v>11313.964199999999</v>
      </c>
      <c r="J239" s="61"/>
      <c r="K239" s="61"/>
      <c r="L239" s="61">
        <f>SUM(venta_a_mes12[[#This Row],[IMPORTE NETO]:[EXENTO]])</f>
        <v>65189.984199999992</v>
      </c>
      <c r="M239" s="55"/>
    </row>
    <row r="240" spans="2:13" x14ac:dyDescent="0.3">
      <c r="B240" s="105">
        <v>44872</v>
      </c>
      <c r="C240" s="37">
        <v>1</v>
      </c>
      <c r="D240" s="107">
        <v>10</v>
      </c>
      <c r="E240" s="108">
        <v>9541</v>
      </c>
      <c r="F240" s="109">
        <v>30708994924</v>
      </c>
      <c r="G240" s="95" t="str">
        <f>IFERROR(IF(venta_a_mes12[[#This Row],[CUIT]]="","-",VLOOKUP(venta_a_mes12[[#This Row],[CUIT]],Lista_CUIT[#All],2,0)),"CUIT NO CARGADO")</f>
        <v>MILANO SA</v>
      </c>
      <c r="H240" s="96">
        <v>281176.86</v>
      </c>
      <c r="I240" s="97">
        <f>venta_a_mes12[[#This Row],[IMPORTE NETO]]*0.21</f>
        <v>59047.140599999992</v>
      </c>
      <c r="J240" s="61"/>
      <c r="K240" s="61"/>
      <c r="L240" s="61">
        <f>SUM(venta_a_mes12[[#This Row],[IMPORTE NETO]:[EXENTO]])</f>
        <v>340224.00059999997</v>
      </c>
      <c r="M240" s="55"/>
    </row>
    <row r="241" spans="2:13" x14ac:dyDescent="0.3">
      <c r="B241" s="105">
        <v>44872</v>
      </c>
      <c r="C241" s="37">
        <v>1</v>
      </c>
      <c r="D241" s="107">
        <v>10</v>
      </c>
      <c r="E241" s="108">
        <v>9542</v>
      </c>
      <c r="F241" s="109">
        <v>30708994924</v>
      </c>
      <c r="G241" s="95" t="str">
        <f>IFERROR(IF(venta_a_mes12[[#This Row],[CUIT]]="","-",VLOOKUP(venta_a_mes12[[#This Row],[CUIT]],Lista_CUIT[#All],2,0)),"CUIT NO CARGADO")</f>
        <v>MILANO SA</v>
      </c>
      <c r="H241" s="96">
        <v>224925.62</v>
      </c>
      <c r="I241" s="97">
        <f>venta_a_mes12[[#This Row],[IMPORTE NETO]]*0.21</f>
        <v>47234.3802</v>
      </c>
      <c r="J241" s="61"/>
      <c r="K241" s="61"/>
      <c r="L241" s="61">
        <f>SUM(venta_a_mes12[[#This Row],[IMPORTE NETO]:[EXENTO]])</f>
        <v>272160.00020000001</v>
      </c>
      <c r="M241" s="55"/>
    </row>
    <row r="242" spans="2:13" x14ac:dyDescent="0.3">
      <c r="B242" s="105">
        <v>44872</v>
      </c>
      <c r="C242" s="37">
        <v>1</v>
      </c>
      <c r="D242" s="107">
        <v>11</v>
      </c>
      <c r="E242" s="108">
        <v>1631</v>
      </c>
      <c r="F242" s="109">
        <v>30715219014</v>
      </c>
      <c r="G242" s="95" t="str">
        <f>IFERROR(IF(venta_a_mes12[[#This Row],[CUIT]]="","-",VLOOKUP(venta_a_mes12[[#This Row],[CUIT]],Lista_CUIT[#All],2,0)),"CUIT NO CARGADO")</f>
        <v>KNOWLEDGE OF SERVICES S.R.L.</v>
      </c>
      <c r="H242" s="96">
        <v>3071.9</v>
      </c>
      <c r="I242" s="97">
        <f>venta_a_mes12[[#This Row],[IMPORTE NETO]]*0.21</f>
        <v>645.09900000000005</v>
      </c>
      <c r="J242" s="61"/>
      <c r="K242" s="61"/>
      <c r="L242" s="61">
        <f>SUM(venta_a_mes12[[#This Row],[IMPORTE NETO]:[EXENTO]])</f>
        <v>3716.9990000000003</v>
      </c>
      <c r="M242" s="55"/>
    </row>
    <row r="243" spans="2:13" x14ac:dyDescent="0.3">
      <c r="B243" s="105">
        <v>44872</v>
      </c>
      <c r="C243" s="37">
        <v>1</v>
      </c>
      <c r="D243" s="107">
        <v>10</v>
      </c>
      <c r="E243" s="108">
        <v>9540</v>
      </c>
      <c r="F243" s="109">
        <v>30708994924</v>
      </c>
      <c r="G243" s="95" t="str">
        <f>IFERROR(IF(venta_a_mes12[[#This Row],[CUIT]]="","-",VLOOKUP(venta_a_mes12[[#This Row],[CUIT]],Lista_CUIT[#All],2,0)),"CUIT NO CARGADO")</f>
        <v>MILANO SA</v>
      </c>
      <c r="H243" s="96">
        <v>51898.76</v>
      </c>
      <c r="I243" s="97">
        <f>venta_a_mes12[[#This Row],[IMPORTE NETO]]*0.21</f>
        <v>10898.739600000001</v>
      </c>
      <c r="J243" s="61"/>
      <c r="K243" s="61"/>
      <c r="L243" s="61">
        <f>SUM(venta_a_mes12[[#This Row],[IMPORTE NETO]:[EXENTO]])</f>
        <v>62797.499600000003</v>
      </c>
      <c r="M243" s="55"/>
    </row>
    <row r="244" spans="2:13" x14ac:dyDescent="0.3">
      <c r="B244" s="105">
        <v>44872</v>
      </c>
      <c r="C244" s="37">
        <v>1</v>
      </c>
      <c r="D244" s="107">
        <v>10</v>
      </c>
      <c r="E244" s="108">
        <v>9539</v>
      </c>
      <c r="F244" s="109">
        <v>30708994924</v>
      </c>
      <c r="G244" s="95" t="str">
        <f>IFERROR(IF(venta_a_mes12[[#This Row],[CUIT]]="","-",VLOOKUP(venta_a_mes12[[#This Row],[CUIT]],Lista_CUIT[#All],2,0)),"CUIT NO CARGADO")</f>
        <v>MILANO SA</v>
      </c>
      <c r="H244" s="96">
        <v>279364.61</v>
      </c>
      <c r="I244" s="97">
        <f>venta_a_mes12[[#This Row],[IMPORTE NETO]]*0.21</f>
        <v>58666.568099999997</v>
      </c>
      <c r="J244" s="61"/>
      <c r="K244" s="61"/>
      <c r="L244" s="61">
        <f>SUM(venta_a_mes12[[#This Row],[IMPORTE NETO]:[EXENTO]])</f>
        <v>338031.17809999996</v>
      </c>
      <c r="M244" s="55"/>
    </row>
    <row r="245" spans="2:13" x14ac:dyDescent="0.3">
      <c r="B245" s="105">
        <v>44873</v>
      </c>
      <c r="C245" s="37">
        <v>1</v>
      </c>
      <c r="D245" s="107">
        <v>10</v>
      </c>
      <c r="E245" s="108">
        <v>9546</v>
      </c>
      <c r="F245" s="109">
        <v>20223632719</v>
      </c>
      <c r="G245" s="95" t="str">
        <f>IFERROR(IF(venta_a_mes12[[#This Row],[CUIT]]="","-",VLOOKUP(venta_a_mes12[[#This Row],[CUIT]],Lista_CUIT[#All],2,0)),"CUIT NO CARGADO")</f>
        <v>ROMAN GABINO</v>
      </c>
      <c r="H245" s="96">
        <v>7305.79</v>
      </c>
      <c r="I245" s="97">
        <f>venta_a_mes12[[#This Row],[IMPORTE NETO]]*0.21</f>
        <v>1534.2158999999999</v>
      </c>
      <c r="J245" s="61"/>
      <c r="K245" s="61"/>
      <c r="L245" s="61">
        <f>SUM(venta_a_mes12[[#This Row],[IMPORTE NETO]:[EXENTO]])</f>
        <v>8840.0059000000001</v>
      </c>
      <c r="M245" s="55"/>
    </row>
    <row r="246" spans="2:13" x14ac:dyDescent="0.3">
      <c r="B246" s="105">
        <v>44873</v>
      </c>
      <c r="C246" s="37">
        <v>1</v>
      </c>
      <c r="D246" s="107">
        <v>10</v>
      </c>
      <c r="E246" s="108">
        <v>9547</v>
      </c>
      <c r="F246" s="109">
        <v>20223632719</v>
      </c>
      <c r="G246" s="95" t="str">
        <f>IFERROR(IF(venta_a_mes12[[#This Row],[CUIT]]="","-",VLOOKUP(venta_a_mes12[[#This Row],[CUIT]],Lista_CUIT[#All],2,0)),"CUIT NO CARGADO")</f>
        <v>ROMAN GABINO</v>
      </c>
      <c r="H246" s="96">
        <v>4462.8100000000004</v>
      </c>
      <c r="I246" s="97">
        <f>venta_a_mes12[[#This Row],[IMPORTE NETO]]*0.21</f>
        <v>937.19010000000003</v>
      </c>
      <c r="J246" s="61"/>
      <c r="K246" s="61"/>
      <c r="L246" s="61">
        <f>SUM(venta_a_mes12[[#This Row],[IMPORTE NETO]:[EXENTO]])</f>
        <v>5400.0001000000002</v>
      </c>
      <c r="M246" s="55"/>
    </row>
    <row r="247" spans="2:13" x14ac:dyDescent="0.3">
      <c r="B247" s="105">
        <v>44874</v>
      </c>
      <c r="C247" s="37">
        <v>1</v>
      </c>
      <c r="D247" s="107">
        <v>10</v>
      </c>
      <c r="E247" s="108">
        <v>9556</v>
      </c>
      <c r="F247" s="109">
        <v>23180421564</v>
      </c>
      <c r="G247" s="95" t="str">
        <f>IFERROR(IF(venta_a_mes12[[#This Row],[CUIT]]="","-",VLOOKUP(venta_a_mes12[[#This Row],[CUIT]],Lista_CUIT[#All],2,0)),"CUIT NO CARGADO")</f>
        <v>RAMOS CLAUDIA JAQUELINA</v>
      </c>
      <c r="H247" s="96">
        <v>139107.85</v>
      </c>
      <c r="I247" s="97">
        <f>venta_a_mes12[[#This Row],[IMPORTE NETO]]*0.21</f>
        <v>29212.648499999999</v>
      </c>
      <c r="J247" s="61"/>
      <c r="K247" s="61"/>
      <c r="L247" s="61">
        <f>SUM(venta_a_mes12[[#This Row],[IMPORTE NETO]:[EXENTO]])</f>
        <v>168320.49850000002</v>
      </c>
      <c r="M247" s="55"/>
    </row>
    <row r="248" spans="2:13" x14ac:dyDescent="0.3">
      <c r="B248" s="105">
        <v>44874</v>
      </c>
      <c r="C248" s="37">
        <v>1</v>
      </c>
      <c r="D248" s="107">
        <v>10</v>
      </c>
      <c r="E248" s="108">
        <v>9548</v>
      </c>
      <c r="F248" s="109">
        <v>27277172874</v>
      </c>
      <c r="G248" s="95" t="str">
        <f>IFERROR(IF(venta_a_mes12[[#This Row],[CUIT]]="","-",VLOOKUP(venta_a_mes12[[#This Row],[CUIT]],Lista_CUIT[#All],2,0)),"CUIT NO CARGADO")</f>
        <v>MARIN MARIA SOL</v>
      </c>
      <c r="H248" s="96">
        <v>24607.439999999999</v>
      </c>
      <c r="I248" s="97">
        <f>venta_a_mes12[[#This Row],[IMPORTE NETO]]*0.21</f>
        <v>5167.5623999999998</v>
      </c>
      <c r="J248" s="61"/>
      <c r="K248" s="61"/>
      <c r="L248" s="61">
        <f>SUM(venta_a_mes12[[#This Row],[IMPORTE NETO]:[EXENTO]])</f>
        <v>29775.002399999998</v>
      </c>
      <c r="M248" s="55"/>
    </row>
    <row r="249" spans="2:13" x14ac:dyDescent="0.3">
      <c r="B249" s="105">
        <v>44874</v>
      </c>
      <c r="C249" s="37">
        <v>1</v>
      </c>
      <c r="D249" s="107">
        <v>11</v>
      </c>
      <c r="E249" s="108">
        <v>1633</v>
      </c>
      <c r="F249" s="109">
        <v>27226500338</v>
      </c>
      <c r="G249" s="95" t="str">
        <f>IFERROR(IF(venta_a_mes12[[#This Row],[CUIT]]="","-",VLOOKUP(venta_a_mes12[[#This Row],[CUIT]],Lista_CUIT[#All],2,0)),"CUIT NO CARGADO")</f>
        <v>SINGER KARINA</v>
      </c>
      <c r="H249" s="96">
        <v>20330.580000000002</v>
      </c>
      <c r="I249" s="97">
        <f>venta_a_mes12[[#This Row],[IMPORTE NETO]]*0.21</f>
        <v>4269.4218000000001</v>
      </c>
      <c r="J249" s="61"/>
      <c r="K249" s="61"/>
      <c r="L249" s="61">
        <f>SUM(venta_a_mes12[[#This Row],[IMPORTE NETO]:[EXENTO]])</f>
        <v>24600.001800000002</v>
      </c>
      <c r="M249" s="55"/>
    </row>
    <row r="250" spans="2:13" x14ac:dyDescent="0.3">
      <c r="B250" s="105">
        <v>44874</v>
      </c>
      <c r="C250" s="37">
        <v>1</v>
      </c>
      <c r="D250" s="107">
        <v>10</v>
      </c>
      <c r="E250" s="108">
        <v>9554</v>
      </c>
      <c r="F250" s="109">
        <v>27234905924</v>
      </c>
      <c r="G250" s="95" t="str">
        <f>IFERROR(IF(venta_a_mes12[[#This Row],[CUIT]]="","-",VLOOKUP(venta_a_mes12[[#This Row],[CUIT]],Lista_CUIT[#All],2,0)),"CUIT NO CARGADO")</f>
        <v>SANTORELLI CARLA</v>
      </c>
      <c r="H250" s="96">
        <v>12202.48</v>
      </c>
      <c r="I250" s="97">
        <f>venta_a_mes12[[#This Row],[IMPORTE NETO]]*0.21</f>
        <v>2562.5207999999998</v>
      </c>
      <c r="J250" s="61"/>
      <c r="K250" s="61"/>
      <c r="L250" s="61">
        <f>SUM(venta_a_mes12[[#This Row],[IMPORTE NETO]:[EXENTO]])</f>
        <v>14765.0008</v>
      </c>
      <c r="M250" s="55"/>
    </row>
    <row r="251" spans="2:13" x14ac:dyDescent="0.3">
      <c r="B251" s="105">
        <v>44874</v>
      </c>
      <c r="C251" s="37">
        <v>1</v>
      </c>
      <c r="D251" s="107">
        <v>10</v>
      </c>
      <c r="E251" s="108">
        <v>9553</v>
      </c>
      <c r="F251" s="109">
        <v>27234905924</v>
      </c>
      <c r="G251" s="95" t="str">
        <f>IFERROR(IF(venta_a_mes12[[#This Row],[CUIT]]="","-",VLOOKUP(venta_a_mes12[[#This Row],[CUIT]],Lista_CUIT[#All],2,0)),"CUIT NO CARGADO")</f>
        <v>SANTORELLI CARLA</v>
      </c>
      <c r="H251" s="96">
        <v>105095.62</v>
      </c>
      <c r="I251" s="97">
        <f>venta_a_mes12[[#This Row],[IMPORTE NETO]]*0.21</f>
        <v>22070.080199999997</v>
      </c>
      <c r="J251" s="61"/>
      <c r="K251" s="61"/>
      <c r="L251" s="61">
        <f>SUM(venta_a_mes12[[#This Row],[IMPORTE NETO]:[EXENTO]])</f>
        <v>127165.70019999999</v>
      </c>
      <c r="M251" s="55"/>
    </row>
    <row r="252" spans="2:13" x14ac:dyDescent="0.3">
      <c r="B252" s="105">
        <v>44874</v>
      </c>
      <c r="C252" s="37">
        <v>1</v>
      </c>
      <c r="D252" s="107">
        <v>10</v>
      </c>
      <c r="E252" s="108">
        <v>9552</v>
      </c>
      <c r="F252" s="109">
        <v>27234905924</v>
      </c>
      <c r="G252" s="95" t="str">
        <f>IFERROR(IF(venta_a_mes12[[#This Row],[CUIT]]="","-",VLOOKUP(venta_a_mes12[[#This Row],[CUIT]],Lista_CUIT[#All],2,0)),"CUIT NO CARGADO")</f>
        <v>SANTORELLI CARLA</v>
      </c>
      <c r="H252" s="96">
        <v>184623.63</v>
      </c>
      <c r="I252" s="97">
        <f>venta_a_mes12[[#This Row],[IMPORTE NETO]]*0.21</f>
        <v>38770.962299999999</v>
      </c>
      <c r="J252" s="61"/>
      <c r="K252" s="61"/>
      <c r="L252" s="61">
        <f>SUM(venta_a_mes12[[#This Row],[IMPORTE NETO]:[EXENTO]])</f>
        <v>223394.59230000002</v>
      </c>
      <c r="M252" s="55"/>
    </row>
    <row r="253" spans="2:13" x14ac:dyDescent="0.3">
      <c r="B253" s="105">
        <v>44874</v>
      </c>
      <c r="C253" s="37">
        <v>1</v>
      </c>
      <c r="D253" s="107">
        <v>10</v>
      </c>
      <c r="E253" s="108">
        <v>9561</v>
      </c>
      <c r="F253" s="109">
        <v>23180421564</v>
      </c>
      <c r="G253" s="95" t="str">
        <f>IFERROR(IF(venta_a_mes12[[#This Row],[CUIT]]="","-",VLOOKUP(venta_a_mes12[[#This Row],[CUIT]],Lista_CUIT[#All],2,0)),"CUIT NO CARGADO")</f>
        <v>RAMOS CLAUDIA JAQUELINA</v>
      </c>
      <c r="H253" s="96">
        <v>46028.1</v>
      </c>
      <c r="I253" s="97">
        <f>venta_a_mes12[[#This Row],[IMPORTE NETO]]*0.21</f>
        <v>9665.9009999999998</v>
      </c>
      <c r="J253" s="61"/>
      <c r="K253" s="61"/>
      <c r="L253" s="61">
        <f>SUM(venta_a_mes12[[#This Row],[IMPORTE NETO]:[EXENTO]])</f>
        <v>55694.000999999997</v>
      </c>
      <c r="M253" s="55"/>
    </row>
    <row r="254" spans="2:13" x14ac:dyDescent="0.3">
      <c r="B254" s="105">
        <v>44874</v>
      </c>
      <c r="C254" s="37">
        <v>1</v>
      </c>
      <c r="D254" s="107">
        <v>10</v>
      </c>
      <c r="E254" s="108">
        <v>9550</v>
      </c>
      <c r="F254" s="109">
        <v>23357502209</v>
      </c>
      <c r="G254" s="95" t="str">
        <f>IFERROR(IF(venta_a_mes12[[#This Row],[CUIT]]="","-",VLOOKUP(venta_a_mes12[[#This Row],[CUIT]],Lista_CUIT[#All],2,0)),"CUIT NO CARGADO")</f>
        <v>BIANCHINI LUCIANO</v>
      </c>
      <c r="H254" s="96">
        <v>22403.23</v>
      </c>
      <c r="I254" s="97">
        <f>venta_a_mes12[[#This Row],[IMPORTE NETO]]*0.21</f>
        <v>4704.6782999999996</v>
      </c>
      <c r="J254" s="61"/>
      <c r="K254" s="61"/>
      <c r="L254" s="61">
        <f>SUM(venta_a_mes12[[#This Row],[IMPORTE NETO]:[EXENTO]])</f>
        <v>27107.908299999999</v>
      </c>
      <c r="M254" s="55"/>
    </row>
    <row r="255" spans="2:13" x14ac:dyDescent="0.3">
      <c r="B255" s="105">
        <v>44874</v>
      </c>
      <c r="C255" s="37">
        <v>1</v>
      </c>
      <c r="D255" s="107">
        <v>10</v>
      </c>
      <c r="E255" s="108">
        <v>9551</v>
      </c>
      <c r="F255" s="109">
        <v>23357502209</v>
      </c>
      <c r="G255" s="95" t="str">
        <f>IFERROR(IF(venta_a_mes12[[#This Row],[CUIT]]="","-",VLOOKUP(venta_a_mes12[[#This Row],[CUIT]],Lista_CUIT[#All],2,0)),"CUIT NO CARGADO")</f>
        <v>BIANCHINI LUCIANO</v>
      </c>
      <c r="H255" s="96">
        <v>7061.16</v>
      </c>
      <c r="I255" s="97">
        <f>venta_a_mes12[[#This Row],[IMPORTE NETO]]*0.21</f>
        <v>1482.8435999999999</v>
      </c>
      <c r="J255" s="61"/>
      <c r="K255" s="61"/>
      <c r="L255" s="61">
        <f>SUM(venta_a_mes12[[#This Row],[IMPORTE NETO]:[EXENTO]])</f>
        <v>8544.0036</v>
      </c>
      <c r="M255" s="55"/>
    </row>
    <row r="256" spans="2:13" x14ac:dyDescent="0.3">
      <c r="B256" s="105">
        <v>44874</v>
      </c>
      <c r="C256" s="37">
        <v>1</v>
      </c>
      <c r="D256" s="107">
        <v>10</v>
      </c>
      <c r="E256" s="108">
        <v>9560</v>
      </c>
      <c r="F256" s="109">
        <v>23180421564</v>
      </c>
      <c r="G256" s="95" t="str">
        <f>IFERROR(IF(venta_a_mes12[[#This Row],[CUIT]]="","-",VLOOKUP(venta_a_mes12[[#This Row],[CUIT]],Lista_CUIT[#All],2,0)),"CUIT NO CARGADO")</f>
        <v>RAMOS CLAUDIA JAQUELINA</v>
      </c>
      <c r="H256" s="96">
        <v>49184.75</v>
      </c>
      <c r="I256" s="97">
        <f>venta_a_mes12[[#This Row],[IMPORTE NETO]]*0.21</f>
        <v>10328.797499999999</v>
      </c>
      <c r="J256" s="61"/>
      <c r="K256" s="61"/>
      <c r="L256" s="61">
        <f>SUM(venta_a_mes12[[#This Row],[IMPORTE NETO]:[EXENTO]])</f>
        <v>59513.547500000001</v>
      </c>
      <c r="M256" s="55"/>
    </row>
    <row r="257" spans="2:13" x14ac:dyDescent="0.3">
      <c r="B257" s="105">
        <v>44874</v>
      </c>
      <c r="C257" s="37">
        <v>1</v>
      </c>
      <c r="D257" s="107">
        <v>10</v>
      </c>
      <c r="E257" s="108">
        <v>9549</v>
      </c>
      <c r="F257" s="109">
        <v>30711720169</v>
      </c>
      <c r="G257" s="95" t="str">
        <f>IFERROR(IF(venta_a_mes12[[#This Row],[CUIT]]="","-",VLOOKUP(venta_a_mes12[[#This Row],[CUIT]],Lista_CUIT[#All],2,0)),"CUIT NO CARGADO")</f>
        <v>KINE ESTETIC SRL</v>
      </c>
      <c r="H257" s="96">
        <v>47275.77</v>
      </c>
      <c r="I257" s="97">
        <f>venta_a_mes12[[#This Row],[IMPORTE NETO]]*0.21</f>
        <v>9927.9116999999987</v>
      </c>
      <c r="J257" s="61"/>
      <c r="K257" s="61"/>
      <c r="L257" s="61">
        <f>SUM(venta_a_mes12[[#This Row],[IMPORTE NETO]:[EXENTO]])</f>
        <v>57203.681699999994</v>
      </c>
      <c r="M257" s="55"/>
    </row>
    <row r="258" spans="2:13" x14ac:dyDescent="0.3">
      <c r="B258" s="105">
        <v>44874</v>
      </c>
      <c r="C258" s="37">
        <v>1</v>
      </c>
      <c r="D258" s="107">
        <v>10</v>
      </c>
      <c r="E258" s="108">
        <v>9559</v>
      </c>
      <c r="F258" s="109">
        <v>23180421564</v>
      </c>
      <c r="G258" s="95" t="str">
        <f>IFERROR(IF(venta_a_mes12[[#This Row],[CUIT]]="","-",VLOOKUP(venta_a_mes12[[#This Row],[CUIT]],Lista_CUIT[#All],2,0)),"CUIT NO CARGADO")</f>
        <v>RAMOS CLAUDIA JAQUELINA</v>
      </c>
      <c r="H258" s="96">
        <v>146471.57</v>
      </c>
      <c r="I258" s="97">
        <f>venta_a_mes12[[#This Row],[IMPORTE NETO]]*0.21</f>
        <v>30759.029699999999</v>
      </c>
      <c r="J258" s="61"/>
      <c r="K258" s="61"/>
      <c r="L258" s="61">
        <f>SUM(venta_a_mes12[[#This Row],[IMPORTE NETO]:[EXENTO]])</f>
        <v>177230.59970000002</v>
      </c>
      <c r="M258" s="55"/>
    </row>
    <row r="259" spans="2:13" x14ac:dyDescent="0.3">
      <c r="B259" s="105">
        <v>44874</v>
      </c>
      <c r="C259" s="37">
        <v>1</v>
      </c>
      <c r="D259" s="107">
        <v>10</v>
      </c>
      <c r="E259" s="108">
        <v>9558</v>
      </c>
      <c r="F259" s="109">
        <v>23180421564</v>
      </c>
      <c r="G259" s="95" t="str">
        <f>IFERROR(IF(venta_a_mes12[[#This Row],[CUIT]]="","-",VLOOKUP(venta_a_mes12[[#This Row],[CUIT]],Lista_CUIT[#All],2,0)),"CUIT NO CARGADO")</f>
        <v>RAMOS CLAUDIA JAQUELINA</v>
      </c>
      <c r="H259" s="96">
        <v>147222.89000000001</v>
      </c>
      <c r="I259" s="97">
        <f>venta_a_mes12[[#This Row],[IMPORTE NETO]]*0.21</f>
        <v>30916.806900000003</v>
      </c>
      <c r="J259" s="61"/>
      <c r="K259" s="61"/>
      <c r="L259" s="61">
        <f>SUM(venta_a_mes12[[#This Row],[IMPORTE NETO]:[EXENTO]])</f>
        <v>178139.69690000001</v>
      </c>
      <c r="M259" s="55"/>
    </row>
    <row r="260" spans="2:13" x14ac:dyDescent="0.3">
      <c r="B260" s="105">
        <v>44874</v>
      </c>
      <c r="C260" s="37">
        <v>1</v>
      </c>
      <c r="D260" s="107">
        <v>10</v>
      </c>
      <c r="E260" s="108">
        <v>9555</v>
      </c>
      <c r="F260" s="109">
        <v>27223495317</v>
      </c>
      <c r="G260" s="95" t="str">
        <f>IFERROR(IF(venta_a_mes12[[#This Row],[CUIT]]="","-",VLOOKUP(venta_a_mes12[[#This Row],[CUIT]],Lista_CUIT[#All],2,0)),"CUIT NO CARGADO")</f>
        <v>GALAN ANABEL ISABEL</v>
      </c>
      <c r="H260" s="96">
        <v>15813.21</v>
      </c>
      <c r="I260" s="97">
        <f>venta_a_mes12[[#This Row],[IMPORTE NETO]]*0.21</f>
        <v>3320.7740999999996</v>
      </c>
      <c r="J260" s="61"/>
      <c r="K260" s="61"/>
      <c r="L260" s="61">
        <f>SUM(venta_a_mes12[[#This Row],[IMPORTE NETO]:[EXENTO]])</f>
        <v>19133.984099999998</v>
      </c>
      <c r="M260" s="55"/>
    </row>
    <row r="261" spans="2:13" x14ac:dyDescent="0.3">
      <c r="B261" s="105">
        <v>44874</v>
      </c>
      <c r="C261" s="37">
        <v>1</v>
      </c>
      <c r="D261" s="107">
        <v>10</v>
      </c>
      <c r="E261" s="108">
        <v>9557</v>
      </c>
      <c r="F261" s="109">
        <v>23180421564</v>
      </c>
      <c r="G261" s="95" t="str">
        <f>IFERROR(IF(venta_a_mes12[[#This Row],[CUIT]]="","-",VLOOKUP(venta_a_mes12[[#This Row],[CUIT]],Lista_CUIT[#All],2,0)),"CUIT NO CARGADO")</f>
        <v>RAMOS CLAUDIA JAQUELINA</v>
      </c>
      <c r="H261" s="96">
        <v>119815.17</v>
      </c>
      <c r="I261" s="97">
        <f>venta_a_mes12[[#This Row],[IMPORTE NETO]]*0.21</f>
        <v>25161.185699999998</v>
      </c>
      <c r="J261" s="61"/>
      <c r="K261" s="61"/>
      <c r="L261" s="61">
        <f>SUM(venta_a_mes12[[#This Row],[IMPORTE NETO]:[EXENTO]])</f>
        <v>144976.35569999999</v>
      </c>
      <c r="M261" s="55"/>
    </row>
    <row r="262" spans="2:13" x14ac:dyDescent="0.3">
      <c r="B262" s="105">
        <v>44875</v>
      </c>
      <c r="C262" s="37">
        <v>1</v>
      </c>
      <c r="D262" s="107">
        <v>10</v>
      </c>
      <c r="E262" s="108">
        <v>9564</v>
      </c>
      <c r="F262" s="109">
        <v>27141689296</v>
      </c>
      <c r="G262" s="95" t="str">
        <f>IFERROR(IF(venta_a_mes12[[#This Row],[CUIT]]="","-",VLOOKUP(venta_a_mes12[[#This Row],[CUIT]],Lista_CUIT[#All],2,0)),"CUIT NO CARGADO")</f>
        <v>FLEYTAS MONICA LILIANA</v>
      </c>
      <c r="H262" s="96">
        <v>7148.76</v>
      </c>
      <c r="I262" s="97">
        <f>venta_a_mes12[[#This Row],[IMPORTE NETO]]*0.21</f>
        <v>1501.2395999999999</v>
      </c>
      <c r="J262" s="61"/>
      <c r="K262" s="61"/>
      <c r="L262" s="61">
        <f>SUM(venta_a_mes12[[#This Row],[IMPORTE NETO]:[EXENTO]])</f>
        <v>8649.9995999999992</v>
      </c>
      <c r="M262" s="55"/>
    </row>
    <row r="263" spans="2:13" x14ac:dyDescent="0.3">
      <c r="B263" s="105">
        <v>44875</v>
      </c>
      <c r="C263" s="37">
        <v>1</v>
      </c>
      <c r="D263" s="107">
        <v>13</v>
      </c>
      <c r="E263" s="108">
        <v>1082</v>
      </c>
      <c r="F263" s="109">
        <v>27333102035</v>
      </c>
      <c r="G263" s="95" t="str">
        <f>IFERROR(IF(venta_a_mes12[[#This Row],[CUIT]]="","-",VLOOKUP(venta_a_mes12[[#This Row],[CUIT]],Lista_CUIT[#All],2,0)),"CUIT NO CARGADO")</f>
        <v>RAJOY AGUSTINA</v>
      </c>
      <c r="H263" s="96">
        <v>371.9</v>
      </c>
      <c r="I263" s="97">
        <f>venta_a_mes12[[#This Row],[IMPORTE NETO]]*0.21</f>
        <v>78.09899999999999</v>
      </c>
      <c r="J263" s="61"/>
      <c r="K263" s="61"/>
      <c r="L263" s="61">
        <f>SUM(venta_a_mes12[[#This Row],[IMPORTE NETO]:[EXENTO]])</f>
        <v>449.99899999999997</v>
      </c>
      <c r="M263" s="55"/>
    </row>
    <row r="264" spans="2:13" x14ac:dyDescent="0.3">
      <c r="B264" s="105">
        <v>44875</v>
      </c>
      <c r="C264" s="37">
        <v>1</v>
      </c>
      <c r="D264" s="107">
        <v>12</v>
      </c>
      <c r="E264" s="108">
        <v>1190</v>
      </c>
      <c r="F264" s="109">
        <v>30708023910</v>
      </c>
      <c r="G264" s="95" t="str">
        <f>IFERROR(IF(venta_a_mes12[[#This Row],[CUIT]]="","-",VLOOKUP(venta_a_mes12[[#This Row],[CUIT]],Lista_CUIT[#All],2,0)),"CUIT NO CARGADO")</f>
        <v>IPMAG S.A. </v>
      </c>
      <c r="H264" s="96">
        <v>7768.6</v>
      </c>
      <c r="I264" s="97">
        <f>venta_a_mes12[[#This Row],[IMPORTE NETO]]*0.21</f>
        <v>1631.4059999999999</v>
      </c>
      <c r="J264" s="61"/>
      <c r="K264" s="61"/>
      <c r="L264" s="61">
        <f>SUM(venta_a_mes12[[#This Row],[IMPORTE NETO]:[EXENTO]])</f>
        <v>9400.0060000000012</v>
      </c>
      <c r="M264" s="55"/>
    </row>
    <row r="265" spans="2:13" x14ac:dyDescent="0.3">
      <c r="B265" s="105">
        <v>44875</v>
      </c>
      <c r="C265" s="37">
        <v>1</v>
      </c>
      <c r="D265" s="107">
        <v>10</v>
      </c>
      <c r="E265" s="108">
        <v>9563</v>
      </c>
      <c r="F265" s="109">
        <v>30708073519</v>
      </c>
      <c r="G265" s="95" t="str">
        <f>IFERROR(IF(venta_a_mes12[[#This Row],[CUIT]]="","-",VLOOKUP(venta_a_mes12[[#This Row],[CUIT]],Lista_CUIT[#All],2,0)),"CUIT NO CARGADO")</f>
        <v>NUEVO PLAZA HOTEL MENDOZA S.A.</v>
      </c>
      <c r="H265" s="96">
        <v>94082.64</v>
      </c>
      <c r="I265" s="97">
        <f>venta_a_mes12[[#This Row],[IMPORTE NETO]]*0.21</f>
        <v>19757.3544</v>
      </c>
      <c r="J265" s="61"/>
      <c r="K265" s="61"/>
      <c r="L265" s="61">
        <f>SUM(venta_a_mes12[[#This Row],[IMPORTE NETO]:[EXENTO]])</f>
        <v>113839.9944</v>
      </c>
      <c r="M265" s="55"/>
    </row>
    <row r="266" spans="2:13" x14ac:dyDescent="0.3">
      <c r="B266" s="105">
        <v>44875</v>
      </c>
      <c r="C266" s="37">
        <v>1</v>
      </c>
      <c r="D266" s="107">
        <v>10</v>
      </c>
      <c r="E266" s="108">
        <v>9562</v>
      </c>
      <c r="F266" s="109">
        <v>27047880241</v>
      </c>
      <c r="G266" s="95" t="str">
        <f>IFERROR(IF(venta_a_mes12[[#This Row],[CUIT]]="","-",VLOOKUP(venta_a_mes12[[#This Row],[CUIT]],Lista_CUIT[#All],2,0)),"CUIT NO CARGADO")</f>
        <v>DELGADO ORTIZ SILVIA ALEJANDRA</v>
      </c>
      <c r="H266" s="96">
        <v>11694.21</v>
      </c>
      <c r="I266" s="97">
        <f>venta_a_mes12[[#This Row],[IMPORTE NETO]]*0.21</f>
        <v>2455.7840999999999</v>
      </c>
      <c r="J266" s="61"/>
      <c r="K266" s="61"/>
      <c r="L266" s="61">
        <f>SUM(venta_a_mes12[[#This Row],[IMPORTE NETO]:[EXENTO]])</f>
        <v>14149.9941</v>
      </c>
      <c r="M266" s="55"/>
    </row>
    <row r="267" spans="2:13" x14ac:dyDescent="0.3">
      <c r="B267" s="105">
        <v>44875</v>
      </c>
      <c r="C267" s="37">
        <v>1</v>
      </c>
      <c r="D267" s="107">
        <v>12</v>
      </c>
      <c r="E267" s="108">
        <v>1189</v>
      </c>
      <c r="F267" s="109">
        <v>27368065981</v>
      </c>
      <c r="G267" s="95" t="str">
        <f>IFERROR(IF(venta_a_mes12[[#This Row],[CUIT]]="","-",VLOOKUP(venta_a_mes12[[#This Row],[CUIT]],Lista_CUIT[#All],2,0)),"CUIT NO CARGADO")</f>
        <v>PONTIGGIA CANDELARIA</v>
      </c>
      <c r="H267" s="96">
        <v>11942.15</v>
      </c>
      <c r="I267" s="97">
        <f>venta_a_mes12[[#This Row],[IMPORTE NETO]]*0.21</f>
        <v>2507.8514999999998</v>
      </c>
      <c r="J267" s="61"/>
      <c r="K267" s="61"/>
      <c r="L267" s="61">
        <f>SUM(venta_a_mes12[[#This Row],[IMPORTE NETO]:[EXENTO]])</f>
        <v>14450.001499999998</v>
      </c>
      <c r="M267" s="55"/>
    </row>
    <row r="268" spans="2:13" x14ac:dyDescent="0.3">
      <c r="B268" s="105">
        <v>44875</v>
      </c>
      <c r="C268" s="37">
        <v>1</v>
      </c>
      <c r="D268" s="107">
        <v>11</v>
      </c>
      <c r="E268" s="108">
        <v>1634</v>
      </c>
      <c r="F268" s="109">
        <v>27226500338</v>
      </c>
      <c r="G268" s="95" t="str">
        <f>IFERROR(IF(venta_a_mes12[[#This Row],[CUIT]]="","-",VLOOKUP(venta_a_mes12[[#This Row],[CUIT]],Lista_CUIT[#All],2,0)),"CUIT NO CARGADO")</f>
        <v>SINGER KARINA</v>
      </c>
      <c r="H268" s="96">
        <v>17975.23</v>
      </c>
      <c r="I268" s="97">
        <f>venta_a_mes12[[#This Row],[IMPORTE NETO]]*0.21</f>
        <v>3774.7982999999999</v>
      </c>
      <c r="J268" s="61"/>
      <c r="K268" s="61"/>
      <c r="L268" s="61">
        <f>SUM(venta_a_mes12[[#This Row],[IMPORTE NETO]:[EXENTO]])</f>
        <v>21750.028299999998</v>
      </c>
      <c r="M268" s="55"/>
    </row>
    <row r="269" spans="2:13" x14ac:dyDescent="0.3">
      <c r="B269" s="105">
        <v>44876</v>
      </c>
      <c r="C269" s="37">
        <v>1</v>
      </c>
      <c r="D269" s="107">
        <v>15</v>
      </c>
      <c r="E269" s="108">
        <v>224</v>
      </c>
      <c r="F269" s="109">
        <v>30715701975</v>
      </c>
      <c r="G269" s="95" t="str">
        <f>IFERROR(IF(venta_a_mes12[[#This Row],[CUIT]]="","-",VLOOKUP(venta_a_mes12[[#This Row],[CUIT]],Lista_CUIT[#All],2,0)),"CUIT NO CARGADO")</f>
        <v>Sociedad calvi y Fernandez sociedad ley 19750</v>
      </c>
      <c r="H269" s="96">
        <v>991.74</v>
      </c>
      <c r="I269" s="97">
        <f>venta_a_mes12[[#This Row],[IMPORTE NETO]]*0.21</f>
        <v>208.2654</v>
      </c>
      <c r="J269" s="61"/>
      <c r="K269" s="61"/>
      <c r="L269" s="61">
        <f>SUM(venta_a_mes12[[#This Row],[IMPORTE NETO]:[EXENTO]])</f>
        <v>1200.0054</v>
      </c>
      <c r="M269" s="55"/>
    </row>
    <row r="270" spans="2:13" x14ac:dyDescent="0.3">
      <c r="B270" s="105">
        <v>44876</v>
      </c>
      <c r="C270" s="37">
        <v>1</v>
      </c>
      <c r="D270" s="107">
        <v>12</v>
      </c>
      <c r="E270" s="108">
        <v>1192</v>
      </c>
      <c r="F270" s="109">
        <v>20188295526</v>
      </c>
      <c r="G270" s="95" t="str">
        <f>IFERROR(IF(venta_a_mes12[[#This Row],[CUIT]]="","-",VLOOKUP(venta_a_mes12[[#This Row],[CUIT]],Lista_CUIT[#All],2,0)),"CUIT NO CARGADO")</f>
        <v>KOTISHEVSKY SERGEI</v>
      </c>
      <c r="H270" s="96">
        <v>4991.74</v>
      </c>
      <c r="I270" s="97">
        <f>venta_a_mes12[[#This Row],[IMPORTE NETO]]*0.21</f>
        <v>1048.2654</v>
      </c>
      <c r="J270" s="61"/>
      <c r="K270" s="61"/>
      <c r="L270" s="61">
        <f>SUM(venta_a_mes12[[#This Row],[IMPORTE NETO]:[EXENTO]])</f>
        <v>6040.0054</v>
      </c>
      <c r="M270" s="55"/>
    </row>
    <row r="271" spans="2:13" x14ac:dyDescent="0.3">
      <c r="B271" s="105">
        <v>44876</v>
      </c>
      <c r="C271" s="37">
        <v>1</v>
      </c>
      <c r="D271" s="107">
        <v>12</v>
      </c>
      <c r="E271" s="108">
        <v>1191</v>
      </c>
      <c r="F271" s="109">
        <v>20206659379</v>
      </c>
      <c r="G271" s="95" t="str">
        <f>IFERROR(IF(venta_a_mes12[[#This Row],[CUIT]]="","-",VLOOKUP(venta_a_mes12[[#This Row],[CUIT]],Lista_CUIT[#All],2,0)),"CUIT NO CARGADO")</f>
        <v>VELASCO ALBERTO </v>
      </c>
      <c r="H271" s="96">
        <v>3809.92</v>
      </c>
      <c r="I271" s="97">
        <f>venta_a_mes12[[#This Row],[IMPORTE NETO]]*0.21</f>
        <v>800.08320000000003</v>
      </c>
      <c r="J271" s="61"/>
      <c r="K271" s="61"/>
      <c r="L271" s="61">
        <f>SUM(venta_a_mes12[[#This Row],[IMPORTE NETO]:[EXENTO]])</f>
        <v>4610.0032000000001</v>
      </c>
      <c r="M271" s="55"/>
    </row>
    <row r="272" spans="2:13" x14ac:dyDescent="0.3">
      <c r="B272" s="105">
        <v>44879</v>
      </c>
      <c r="C272" s="37">
        <v>1</v>
      </c>
      <c r="D272" s="107">
        <v>11</v>
      </c>
      <c r="E272" s="108">
        <v>1637</v>
      </c>
      <c r="F272" s="109">
        <v>27321118084</v>
      </c>
      <c r="G272" s="95" t="str">
        <f>IFERROR(IF(venta_a_mes12[[#This Row],[CUIT]]="","-",VLOOKUP(venta_a_mes12[[#This Row],[CUIT]],Lista_CUIT[#All],2,0)),"CUIT NO CARGADO")</f>
        <v>LORENZO PIÑEIRO MARIA BELEN</v>
      </c>
      <c r="H272" s="96">
        <v>182157.01</v>
      </c>
      <c r="I272" s="97">
        <f>venta_a_mes12[[#This Row],[IMPORTE NETO]]*0.21</f>
        <v>38252.972099999999</v>
      </c>
      <c r="J272" s="61"/>
      <c r="K272" s="61"/>
      <c r="L272" s="61">
        <f>SUM(venta_a_mes12[[#This Row],[IMPORTE NETO]:[EXENTO]])</f>
        <v>220409.98210000002</v>
      </c>
      <c r="M272" s="55"/>
    </row>
    <row r="273" spans="2:13" x14ac:dyDescent="0.3">
      <c r="B273" s="105">
        <v>44879</v>
      </c>
      <c r="C273" s="37">
        <v>1</v>
      </c>
      <c r="D273" s="107">
        <v>10</v>
      </c>
      <c r="E273" s="108">
        <v>9565</v>
      </c>
      <c r="F273" s="109">
        <v>30709163503</v>
      </c>
      <c r="G273" s="95" t="str">
        <f>IFERROR(IF(venta_a_mes12[[#This Row],[CUIT]]="","-",VLOOKUP(venta_a_mes12[[#This Row],[CUIT]],Lista_CUIT[#All],2,0)),"CUIT NO CARGADO")</f>
        <v>CANADEZ S.R.L.</v>
      </c>
      <c r="H273" s="96">
        <v>155788.26</v>
      </c>
      <c r="I273" s="97">
        <f>venta_a_mes12[[#This Row],[IMPORTE NETO]]*0.21</f>
        <v>32715.534599999999</v>
      </c>
      <c r="J273" s="61"/>
      <c r="K273" s="61"/>
      <c r="L273" s="61">
        <f>SUM(venta_a_mes12[[#This Row],[IMPORTE NETO]:[EXENTO]])</f>
        <v>188503.79460000002</v>
      </c>
      <c r="M273" s="55"/>
    </row>
    <row r="274" spans="2:13" x14ac:dyDescent="0.3">
      <c r="B274" s="105">
        <v>44879</v>
      </c>
      <c r="C274" s="37">
        <v>1</v>
      </c>
      <c r="D274" s="107">
        <v>10</v>
      </c>
      <c r="E274" s="108">
        <v>9566</v>
      </c>
      <c r="F274" s="109">
        <v>27242128252</v>
      </c>
      <c r="G274" s="95" t="str">
        <f>IFERROR(IF(venta_a_mes12[[#This Row],[CUIT]]="","-",VLOOKUP(venta_a_mes12[[#This Row],[CUIT]],Lista_CUIT[#All],2,0)),"CUIT NO CARGADO")</f>
        <v>ZALEWSKI MONICA ROXANA</v>
      </c>
      <c r="H274" s="96">
        <v>96776.11</v>
      </c>
      <c r="I274" s="97">
        <f>venta_a_mes12[[#This Row],[IMPORTE NETO]]*0.21</f>
        <v>20322.983099999998</v>
      </c>
      <c r="J274" s="61"/>
      <c r="K274" s="61"/>
      <c r="L274" s="61">
        <f>SUM(venta_a_mes12[[#This Row],[IMPORTE NETO]:[EXENTO]])</f>
        <v>117099.0931</v>
      </c>
      <c r="M274" s="55"/>
    </row>
    <row r="275" spans="2:13" x14ac:dyDescent="0.3">
      <c r="B275" s="105">
        <v>44879</v>
      </c>
      <c r="C275" s="37">
        <v>1</v>
      </c>
      <c r="D275" s="107">
        <v>10</v>
      </c>
      <c r="E275" s="108">
        <v>9567</v>
      </c>
      <c r="F275" s="109">
        <v>27242128252</v>
      </c>
      <c r="G275" s="95" t="str">
        <f>IFERROR(IF(venta_a_mes12[[#This Row],[CUIT]]="","-",VLOOKUP(venta_a_mes12[[#This Row],[CUIT]],Lista_CUIT[#All],2,0)),"CUIT NO CARGADO")</f>
        <v>ZALEWSKI MONICA ROXANA</v>
      </c>
      <c r="H275" s="96">
        <v>114599.55</v>
      </c>
      <c r="I275" s="97">
        <f>venta_a_mes12[[#This Row],[IMPORTE NETO]]*0.21</f>
        <v>24065.905500000001</v>
      </c>
      <c r="J275" s="61"/>
      <c r="K275" s="61"/>
      <c r="L275" s="61">
        <f>SUM(venta_a_mes12[[#This Row],[IMPORTE NETO]:[EXENTO]])</f>
        <v>138665.45550000001</v>
      </c>
      <c r="M275" s="55"/>
    </row>
    <row r="276" spans="2:13" x14ac:dyDescent="0.3">
      <c r="B276" s="105">
        <v>44879</v>
      </c>
      <c r="C276" s="37">
        <v>1</v>
      </c>
      <c r="D276" s="107">
        <v>11</v>
      </c>
      <c r="E276" s="108">
        <v>1636</v>
      </c>
      <c r="F276" s="109">
        <v>30715219014</v>
      </c>
      <c r="G276" s="95" t="str">
        <f>IFERROR(IF(venta_a_mes12[[#This Row],[CUIT]]="","-",VLOOKUP(venta_a_mes12[[#This Row],[CUIT]],Lista_CUIT[#All],2,0)),"CUIT NO CARGADO")</f>
        <v>KNOWLEDGE OF SERVICES S.R.L.</v>
      </c>
      <c r="H276" s="96">
        <v>7438.02</v>
      </c>
      <c r="I276" s="97">
        <f>venta_a_mes12[[#This Row],[IMPORTE NETO]]*0.21</f>
        <v>1561.9842000000001</v>
      </c>
      <c r="J276" s="61"/>
      <c r="K276" s="61"/>
      <c r="L276" s="61">
        <f>SUM(venta_a_mes12[[#This Row],[IMPORTE NETO]:[EXENTO]])</f>
        <v>9000.0042000000012</v>
      </c>
      <c r="M276" s="55"/>
    </row>
    <row r="277" spans="2:13" x14ac:dyDescent="0.3">
      <c r="B277" s="105">
        <v>44879</v>
      </c>
      <c r="C277" s="37">
        <v>1</v>
      </c>
      <c r="D277" s="107">
        <v>13</v>
      </c>
      <c r="E277" s="108">
        <v>1083</v>
      </c>
      <c r="F277" s="109">
        <v>20076169579</v>
      </c>
      <c r="G277" s="95" t="str">
        <f>IFERROR(IF(venta_a_mes12[[#This Row],[CUIT]]="","-",VLOOKUP(venta_a_mes12[[#This Row],[CUIT]],Lista_CUIT[#All],2,0)),"CUIT NO CARGADO")</f>
        <v>GOLDENBERG FERNANDO DANIEL</v>
      </c>
      <c r="H277" s="96">
        <v>11768.6</v>
      </c>
      <c r="I277" s="97">
        <f>venta_a_mes12[[#This Row],[IMPORTE NETO]]*0.21</f>
        <v>2471.4059999999999</v>
      </c>
      <c r="J277" s="61"/>
      <c r="K277" s="61"/>
      <c r="L277" s="61">
        <f>SUM(venta_a_mes12[[#This Row],[IMPORTE NETO]:[EXENTO]])</f>
        <v>14240.006000000001</v>
      </c>
      <c r="M277" s="55"/>
    </row>
    <row r="278" spans="2:13" x14ac:dyDescent="0.3">
      <c r="B278" s="105">
        <v>44879</v>
      </c>
      <c r="C278" s="37">
        <v>1</v>
      </c>
      <c r="D278" s="107">
        <v>13</v>
      </c>
      <c r="E278" s="108">
        <v>1084</v>
      </c>
      <c r="F278" s="109">
        <v>20214540291</v>
      </c>
      <c r="G278" s="95" t="str">
        <f>IFERROR(IF(venta_a_mes12[[#This Row],[CUIT]]="","-",VLOOKUP(venta_a_mes12[[#This Row],[CUIT]],Lista_CUIT[#All],2,0)),"CUIT NO CARGADO")</f>
        <v>GARRIDO JULIO CESAR</v>
      </c>
      <c r="H278" s="96">
        <v>14371.91</v>
      </c>
      <c r="I278" s="97">
        <f>venta_a_mes12[[#This Row],[IMPORTE NETO]]*0.21</f>
        <v>3018.1010999999999</v>
      </c>
      <c r="J278" s="61"/>
      <c r="K278" s="61"/>
      <c r="L278" s="61">
        <f>SUM(venta_a_mes12[[#This Row],[IMPORTE NETO]:[EXENTO]])</f>
        <v>17390.0111</v>
      </c>
      <c r="M278" s="55"/>
    </row>
    <row r="279" spans="2:13" x14ac:dyDescent="0.3">
      <c r="B279" s="105">
        <v>44879</v>
      </c>
      <c r="C279" s="37">
        <v>1</v>
      </c>
      <c r="D279" s="107">
        <v>12</v>
      </c>
      <c r="E279" s="108">
        <v>1193</v>
      </c>
      <c r="F279" s="109">
        <v>30716087588</v>
      </c>
      <c r="G279" s="95" t="str">
        <f>IFERROR(IF(venta_a_mes12[[#This Row],[CUIT]]="","-",VLOOKUP(venta_a_mes12[[#This Row],[CUIT]],Lista_CUIT[#All],2,0)),"CUIT NO CARGADO")</f>
        <v>THE BEAUTY PLACE S.A.S.</v>
      </c>
      <c r="H279" s="96">
        <v>6983.47</v>
      </c>
      <c r="I279" s="97">
        <f>venta_a_mes12[[#This Row],[IMPORTE NETO]]*0.21</f>
        <v>1466.5287000000001</v>
      </c>
      <c r="J279" s="61"/>
      <c r="K279" s="61"/>
      <c r="L279" s="61">
        <f>SUM(venta_a_mes12[[#This Row],[IMPORTE NETO]:[EXENTO]])</f>
        <v>8449.9987000000001</v>
      </c>
      <c r="M279" s="55"/>
    </row>
    <row r="280" spans="2:13" x14ac:dyDescent="0.3">
      <c r="B280" s="105">
        <v>44879</v>
      </c>
      <c r="C280" s="37">
        <v>1</v>
      </c>
      <c r="D280" s="107">
        <v>11</v>
      </c>
      <c r="E280" s="108">
        <v>1635</v>
      </c>
      <c r="F280" s="109">
        <v>27280796552</v>
      </c>
      <c r="G280" s="95" t="str">
        <f>IFERROR(IF(venta_a_mes12[[#This Row],[CUIT]]="","-",VLOOKUP(venta_a_mes12[[#This Row],[CUIT]],Lista_CUIT[#All],2,0)),"CUIT NO CARGADO")</f>
        <v>CARRERO DANIELA SOLANGE </v>
      </c>
      <c r="H280" s="96">
        <v>17082.64</v>
      </c>
      <c r="I280" s="97">
        <f>venta_a_mes12[[#This Row],[IMPORTE NETO]]*0.21</f>
        <v>3587.3543999999997</v>
      </c>
      <c r="J280" s="61"/>
      <c r="K280" s="61"/>
      <c r="L280" s="61">
        <f>SUM(venta_a_mes12[[#This Row],[IMPORTE NETO]:[EXENTO]])</f>
        <v>20669.9944</v>
      </c>
      <c r="M280" s="55"/>
    </row>
    <row r="281" spans="2:13" x14ac:dyDescent="0.3">
      <c r="B281" s="105">
        <v>44880</v>
      </c>
      <c r="C281" s="37">
        <v>1</v>
      </c>
      <c r="D281" s="107">
        <v>11</v>
      </c>
      <c r="E281" s="108">
        <v>1638</v>
      </c>
      <c r="F281" s="109">
        <v>30716413817</v>
      </c>
      <c r="G281" s="95" t="str">
        <f>IFERROR(IF(venta_a_mes12[[#This Row],[CUIT]]="","-",VLOOKUP(venta_a_mes12[[#This Row],[CUIT]],Lista_CUIT[#All],2,0)),"CUIT NO CARGADO")</f>
        <v>MRF LOGISTICA Y SERVICIOS S.R.L.</v>
      </c>
      <c r="H281" s="96">
        <v>2933.88</v>
      </c>
      <c r="I281" s="97">
        <f>venta_a_mes12[[#This Row],[IMPORTE NETO]]*0.21</f>
        <v>616.11479999999995</v>
      </c>
      <c r="J281" s="61"/>
      <c r="K281" s="61"/>
      <c r="L281" s="61">
        <f>SUM(venta_a_mes12[[#This Row],[IMPORTE NETO]:[EXENTO]])</f>
        <v>3549.9947999999999</v>
      </c>
      <c r="M281" s="55"/>
    </row>
    <row r="282" spans="2:13" x14ac:dyDescent="0.3">
      <c r="B282" s="105">
        <v>44881</v>
      </c>
      <c r="C282" s="37">
        <v>1</v>
      </c>
      <c r="D282" s="107">
        <v>12</v>
      </c>
      <c r="E282" s="108">
        <v>1196</v>
      </c>
      <c r="F282" s="109">
        <v>30541213860</v>
      </c>
      <c r="G282" s="95" t="str">
        <f>IFERROR(IF(venta_a_mes12[[#This Row],[CUIT]]="","-",VLOOKUP(venta_a_mes12[[#This Row],[CUIT]],Lista_CUIT[#All],2,0)),"CUIT NO CARGADO")</f>
        <v>CENTRO DE EMPLEADOS DE COMERCIO ZONA NORTE</v>
      </c>
      <c r="H282" s="96">
        <v>2107.44</v>
      </c>
      <c r="I282" s="97">
        <f>venta_a_mes12[[#This Row],[IMPORTE NETO]]*0.21</f>
        <v>442.56239999999997</v>
      </c>
      <c r="J282" s="61"/>
      <c r="K282" s="61"/>
      <c r="L282" s="61">
        <f>SUM(venta_a_mes12[[#This Row],[IMPORTE NETO]:[EXENTO]])</f>
        <v>2550.0023999999999</v>
      </c>
      <c r="M282" s="55"/>
    </row>
    <row r="283" spans="2:13" x14ac:dyDescent="0.3">
      <c r="B283" s="105">
        <v>44881</v>
      </c>
      <c r="C283" s="37">
        <v>1</v>
      </c>
      <c r="D283" s="107">
        <v>11</v>
      </c>
      <c r="E283" s="108">
        <v>1639</v>
      </c>
      <c r="F283" s="109">
        <v>27226500338</v>
      </c>
      <c r="G283" s="95" t="str">
        <f>IFERROR(IF(venta_a_mes12[[#This Row],[CUIT]]="","-",VLOOKUP(venta_a_mes12[[#This Row],[CUIT]],Lista_CUIT[#All],2,0)),"CUIT NO CARGADO")</f>
        <v>SINGER KARINA</v>
      </c>
      <c r="H283" s="96">
        <v>17826.47</v>
      </c>
      <c r="I283" s="97">
        <f>venta_a_mes12[[#This Row],[IMPORTE NETO]]*0.21</f>
        <v>3743.5587</v>
      </c>
      <c r="J283" s="61"/>
      <c r="K283" s="61"/>
      <c r="L283" s="61">
        <f>SUM(venta_a_mes12[[#This Row],[IMPORTE NETO]:[EXENTO]])</f>
        <v>21570.028700000003</v>
      </c>
      <c r="M283" s="55"/>
    </row>
    <row r="284" spans="2:13" x14ac:dyDescent="0.3">
      <c r="B284" s="105">
        <v>44881</v>
      </c>
      <c r="C284" s="37">
        <v>1</v>
      </c>
      <c r="D284" s="107">
        <v>15</v>
      </c>
      <c r="E284" s="108">
        <v>225</v>
      </c>
      <c r="F284" s="109">
        <v>27142831339</v>
      </c>
      <c r="G284" s="95" t="str">
        <f>IFERROR(IF(venta_a_mes12[[#This Row],[CUIT]]="","-",VLOOKUP(venta_a_mes12[[#This Row],[CUIT]],Lista_CUIT[#All],2,0)),"CUIT NO CARGADO")</f>
        <v>BIEN MUJER</v>
      </c>
      <c r="H284" s="96">
        <v>5553.7</v>
      </c>
      <c r="I284" s="97">
        <f>venta_a_mes12[[#This Row],[IMPORTE NETO]]*0.21</f>
        <v>1166.2769999999998</v>
      </c>
      <c r="J284" s="61"/>
      <c r="K284" s="61"/>
      <c r="L284" s="61">
        <f>SUM(venta_a_mes12[[#This Row],[IMPORTE NETO]:[EXENTO]])</f>
        <v>6719.9769999999999</v>
      </c>
      <c r="M284" s="55"/>
    </row>
    <row r="285" spans="2:13" x14ac:dyDescent="0.3">
      <c r="B285" s="105">
        <v>44881</v>
      </c>
      <c r="C285" s="37">
        <v>1</v>
      </c>
      <c r="D285" s="107">
        <v>10</v>
      </c>
      <c r="E285" s="108">
        <v>9572</v>
      </c>
      <c r="F285" s="109">
        <v>27141689296</v>
      </c>
      <c r="G285" s="95" t="str">
        <f>IFERROR(IF(venta_a_mes12[[#This Row],[CUIT]]="","-",VLOOKUP(venta_a_mes12[[#This Row],[CUIT]],Lista_CUIT[#All],2,0)),"CUIT NO CARGADO")</f>
        <v>FLEYTAS MONICA LILIANA</v>
      </c>
      <c r="H285" s="96">
        <v>11074.38</v>
      </c>
      <c r="I285" s="97">
        <f>venta_a_mes12[[#This Row],[IMPORTE NETO]]*0.21</f>
        <v>2325.6197999999999</v>
      </c>
      <c r="J285" s="61"/>
      <c r="K285" s="61"/>
      <c r="L285" s="61">
        <f>SUM(venta_a_mes12[[#This Row],[IMPORTE NETO]:[EXENTO]])</f>
        <v>13399.9998</v>
      </c>
      <c r="M285" s="55"/>
    </row>
    <row r="286" spans="2:13" x14ac:dyDescent="0.3">
      <c r="B286" s="105">
        <v>44881</v>
      </c>
      <c r="C286" s="37">
        <v>1</v>
      </c>
      <c r="D286" s="107">
        <v>10</v>
      </c>
      <c r="E286" s="108">
        <v>9574</v>
      </c>
      <c r="F286" s="109">
        <v>30708994924</v>
      </c>
      <c r="G286" s="95" t="str">
        <f>IFERROR(IF(venta_a_mes12[[#This Row],[CUIT]]="","-",VLOOKUP(venta_a_mes12[[#This Row],[CUIT]],Lista_CUIT[#All],2,0)),"CUIT NO CARGADO")</f>
        <v>MILANO SA</v>
      </c>
      <c r="H286" s="96">
        <v>288414.36</v>
      </c>
      <c r="I286" s="97">
        <f>venta_a_mes12[[#This Row],[IMPORTE NETO]]*0.21</f>
        <v>60567.015599999992</v>
      </c>
      <c r="J286" s="61"/>
      <c r="K286" s="61"/>
      <c r="L286" s="61">
        <f>SUM(venta_a_mes12[[#This Row],[IMPORTE NETO]:[EXENTO]])</f>
        <v>348981.37559999997</v>
      </c>
      <c r="M286" s="55"/>
    </row>
    <row r="287" spans="2:13" x14ac:dyDescent="0.3">
      <c r="B287" s="105">
        <v>44881</v>
      </c>
      <c r="C287" s="37">
        <v>1</v>
      </c>
      <c r="D287" s="107">
        <v>10</v>
      </c>
      <c r="E287" s="108">
        <v>9573</v>
      </c>
      <c r="F287" s="109">
        <v>30708994924</v>
      </c>
      <c r="G287" s="95" t="str">
        <f>IFERROR(IF(venta_a_mes12[[#This Row],[CUIT]]="","-",VLOOKUP(venta_a_mes12[[#This Row],[CUIT]],Lista_CUIT[#All],2,0)),"CUIT NO CARGADO")</f>
        <v>MILANO SA</v>
      </c>
      <c r="H287" s="96">
        <v>189196.72</v>
      </c>
      <c r="I287" s="97">
        <f>venta_a_mes12[[#This Row],[IMPORTE NETO]]*0.21</f>
        <v>39731.311199999996</v>
      </c>
      <c r="J287" s="61"/>
      <c r="K287" s="61"/>
      <c r="L287" s="61">
        <f>SUM(venta_a_mes12[[#This Row],[IMPORTE NETO]:[EXENTO]])</f>
        <v>228928.0312</v>
      </c>
      <c r="M287" s="55"/>
    </row>
    <row r="288" spans="2:13" x14ac:dyDescent="0.3">
      <c r="B288" s="105">
        <v>44881</v>
      </c>
      <c r="C288" s="37">
        <v>1</v>
      </c>
      <c r="D288" s="107">
        <v>12</v>
      </c>
      <c r="E288" s="108">
        <v>1195</v>
      </c>
      <c r="F288" s="109">
        <v>30541213860</v>
      </c>
      <c r="G288" s="95" t="str">
        <f>IFERROR(IF(venta_a_mes12[[#This Row],[CUIT]]="","-",VLOOKUP(venta_a_mes12[[#This Row],[CUIT]],Lista_CUIT[#All],2,0)),"CUIT NO CARGADO")</f>
        <v>CENTRO DE EMPLEADOS DE COMERCIO ZONA NORTE</v>
      </c>
      <c r="H288" s="96">
        <v>3049.59</v>
      </c>
      <c r="I288" s="97">
        <f>venta_a_mes12[[#This Row],[IMPORTE NETO]]*0.21</f>
        <v>640.41390000000001</v>
      </c>
      <c r="J288" s="61"/>
      <c r="K288" s="61"/>
      <c r="L288" s="61">
        <f>SUM(venta_a_mes12[[#This Row],[IMPORTE NETO]:[EXENTO]])</f>
        <v>3690.0039000000002</v>
      </c>
      <c r="M288" s="55"/>
    </row>
    <row r="289" spans="2:13" x14ac:dyDescent="0.3">
      <c r="B289" s="105">
        <v>44881</v>
      </c>
      <c r="C289" s="37">
        <v>1</v>
      </c>
      <c r="D289" s="107">
        <v>12</v>
      </c>
      <c r="E289" s="108">
        <v>1194</v>
      </c>
      <c r="F289" s="109">
        <v>30708023910</v>
      </c>
      <c r="G289" s="95" t="str">
        <f>IFERROR(IF(venta_a_mes12[[#This Row],[CUIT]]="","-",VLOOKUP(venta_a_mes12[[#This Row],[CUIT]],Lista_CUIT[#All],2,0)),"CUIT NO CARGADO")</f>
        <v>IPMAG S.A. </v>
      </c>
      <c r="H289" s="96">
        <v>1223.1500000000001</v>
      </c>
      <c r="I289" s="97">
        <f>venta_a_mes12[[#This Row],[IMPORTE NETO]]*0.21</f>
        <v>256.86150000000004</v>
      </c>
      <c r="J289" s="61"/>
      <c r="K289" s="61"/>
      <c r="L289" s="61">
        <f>SUM(venta_a_mes12[[#This Row],[IMPORTE NETO]:[EXENTO]])</f>
        <v>1480.0115000000001</v>
      </c>
      <c r="M289" s="55"/>
    </row>
    <row r="290" spans="2:13" x14ac:dyDescent="0.3">
      <c r="B290" s="105">
        <v>44881</v>
      </c>
      <c r="C290" s="37">
        <v>1</v>
      </c>
      <c r="D290" s="107">
        <v>10</v>
      </c>
      <c r="E290" s="108">
        <v>9571</v>
      </c>
      <c r="F290" s="109">
        <v>23269528214</v>
      </c>
      <c r="G290" s="95" t="str">
        <f>IFERROR(IF(venta_a_mes12[[#This Row],[CUIT]]="","-",VLOOKUP(venta_a_mes12[[#This Row],[CUIT]],Lista_CUIT[#All],2,0)),"CUIT NO CARGADO")</f>
        <v>VANINA ANABELLA ECHENIQUE</v>
      </c>
      <c r="H290" s="96">
        <v>15240.49</v>
      </c>
      <c r="I290" s="97">
        <f>venta_a_mes12[[#This Row],[IMPORTE NETO]]*0.21</f>
        <v>3200.5029</v>
      </c>
      <c r="J290" s="61"/>
      <c r="K290" s="61"/>
      <c r="L290" s="61">
        <f>SUM(venta_a_mes12[[#This Row],[IMPORTE NETO]:[EXENTO]])</f>
        <v>18440.992900000001</v>
      </c>
      <c r="M290" s="55"/>
    </row>
    <row r="291" spans="2:13" x14ac:dyDescent="0.3">
      <c r="B291" s="105">
        <v>44881</v>
      </c>
      <c r="C291" s="37">
        <v>1</v>
      </c>
      <c r="D291" s="107">
        <v>10</v>
      </c>
      <c r="E291" s="108">
        <v>9568</v>
      </c>
      <c r="F291" s="109">
        <v>20181612410</v>
      </c>
      <c r="G291" s="95" t="str">
        <f>IFERROR(IF(venta_a_mes12[[#This Row],[CUIT]]="","-",VLOOKUP(venta_a_mes12[[#This Row],[CUIT]],Lista_CUIT[#All],2,0)),"CUIT NO CARGADO")</f>
        <v>PACCOR ANGEL LUIS</v>
      </c>
      <c r="H291" s="96">
        <v>32112.35</v>
      </c>
      <c r="I291" s="97">
        <f>venta_a_mes12[[#This Row],[IMPORTE NETO]]*0.21</f>
        <v>6743.593499999999</v>
      </c>
      <c r="J291" s="61"/>
      <c r="K291" s="61"/>
      <c r="L291" s="61">
        <f>SUM(venta_a_mes12[[#This Row],[IMPORTE NETO]:[EXENTO]])</f>
        <v>38855.943499999994</v>
      </c>
      <c r="M291" s="55"/>
    </row>
    <row r="292" spans="2:13" x14ac:dyDescent="0.3">
      <c r="B292" s="105">
        <v>44881</v>
      </c>
      <c r="C292" s="37">
        <v>1</v>
      </c>
      <c r="D292" s="107">
        <v>10</v>
      </c>
      <c r="E292" s="108">
        <v>9569</v>
      </c>
      <c r="F292" s="109">
        <v>23269528214</v>
      </c>
      <c r="G292" s="95" t="str">
        <f>IFERROR(IF(venta_a_mes12[[#This Row],[CUIT]]="","-",VLOOKUP(venta_a_mes12[[#This Row],[CUIT]],Lista_CUIT[#All],2,0)),"CUIT NO CARGADO")</f>
        <v>VANINA ANABELLA ECHENIQUE</v>
      </c>
      <c r="H292" s="96">
        <v>7765.88</v>
      </c>
      <c r="I292" s="97">
        <f>venta_a_mes12[[#This Row],[IMPORTE NETO]]*0.21</f>
        <v>1630.8347999999999</v>
      </c>
      <c r="J292" s="61"/>
      <c r="K292" s="61"/>
      <c r="L292" s="61">
        <f>SUM(venta_a_mes12[[#This Row],[IMPORTE NETO]:[EXENTO]])</f>
        <v>9396.7147999999997</v>
      </c>
      <c r="M292" s="55"/>
    </row>
    <row r="293" spans="2:13" x14ac:dyDescent="0.3">
      <c r="B293" s="105">
        <v>44881</v>
      </c>
      <c r="C293" s="37">
        <v>1</v>
      </c>
      <c r="D293" s="107">
        <v>10</v>
      </c>
      <c r="E293" s="108">
        <v>9581</v>
      </c>
      <c r="F293" s="109">
        <v>30708994924</v>
      </c>
      <c r="G293" s="95" t="str">
        <f>IFERROR(IF(venta_a_mes12[[#This Row],[CUIT]]="","-",VLOOKUP(venta_a_mes12[[#This Row],[CUIT]],Lista_CUIT[#All],2,0)),"CUIT NO CARGADO")</f>
        <v>MILANO SA</v>
      </c>
      <c r="H293" s="96">
        <v>46814.879999999997</v>
      </c>
      <c r="I293" s="97">
        <f>venta_a_mes12[[#This Row],[IMPORTE NETO]]*0.21</f>
        <v>9831.1247999999996</v>
      </c>
      <c r="J293" s="61"/>
      <c r="K293" s="61"/>
      <c r="L293" s="61">
        <f>SUM(venta_a_mes12[[#This Row],[IMPORTE NETO]:[EXENTO]])</f>
        <v>56646.004799999995</v>
      </c>
      <c r="M293" s="55"/>
    </row>
    <row r="294" spans="2:13" x14ac:dyDescent="0.3">
      <c r="B294" s="105">
        <v>44881</v>
      </c>
      <c r="C294" s="37">
        <v>1</v>
      </c>
      <c r="D294" s="107">
        <v>10</v>
      </c>
      <c r="E294" s="108">
        <v>9582</v>
      </c>
      <c r="F294" s="109">
        <v>30708994924</v>
      </c>
      <c r="G294" s="95" t="str">
        <f>IFERROR(IF(venta_a_mes12[[#This Row],[CUIT]]="","-",VLOOKUP(venta_a_mes12[[#This Row],[CUIT]],Lista_CUIT[#All],2,0)),"CUIT NO CARGADO")</f>
        <v>MILANO SA</v>
      </c>
      <c r="H294" s="96">
        <v>294308.03999999998</v>
      </c>
      <c r="I294" s="97">
        <f>venta_a_mes12[[#This Row],[IMPORTE NETO]]*0.21</f>
        <v>61804.688399999992</v>
      </c>
      <c r="J294" s="61"/>
      <c r="K294" s="61"/>
      <c r="L294" s="61">
        <f>SUM(venta_a_mes12[[#This Row],[IMPORTE NETO]:[EXENTO]])</f>
        <v>356112.72839999996</v>
      </c>
      <c r="M294" s="55"/>
    </row>
    <row r="295" spans="2:13" x14ac:dyDescent="0.3">
      <c r="B295" s="105">
        <v>44881</v>
      </c>
      <c r="C295" s="37">
        <v>1</v>
      </c>
      <c r="D295" s="107">
        <v>10</v>
      </c>
      <c r="E295" s="108">
        <v>9580</v>
      </c>
      <c r="F295" s="109">
        <v>30708994924</v>
      </c>
      <c r="G295" s="95" t="str">
        <f>IFERROR(IF(venta_a_mes12[[#This Row],[CUIT]]="","-",VLOOKUP(venta_a_mes12[[#This Row],[CUIT]],Lista_CUIT[#All],2,0)),"CUIT NO CARGADO")</f>
        <v>MILANO SA</v>
      </c>
      <c r="H295" s="96">
        <v>99096.78</v>
      </c>
      <c r="I295" s="97">
        <f>venta_a_mes12[[#This Row],[IMPORTE NETO]]*0.21</f>
        <v>20810.323799999998</v>
      </c>
      <c r="J295" s="61"/>
      <c r="K295" s="61"/>
      <c r="L295" s="61">
        <f>SUM(venta_a_mes12[[#This Row],[IMPORTE NETO]:[EXENTO]])</f>
        <v>119907.1038</v>
      </c>
      <c r="M295" s="55"/>
    </row>
    <row r="296" spans="2:13" x14ac:dyDescent="0.3">
      <c r="B296" s="105">
        <v>44881</v>
      </c>
      <c r="C296" s="37">
        <v>1</v>
      </c>
      <c r="D296" s="107">
        <v>10</v>
      </c>
      <c r="E296" s="108">
        <v>9579</v>
      </c>
      <c r="F296" s="109">
        <v>30708994924</v>
      </c>
      <c r="G296" s="95" t="str">
        <f>IFERROR(IF(venta_a_mes12[[#This Row],[CUIT]]="","-",VLOOKUP(venta_a_mes12[[#This Row],[CUIT]],Lista_CUIT[#All],2,0)),"CUIT NO CARGADO")</f>
        <v>MILANO SA</v>
      </c>
      <c r="H296" s="96">
        <v>91398.35</v>
      </c>
      <c r="I296" s="97">
        <f>venta_a_mes12[[#This Row],[IMPORTE NETO]]*0.21</f>
        <v>19193.6535</v>
      </c>
      <c r="J296" s="61"/>
      <c r="K296" s="61"/>
      <c r="L296" s="61">
        <f>SUM(venta_a_mes12[[#This Row],[IMPORTE NETO]:[EXENTO]])</f>
        <v>110592.00350000001</v>
      </c>
      <c r="M296" s="55"/>
    </row>
    <row r="297" spans="2:13" x14ac:dyDescent="0.3">
      <c r="B297" s="105">
        <v>44881</v>
      </c>
      <c r="C297" s="37">
        <v>1</v>
      </c>
      <c r="D297" s="107">
        <v>10</v>
      </c>
      <c r="E297" s="108">
        <v>9570</v>
      </c>
      <c r="F297" s="109">
        <v>23269528214</v>
      </c>
      <c r="G297" s="95" t="str">
        <f>IFERROR(IF(venta_a_mes12[[#This Row],[CUIT]]="","-",VLOOKUP(venta_a_mes12[[#This Row],[CUIT]],Lista_CUIT[#All],2,0)),"CUIT NO CARGADO")</f>
        <v>VANINA ANABELLA ECHENIQUE</v>
      </c>
      <c r="H297" s="96">
        <v>65735.61</v>
      </c>
      <c r="I297" s="97">
        <f>venta_a_mes12[[#This Row],[IMPORTE NETO]]*0.21</f>
        <v>13804.4781</v>
      </c>
      <c r="J297" s="61"/>
      <c r="K297" s="61"/>
      <c r="L297" s="61">
        <f>SUM(venta_a_mes12[[#This Row],[IMPORTE NETO]:[EXENTO]])</f>
        <v>79540.088099999994</v>
      </c>
      <c r="M297" s="55"/>
    </row>
    <row r="298" spans="2:13" x14ac:dyDescent="0.3">
      <c r="B298" s="105">
        <v>44881</v>
      </c>
      <c r="C298" s="37">
        <v>1</v>
      </c>
      <c r="D298" s="107">
        <v>10</v>
      </c>
      <c r="E298" s="108">
        <v>9575</v>
      </c>
      <c r="F298" s="109">
        <v>30708994924</v>
      </c>
      <c r="G298" s="95" t="str">
        <f>IFERROR(IF(venta_a_mes12[[#This Row],[CUIT]]="","-",VLOOKUP(venta_a_mes12[[#This Row],[CUIT]],Lista_CUIT[#All],2,0)),"CUIT NO CARGADO")</f>
        <v>MILANO SA</v>
      </c>
      <c r="H298" s="96">
        <v>207172.56</v>
      </c>
      <c r="I298" s="97">
        <f>venta_a_mes12[[#This Row],[IMPORTE NETO]]*0.21</f>
        <v>43506.2376</v>
      </c>
      <c r="J298" s="61"/>
      <c r="K298" s="61"/>
      <c r="L298" s="61">
        <f>SUM(venta_a_mes12[[#This Row],[IMPORTE NETO]:[EXENTO]])</f>
        <v>250678.79759999999</v>
      </c>
      <c r="M298" s="55"/>
    </row>
    <row r="299" spans="2:13" x14ac:dyDescent="0.3">
      <c r="B299" s="105">
        <v>44881</v>
      </c>
      <c r="C299" s="37">
        <v>1</v>
      </c>
      <c r="D299" s="107">
        <v>10</v>
      </c>
      <c r="E299" s="108">
        <v>9576</v>
      </c>
      <c r="F299" s="109">
        <v>30708994924</v>
      </c>
      <c r="G299" s="95" t="str">
        <f>IFERROR(IF(venta_a_mes12[[#This Row],[CUIT]]="","-",VLOOKUP(venta_a_mes12[[#This Row],[CUIT]],Lista_CUIT[#All],2,0)),"CUIT NO CARGADO")</f>
        <v>MILANO SA</v>
      </c>
      <c r="H299" s="96">
        <v>201620.83</v>
      </c>
      <c r="I299" s="97">
        <f>venta_a_mes12[[#This Row],[IMPORTE NETO]]*0.21</f>
        <v>42340.374299999996</v>
      </c>
      <c r="J299" s="61"/>
      <c r="K299" s="61"/>
      <c r="L299" s="61">
        <f>SUM(venta_a_mes12[[#This Row],[IMPORTE NETO]:[EXENTO]])</f>
        <v>243961.20429999998</v>
      </c>
      <c r="M299" s="55"/>
    </row>
    <row r="300" spans="2:13" x14ac:dyDescent="0.3">
      <c r="B300" s="105">
        <v>44881</v>
      </c>
      <c r="C300" s="37">
        <v>1</v>
      </c>
      <c r="D300" s="107">
        <v>10</v>
      </c>
      <c r="E300" s="108">
        <v>9578</v>
      </c>
      <c r="F300" s="109">
        <v>30708994924</v>
      </c>
      <c r="G300" s="95" t="str">
        <f>IFERROR(IF(venta_a_mes12[[#This Row],[CUIT]]="","-",VLOOKUP(venta_a_mes12[[#This Row],[CUIT]],Lista_CUIT[#All],2,0)),"CUIT NO CARGADO")</f>
        <v>MILANO SA</v>
      </c>
      <c r="H300" s="96">
        <v>197889.74</v>
      </c>
      <c r="I300" s="97">
        <f>venta_a_mes12[[#This Row],[IMPORTE NETO]]*0.21</f>
        <v>41556.845399999998</v>
      </c>
      <c r="J300" s="61"/>
      <c r="K300" s="61"/>
      <c r="L300" s="61">
        <f>SUM(venta_a_mes12[[#This Row],[IMPORTE NETO]:[EXENTO]])</f>
        <v>239446.58539999998</v>
      </c>
      <c r="M300" s="55"/>
    </row>
    <row r="301" spans="2:13" x14ac:dyDescent="0.3">
      <c r="B301" s="105">
        <v>44881</v>
      </c>
      <c r="C301" s="37">
        <v>1</v>
      </c>
      <c r="D301" s="107">
        <v>10</v>
      </c>
      <c r="E301" s="108">
        <v>9577</v>
      </c>
      <c r="F301" s="109">
        <v>30708994924</v>
      </c>
      <c r="G301" s="95" t="str">
        <f>IFERROR(IF(venta_a_mes12[[#This Row],[CUIT]]="","-",VLOOKUP(venta_a_mes12[[#This Row],[CUIT]],Lista_CUIT[#All],2,0)),"CUIT NO CARGADO")</f>
        <v>MILANO SA</v>
      </c>
      <c r="H301" s="96">
        <v>129716.12</v>
      </c>
      <c r="I301" s="97">
        <f>venta_a_mes12[[#This Row],[IMPORTE NETO]]*0.21</f>
        <v>27240.385199999997</v>
      </c>
      <c r="J301" s="61"/>
      <c r="K301" s="61"/>
      <c r="L301" s="61">
        <f>SUM(venta_a_mes12[[#This Row],[IMPORTE NETO]:[EXENTO]])</f>
        <v>156956.50519999999</v>
      </c>
      <c r="M301" s="55"/>
    </row>
    <row r="302" spans="2:13" x14ac:dyDescent="0.3">
      <c r="B302" s="105">
        <v>44882</v>
      </c>
      <c r="C302" s="37">
        <v>1</v>
      </c>
      <c r="D302" s="107">
        <v>13</v>
      </c>
      <c r="E302" s="108">
        <v>1085</v>
      </c>
      <c r="F302" s="109">
        <v>20132669644</v>
      </c>
      <c r="G302" s="95" t="str">
        <f>IFERROR(IF(venta_a_mes12[[#This Row],[CUIT]]="","-",VLOOKUP(venta_a_mes12[[#This Row],[CUIT]],Lista_CUIT[#All],2,0)),"CUIT NO CARGADO")</f>
        <v>SERAFINI OMAR JAVIER</v>
      </c>
      <c r="H302" s="96">
        <v>11570.25</v>
      </c>
      <c r="I302" s="97">
        <f>venta_a_mes12[[#This Row],[IMPORTE NETO]]*0.21</f>
        <v>2429.7525000000001</v>
      </c>
      <c r="J302" s="61"/>
      <c r="K302" s="61"/>
      <c r="L302" s="61">
        <f>SUM(venta_a_mes12[[#This Row],[IMPORTE NETO]:[EXENTO]])</f>
        <v>14000.002500000001</v>
      </c>
      <c r="M302" s="55"/>
    </row>
    <row r="303" spans="2:13" x14ac:dyDescent="0.3">
      <c r="B303" s="105">
        <v>44882</v>
      </c>
      <c r="C303" s="37">
        <v>1</v>
      </c>
      <c r="D303" s="107">
        <v>13</v>
      </c>
      <c r="E303" s="108">
        <v>1086</v>
      </c>
      <c r="F303" s="109">
        <v>27247999766</v>
      </c>
      <c r="G303" s="95" t="str">
        <f>IFERROR(IF(venta_a_mes12[[#This Row],[CUIT]]="","-",VLOOKUP(venta_a_mes12[[#This Row],[CUIT]],Lista_CUIT[#All],2,0)),"CUIT NO CARGADO")</f>
        <v>FUENTES ELENA ELISABET</v>
      </c>
      <c r="H303" s="96">
        <v>6421.49</v>
      </c>
      <c r="I303" s="97">
        <f>venta_a_mes12[[#This Row],[IMPORTE NETO]]*0.21</f>
        <v>1348.5128999999999</v>
      </c>
      <c r="J303" s="61"/>
      <c r="K303" s="61"/>
      <c r="L303" s="61">
        <f>SUM(venta_a_mes12[[#This Row],[IMPORTE NETO]:[EXENTO]])</f>
        <v>7770.0028999999995</v>
      </c>
      <c r="M303" s="55"/>
    </row>
    <row r="304" spans="2:13" x14ac:dyDescent="0.3">
      <c r="B304" s="105">
        <v>44882</v>
      </c>
      <c r="C304" s="37">
        <v>1</v>
      </c>
      <c r="D304" s="107">
        <v>11</v>
      </c>
      <c r="E304" s="108">
        <v>1640</v>
      </c>
      <c r="F304" s="109">
        <v>30527225988</v>
      </c>
      <c r="G304" s="95" t="str">
        <f>IFERROR(IF(venta_a_mes12[[#This Row],[CUIT]]="","-",VLOOKUP(venta_a_mes12[[#This Row],[CUIT]],Lista_CUIT[#All],2,0)),"CUIT NO CARGADO")</f>
        <v>ALVEAR PALACE HOTEL SA I</v>
      </c>
      <c r="H304" s="96">
        <v>1136.3599999999999</v>
      </c>
      <c r="I304" s="97">
        <f>venta_a_mes12[[#This Row],[IMPORTE NETO]]*0.21</f>
        <v>238.63559999999998</v>
      </c>
      <c r="J304" s="61"/>
      <c r="K304" s="61"/>
      <c r="L304" s="61">
        <f>SUM(venta_a_mes12[[#This Row],[IMPORTE NETO]:[EXENTO]])</f>
        <v>1374.9956</v>
      </c>
      <c r="M304" s="55"/>
    </row>
    <row r="305" spans="2:13" x14ac:dyDescent="0.3">
      <c r="B305" s="105">
        <v>44882</v>
      </c>
      <c r="C305" s="37">
        <v>1</v>
      </c>
      <c r="D305" s="107">
        <v>12</v>
      </c>
      <c r="E305" s="108">
        <v>1197</v>
      </c>
      <c r="F305" s="109">
        <v>27172834189</v>
      </c>
      <c r="G305" s="95" t="str">
        <f>IFERROR(IF(venta_a_mes12[[#This Row],[CUIT]]="","-",VLOOKUP(venta_a_mes12[[#This Row],[CUIT]],Lista_CUIT[#All],2,0)),"CUIT NO CARGADO")</f>
        <v>BESSONE ADRIANA</v>
      </c>
      <c r="H305" s="96">
        <v>13512.4</v>
      </c>
      <c r="I305" s="97">
        <f>venta_a_mes12[[#This Row],[IMPORTE NETO]]*0.21</f>
        <v>2837.6039999999998</v>
      </c>
      <c r="J305" s="61"/>
      <c r="K305" s="61"/>
      <c r="L305" s="61">
        <f>SUM(venta_a_mes12[[#This Row],[IMPORTE NETO]:[EXENTO]])</f>
        <v>16350.003999999999</v>
      </c>
      <c r="M305" s="55"/>
    </row>
    <row r="306" spans="2:13" x14ac:dyDescent="0.3">
      <c r="B306" s="105">
        <v>44883</v>
      </c>
      <c r="C306" s="37">
        <v>1</v>
      </c>
      <c r="D306" s="107">
        <v>10</v>
      </c>
      <c r="E306" s="108">
        <v>9584</v>
      </c>
      <c r="F306" s="109">
        <v>23180421564</v>
      </c>
      <c r="G306" s="95" t="str">
        <f>IFERROR(IF(venta_a_mes12[[#This Row],[CUIT]]="","-",VLOOKUP(venta_a_mes12[[#This Row],[CUIT]],Lista_CUIT[#All],2,0)),"CUIT NO CARGADO")</f>
        <v>RAMOS CLAUDIA JAQUELINA</v>
      </c>
      <c r="H306" s="96">
        <v>60007.21</v>
      </c>
      <c r="I306" s="97">
        <f>venta_a_mes12[[#This Row],[IMPORTE NETO]]*0.21</f>
        <v>12601.514099999999</v>
      </c>
      <c r="J306" s="61"/>
      <c r="K306" s="61"/>
      <c r="L306" s="61">
        <f>SUM(venta_a_mes12[[#This Row],[IMPORTE NETO]:[EXENTO]])</f>
        <v>72608.724099999992</v>
      </c>
      <c r="M306" s="55"/>
    </row>
    <row r="307" spans="2:13" x14ac:dyDescent="0.3">
      <c r="B307" s="105">
        <v>44883</v>
      </c>
      <c r="C307" s="37">
        <v>1</v>
      </c>
      <c r="D307" s="107">
        <v>10</v>
      </c>
      <c r="E307" s="108">
        <v>9585</v>
      </c>
      <c r="F307" s="109">
        <v>30717072592</v>
      </c>
      <c r="G307" s="95" t="str">
        <f>IFERROR(IF(venta_a_mes12[[#This Row],[CUIT]]="","-",VLOOKUP(venta_a_mes12[[#This Row],[CUIT]],Lista_CUIT[#All],2,0)),"CUIT NO CARGADO")</f>
        <v>DERMOESTETIC SAS</v>
      </c>
      <c r="H307" s="96">
        <v>63537.03</v>
      </c>
      <c r="I307" s="97">
        <f>venta_a_mes12[[#This Row],[IMPORTE NETO]]*0.21</f>
        <v>13342.7763</v>
      </c>
      <c r="J307" s="61"/>
      <c r="K307" s="61"/>
      <c r="L307" s="61">
        <f>SUM(venta_a_mes12[[#This Row],[IMPORTE NETO]:[EXENTO]])</f>
        <v>76879.806299999997</v>
      </c>
      <c r="M307" s="55"/>
    </row>
    <row r="308" spans="2:13" x14ac:dyDescent="0.3">
      <c r="B308" s="105">
        <v>44883</v>
      </c>
      <c r="C308" s="37">
        <v>1</v>
      </c>
      <c r="D308" s="107">
        <v>10</v>
      </c>
      <c r="E308" s="108">
        <v>9586</v>
      </c>
      <c r="F308" s="109">
        <v>27327364567</v>
      </c>
      <c r="G308" s="95" t="str">
        <f>IFERROR(IF(venta_a_mes12[[#This Row],[CUIT]]="","-",VLOOKUP(venta_a_mes12[[#This Row],[CUIT]],Lista_CUIT[#All],2,0)),"CUIT NO CARGADO")</f>
        <v>CENTURION, Maria</v>
      </c>
      <c r="H308" s="96">
        <v>54380.21</v>
      </c>
      <c r="I308" s="97">
        <f>venta_a_mes12[[#This Row],[IMPORTE NETO]]*0.21</f>
        <v>11419.8441</v>
      </c>
      <c r="J308" s="61"/>
      <c r="K308" s="61"/>
      <c r="L308" s="61">
        <f>SUM(venta_a_mes12[[#This Row],[IMPORTE NETO]:[EXENTO]])</f>
        <v>65800.054099999994</v>
      </c>
      <c r="M308" s="55"/>
    </row>
    <row r="309" spans="2:13" x14ac:dyDescent="0.3">
      <c r="B309" s="105">
        <v>44883</v>
      </c>
      <c r="C309" s="37">
        <v>1</v>
      </c>
      <c r="D309" s="107">
        <v>10</v>
      </c>
      <c r="E309" s="108">
        <v>9583</v>
      </c>
      <c r="F309" s="109">
        <v>30708994924</v>
      </c>
      <c r="G309" s="95" t="str">
        <f>IFERROR(IF(venta_a_mes12[[#This Row],[CUIT]]="","-",VLOOKUP(venta_a_mes12[[#This Row],[CUIT]],Lista_CUIT[#All],2,0)),"CUIT NO CARGADO")</f>
        <v>MILANO SA</v>
      </c>
      <c r="H309" s="96">
        <v>352449.59</v>
      </c>
      <c r="I309" s="97">
        <f>venta_a_mes12[[#This Row],[IMPORTE NETO]]*0.21</f>
        <v>74014.4139</v>
      </c>
      <c r="J309" s="61"/>
      <c r="K309" s="61"/>
      <c r="L309" s="61">
        <f>SUM(venta_a_mes12[[#This Row],[IMPORTE NETO]:[EXENTO]])</f>
        <v>426464.00390000001</v>
      </c>
      <c r="M309" s="55"/>
    </row>
    <row r="310" spans="2:13" x14ac:dyDescent="0.3">
      <c r="B310" s="105">
        <v>44884</v>
      </c>
      <c r="C310" s="37">
        <v>1</v>
      </c>
      <c r="D310" s="107">
        <v>11</v>
      </c>
      <c r="E310" s="108">
        <v>1641</v>
      </c>
      <c r="F310" s="109">
        <v>27226500338</v>
      </c>
      <c r="G310" s="95" t="str">
        <f>IFERROR(IF(venta_a_mes12[[#This Row],[CUIT]]="","-",VLOOKUP(venta_a_mes12[[#This Row],[CUIT]],Lista_CUIT[#All],2,0)),"CUIT NO CARGADO")</f>
        <v>SINGER KARINA</v>
      </c>
      <c r="H310" s="96">
        <v>7520.66</v>
      </c>
      <c r="I310" s="97">
        <f>venta_a_mes12[[#This Row],[IMPORTE NETO]]*0.21</f>
        <v>1579.3385999999998</v>
      </c>
      <c r="J310" s="61"/>
      <c r="K310" s="61"/>
      <c r="L310" s="61">
        <f>SUM(venta_a_mes12[[#This Row],[IMPORTE NETO]:[EXENTO]])</f>
        <v>9099.998599999999</v>
      </c>
      <c r="M310" s="55"/>
    </row>
    <row r="311" spans="2:13" x14ac:dyDescent="0.3">
      <c r="B311" s="105">
        <v>44884</v>
      </c>
      <c r="C311" s="37">
        <v>1</v>
      </c>
      <c r="D311" s="107">
        <v>10</v>
      </c>
      <c r="E311" s="108">
        <v>9587</v>
      </c>
      <c r="F311" s="109">
        <v>30715119443</v>
      </c>
      <c r="G311" s="95" t="str">
        <f>IFERROR(IF(venta_a_mes12[[#This Row],[CUIT]]="","-",VLOOKUP(venta_a_mes12[[#This Row],[CUIT]],Lista_CUIT[#All],2,0)),"CUIT NO CARGADO")</f>
        <v>MORALLI ISABEL,MORALLI RENEE, CHIESA LUIS HERNAN Y INGE SOMMER</v>
      </c>
      <c r="H311" s="96">
        <v>62594.01</v>
      </c>
      <c r="I311" s="97">
        <f>venta_a_mes12[[#This Row],[IMPORTE NETO]]*0.21</f>
        <v>13144.742099999999</v>
      </c>
      <c r="J311" s="61"/>
      <c r="K311" s="61"/>
      <c r="L311" s="61">
        <f>SUM(venta_a_mes12[[#This Row],[IMPORTE NETO]:[EXENTO]])</f>
        <v>75738.752099999998</v>
      </c>
      <c r="M311" s="55"/>
    </row>
    <row r="312" spans="2:13" x14ac:dyDescent="0.3">
      <c r="B312" s="105">
        <v>44884</v>
      </c>
      <c r="C312" s="37">
        <v>1</v>
      </c>
      <c r="D312" s="107">
        <v>12</v>
      </c>
      <c r="E312" s="108">
        <v>1198</v>
      </c>
      <c r="F312" s="109">
        <v>30541213860</v>
      </c>
      <c r="G312" s="95" t="str">
        <f>IFERROR(IF(venta_a_mes12[[#This Row],[CUIT]]="","-",VLOOKUP(venta_a_mes12[[#This Row],[CUIT]],Lista_CUIT[#All],2,0)),"CUIT NO CARGADO")</f>
        <v>CENTRO DE EMPLEADOS DE COMERCIO ZONA NORTE</v>
      </c>
      <c r="H312" s="96">
        <v>1611.57</v>
      </c>
      <c r="I312" s="97">
        <f>venta_a_mes12[[#This Row],[IMPORTE NETO]]*0.21</f>
        <v>338.42969999999997</v>
      </c>
      <c r="J312" s="61"/>
      <c r="K312" s="61"/>
      <c r="L312" s="61">
        <f>SUM(venta_a_mes12[[#This Row],[IMPORTE NETO]:[EXENTO]])</f>
        <v>1949.9996999999998</v>
      </c>
      <c r="M312" s="55"/>
    </row>
    <row r="313" spans="2:13" x14ac:dyDescent="0.3">
      <c r="B313" s="105">
        <v>44884</v>
      </c>
      <c r="C313" s="37">
        <v>1</v>
      </c>
      <c r="D313" s="107">
        <v>13</v>
      </c>
      <c r="E313" s="108">
        <v>1087</v>
      </c>
      <c r="F313" s="109">
        <v>30709539295</v>
      </c>
      <c r="G313" s="95" t="str">
        <f>IFERROR(IF(venta_a_mes12[[#This Row],[CUIT]]="","-",VLOOKUP(venta_a_mes12[[#This Row],[CUIT]],Lista_CUIT[#All],2,0)),"CUIT NO CARGADO")</f>
        <v>GENERATICA S.A.</v>
      </c>
      <c r="H313" s="96">
        <v>22946.27</v>
      </c>
      <c r="I313" s="97">
        <f>venta_a_mes12[[#This Row],[IMPORTE NETO]]*0.21</f>
        <v>4818.7166999999999</v>
      </c>
      <c r="J313" s="61"/>
      <c r="K313" s="61"/>
      <c r="L313" s="61">
        <f>SUM(venta_a_mes12[[#This Row],[IMPORTE NETO]:[EXENTO]])</f>
        <v>27764.986700000001</v>
      </c>
      <c r="M313" s="55"/>
    </row>
    <row r="314" spans="2:13" x14ac:dyDescent="0.3">
      <c r="B314" s="105">
        <v>44887</v>
      </c>
      <c r="C314" s="37">
        <v>1</v>
      </c>
      <c r="D314" s="107">
        <v>13</v>
      </c>
      <c r="E314" s="108">
        <v>1088</v>
      </c>
      <c r="F314" s="109">
        <v>30709539295</v>
      </c>
      <c r="G314" s="95" t="str">
        <f>IFERROR(IF(venta_a_mes12[[#This Row],[CUIT]]="","-",VLOOKUP(venta_a_mes12[[#This Row],[CUIT]],Lista_CUIT[#All],2,0)),"CUIT NO CARGADO")</f>
        <v>GENERATICA S.A.</v>
      </c>
      <c r="H314" s="96">
        <v>69485.97</v>
      </c>
      <c r="I314" s="97">
        <f>venta_a_mes12[[#This Row],[IMPORTE NETO]]*0.21</f>
        <v>14592.0537</v>
      </c>
      <c r="J314" s="61"/>
      <c r="K314" s="61"/>
      <c r="L314" s="61">
        <f>SUM(venta_a_mes12[[#This Row],[IMPORTE NETO]:[EXENTO]])</f>
        <v>84078.023700000005</v>
      </c>
      <c r="M314" s="55"/>
    </row>
    <row r="315" spans="2:13" x14ac:dyDescent="0.3">
      <c r="B315" s="105">
        <v>44887</v>
      </c>
      <c r="C315" s="37">
        <v>1</v>
      </c>
      <c r="D315" s="107">
        <v>10</v>
      </c>
      <c r="E315" s="108">
        <v>9591</v>
      </c>
      <c r="F315" s="109">
        <v>30716421151</v>
      </c>
      <c r="G315" s="95" t="str">
        <f>IFERROR(IF(venta_a_mes12[[#This Row],[CUIT]]="","-",VLOOKUP(venta_a_mes12[[#This Row],[CUIT]],Lista_CUIT[#All],2,0)),"CUIT NO CARGADO")</f>
        <v>ILONA AYOUB S.A.S. </v>
      </c>
      <c r="H315" s="96">
        <v>7605.5</v>
      </c>
      <c r="I315" s="97">
        <f>venta_a_mes12[[#This Row],[IMPORTE NETO]]*0.21</f>
        <v>1597.155</v>
      </c>
      <c r="J315" s="61"/>
      <c r="K315" s="61"/>
      <c r="L315" s="61">
        <f>SUM(venta_a_mes12[[#This Row],[IMPORTE NETO]:[EXENTO]])</f>
        <v>9202.6550000000007</v>
      </c>
      <c r="M315" s="55"/>
    </row>
    <row r="316" spans="2:13" x14ac:dyDescent="0.3">
      <c r="B316" s="105">
        <v>44887</v>
      </c>
      <c r="C316" s="37">
        <v>1</v>
      </c>
      <c r="D316" s="107">
        <v>10</v>
      </c>
      <c r="E316" s="108">
        <v>9590</v>
      </c>
      <c r="F316" s="109">
        <v>30538688793</v>
      </c>
      <c r="G316" s="95" t="str">
        <f>IFERROR(IF(venta_a_mes12[[#This Row],[CUIT]]="","-",VLOOKUP(venta_a_mes12[[#This Row],[CUIT]],Lista_CUIT[#All],2,0)),"CUIT NO CARGADO")</f>
        <v>ASOCIACION DE EMPLEADOS FISCALES E INGRESOS PUBLICOS (A.E.F.I.P.)</v>
      </c>
      <c r="H316" s="96">
        <v>1735.54</v>
      </c>
      <c r="I316" s="97">
        <f>venta_a_mes12[[#This Row],[IMPORTE NETO]]*0.21</f>
        <v>364.46339999999998</v>
      </c>
      <c r="J316" s="61"/>
      <c r="K316" s="61"/>
      <c r="L316" s="61">
        <f>SUM(venta_a_mes12[[#This Row],[IMPORTE NETO]:[EXENTO]])</f>
        <v>2100.0034000000001</v>
      </c>
      <c r="M316" s="55"/>
    </row>
    <row r="317" spans="2:13" x14ac:dyDescent="0.3">
      <c r="B317" s="105">
        <v>44887</v>
      </c>
      <c r="C317" s="37">
        <v>1</v>
      </c>
      <c r="D317" s="107">
        <v>10</v>
      </c>
      <c r="E317" s="108">
        <v>9589</v>
      </c>
      <c r="F317" s="109">
        <v>30538688793</v>
      </c>
      <c r="G317" s="95" t="str">
        <f>IFERROR(IF(venta_a_mes12[[#This Row],[CUIT]]="","-",VLOOKUP(venta_a_mes12[[#This Row],[CUIT]],Lista_CUIT[#All],2,0)),"CUIT NO CARGADO")</f>
        <v>ASOCIACION DE EMPLEADOS FISCALES E INGRESOS PUBLICOS (A.E.F.I.P.)</v>
      </c>
      <c r="H317" s="96">
        <v>3471.08</v>
      </c>
      <c r="I317" s="97">
        <f>venta_a_mes12[[#This Row],[IMPORTE NETO]]*0.21</f>
        <v>728.92679999999996</v>
      </c>
      <c r="J317" s="61"/>
      <c r="K317" s="61"/>
      <c r="L317" s="61">
        <f>SUM(venta_a_mes12[[#This Row],[IMPORTE NETO]:[EXENTO]])</f>
        <v>4200.0068000000001</v>
      </c>
      <c r="M317" s="55"/>
    </row>
    <row r="318" spans="2:13" x14ac:dyDescent="0.3">
      <c r="B318" s="105">
        <v>44887</v>
      </c>
      <c r="C318" s="37">
        <v>1</v>
      </c>
      <c r="D318" s="107">
        <v>10</v>
      </c>
      <c r="E318" s="108">
        <v>9588</v>
      </c>
      <c r="F318" s="109">
        <v>27234905924</v>
      </c>
      <c r="G318" s="95" t="str">
        <f>IFERROR(IF(venta_a_mes12[[#This Row],[CUIT]]="","-",VLOOKUP(venta_a_mes12[[#This Row],[CUIT]],Lista_CUIT[#All],2,0)),"CUIT NO CARGADO")</f>
        <v>SANTORELLI CARLA</v>
      </c>
      <c r="H318" s="96">
        <v>28974.46</v>
      </c>
      <c r="I318" s="97">
        <f>venta_a_mes12[[#This Row],[IMPORTE NETO]]*0.21</f>
        <v>6084.6365999999998</v>
      </c>
      <c r="J318" s="61"/>
      <c r="K318" s="61"/>
      <c r="L318" s="61">
        <f>SUM(venta_a_mes12[[#This Row],[IMPORTE NETO]:[EXENTO]])</f>
        <v>35059.096599999997</v>
      </c>
      <c r="M318" s="55"/>
    </row>
    <row r="319" spans="2:13" x14ac:dyDescent="0.3">
      <c r="B319" s="105">
        <v>44887</v>
      </c>
      <c r="C319" s="37">
        <v>1</v>
      </c>
      <c r="D319" s="107">
        <v>10</v>
      </c>
      <c r="E319" s="108">
        <v>9592</v>
      </c>
      <c r="F319" s="109">
        <v>20120844386</v>
      </c>
      <c r="G319" s="95" t="str">
        <f>IFERROR(IF(venta_a_mes12[[#This Row],[CUIT]]="","-",VLOOKUP(venta_a_mes12[[#This Row],[CUIT]],Lista_CUIT[#All],2,0)),"CUIT NO CARGADO")</f>
        <v>ERREA FRANCISCO GABRIEL</v>
      </c>
      <c r="H319" s="96">
        <v>11801.65</v>
      </c>
      <c r="I319" s="97">
        <f>venta_a_mes12[[#This Row],[IMPORTE NETO]]*0.21</f>
        <v>2478.3464999999997</v>
      </c>
      <c r="J319" s="61"/>
      <c r="K319" s="61"/>
      <c r="L319" s="61">
        <f>SUM(venta_a_mes12[[#This Row],[IMPORTE NETO]:[EXENTO]])</f>
        <v>14279.996499999999</v>
      </c>
      <c r="M319" s="55"/>
    </row>
    <row r="320" spans="2:13" x14ac:dyDescent="0.3">
      <c r="B320" s="105">
        <v>44887</v>
      </c>
      <c r="C320" s="37">
        <v>1</v>
      </c>
      <c r="D320" s="107">
        <v>12</v>
      </c>
      <c r="E320" s="108">
        <v>1199</v>
      </c>
      <c r="F320" s="109">
        <v>30715705946</v>
      </c>
      <c r="G320" s="95" t="str">
        <f>IFERROR(IF(venta_a_mes12[[#This Row],[CUIT]]="","-",VLOOKUP(venta_a_mes12[[#This Row],[CUIT]],Lista_CUIT[#All],2,0)),"CUIT NO CARGADO")</f>
        <v>MEDICINA Y ARTE S.R.L.</v>
      </c>
      <c r="H320" s="96">
        <v>15958.68</v>
      </c>
      <c r="I320" s="97">
        <f>venta_a_mes12[[#This Row],[IMPORTE NETO]]*0.21</f>
        <v>3351.3227999999999</v>
      </c>
      <c r="J320" s="61"/>
      <c r="K320" s="61"/>
      <c r="L320" s="61">
        <f>SUM(venta_a_mes12[[#This Row],[IMPORTE NETO]:[EXENTO]])</f>
        <v>19310.002800000002</v>
      </c>
      <c r="M320" s="55"/>
    </row>
    <row r="321" spans="2:13" x14ac:dyDescent="0.3">
      <c r="B321" s="105">
        <v>44888</v>
      </c>
      <c r="C321" s="37">
        <v>1</v>
      </c>
      <c r="D321" s="107">
        <v>10</v>
      </c>
      <c r="E321" s="108">
        <v>9595</v>
      </c>
      <c r="F321" s="109">
        <v>30712104550</v>
      </c>
      <c r="G321" s="95" t="str">
        <f>IFERROR(IF(venta_a_mes12[[#This Row],[CUIT]]="","-",VLOOKUP(venta_a_mes12[[#This Row],[CUIT]],Lista_CUIT[#All],2,0)),"CUIT NO CARGADO")</f>
        <v>EUROCOSMETICA S.A.</v>
      </c>
      <c r="H321" s="96">
        <v>64877.95</v>
      </c>
      <c r="I321" s="97">
        <f>venta_a_mes12[[#This Row],[IMPORTE NETO]]*0.21</f>
        <v>13624.369499999999</v>
      </c>
      <c r="J321" s="61"/>
      <c r="K321" s="61"/>
      <c r="L321" s="61">
        <f>SUM(venta_a_mes12[[#This Row],[IMPORTE NETO]:[EXENTO]])</f>
        <v>78502.319499999998</v>
      </c>
      <c r="M321" s="55"/>
    </row>
    <row r="322" spans="2:13" x14ac:dyDescent="0.3">
      <c r="B322" s="105">
        <v>44888</v>
      </c>
      <c r="C322" s="37">
        <v>1</v>
      </c>
      <c r="D322" s="107">
        <v>10</v>
      </c>
      <c r="E322" s="108">
        <v>9600</v>
      </c>
      <c r="F322" s="109">
        <v>30717072592</v>
      </c>
      <c r="G322" s="95" t="str">
        <f>IFERROR(IF(venta_a_mes12[[#This Row],[CUIT]]="","-",VLOOKUP(venta_a_mes12[[#This Row],[CUIT]],Lista_CUIT[#All],2,0)),"CUIT NO CARGADO")</f>
        <v>DERMOESTETIC SAS</v>
      </c>
      <c r="H322" s="96">
        <v>53115.67</v>
      </c>
      <c r="I322" s="97">
        <f>venta_a_mes12[[#This Row],[IMPORTE NETO]]*0.21</f>
        <v>11154.2907</v>
      </c>
      <c r="J322" s="61"/>
      <c r="K322" s="61"/>
      <c r="L322" s="61">
        <f>SUM(venta_a_mes12[[#This Row],[IMPORTE NETO]:[EXENTO]])</f>
        <v>64269.960699999996</v>
      </c>
      <c r="M322" s="55"/>
    </row>
    <row r="323" spans="2:13" x14ac:dyDescent="0.3">
      <c r="B323" s="105">
        <v>44888</v>
      </c>
      <c r="C323" s="37">
        <v>1</v>
      </c>
      <c r="D323" s="107">
        <v>10</v>
      </c>
      <c r="E323" s="108">
        <v>9601</v>
      </c>
      <c r="F323" s="109">
        <v>30717072592</v>
      </c>
      <c r="G323" s="95" t="str">
        <f>IFERROR(IF(venta_a_mes12[[#This Row],[CUIT]]="","-",VLOOKUP(venta_a_mes12[[#This Row],[CUIT]],Lista_CUIT[#All],2,0)),"CUIT NO CARGADO")</f>
        <v>DERMOESTETIC SAS</v>
      </c>
      <c r="H323" s="96">
        <v>11170.25</v>
      </c>
      <c r="I323" s="97">
        <f>venta_a_mes12[[#This Row],[IMPORTE NETO]]*0.21</f>
        <v>2345.7525000000001</v>
      </c>
      <c r="J323" s="61"/>
      <c r="K323" s="61"/>
      <c r="L323" s="61">
        <f>SUM(venta_a_mes12[[#This Row],[IMPORTE NETO]:[EXENTO]])</f>
        <v>13516.002500000001</v>
      </c>
      <c r="M323" s="55"/>
    </row>
    <row r="324" spans="2:13" x14ac:dyDescent="0.3">
      <c r="B324" s="105">
        <v>44888</v>
      </c>
      <c r="C324" s="37">
        <v>1</v>
      </c>
      <c r="D324" s="107">
        <v>10</v>
      </c>
      <c r="E324" s="108">
        <v>9602</v>
      </c>
      <c r="F324" s="109">
        <v>20307580862</v>
      </c>
      <c r="G324" s="95" t="str">
        <f>IFERROR(IF(venta_a_mes12[[#This Row],[CUIT]]="","-",VLOOKUP(venta_a_mes12[[#This Row],[CUIT]],Lista_CUIT[#All],2,0)),"CUIT NO CARGADO")</f>
        <v>LAURIA JUAN MANUEL</v>
      </c>
      <c r="H324" s="96">
        <v>30560.04</v>
      </c>
      <c r="I324" s="97">
        <f>venta_a_mes12[[#This Row],[IMPORTE NETO]]*0.21</f>
        <v>6417.6084000000001</v>
      </c>
      <c r="J324" s="61"/>
      <c r="K324" s="61"/>
      <c r="L324" s="61">
        <f>SUM(venta_a_mes12[[#This Row],[IMPORTE NETO]:[EXENTO]])</f>
        <v>36977.648399999998</v>
      </c>
      <c r="M324" s="55"/>
    </row>
    <row r="325" spans="2:13" x14ac:dyDescent="0.3">
      <c r="B325" s="105">
        <v>44888</v>
      </c>
      <c r="C325" s="37">
        <v>1</v>
      </c>
      <c r="D325" s="107">
        <v>10</v>
      </c>
      <c r="E325" s="108">
        <v>9594</v>
      </c>
      <c r="F325" s="109">
        <v>30712104550</v>
      </c>
      <c r="G325" s="95" t="str">
        <f>IFERROR(IF(venta_a_mes12[[#This Row],[CUIT]]="","-",VLOOKUP(venta_a_mes12[[#This Row],[CUIT]],Lista_CUIT[#All],2,0)),"CUIT NO CARGADO")</f>
        <v>EUROCOSMETICA S.A.</v>
      </c>
      <c r="H325" s="96">
        <v>74410.78</v>
      </c>
      <c r="I325" s="97">
        <f>venta_a_mes12[[#This Row],[IMPORTE NETO]]*0.21</f>
        <v>15626.263799999999</v>
      </c>
      <c r="J325" s="61"/>
      <c r="K325" s="61"/>
      <c r="L325" s="61">
        <f>SUM(venta_a_mes12[[#This Row],[IMPORTE NETO]:[EXENTO]])</f>
        <v>90037.043799999999</v>
      </c>
      <c r="M325" s="55"/>
    </row>
    <row r="326" spans="2:13" x14ac:dyDescent="0.3">
      <c r="B326" s="105">
        <v>44888</v>
      </c>
      <c r="C326" s="37">
        <v>1</v>
      </c>
      <c r="D326" s="107">
        <v>10</v>
      </c>
      <c r="E326" s="108">
        <v>9593</v>
      </c>
      <c r="F326" s="109">
        <v>30712104550</v>
      </c>
      <c r="G326" s="95" t="str">
        <f>IFERROR(IF(venta_a_mes12[[#This Row],[CUIT]]="","-",VLOOKUP(venta_a_mes12[[#This Row],[CUIT]],Lista_CUIT[#All],2,0)),"CUIT NO CARGADO")</f>
        <v>EUROCOSMETICA S.A.</v>
      </c>
      <c r="H326" s="96">
        <v>101225.54</v>
      </c>
      <c r="I326" s="97">
        <f>venta_a_mes12[[#This Row],[IMPORTE NETO]]*0.21</f>
        <v>21257.363399999998</v>
      </c>
      <c r="J326" s="61"/>
      <c r="K326" s="61"/>
      <c r="L326" s="61">
        <f>SUM(venta_a_mes12[[#This Row],[IMPORTE NETO]:[EXENTO]])</f>
        <v>122482.9034</v>
      </c>
      <c r="M326" s="55"/>
    </row>
    <row r="327" spans="2:13" x14ac:dyDescent="0.3">
      <c r="B327" s="105">
        <v>44888</v>
      </c>
      <c r="C327" s="37">
        <v>1</v>
      </c>
      <c r="D327" s="107">
        <v>10</v>
      </c>
      <c r="E327" s="108">
        <v>9598</v>
      </c>
      <c r="F327" s="109">
        <v>30712104550</v>
      </c>
      <c r="G327" s="95" t="str">
        <f>IFERROR(IF(venta_a_mes12[[#This Row],[CUIT]]="","-",VLOOKUP(venta_a_mes12[[#This Row],[CUIT]],Lista_CUIT[#All],2,0)),"CUIT NO CARGADO")</f>
        <v>EUROCOSMETICA S.A.</v>
      </c>
      <c r="H327" s="96">
        <v>31010.61</v>
      </c>
      <c r="I327" s="97">
        <f>venta_a_mes12[[#This Row],[IMPORTE NETO]]*0.21</f>
        <v>6512.2281000000003</v>
      </c>
      <c r="J327" s="61"/>
      <c r="K327" s="61"/>
      <c r="L327" s="61">
        <f>SUM(venta_a_mes12[[#This Row],[IMPORTE NETO]:[EXENTO]])</f>
        <v>37522.838100000001</v>
      </c>
      <c r="M327" s="55"/>
    </row>
    <row r="328" spans="2:13" x14ac:dyDescent="0.3">
      <c r="B328" s="105">
        <v>44888</v>
      </c>
      <c r="C328" s="37">
        <v>1</v>
      </c>
      <c r="D328" s="107">
        <v>10</v>
      </c>
      <c r="E328" s="108">
        <v>9596</v>
      </c>
      <c r="F328" s="109">
        <v>30712104550</v>
      </c>
      <c r="G328" s="95" t="str">
        <f>IFERROR(IF(venta_a_mes12[[#This Row],[CUIT]]="","-",VLOOKUP(venta_a_mes12[[#This Row],[CUIT]],Lista_CUIT[#All],2,0)),"CUIT NO CARGADO")</f>
        <v>EUROCOSMETICA S.A.</v>
      </c>
      <c r="H328" s="96">
        <v>82978.17</v>
      </c>
      <c r="I328" s="97">
        <f>venta_a_mes12[[#This Row],[IMPORTE NETO]]*0.21</f>
        <v>17425.415699999998</v>
      </c>
      <c r="J328" s="61"/>
      <c r="K328" s="61"/>
      <c r="L328" s="61">
        <f>SUM(venta_a_mes12[[#This Row],[IMPORTE NETO]:[EXENTO]])</f>
        <v>100403.5857</v>
      </c>
      <c r="M328" s="55"/>
    </row>
    <row r="329" spans="2:13" x14ac:dyDescent="0.3">
      <c r="B329" s="105">
        <v>44888</v>
      </c>
      <c r="C329" s="37">
        <v>1</v>
      </c>
      <c r="D329" s="107">
        <v>10</v>
      </c>
      <c r="E329" s="108">
        <v>9597</v>
      </c>
      <c r="F329" s="109">
        <v>30712104550</v>
      </c>
      <c r="G329" s="95" t="str">
        <f>IFERROR(IF(venta_a_mes12[[#This Row],[CUIT]]="","-",VLOOKUP(venta_a_mes12[[#This Row],[CUIT]],Lista_CUIT[#All],2,0)),"CUIT NO CARGADO")</f>
        <v>EUROCOSMETICA S.A.</v>
      </c>
      <c r="H329" s="96">
        <v>52805.7</v>
      </c>
      <c r="I329" s="97">
        <f>venta_a_mes12[[#This Row],[IMPORTE NETO]]*0.21</f>
        <v>11089.196999999998</v>
      </c>
      <c r="J329" s="61"/>
      <c r="K329" s="61"/>
      <c r="L329" s="61">
        <f>SUM(venta_a_mes12[[#This Row],[IMPORTE NETO]:[EXENTO]])</f>
        <v>63894.896999999997</v>
      </c>
      <c r="M329" s="55"/>
    </row>
    <row r="330" spans="2:13" x14ac:dyDescent="0.3">
      <c r="B330" s="105">
        <v>44888</v>
      </c>
      <c r="C330" s="37">
        <v>1</v>
      </c>
      <c r="D330" s="107">
        <v>10</v>
      </c>
      <c r="E330" s="108">
        <v>9599</v>
      </c>
      <c r="F330" s="109">
        <v>30712104550</v>
      </c>
      <c r="G330" s="95" t="str">
        <f>IFERROR(IF(venta_a_mes12[[#This Row],[CUIT]]="","-",VLOOKUP(venta_a_mes12[[#This Row],[CUIT]],Lista_CUIT[#All],2,0)),"CUIT NO CARGADO")</f>
        <v>EUROCOSMETICA S.A.</v>
      </c>
      <c r="H330" s="96">
        <v>31531.49</v>
      </c>
      <c r="I330" s="97">
        <f>venta_a_mes12[[#This Row],[IMPORTE NETO]]*0.21</f>
        <v>6621.6129000000001</v>
      </c>
      <c r="J330" s="61"/>
      <c r="K330" s="61"/>
      <c r="L330" s="61">
        <f>SUM(venta_a_mes12[[#This Row],[IMPORTE NETO]:[EXENTO]])</f>
        <v>38153.102899999998</v>
      </c>
      <c r="M330" s="55"/>
    </row>
    <row r="331" spans="2:13" x14ac:dyDescent="0.3">
      <c r="B331" s="105">
        <v>44888</v>
      </c>
      <c r="C331" s="37">
        <v>1</v>
      </c>
      <c r="D331" s="107">
        <v>10</v>
      </c>
      <c r="E331" s="108">
        <v>9603</v>
      </c>
      <c r="F331" s="109">
        <v>20307580862</v>
      </c>
      <c r="G331" s="95" t="str">
        <f>IFERROR(IF(venta_a_mes12[[#This Row],[CUIT]]="","-",VLOOKUP(venta_a_mes12[[#This Row],[CUIT]],Lista_CUIT[#All],2,0)),"CUIT NO CARGADO")</f>
        <v>LAURIA JUAN MANUEL</v>
      </c>
      <c r="H331" s="96">
        <v>4989.26</v>
      </c>
      <c r="I331" s="97">
        <f>venta_a_mes12[[#This Row],[IMPORTE NETO]]*0.21</f>
        <v>1047.7446</v>
      </c>
      <c r="J331" s="61"/>
      <c r="K331" s="61"/>
      <c r="L331" s="61">
        <f>SUM(venta_a_mes12[[#This Row],[IMPORTE NETO]:[EXENTO]])</f>
        <v>6037.0046000000002</v>
      </c>
      <c r="M331" s="55"/>
    </row>
    <row r="332" spans="2:13" x14ac:dyDescent="0.3">
      <c r="B332" s="105">
        <v>44889</v>
      </c>
      <c r="C332" s="37">
        <v>1</v>
      </c>
      <c r="D332" s="107">
        <v>10</v>
      </c>
      <c r="E332" s="108">
        <v>9608</v>
      </c>
      <c r="F332" s="109">
        <v>30717072592</v>
      </c>
      <c r="G332" s="95" t="str">
        <f>IFERROR(IF(venta_a_mes12[[#This Row],[CUIT]]="","-",VLOOKUP(venta_a_mes12[[#This Row],[CUIT]],Lista_CUIT[#All],2,0)),"CUIT NO CARGADO")</f>
        <v>DERMOESTETIC SAS</v>
      </c>
      <c r="H332" s="96">
        <v>135333.79999999999</v>
      </c>
      <c r="I332" s="97">
        <f>venta_a_mes12[[#This Row],[IMPORTE NETO]]*0.21</f>
        <v>28420.097999999998</v>
      </c>
      <c r="J332" s="61"/>
      <c r="K332" s="61"/>
      <c r="L332" s="61">
        <f>SUM(venta_a_mes12[[#This Row],[IMPORTE NETO]:[EXENTO]])</f>
        <v>163753.89799999999</v>
      </c>
      <c r="M332" s="55"/>
    </row>
    <row r="333" spans="2:13" x14ac:dyDescent="0.3">
      <c r="B333" s="105">
        <v>44889</v>
      </c>
      <c r="C333" s="37">
        <v>1</v>
      </c>
      <c r="D333" s="107">
        <v>11</v>
      </c>
      <c r="E333" s="108">
        <v>1644</v>
      </c>
      <c r="F333" s="109">
        <v>27280796552</v>
      </c>
      <c r="G333" s="95" t="str">
        <f>IFERROR(IF(venta_a_mes12[[#This Row],[CUIT]]="","-",VLOOKUP(venta_a_mes12[[#This Row],[CUIT]],Lista_CUIT[#All],2,0)),"CUIT NO CARGADO")</f>
        <v>CARRERO DANIELA SOLANGE </v>
      </c>
      <c r="H333" s="96">
        <v>29504.16</v>
      </c>
      <c r="I333" s="97">
        <f>venta_a_mes12[[#This Row],[IMPORTE NETO]]*0.21</f>
        <v>6195.8735999999999</v>
      </c>
      <c r="J333" s="61"/>
      <c r="K333" s="61"/>
      <c r="L333" s="61">
        <f>SUM(venta_a_mes12[[#This Row],[IMPORTE NETO]:[EXENTO]])</f>
        <v>35700.033600000002</v>
      </c>
      <c r="M333" s="55"/>
    </row>
    <row r="334" spans="2:13" x14ac:dyDescent="0.3">
      <c r="B334" s="105">
        <v>44889</v>
      </c>
      <c r="C334" s="37">
        <v>1</v>
      </c>
      <c r="D334" s="107">
        <v>10</v>
      </c>
      <c r="E334" s="108">
        <v>9607</v>
      </c>
      <c r="F334" s="109">
        <v>27061737230</v>
      </c>
      <c r="G334" s="95" t="str">
        <f>IFERROR(IF(venta_a_mes12[[#This Row],[CUIT]]="","-",VLOOKUP(venta_a_mes12[[#This Row],[CUIT]],Lista_CUIT[#All],2,0)),"CUIT NO CARGADO")</f>
        <v>LO DUCA STELLA MARIS RAMONA</v>
      </c>
      <c r="H334" s="96">
        <v>31235.37</v>
      </c>
      <c r="I334" s="97">
        <f>venta_a_mes12[[#This Row],[IMPORTE NETO]]*0.21</f>
        <v>6559.4276999999993</v>
      </c>
      <c r="J334" s="61"/>
      <c r="K334" s="61"/>
      <c r="L334" s="61">
        <f>SUM(venta_a_mes12[[#This Row],[IMPORTE NETO]:[EXENTO]])</f>
        <v>37794.797699999996</v>
      </c>
      <c r="M334" s="55"/>
    </row>
    <row r="335" spans="2:13" x14ac:dyDescent="0.3">
      <c r="B335" s="105">
        <v>44889</v>
      </c>
      <c r="C335" s="37">
        <v>1</v>
      </c>
      <c r="D335" s="107">
        <v>10</v>
      </c>
      <c r="E335" s="108">
        <v>9613</v>
      </c>
      <c r="F335" s="109">
        <v>30717072592</v>
      </c>
      <c r="G335" s="95" t="str">
        <f>IFERROR(IF(venta_a_mes12[[#This Row],[CUIT]]="","-",VLOOKUP(venta_a_mes12[[#This Row],[CUIT]],Lista_CUIT[#All],2,0)),"CUIT NO CARGADO")</f>
        <v>DERMOESTETIC SAS</v>
      </c>
      <c r="H335" s="96">
        <v>6070.25</v>
      </c>
      <c r="I335" s="97">
        <f>venta_a_mes12[[#This Row],[IMPORTE NETO]]*0.21</f>
        <v>1274.7525000000001</v>
      </c>
      <c r="J335" s="61"/>
      <c r="K335" s="61"/>
      <c r="L335" s="61">
        <f>SUM(venta_a_mes12[[#This Row],[IMPORTE NETO]:[EXENTO]])</f>
        <v>7345.0025000000005</v>
      </c>
      <c r="M335" s="55"/>
    </row>
    <row r="336" spans="2:13" x14ac:dyDescent="0.3">
      <c r="B336" s="105">
        <v>44889</v>
      </c>
      <c r="C336" s="37">
        <v>1</v>
      </c>
      <c r="D336" s="107">
        <v>10</v>
      </c>
      <c r="E336" s="108">
        <v>9610</v>
      </c>
      <c r="F336" s="109">
        <v>30717072592</v>
      </c>
      <c r="G336" s="95" t="str">
        <f>IFERROR(IF(venta_a_mes12[[#This Row],[CUIT]]="","-",VLOOKUP(venta_a_mes12[[#This Row],[CUIT]],Lista_CUIT[#All],2,0)),"CUIT NO CARGADO")</f>
        <v>DERMOESTETIC SAS</v>
      </c>
      <c r="H336" s="96">
        <v>98604.3</v>
      </c>
      <c r="I336" s="97">
        <f>venta_a_mes12[[#This Row],[IMPORTE NETO]]*0.21</f>
        <v>20706.902999999998</v>
      </c>
      <c r="J336" s="61"/>
      <c r="K336" s="61"/>
      <c r="L336" s="61">
        <f>SUM(venta_a_mes12[[#This Row],[IMPORTE NETO]:[EXENTO]])</f>
        <v>119311.20300000001</v>
      </c>
      <c r="M336" s="55"/>
    </row>
    <row r="337" spans="2:13" x14ac:dyDescent="0.3">
      <c r="B337" s="105">
        <v>44889</v>
      </c>
      <c r="C337" s="37">
        <v>1</v>
      </c>
      <c r="D337" s="107">
        <v>10</v>
      </c>
      <c r="E337" s="108">
        <v>9612</v>
      </c>
      <c r="F337" s="109">
        <v>30717072592</v>
      </c>
      <c r="G337" s="95" t="str">
        <f>IFERROR(IF(venta_a_mes12[[#This Row],[CUIT]]="","-",VLOOKUP(venta_a_mes12[[#This Row],[CUIT]],Lista_CUIT[#All],2,0)),"CUIT NO CARGADO")</f>
        <v>DERMOESTETIC SAS</v>
      </c>
      <c r="H337" s="96">
        <v>89533.93</v>
      </c>
      <c r="I337" s="97">
        <f>venta_a_mes12[[#This Row],[IMPORTE NETO]]*0.21</f>
        <v>18802.125299999996</v>
      </c>
      <c r="J337" s="61"/>
      <c r="K337" s="61"/>
      <c r="L337" s="61">
        <f>SUM(venta_a_mes12[[#This Row],[IMPORTE NETO]:[EXENTO]])</f>
        <v>108336.05529999999</v>
      </c>
      <c r="M337" s="55"/>
    </row>
    <row r="338" spans="2:13" x14ac:dyDescent="0.3">
      <c r="B338" s="105">
        <v>44889</v>
      </c>
      <c r="C338" s="37">
        <v>1</v>
      </c>
      <c r="D338" s="107">
        <v>10</v>
      </c>
      <c r="E338" s="108">
        <v>9611</v>
      </c>
      <c r="F338" s="109">
        <v>30717072592</v>
      </c>
      <c r="G338" s="95" t="str">
        <f>IFERROR(IF(venta_a_mes12[[#This Row],[CUIT]]="","-",VLOOKUP(venta_a_mes12[[#This Row],[CUIT]],Lista_CUIT[#All],2,0)),"CUIT NO CARGADO")</f>
        <v>DERMOESTETIC SAS</v>
      </c>
      <c r="H338" s="96">
        <v>124967.77</v>
      </c>
      <c r="I338" s="97">
        <f>venta_a_mes12[[#This Row],[IMPORTE NETO]]*0.21</f>
        <v>26243.2317</v>
      </c>
      <c r="J338" s="61"/>
      <c r="K338" s="61"/>
      <c r="L338" s="61">
        <f>SUM(venta_a_mes12[[#This Row],[IMPORTE NETO]:[EXENTO]])</f>
        <v>151211.00169999999</v>
      </c>
      <c r="M338" s="55"/>
    </row>
    <row r="339" spans="2:13" x14ac:dyDescent="0.3">
      <c r="B339" s="105">
        <v>44889</v>
      </c>
      <c r="C339" s="37">
        <v>1</v>
      </c>
      <c r="D339" s="107">
        <v>11</v>
      </c>
      <c r="E339" s="108">
        <v>1643</v>
      </c>
      <c r="F339" s="109">
        <v>27280796552</v>
      </c>
      <c r="G339" s="95" t="str">
        <f>IFERROR(IF(venta_a_mes12[[#This Row],[CUIT]]="","-",VLOOKUP(venta_a_mes12[[#This Row],[CUIT]],Lista_CUIT[#All],2,0)),"CUIT NO CARGADO")</f>
        <v>CARRERO DANIELA SOLANGE </v>
      </c>
      <c r="H339" s="96">
        <v>16487.599999999999</v>
      </c>
      <c r="I339" s="97">
        <f>venta_a_mes12[[#This Row],[IMPORTE NETO]]*0.21</f>
        <v>3462.3959999999997</v>
      </c>
      <c r="J339" s="61"/>
      <c r="K339" s="61"/>
      <c r="L339" s="61">
        <f>SUM(venta_a_mes12[[#This Row],[IMPORTE NETO]:[EXENTO]])</f>
        <v>19949.995999999999</v>
      </c>
      <c r="M339" s="55"/>
    </row>
    <row r="340" spans="2:13" x14ac:dyDescent="0.3">
      <c r="B340" s="105">
        <v>44889</v>
      </c>
      <c r="C340" s="37">
        <v>1</v>
      </c>
      <c r="D340" s="107">
        <v>10</v>
      </c>
      <c r="E340" s="108">
        <v>9604</v>
      </c>
      <c r="F340" s="109">
        <v>27141689296</v>
      </c>
      <c r="G340" s="95" t="str">
        <f>IFERROR(IF(venta_a_mes12[[#This Row],[CUIT]]="","-",VLOOKUP(venta_a_mes12[[#This Row],[CUIT]],Lista_CUIT[#All],2,0)),"CUIT NO CARGADO")</f>
        <v>FLEYTAS MONICA LILIANA</v>
      </c>
      <c r="H340" s="96">
        <v>8099.17</v>
      </c>
      <c r="I340" s="97">
        <f>venta_a_mes12[[#This Row],[IMPORTE NETO]]*0.21</f>
        <v>1700.8256999999999</v>
      </c>
      <c r="J340" s="61"/>
      <c r="K340" s="61"/>
      <c r="L340" s="61">
        <f>SUM(venta_a_mes12[[#This Row],[IMPORTE NETO]:[EXENTO]])</f>
        <v>9799.9956999999995</v>
      </c>
      <c r="M340" s="55"/>
    </row>
    <row r="341" spans="2:13" x14ac:dyDescent="0.3">
      <c r="B341" s="105">
        <v>44889</v>
      </c>
      <c r="C341" s="37">
        <v>1</v>
      </c>
      <c r="D341" s="107">
        <v>10</v>
      </c>
      <c r="E341" s="108">
        <v>9609</v>
      </c>
      <c r="F341" s="109">
        <v>30717072592</v>
      </c>
      <c r="G341" s="95" t="str">
        <f>IFERROR(IF(venta_a_mes12[[#This Row],[CUIT]]="","-",VLOOKUP(venta_a_mes12[[#This Row],[CUIT]],Lista_CUIT[#All],2,0)),"CUIT NO CARGADO")</f>
        <v>DERMOESTETIC SAS</v>
      </c>
      <c r="H341" s="96">
        <v>97330.54</v>
      </c>
      <c r="I341" s="97">
        <f>venta_a_mes12[[#This Row],[IMPORTE NETO]]*0.21</f>
        <v>20439.413399999998</v>
      </c>
      <c r="J341" s="61"/>
      <c r="K341" s="61"/>
      <c r="L341" s="61">
        <f>SUM(venta_a_mes12[[#This Row],[IMPORTE NETO]:[EXENTO]])</f>
        <v>117769.9534</v>
      </c>
      <c r="M341" s="55"/>
    </row>
    <row r="342" spans="2:13" x14ac:dyDescent="0.3">
      <c r="B342" s="105">
        <v>44889</v>
      </c>
      <c r="C342" s="37">
        <v>1</v>
      </c>
      <c r="D342" s="107">
        <v>11</v>
      </c>
      <c r="E342" s="108">
        <v>1642</v>
      </c>
      <c r="F342" s="109">
        <v>27280796552</v>
      </c>
      <c r="G342" s="95" t="str">
        <f>IFERROR(IF(venta_a_mes12[[#This Row],[CUIT]]="","-",VLOOKUP(venta_a_mes12[[#This Row],[CUIT]],Lista_CUIT[#All],2,0)),"CUIT NO CARGADO")</f>
        <v>CARRERO DANIELA SOLANGE </v>
      </c>
      <c r="H342" s="96">
        <v>27966.94</v>
      </c>
      <c r="I342" s="97">
        <f>venta_a_mes12[[#This Row],[IMPORTE NETO]]*0.21</f>
        <v>5873.0573999999997</v>
      </c>
      <c r="J342" s="61"/>
      <c r="K342" s="61"/>
      <c r="L342" s="61">
        <f>SUM(venta_a_mes12[[#This Row],[IMPORTE NETO]:[EXENTO]])</f>
        <v>33839.9974</v>
      </c>
      <c r="M342" s="55"/>
    </row>
    <row r="343" spans="2:13" x14ac:dyDescent="0.3">
      <c r="B343" s="105">
        <v>44889</v>
      </c>
      <c r="C343" s="37">
        <v>1</v>
      </c>
      <c r="D343" s="107">
        <v>12</v>
      </c>
      <c r="E343" s="108">
        <v>1200</v>
      </c>
      <c r="F343" s="109">
        <v>30715705946</v>
      </c>
      <c r="G343" s="95" t="str">
        <f>IFERROR(IF(venta_a_mes12[[#This Row],[CUIT]]="","-",VLOOKUP(venta_a_mes12[[#This Row],[CUIT]],Lista_CUIT[#All],2,0)),"CUIT NO CARGADO")</f>
        <v>MEDICINA Y ARTE S.R.L.</v>
      </c>
      <c r="H343" s="96">
        <v>9008.26</v>
      </c>
      <c r="I343" s="97">
        <f>venta_a_mes12[[#This Row],[IMPORTE NETO]]*0.21</f>
        <v>1891.7346</v>
      </c>
      <c r="J343" s="61"/>
      <c r="K343" s="61"/>
      <c r="L343" s="61">
        <f>SUM(venta_a_mes12[[#This Row],[IMPORTE NETO]:[EXENTO]])</f>
        <v>10899.9946</v>
      </c>
      <c r="M343" s="55"/>
    </row>
    <row r="344" spans="2:13" x14ac:dyDescent="0.3">
      <c r="B344" s="105">
        <v>44889</v>
      </c>
      <c r="C344" s="37">
        <v>1</v>
      </c>
      <c r="D344" s="107">
        <v>10</v>
      </c>
      <c r="E344" s="108">
        <v>9606</v>
      </c>
      <c r="F344" s="109">
        <v>27141689296</v>
      </c>
      <c r="G344" s="95" t="str">
        <f>IFERROR(IF(venta_a_mes12[[#This Row],[CUIT]]="","-",VLOOKUP(venta_a_mes12[[#This Row],[CUIT]],Lista_CUIT[#All],2,0)),"CUIT NO CARGADO")</f>
        <v>FLEYTAS MONICA LILIANA</v>
      </c>
      <c r="H344" s="96">
        <v>3471.07</v>
      </c>
      <c r="I344" s="97">
        <f>venta_a_mes12[[#This Row],[IMPORTE NETO]]*0.21</f>
        <v>728.92470000000003</v>
      </c>
      <c r="J344" s="61"/>
      <c r="K344" s="61"/>
      <c r="L344" s="61">
        <f>SUM(venta_a_mes12[[#This Row],[IMPORTE NETO]:[EXENTO]])</f>
        <v>4199.9947000000002</v>
      </c>
      <c r="M344" s="55"/>
    </row>
    <row r="345" spans="2:13" x14ac:dyDescent="0.3">
      <c r="B345" s="105">
        <v>44889</v>
      </c>
      <c r="C345" s="37">
        <v>1</v>
      </c>
      <c r="D345" s="107">
        <v>10</v>
      </c>
      <c r="E345" s="108">
        <v>9605</v>
      </c>
      <c r="F345" s="109">
        <v>20128057499</v>
      </c>
      <c r="G345" s="95" t="str">
        <f>IFERROR(IF(venta_a_mes12[[#This Row],[CUIT]]="","-",VLOOKUP(venta_a_mes12[[#This Row],[CUIT]],Lista_CUIT[#All],2,0)),"CUIT NO CARGADO")</f>
        <v>Parodi Claudio Omar</v>
      </c>
      <c r="H345" s="96">
        <v>15619.83</v>
      </c>
      <c r="I345" s="97">
        <f>venta_a_mes12[[#This Row],[IMPORTE NETO]]*0.21</f>
        <v>3280.1642999999999</v>
      </c>
      <c r="J345" s="61"/>
      <c r="K345" s="61"/>
      <c r="L345" s="61">
        <f>SUM(venta_a_mes12[[#This Row],[IMPORTE NETO]:[EXENTO]])</f>
        <v>18899.994299999998</v>
      </c>
      <c r="M345" s="55"/>
    </row>
    <row r="346" spans="2:13" x14ac:dyDescent="0.3">
      <c r="B346" s="105">
        <v>44890</v>
      </c>
      <c r="C346" s="37">
        <v>1</v>
      </c>
      <c r="D346" s="107">
        <v>10</v>
      </c>
      <c r="E346" s="108">
        <v>9615</v>
      </c>
      <c r="F346" s="109">
        <v>30709163503</v>
      </c>
      <c r="G346" s="95" t="str">
        <f>IFERROR(IF(venta_a_mes12[[#This Row],[CUIT]]="","-",VLOOKUP(venta_a_mes12[[#This Row],[CUIT]],Lista_CUIT[#All],2,0)),"CUIT NO CARGADO")</f>
        <v>CANADEZ S.R.L.</v>
      </c>
      <c r="H346" s="96">
        <v>29771.85</v>
      </c>
      <c r="I346" s="97">
        <f>venta_a_mes12[[#This Row],[IMPORTE NETO]]*0.21</f>
        <v>6252.0884999999998</v>
      </c>
      <c r="J346" s="61"/>
      <c r="K346" s="61"/>
      <c r="L346" s="61">
        <f>SUM(venta_a_mes12[[#This Row],[IMPORTE NETO]:[EXENTO]])</f>
        <v>36023.938499999997</v>
      </c>
      <c r="M346" s="55"/>
    </row>
    <row r="347" spans="2:13" x14ac:dyDescent="0.3">
      <c r="B347" s="105">
        <v>44890</v>
      </c>
      <c r="C347" s="37">
        <v>1</v>
      </c>
      <c r="D347" s="107">
        <v>10</v>
      </c>
      <c r="E347" s="108">
        <v>9614</v>
      </c>
      <c r="F347" s="109">
        <v>30709163503</v>
      </c>
      <c r="G347" s="95" t="str">
        <f>IFERROR(IF(venta_a_mes12[[#This Row],[CUIT]]="","-",VLOOKUP(venta_a_mes12[[#This Row],[CUIT]],Lista_CUIT[#All],2,0)),"CUIT NO CARGADO")</f>
        <v>CANADEZ S.R.L.</v>
      </c>
      <c r="H347" s="96">
        <v>91408.26</v>
      </c>
      <c r="I347" s="97">
        <f>venta_a_mes12[[#This Row],[IMPORTE NETO]]*0.21</f>
        <v>19195.7346</v>
      </c>
      <c r="J347" s="61"/>
      <c r="K347" s="61"/>
      <c r="L347" s="61">
        <f>SUM(venta_a_mes12[[#This Row],[IMPORTE NETO]:[EXENTO]])</f>
        <v>110603.99459999999</v>
      </c>
      <c r="M347" s="55"/>
    </row>
    <row r="348" spans="2:13" x14ac:dyDescent="0.3">
      <c r="B348" s="105">
        <v>44890</v>
      </c>
      <c r="C348" s="37">
        <v>1</v>
      </c>
      <c r="D348" s="107">
        <v>11</v>
      </c>
      <c r="E348" s="108">
        <v>1646</v>
      </c>
      <c r="F348" s="109">
        <v>27226500338</v>
      </c>
      <c r="G348" s="95" t="str">
        <f>IFERROR(IF(venta_a_mes12[[#This Row],[CUIT]]="","-",VLOOKUP(venta_a_mes12[[#This Row],[CUIT]],Lista_CUIT[#All],2,0)),"CUIT NO CARGADO")</f>
        <v>SINGER KARINA</v>
      </c>
      <c r="H348" s="96">
        <v>2975.21</v>
      </c>
      <c r="I348" s="97">
        <f>venta_a_mes12[[#This Row],[IMPORTE NETO]]*0.21</f>
        <v>624.79409999999996</v>
      </c>
      <c r="J348" s="61"/>
      <c r="K348" s="61"/>
      <c r="L348" s="61">
        <f>SUM(venta_a_mes12[[#This Row],[IMPORTE NETO]:[EXENTO]])</f>
        <v>3600.0041000000001</v>
      </c>
      <c r="M348" s="55"/>
    </row>
    <row r="349" spans="2:13" x14ac:dyDescent="0.3">
      <c r="B349" s="105">
        <v>44890</v>
      </c>
      <c r="C349" s="37">
        <v>1</v>
      </c>
      <c r="D349" s="107">
        <v>11</v>
      </c>
      <c r="E349" s="108">
        <v>1645</v>
      </c>
      <c r="F349" s="109">
        <v>27161298285</v>
      </c>
      <c r="G349" s="95" t="str">
        <f>IFERROR(IF(venta_a_mes12[[#This Row],[CUIT]]="","-",VLOOKUP(venta_a_mes12[[#This Row],[CUIT]],Lista_CUIT[#All],2,0)),"CUIT NO CARGADO")</f>
        <v>ROLDAN MARIA CLAUDIA</v>
      </c>
      <c r="H349" s="96">
        <v>6140.52</v>
      </c>
      <c r="I349" s="97">
        <f>venta_a_mes12[[#This Row],[IMPORTE NETO]]*0.21</f>
        <v>1289.5092</v>
      </c>
      <c r="J349" s="61"/>
      <c r="K349" s="61"/>
      <c r="L349" s="61">
        <f>SUM(venta_a_mes12[[#This Row],[IMPORTE NETO]:[EXENTO]])</f>
        <v>7430.0292000000009</v>
      </c>
      <c r="M349" s="55"/>
    </row>
    <row r="350" spans="2:13" x14ac:dyDescent="0.3">
      <c r="B350" s="105">
        <v>44891</v>
      </c>
      <c r="C350" s="37">
        <v>1</v>
      </c>
      <c r="D350" s="107">
        <v>10</v>
      </c>
      <c r="E350" s="108">
        <v>9617</v>
      </c>
      <c r="F350" s="109">
        <v>23269528214</v>
      </c>
      <c r="G350" s="95" t="str">
        <f>IFERROR(IF(venta_a_mes12[[#This Row],[CUIT]]="","-",VLOOKUP(venta_a_mes12[[#This Row],[CUIT]],Lista_CUIT[#All],2,0)),"CUIT NO CARGADO")</f>
        <v>VANINA ANABELLA ECHENIQUE</v>
      </c>
      <c r="H350" s="96">
        <v>67936.12</v>
      </c>
      <c r="I350" s="97">
        <f>venta_a_mes12[[#This Row],[IMPORTE NETO]]*0.21</f>
        <v>14266.585199999998</v>
      </c>
      <c r="J350" s="61"/>
      <c r="K350" s="61"/>
      <c r="L350" s="61">
        <f>SUM(venta_a_mes12[[#This Row],[IMPORTE NETO]:[EXENTO]])</f>
        <v>82202.705199999997</v>
      </c>
      <c r="M350" s="55"/>
    </row>
    <row r="351" spans="2:13" x14ac:dyDescent="0.3">
      <c r="B351" s="105">
        <v>44891</v>
      </c>
      <c r="C351" s="37">
        <v>1</v>
      </c>
      <c r="D351" s="107">
        <v>10</v>
      </c>
      <c r="E351" s="108">
        <v>9616</v>
      </c>
      <c r="F351" s="109">
        <v>30709163503</v>
      </c>
      <c r="G351" s="95" t="str">
        <f>IFERROR(IF(venta_a_mes12[[#This Row],[CUIT]]="","-",VLOOKUP(venta_a_mes12[[#This Row],[CUIT]],Lista_CUIT[#All],2,0)),"CUIT NO CARGADO")</f>
        <v>CANADEZ S.R.L.</v>
      </c>
      <c r="H351" s="96">
        <v>37596.629999999997</v>
      </c>
      <c r="I351" s="97">
        <f>venta_a_mes12[[#This Row],[IMPORTE NETO]]*0.21</f>
        <v>7895.2922999999992</v>
      </c>
      <c r="J351" s="61"/>
      <c r="K351" s="61"/>
      <c r="L351" s="61">
        <f>SUM(venta_a_mes12[[#This Row],[IMPORTE NETO]:[EXENTO]])</f>
        <v>45491.922299999998</v>
      </c>
      <c r="M351" s="55"/>
    </row>
    <row r="352" spans="2:13" x14ac:dyDescent="0.3">
      <c r="B352" s="105">
        <v>44891</v>
      </c>
      <c r="C352" s="37">
        <v>1</v>
      </c>
      <c r="D352" s="107">
        <v>12</v>
      </c>
      <c r="E352" s="108">
        <v>1201</v>
      </c>
      <c r="F352" s="109">
        <v>27175380146</v>
      </c>
      <c r="G352" s="95" t="str">
        <f>IFERROR(IF(venta_a_mes12[[#This Row],[CUIT]]="","-",VLOOKUP(venta_a_mes12[[#This Row],[CUIT]],Lista_CUIT[#All],2,0)),"CUIT NO CARGADO")</f>
        <v>CALICCHIO MARIA ANDREA</v>
      </c>
      <c r="H352" s="96">
        <v>2107.44</v>
      </c>
      <c r="I352" s="97">
        <f>venta_a_mes12[[#This Row],[IMPORTE NETO]]*0.21</f>
        <v>442.56239999999997</v>
      </c>
      <c r="J352" s="61"/>
      <c r="K352" s="61"/>
      <c r="L352" s="61">
        <f>SUM(venta_a_mes12[[#This Row],[IMPORTE NETO]:[EXENTO]])</f>
        <v>2550.0023999999999</v>
      </c>
      <c r="M352" s="55"/>
    </row>
    <row r="353" spans="2:13" x14ac:dyDescent="0.3">
      <c r="B353" s="105">
        <v>44891</v>
      </c>
      <c r="C353" s="37">
        <v>1</v>
      </c>
      <c r="D353" s="107">
        <v>11</v>
      </c>
      <c r="E353" s="108">
        <v>1649</v>
      </c>
      <c r="F353" s="109">
        <v>27280796552</v>
      </c>
      <c r="G353" s="95" t="str">
        <f>IFERROR(IF(venta_a_mes12[[#This Row],[CUIT]]="","-",VLOOKUP(venta_a_mes12[[#This Row],[CUIT]],Lista_CUIT[#All],2,0)),"CUIT NO CARGADO")</f>
        <v>CARRERO DANIELA SOLANGE </v>
      </c>
      <c r="H353" s="96">
        <v>29528.95</v>
      </c>
      <c r="I353" s="97">
        <f>venta_a_mes12[[#This Row],[IMPORTE NETO]]*0.21</f>
        <v>6201.0794999999998</v>
      </c>
      <c r="J353" s="61"/>
      <c r="K353" s="61"/>
      <c r="L353" s="61">
        <f>SUM(venta_a_mes12[[#This Row],[IMPORTE NETO]:[EXENTO]])</f>
        <v>35730.029500000004</v>
      </c>
      <c r="M353" s="55"/>
    </row>
    <row r="354" spans="2:13" x14ac:dyDescent="0.3">
      <c r="B354" s="105">
        <v>44891</v>
      </c>
      <c r="C354" s="37">
        <v>1</v>
      </c>
      <c r="D354" s="107">
        <v>11</v>
      </c>
      <c r="E354" s="108">
        <v>1648</v>
      </c>
      <c r="F354" s="109">
        <v>27280796552</v>
      </c>
      <c r="G354" s="95" t="str">
        <f>IFERROR(IF(venta_a_mes12[[#This Row],[CUIT]]="","-",VLOOKUP(venta_a_mes12[[#This Row],[CUIT]],Lista_CUIT[#All],2,0)),"CUIT NO CARGADO")</f>
        <v>CARRERO DANIELA SOLANGE </v>
      </c>
      <c r="H354" s="96">
        <v>6694.21</v>
      </c>
      <c r="I354" s="97">
        <f>venta_a_mes12[[#This Row],[IMPORTE NETO]]*0.21</f>
        <v>1405.7840999999999</v>
      </c>
      <c r="J354" s="61"/>
      <c r="K354" s="61"/>
      <c r="L354" s="61">
        <f>SUM(venta_a_mes12[[#This Row],[IMPORTE NETO]:[EXENTO]])</f>
        <v>8099.9940999999999</v>
      </c>
      <c r="M354" s="55"/>
    </row>
    <row r="355" spans="2:13" x14ac:dyDescent="0.3">
      <c r="B355" s="105">
        <v>44891</v>
      </c>
      <c r="C355" s="37">
        <v>1</v>
      </c>
      <c r="D355" s="107">
        <v>11</v>
      </c>
      <c r="E355" s="108">
        <v>1647</v>
      </c>
      <c r="F355" s="109">
        <v>27280796552</v>
      </c>
      <c r="G355" s="95" t="str">
        <f>IFERROR(IF(venta_a_mes12[[#This Row],[CUIT]]="","-",VLOOKUP(venta_a_mes12[[#This Row],[CUIT]],Lista_CUIT[#All],2,0)),"CUIT NO CARGADO")</f>
        <v>CARRERO DANIELA SOLANGE </v>
      </c>
      <c r="H355" s="96">
        <v>4834.71</v>
      </c>
      <c r="I355" s="97">
        <f>venta_a_mes12[[#This Row],[IMPORTE NETO]]*0.21</f>
        <v>1015.2891</v>
      </c>
      <c r="J355" s="61"/>
      <c r="K355" s="61"/>
      <c r="L355" s="61">
        <f>SUM(venta_a_mes12[[#This Row],[IMPORTE NETO]:[EXENTO]])</f>
        <v>5849.9991</v>
      </c>
      <c r="M355" s="55"/>
    </row>
    <row r="356" spans="2:13" x14ac:dyDescent="0.3">
      <c r="B356" s="105">
        <v>44893</v>
      </c>
      <c r="C356" s="37">
        <v>1</v>
      </c>
      <c r="D356" s="107">
        <v>11</v>
      </c>
      <c r="E356" s="108">
        <v>1651</v>
      </c>
      <c r="F356" s="109">
        <v>30715219014</v>
      </c>
      <c r="G356" s="95" t="str">
        <f>IFERROR(IF(venta_a_mes12[[#This Row],[CUIT]]="","-",VLOOKUP(venta_a_mes12[[#This Row],[CUIT]],Lista_CUIT[#All],2,0)),"CUIT NO CARGADO")</f>
        <v>KNOWLEDGE OF SERVICES S.R.L.</v>
      </c>
      <c r="H356" s="96">
        <v>1652.89</v>
      </c>
      <c r="I356" s="97">
        <f>venta_a_mes12[[#This Row],[IMPORTE NETO]]*0.21</f>
        <v>347.1069</v>
      </c>
      <c r="J356" s="61"/>
      <c r="K356" s="61"/>
      <c r="L356" s="61">
        <f>SUM(venta_a_mes12[[#This Row],[IMPORTE NETO]:[EXENTO]])</f>
        <v>1999.9969000000001</v>
      </c>
      <c r="M356" s="55"/>
    </row>
    <row r="357" spans="2:13" x14ac:dyDescent="0.3">
      <c r="B357" s="105">
        <v>44893</v>
      </c>
      <c r="C357" s="37">
        <v>1</v>
      </c>
      <c r="D357" s="107">
        <v>10</v>
      </c>
      <c r="E357" s="108">
        <v>9618</v>
      </c>
      <c r="F357" s="109">
        <v>20307580862</v>
      </c>
      <c r="G357" s="95" t="str">
        <f>IFERROR(IF(venta_a_mes12[[#This Row],[CUIT]]="","-",VLOOKUP(venta_a_mes12[[#This Row],[CUIT]],Lista_CUIT[#All],2,0)),"CUIT NO CARGADO")</f>
        <v>LAURIA JUAN MANUEL</v>
      </c>
      <c r="H357" s="96">
        <v>6596.36</v>
      </c>
      <c r="I357" s="97">
        <f>venta_a_mes12[[#This Row],[IMPORTE NETO]]*0.21</f>
        <v>1385.2356</v>
      </c>
      <c r="J357" s="61"/>
      <c r="K357" s="61"/>
      <c r="L357" s="61">
        <f>SUM(venta_a_mes12[[#This Row],[IMPORTE NETO]:[EXENTO]])</f>
        <v>7981.5955999999996</v>
      </c>
      <c r="M357" s="55"/>
    </row>
    <row r="358" spans="2:13" x14ac:dyDescent="0.3">
      <c r="B358" s="105">
        <v>44893</v>
      </c>
      <c r="C358" s="37">
        <v>1</v>
      </c>
      <c r="D358" s="107">
        <v>10</v>
      </c>
      <c r="E358" s="108">
        <v>9619</v>
      </c>
      <c r="F358" s="109">
        <v>27234905924</v>
      </c>
      <c r="G358" s="95" t="str">
        <f>IFERROR(IF(venta_a_mes12[[#This Row],[CUIT]]="","-",VLOOKUP(venta_a_mes12[[#This Row],[CUIT]],Lista_CUIT[#All],2,0)),"CUIT NO CARGADO")</f>
        <v>SANTORELLI CARLA</v>
      </c>
      <c r="H358" s="96">
        <v>94334.12</v>
      </c>
      <c r="I358" s="97">
        <f>venta_a_mes12[[#This Row],[IMPORTE NETO]]*0.21</f>
        <v>19810.165199999999</v>
      </c>
      <c r="J358" s="61"/>
      <c r="K358" s="61"/>
      <c r="L358" s="61">
        <f>SUM(venta_a_mes12[[#This Row],[IMPORTE NETO]:[EXENTO]])</f>
        <v>114144.2852</v>
      </c>
      <c r="M358" s="55"/>
    </row>
    <row r="359" spans="2:13" x14ac:dyDescent="0.3">
      <c r="B359" s="105">
        <v>44893</v>
      </c>
      <c r="C359" s="37">
        <v>1</v>
      </c>
      <c r="D359" s="107">
        <v>11</v>
      </c>
      <c r="E359" s="108">
        <v>1650</v>
      </c>
      <c r="F359" s="109">
        <v>30715219014</v>
      </c>
      <c r="G359" s="95" t="str">
        <f>IFERROR(IF(venta_a_mes12[[#This Row],[CUIT]]="","-",VLOOKUP(venta_a_mes12[[#This Row],[CUIT]],Lista_CUIT[#All],2,0)),"CUIT NO CARGADO")</f>
        <v>KNOWLEDGE OF SERVICES S.R.L.</v>
      </c>
      <c r="H359" s="96">
        <v>3203.31</v>
      </c>
      <c r="I359" s="97">
        <f>venta_a_mes12[[#This Row],[IMPORTE NETO]]*0.21</f>
        <v>672.69509999999991</v>
      </c>
      <c r="J359" s="61"/>
      <c r="K359" s="61"/>
      <c r="L359" s="61">
        <f>SUM(venta_a_mes12[[#This Row],[IMPORTE NETO]:[EXENTO]])</f>
        <v>3876.0050999999999</v>
      </c>
      <c r="M359" s="55"/>
    </row>
    <row r="360" spans="2:13" x14ac:dyDescent="0.3">
      <c r="B360" s="105">
        <v>44893</v>
      </c>
      <c r="C360" s="37">
        <v>1</v>
      </c>
      <c r="D360" s="107">
        <v>13</v>
      </c>
      <c r="E360" s="108">
        <v>1089</v>
      </c>
      <c r="F360" s="109">
        <v>30710144830</v>
      </c>
      <c r="G360" s="95" t="str">
        <f>IFERROR(IF(venta_a_mes12[[#This Row],[CUIT]]="","-",VLOOKUP(venta_a_mes12[[#This Row],[CUIT]],Lista_CUIT[#All],2,0)),"CUIT NO CARGADO")</f>
        <v>SEGURA HARO OMAR Y JARA FERNANDEZ MIRYAM S.H.</v>
      </c>
      <c r="H360" s="96">
        <v>19613.23</v>
      </c>
      <c r="I360" s="97">
        <f>venta_a_mes12[[#This Row],[IMPORTE NETO]]*0.21</f>
        <v>4118.7782999999999</v>
      </c>
      <c r="J360" s="61"/>
      <c r="K360" s="61"/>
      <c r="L360" s="61">
        <f>SUM(venta_a_mes12[[#This Row],[IMPORTE NETO]:[EXENTO]])</f>
        <v>23732.008300000001</v>
      </c>
      <c r="M360" s="55"/>
    </row>
    <row r="361" spans="2:13" x14ac:dyDescent="0.3">
      <c r="B361" s="105">
        <v>44893</v>
      </c>
      <c r="C361" s="37">
        <v>1</v>
      </c>
      <c r="D361" s="107">
        <v>15</v>
      </c>
      <c r="E361" s="108">
        <v>226</v>
      </c>
      <c r="F361" s="109">
        <v>27242509612</v>
      </c>
      <c r="G361" s="95" t="str">
        <f>IFERROR(IF(venta_a_mes12[[#This Row],[CUIT]]="","-",VLOOKUP(venta_a_mes12[[#This Row],[CUIT]],Lista_CUIT[#All],2,0)),"CUIT NO CARGADO")</f>
        <v>Vazquez Lorena Veronica</v>
      </c>
      <c r="H361" s="96">
        <v>6979.34</v>
      </c>
      <c r="I361" s="97">
        <f>venta_a_mes12[[#This Row],[IMPORTE NETO]]*0.21</f>
        <v>1465.6614</v>
      </c>
      <c r="J361" s="61"/>
      <c r="K361" s="61"/>
      <c r="L361" s="61">
        <f>SUM(venta_a_mes12[[#This Row],[IMPORTE NETO]:[EXENTO]])</f>
        <v>8445.001400000001</v>
      </c>
      <c r="M361" s="55"/>
    </row>
    <row r="362" spans="2:13" x14ac:dyDescent="0.3">
      <c r="B362" s="105">
        <v>44893</v>
      </c>
      <c r="C362" s="37">
        <v>1</v>
      </c>
      <c r="D362" s="107">
        <v>10</v>
      </c>
      <c r="E362" s="108">
        <v>9620</v>
      </c>
      <c r="F362" s="109">
        <v>27234905924</v>
      </c>
      <c r="G362" s="95" t="str">
        <f>IFERROR(IF(venta_a_mes12[[#This Row],[CUIT]]="","-",VLOOKUP(venta_a_mes12[[#This Row],[CUIT]],Lista_CUIT[#All],2,0)),"CUIT NO CARGADO")</f>
        <v>SANTORELLI CARLA</v>
      </c>
      <c r="H362" s="96">
        <v>95644.800000000003</v>
      </c>
      <c r="I362" s="97">
        <f>venta_a_mes12[[#This Row],[IMPORTE NETO]]*0.21</f>
        <v>20085.407999999999</v>
      </c>
      <c r="J362" s="61"/>
      <c r="K362" s="61"/>
      <c r="L362" s="61">
        <f>SUM(venta_a_mes12[[#This Row],[IMPORTE NETO]:[EXENTO]])</f>
        <v>115730.208</v>
      </c>
      <c r="M362" s="55"/>
    </row>
    <row r="363" spans="2:13" x14ac:dyDescent="0.3">
      <c r="B363" s="105">
        <v>44893</v>
      </c>
      <c r="C363" s="37">
        <v>1</v>
      </c>
      <c r="D363" s="107">
        <v>10</v>
      </c>
      <c r="E363" s="108">
        <v>9621</v>
      </c>
      <c r="F363" s="109">
        <v>27234905924</v>
      </c>
      <c r="G363" s="95" t="str">
        <f>IFERROR(IF(venta_a_mes12[[#This Row],[CUIT]]="","-",VLOOKUP(venta_a_mes12[[#This Row],[CUIT]],Lista_CUIT[#All],2,0)),"CUIT NO CARGADO")</f>
        <v>SANTORELLI CARLA</v>
      </c>
      <c r="H363" s="96">
        <v>26962.81</v>
      </c>
      <c r="I363" s="97">
        <f>venta_a_mes12[[#This Row],[IMPORTE NETO]]*0.21</f>
        <v>5662.1900999999998</v>
      </c>
      <c r="J363" s="61"/>
      <c r="K363" s="61"/>
      <c r="L363" s="61">
        <f>SUM(venta_a_mes12[[#This Row],[IMPORTE NETO]:[EXENTO]])</f>
        <v>32625.000100000001</v>
      </c>
      <c r="M363" s="55"/>
    </row>
    <row r="364" spans="2:13" x14ac:dyDescent="0.3">
      <c r="B364" s="105">
        <v>44893</v>
      </c>
      <c r="C364" s="37">
        <v>1</v>
      </c>
      <c r="D364" s="107">
        <v>10</v>
      </c>
      <c r="E364" s="108">
        <v>9622</v>
      </c>
      <c r="F364" s="109">
        <v>27234905924</v>
      </c>
      <c r="G364" s="95" t="str">
        <f>IFERROR(IF(venta_a_mes12[[#This Row],[CUIT]]="","-",VLOOKUP(venta_a_mes12[[#This Row],[CUIT]],Lista_CUIT[#All],2,0)),"CUIT NO CARGADO")</f>
        <v>SANTORELLI CARLA</v>
      </c>
      <c r="H364" s="96">
        <v>71083.520000000004</v>
      </c>
      <c r="I364" s="97">
        <f>venta_a_mes12[[#This Row],[IMPORTE NETO]]*0.21</f>
        <v>14927.539200000001</v>
      </c>
      <c r="J364" s="61"/>
      <c r="K364" s="61"/>
      <c r="L364" s="61">
        <f>SUM(venta_a_mes12[[#This Row],[IMPORTE NETO]:[EXENTO]])</f>
        <v>86011.059200000003</v>
      </c>
      <c r="M364" s="55"/>
    </row>
    <row r="365" spans="2:13" x14ac:dyDescent="0.3">
      <c r="B365" s="105">
        <v>44893</v>
      </c>
      <c r="C365" s="37">
        <v>1</v>
      </c>
      <c r="D365" s="107">
        <v>10</v>
      </c>
      <c r="E365" s="108">
        <v>9623</v>
      </c>
      <c r="F365" s="109">
        <v>27234905924</v>
      </c>
      <c r="G365" s="95" t="str">
        <f>IFERROR(IF(venta_a_mes12[[#This Row],[CUIT]]="","-",VLOOKUP(venta_a_mes12[[#This Row],[CUIT]],Lista_CUIT[#All],2,0)),"CUIT NO CARGADO")</f>
        <v>SANTORELLI CARLA</v>
      </c>
      <c r="H365" s="96">
        <v>3149.59</v>
      </c>
      <c r="I365" s="97">
        <f>venta_a_mes12[[#This Row],[IMPORTE NETO]]*0.21</f>
        <v>661.41390000000001</v>
      </c>
      <c r="J365" s="61"/>
      <c r="K365" s="61"/>
      <c r="L365" s="61">
        <f>SUM(venta_a_mes12[[#This Row],[IMPORTE NETO]:[EXENTO]])</f>
        <v>3811.0039000000002</v>
      </c>
      <c r="M365" s="55"/>
    </row>
    <row r="366" spans="2:13" x14ac:dyDescent="0.3">
      <c r="B366" s="105">
        <v>44894</v>
      </c>
      <c r="C366" s="37">
        <v>1</v>
      </c>
      <c r="D366" s="107">
        <v>10</v>
      </c>
      <c r="E366" s="108">
        <v>9627</v>
      </c>
      <c r="F366" s="109">
        <v>30707950990</v>
      </c>
      <c r="G366" s="95" t="str">
        <f>IFERROR(IF(venta_a_mes12[[#This Row],[CUIT]]="","-",VLOOKUP(venta_a_mes12[[#This Row],[CUIT]],Lista_CUIT[#All],2,0)),"CUIT NO CARGADO")</f>
        <v>PHARMAPROJECTS SA</v>
      </c>
      <c r="H366" s="96">
        <v>7355.37</v>
      </c>
      <c r="I366" s="97">
        <f>venta_a_mes12[[#This Row],[IMPORTE NETO]]*0.21</f>
        <v>1544.6277</v>
      </c>
      <c r="J366" s="61"/>
      <c r="K366" s="61"/>
      <c r="L366" s="61">
        <f>SUM(venta_a_mes12[[#This Row],[IMPORTE NETO]:[EXENTO]])</f>
        <v>8899.9976999999999</v>
      </c>
      <c r="M366" s="55"/>
    </row>
    <row r="367" spans="2:13" x14ac:dyDescent="0.3">
      <c r="B367" s="105">
        <v>44894</v>
      </c>
      <c r="C367" s="37">
        <v>1</v>
      </c>
      <c r="D367" s="107">
        <v>13</v>
      </c>
      <c r="E367" s="108">
        <v>1090</v>
      </c>
      <c r="F367" s="109">
        <v>20206063239</v>
      </c>
      <c r="G367" s="95" t="str">
        <f>IFERROR(IF(venta_a_mes12[[#This Row],[CUIT]]="","-",VLOOKUP(venta_a_mes12[[#This Row],[CUIT]],Lista_CUIT[#All],2,0)),"CUIT NO CARGADO")</f>
        <v>GONZALEZ VILAS DANIEL</v>
      </c>
      <c r="H367" s="96">
        <v>12314.06</v>
      </c>
      <c r="I367" s="97">
        <f>venta_a_mes12[[#This Row],[IMPORTE NETO]]*0.21</f>
        <v>2585.9525999999996</v>
      </c>
      <c r="J367" s="61"/>
      <c r="K367" s="61"/>
      <c r="L367" s="61">
        <f>SUM(venta_a_mes12[[#This Row],[IMPORTE NETO]:[EXENTO]])</f>
        <v>14900.012599999998</v>
      </c>
      <c r="M367" s="55"/>
    </row>
    <row r="368" spans="2:13" x14ac:dyDescent="0.3">
      <c r="B368" s="105">
        <v>44894</v>
      </c>
      <c r="C368" s="37">
        <v>1</v>
      </c>
      <c r="D368" s="107">
        <v>10</v>
      </c>
      <c r="E368" s="108">
        <v>9625</v>
      </c>
      <c r="F368" s="109">
        <v>27242128252</v>
      </c>
      <c r="G368" s="95" t="str">
        <f>IFERROR(IF(venta_a_mes12[[#This Row],[CUIT]]="","-",VLOOKUP(venta_a_mes12[[#This Row],[CUIT]],Lista_CUIT[#All],2,0)),"CUIT NO CARGADO")</f>
        <v>ZALEWSKI MONICA ROXANA</v>
      </c>
      <c r="H368" s="96">
        <v>119652.08</v>
      </c>
      <c r="I368" s="97">
        <f>venta_a_mes12[[#This Row],[IMPORTE NETO]]*0.21</f>
        <v>25126.936799999999</v>
      </c>
      <c r="J368" s="61"/>
      <c r="K368" s="61"/>
      <c r="L368" s="61">
        <f>SUM(venta_a_mes12[[#This Row],[IMPORTE NETO]:[EXENTO]])</f>
        <v>144779.01680000001</v>
      </c>
      <c r="M368" s="55"/>
    </row>
    <row r="369" spans="2:13" x14ac:dyDescent="0.3">
      <c r="B369" s="105">
        <v>44894</v>
      </c>
      <c r="C369" s="37">
        <v>1</v>
      </c>
      <c r="D369" s="107">
        <v>10</v>
      </c>
      <c r="E369" s="108">
        <v>9626</v>
      </c>
      <c r="F369" s="109">
        <v>27242128252</v>
      </c>
      <c r="G369" s="95" t="str">
        <f>IFERROR(IF(venta_a_mes12[[#This Row],[CUIT]]="","-",VLOOKUP(venta_a_mes12[[#This Row],[CUIT]],Lista_CUIT[#All],2,0)),"CUIT NO CARGADO")</f>
        <v>ZALEWSKI MONICA ROXANA</v>
      </c>
      <c r="H369" s="96">
        <v>64276.88</v>
      </c>
      <c r="I369" s="97">
        <f>venta_a_mes12[[#This Row],[IMPORTE NETO]]*0.21</f>
        <v>13498.144799999998</v>
      </c>
      <c r="J369" s="61"/>
      <c r="K369" s="61"/>
      <c r="L369" s="61">
        <f>SUM(venta_a_mes12[[#This Row],[IMPORTE NETO]:[EXENTO]])</f>
        <v>77775.024799999999</v>
      </c>
      <c r="M369" s="55"/>
    </row>
    <row r="370" spans="2:13" x14ac:dyDescent="0.3">
      <c r="B370" s="105">
        <v>44894</v>
      </c>
      <c r="C370" s="37">
        <v>1</v>
      </c>
      <c r="D370" s="107">
        <v>10</v>
      </c>
      <c r="E370" s="108">
        <v>9624</v>
      </c>
      <c r="F370" s="109">
        <v>27242128252</v>
      </c>
      <c r="G370" s="95" t="str">
        <f>IFERROR(IF(venta_a_mes12[[#This Row],[CUIT]]="","-",VLOOKUP(venta_a_mes12[[#This Row],[CUIT]],Lista_CUIT[#All],2,0)),"CUIT NO CARGADO")</f>
        <v>ZALEWSKI MONICA ROXANA</v>
      </c>
      <c r="H370" s="96">
        <v>55669.38</v>
      </c>
      <c r="I370" s="97">
        <f>venta_a_mes12[[#This Row],[IMPORTE NETO]]*0.21</f>
        <v>11690.569799999999</v>
      </c>
      <c r="J370" s="61"/>
      <c r="K370" s="61"/>
      <c r="L370" s="61">
        <f>SUM(venta_a_mes12[[#This Row],[IMPORTE NETO]:[EXENTO]])</f>
        <v>67359.949800000002</v>
      </c>
      <c r="M370" s="55"/>
    </row>
    <row r="371" spans="2:13" x14ac:dyDescent="0.3">
      <c r="B371" s="105">
        <v>44895</v>
      </c>
      <c r="C371" s="37">
        <v>1</v>
      </c>
      <c r="D371" s="107">
        <v>10</v>
      </c>
      <c r="E371" s="108">
        <v>9636</v>
      </c>
      <c r="F371" s="109">
        <v>23180421564</v>
      </c>
      <c r="G371" s="95" t="str">
        <f>IFERROR(IF(venta_a_mes12[[#This Row],[CUIT]]="","-",VLOOKUP(venta_a_mes12[[#This Row],[CUIT]],Lista_CUIT[#All],2,0)),"CUIT NO CARGADO")</f>
        <v>RAMOS CLAUDIA JAQUELINA</v>
      </c>
      <c r="H371" s="96">
        <v>84272.73</v>
      </c>
      <c r="I371" s="97">
        <f>venta_a_mes12[[#This Row],[IMPORTE NETO]]*0.21</f>
        <v>17697.273299999997</v>
      </c>
      <c r="J371" s="61"/>
      <c r="K371" s="61"/>
      <c r="L371" s="61">
        <f>SUM(venta_a_mes12[[#This Row],[IMPORTE NETO]:[EXENTO]])</f>
        <v>101970.0033</v>
      </c>
      <c r="M371" s="55"/>
    </row>
    <row r="372" spans="2:13" x14ac:dyDescent="0.3">
      <c r="B372" s="105">
        <v>44895</v>
      </c>
      <c r="C372" s="37">
        <v>1</v>
      </c>
      <c r="D372" s="107">
        <v>10</v>
      </c>
      <c r="E372" s="108">
        <v>9635</v>
      </c>
      <c r="F372" s="109">
        <v>23180421564</v>
      </c>
      <c r="G372" s="95" t="str">
        <f>IFERROR(IF(venta_a_mes12[[#This Row],[CUIT]]="","-",VLOOKUP(venta_a_mes12[[#This Row],[CUIT]],Lista_CUIT[#All],2,0)),"CUIT NO CARGADO")</f>
        <v>RAMOS CLAUDIA JAQUELINA</v>
      </c>
      <c r="H372" s="96">
        <v>129727.27</v>
      </c>
      <c r="I372" s="97">
        <f>venta_a_mes12[[#This Row],[IMPORTE NETO]]*0.21</f>
        <v>27242.726699999999</v>
      </c>
      <c r="J372" s="61"/>
      <c r="K372" s="61"/>
      <c r="L372" s="61">
        <f>SUM(venta_a_mes12[[#This Row],[IMPORTE NETO]:[EXENTO]])</f>
        <v>156969.99670000002</v>
      </c>
      <c r="M372" s="55"/>
    </row>
    <row r="373" spans="2:13" x14ac:dyDescent="0.3">
      <c r="B373" s="105">
        <v>44895</v>
      </c>
      <c r="C373" s="37">
        <v>1</v>
      </c>
      <c r="D373" s="107">
        <v>10</v>
      </c>
      <c r="E373" s="108">
        <v>9637</v>
      </c>
      <c r="F373" s="109">
        <v>23180421564</v>
      </c>
      <c r="G373" s="95" t="str">
        <f>IFERROR(IF(venta_a_mes12[[#This Row],[CUIT]]="","-",VLOOKUP(venta_a_mes12[[#This Row],[CUIT]],Lista_CUIT[#All],2,0)),"CUIT NO CARGADO")</f>
        <v>RAMOS CLAUDIA JAQUELINA</v>
      </c>
      <c r="H373" s="96">
        <v>77743.8</v>
      </c>
      <c r="I373" s="97">
        <f>venta_a_mes12[[#This Row],[IMPORTE NETO]]*0.21</f>
        <v>16326.198</v>
      </c>
      <c r="J373" s="61"/>
      <c r="K373" s="61"/>
      <c r="L373" s="61">
        <f>SUM(venta_a_mes12[[#This Row],[IMPORTE NETO]:[EXENTO]])</f>
        <v>94069.998000000007</v>
      </c>
      <c r="M373" s="55"/>
    </row>
    <row r="374" spans="2:13" x14ac:dyDescent="0.3">
      <c r="B374" s="105">
        <v>44895</v>
      </c>
      <c r="C374" s="37">
        <v>1</v>
      </c>
      <c r="D374" s="107">
        <v>10</v>
      </c>
      <c r="E374" s="108">
        <v>9631</v>
      </c>
      <c r="F374" s="109">
        <v>27266689875</v>
      </c>
      <c r="G374" s="95" t="str">
        <f>IFERROR(IF(venta_a_mes12[[#This Row],[CUIT]]="","-",VLOOKUP(venta_a_mes12[[#This Row],[CUIT]],Lista_CUIT[#All],2,0)),"CUIT NO CARGADO")</f>
        <v>KIKA COSMETICA</v>
      </c>
      <c r="H374" s="96">
        <v>14939.67</v>
      </c>
      <c r="I374" s="97">
        <f>venta_a_mes12[[#This Row],[IMPORTE NETO]]*0.21</f>
        <v>3137.3307</v>
      </c>
      <c r="J374" s="61"/>
      <c r="K374" s="61"/>
      <c r="L374" s="61">
        <f>SUM(venta_a_mes12[[#This Row],[IMPORTE NETO]:[EXENTO]])</f>
        <v>18077.000700000001</v>
      </c>
      <c r="M374" s="55"/>
    </row>
    <row r="375" spans="2:13" x14ac:dyDescent="0.3">
      <c r="B375" s="105">
        <v>44895</v>
      </c>
      <c r="C375" s="37">
        <v>1</v>
      </c>
      <c r="D375" s="107">
        <v>10</v>
      </c>
      <c r="E375" s="108">
        <v>9630</v>
      </c>
      <c r="F375" s="109">
        <v>27266689875</v>
      </c>
      <c r="G375" s="95" t="str">
        <f>IFERROR(IF(venta_a_mes12[[#This Row],[CUIT]]="","-",VLOOKUP(venta_a_mes12[[#This Row],[CUIT]],Lista_CUIT[#All],2,0)),"CUIT NO CARGADO")</f>
        <v>KIKA COSMETICA</v>
      </c>
      <c r="H375" s="96">
        <v>49303.31</v>
      </c>
      <c r="I375" s="97">
        <f>venta_a_mes12[[#This Row],[IMPORTE NETO]]*0.21</f>
        <v>10353.695099999999</v>
      </c>
      <c r="J375" s="61"/>
      <c r="K375" s="61"/>
      <c r="L375" s="61">
        <f>SUM(venta_a_mes12[[#This Row],[IMPORTE NETO]:[EXENTO]])</f>
        <v>59657.005099999995</v>
      </c>
      <c r="M375" s="55"/>
    </row>
    <row r="376" spans="2:13" x14ac:dyDescent="0.3">
      <c r="B376" s="105">
        <v>44895</v>
      </c>
      <c r="C376" s="37">
        <v>1</v>
      </c>
      <c r="D376" s="107">
        <v>10</v>
      </c>
      <c r="E376" s="108">
        <v>9641</v>
      </c>
      <c r="F376" s="109">
        <v>33716348569</v>
      </c>
      <c r="G376" s="95" t="str">
        <f>IFERROR(IF(venta_a_mes12[[#This Row],[CUIT]]="","-",VLOOKUP(venta_a_mes12[[#This Row],[CUIT]],Lista_CUIT[#All],2,0)),"CUIT NO CARGADO")</f>
        <v>BAIRES COMPANY</v>
      </c>
      <c r="H376" s="96">
        <v>11413.22</v>
      </c>
      <c r="I376" s="97">
        <f>venta_a_mes12[[#This Row],[IMPORTE NETO]]*0.21</f>
        <v>2396.7761999999998</v>
      </c>
      <c r="J376" s="61"/>
      <c r="K376" s="61"/>
      <c r="L376" s="61">
        <f>SUM(venta_a_mes12[[#This Row],[IMPORTE NETO]:[EXENTO]])</f>
        <v>13809.9962</v>
      </c>
      <c r="M376" s="55"/>
    </row>
    <row r="377" spans="2:13" x14ac:dyDescent="0.3">
      <c r="B377" s="105">
        <v>44895</v>
      </c>
      <c r="C377" s="37">
        <v>1</v>
      </c>
      <c r="D377" s="107">
        <v>10</v>
      </c>
      <c r="E377" s="108">
        <v>9634</v>
      </c>
      <c r="F377" s="109">
        <v>23180421564</v>
      </c>
      <c r="G377" s="95" t="str">
        <f>IFERROR(IF(venta_a_mes12[[#This Row],[CUIT]]="","-",VLOOKUP(venta_a_mes12[[#This Row],[CUIT]],Lista_CUIT[#All],2,0)),"CUIT NO CARGADO")</f>
        <v>RAMOS CLAUDIA JAQUELINA</v>
      </c>
      <c r="H377" s="96">
        <v>100585.12</v>
      </c>
      <c r="I377" s="97">
        <f>venta_a_mes12[[#This Row],[IMPORTE NETO]]*0.21</f>
        <v>21122.875199999999</v>
      </c>
      <c r="J377" s="61"/>
      <c r="K377" s="61"/>
      <c r="L377" s="61">
        <f>SUM(venta_a_mes12[[#This Row],[IMPORTE NETO]:[EXENTO]])</f>
        <v>121707.99519999999</v>
      </c>
      <c r="M377" s="55"/>
    </row>
    <row r="378" spans="2:13" x14ac:dyDescent="0.3">
      <c r="B378" s="105">
        <v>44895</v>
      </c>
      <c r="C378" s="37">
        <v>1</v>
      </c>
      <c r="D378" s="107">
        <v>10</v>
      </c>
      <c r="E378" s="108">
        <v>9640</v>
      </c>
      <c r="F378" s="109">
        <v>30709163503</v>
      </c>
      <c r="G378" s="95" t="str">
        <f>IFERROR(IF(venta_a_mes12[[#This Row],[CUIT]]="","-",VLOOKUP(venta_a_mes12[[#This Row],[CUIT]],Lista_CUIT[#All],2,0)),"CUIT NO CARGADO")</f>
        <v>CANADEZ S.R.L.</v>
      </c>
      <c r="H378" s="96">
        <v>41806.61</v>
      </c>
      <c r="I378" s="97">
        <f>venta_a_mes12[[#This Row],[IMPORTE NETO]]*0.21</f>
        <v>8779.3881000000001</v>
      </c>
      <c r="J378" s="61"/>
      <c r="K378" s="61"/>
      <c r="L378" s="61">
        <f>SUM(venta_a_mes12[[#This Row],[IMPORTE NETO]:[EXENTO]])</f>
        <v>50585.998099999997</v>
      </c>
      <c r="M378" s="55"/>
    </row>
    <row r="379" spans="2:13" x14ac:dyDescent="0.3">
      <c r="B379" s="105">
        <v>44895</v>
      </c>
      <c r="C379" s="37">
        <v>1</v>
      </c>
      <c r="D379" s="107">
        <v>10</v>
      </c>
      <c r="E379" s="108">
        <v>9632</v>
      </c>
      <c r="F379" s="109">
        <v>23180421564</v>
      </c>
      <c r="G379" s="95" t="str">
        <f>IFERROR(IF(venta_a_mes12[[#This Row],[CUIT]]="","-",VLOOKUP(venta_a_mes12[[#This Row],[CUIT]],Lista_CUIT[#All],2,0)),"CUIT NO CARGADO")</f>
        <v>RAMOS CLAUDIA JAQUELINA</v>
      </c>
      <c r="H379" s="96">
        <v>138714.88</v>
      </c>
      <c r="I379" s="97">
        <f>venta_a_mes12[[#This Row],[IMPORTE NETO]]*0.21</f>
        <v>29130.124800000001</v>
      </c>
      <c r="J379" s="61"/>
      <c r="K379" s="61"/>
      <c r="L379" s="61">
        <f>SUM(venta_a_mes12[[#This Row],[IMPORTE NETO]:[EXENTO]])</f>
        <v>167845.0048</v>
      </c>
      <c r="M379" s="55"/>
    </row>
    <row r="380" spans="2:13" x14ac:dyDescent="0.3">
      <c r="B380" s="105">
        <v>44895</v>
      </c>
      <c r="C380" s="37">
        <v>1</v>
      </c>
      <c r="D380" s="107">
        <v>10</v>
      </c>
      <c r="E380" s="108">
        <v>9633</v>
      </c>
      <c r="F380" s="109">
        <v>23180421564</v>
      </c>
      <c r="G380" s="95" t="str">
        <f>IFERROR(IF(venta_a_mes12[[#This Row],[CUIT]]="","-",VLOOKUP(venta_a_mes12[[#This Row],[CUIT]],Lista_CUIT[#All],2,0)),"CUIT NO CARGADO")</f>
        <v>RAMOS CLAUDIA JAQUELINA</v>
      </c>
      <c r="H380" s="96">
        <v>122705.79</v>
      </c>
      <c r="I380" s="97">
        <f>venta_a_mes12[[#This Row],[IMPORTE NETO]]*0.21</f>
        <v>25768.215899999999</v>
      </c>
      <c r="J380" s="61"/>
      <c r="K380" s="61"/>
      <c r="L380" s="61">
        <f>SUM(venta_a_mes12[[#This Row],[IMPORTE NETO]:[EXENTO]])</f>
        <v>148474.00589999999</v>
      </c>
      <c r="M380" s="55"/>
    </row>
    <row r="381" spans="2:13" x14ac:dyDescent="0.3">
      <c r="B381" s="105">
        <v>44895</v>
      </c>
      <c r="C381" s="37">
        <v>1</v>
      </c>
      <c r="D381" s="107">
        <v>13</v>
      </c>
      <c r="E381" s="108">
        <v>1091</v>
      </c>
      <c r="F381" s="109">
        <v>27333102035</v>
      </c>
      <c r="G381" s="95" t="str">
        <f>IFERROR(IF(venta_a_mes12[[#This Row],[CUIT]]="","-",VLOOKUP(venta_a_mes12[[#This Row],[CUIT]],Lista_CUIT[#All],2,0)),"CUIT NO CARGADO")</f>
        <v>RAJOY AGUSTINA</v>
      </c>
      <c r="H381" s="96">
        <v>1785.12</v>
      </c>
      <c r="I381" s="97">
        <f>venta_a_mes12[[#This Row],[IMPORTE NETO]]*0.21</f>
        <v>374.87519999999995</v>
      </c>
      <c r="J381" s="61"/>
      <c r="K381" s="61"/>
      <c r="L381" s="61">
        <f>SUM(venta_a_mes12[[#This Row],[IMPORTE NETO]:[EXENTO]])</f>
        <v>2159.9951999999998</v>
      </c>
      <c r="M381" s="55"/>
    </row>
    <row r="382" spans="2:13" x14ac:dyDescent="0.3">
      <c r="B382" s="105">
        <v>44895</v>
      </c>
      <c r="C382" s="37">
        <v>1</v>
      </c>
      <c r="D382" s="107">
        <v>10</v>
      </c>
      <c r="E382" s="108">
        <v>9643</v>
      </c>
      <c r="F382" s="109">
        <v>33716348569</v>
      </c>
      <c r="G382" s="95" t="str">
        <f>IFERROR(IF(venta_a_mes12[[#This Row],[CUIT]]="","-",VLOOKUP(venta_a_mes12[[#This Row],[CUIT]],Lista_CUIT[#All],2,0)),"CUIT NO CARGADO")</f>
        <v>BAIRES COMPANY</v>
      </c>
      <c r="H382" s="96">
        <v>12107.44</v>
      </c>
      <c r="I382" s="97">
        <f>venta_a_mes12[[#This Row],[IMPORTE NETO]]*0.21</f>
        <v>2542.5623999999998</v>
      </c>
      <c r="J382" s="61"/>
      <c r="K382" s="61"/>
      <c r="L382" s="61">
        <f>SUM(venta_a_mes12[[#This Row],[IMPORTE NETO]:[EXENTO]])</f>
        <v>14650.002400000001</v>
      </c>
      <c r="M382" s="55"/>
    </row>
    <row r="383" spans="2:13" x14ac:dyDescent="0.3">
      <c r="B383" s="105">
        <v>44895</v>
      </c>
      <c r="C383" s="37">
        <v>1</v>
      </c>
      <c r="D383" s="107">
        <v>10</v>
      </c>
      <c r="E383" s="108">
        <v>9629</v>
      </c>
      <c r="F383" s="109">
        <v>30716421151</v>
      </c>
      <c r="G383" s="95" t="str">
        <f>IFERROR(IF(venta_a_mes12[[#This Row],[CUIT]]="","-",VLOOKUP(venta_a_mes12[[#This Row],[CUIT]],Lista_CUIT[#All],2,0)),"CUIT NO CARGADO")</f>
        <v>ILONA AYOUB S.A.S. </v>
      </c>
      <c r="H383" s="96">
        <v>8016.9</v>
      </c>
      <c r="I383" s="97">
        <f>venta_a_mes12[[#This Row],[IMPORTE NETO]]*0.21</f>
        <v>1683.5489999999998</v>
      </c>
      <c r="J383" s="61"/>
      <c r="K383" s="61"/>
      <c r="L383" s="61">
        <f>SUM(venta_a_mes12[[#This Row],[IMPORTE NETO]:[EXENTO]])</f>
        <v>9700.4489999999987</v>
      </c>
      <c r="M383" s="55"/>
    </row>
    <row r="384" spans="2:13" x14ac:dyDescent="0.3">
      <c r="B384" s="105">
        <v>44895</v>
      </c>
      <c r="C384" s="37">
        <v>1</v>
      </c>
      <c r="D384" s="107">
        <v>10</v>
      </c>
      <c r="E384" s="108">
        <v>9645</v>
      </c>
      <c r="F384" s="109">
        <v>23269528214</v>
      </c>
      <c r="G384" s="95" t="str">
        <f>IFERROR(IF(venta_a_mes12[[#This Row],[CUIT]]="","-",VLOOKUP(venta_a_mes12[[#This Row],[CUIT]],Lista_CUIT[#All],2,0)),"CUIT NO CARGADO")</f>
        <v>VANINA ANABELLA ECHENIQUE</v>
      </c>
      <c r="H384" s="96">
        <v>33520.660000000003</v>
      </c>
      <c r="I384" s="97">
        <f>venta_a_mes12[[#This Row],[IMPORTE NETO]]*0.21</f>
        <v>7039.3386</v>
      </c>
      <c r="J384" s="61"/>
      <c r="K384" s="61"/>
      <c r="L384" s="61">
        <f>SUM(venta_a_mes12[[#This Row],[IMPORTE NETO]:[EXENTO]])</f>
        <v>40559.998600000006</v>
      </c>
      <c r="M384" s="55"/>
    </row>
    <row r="385" spans="2:13" x14ac:dyDescent="0.3">
      <c r="B385" s="105">
        <v>44895</v>
      </c>
      <c r="C385" s="37">
        <v>1</v>
      </c>
      <c r="D385" s="107">
        <v>10</v>
      </c>
      <c r="E385" s="108">
        <v>9642</v>
      </c>
      <c r="F385" s="109">
        <v>33716348569</v>
      </c>
      <c r="G385" s="95" t="str">
        <f>IFERROR(IF(venta_a_mes12[[#This Row],[CUIT]]="","-",VLOOKUP(venta_a_mes12[[#This Row],[CUIT]],Lista_CUIT[#All],2,0)),"CUIT NO CARGADO")</f>
        <v>BAIRES COMPANY</v>
      </c>
      <c r="H385" s="96">
        <v>28214.880000000001</v>
      </c>
      <c r="I385" s="97">
        <f>venta_a_mes12[[#This Row],[IMPORTE NETO]]*0.21</f>
        <v>5925.1247999999996</v>
      </c>
      <c r="J385" s="61"/>
      <c r="K385" s="61"/>
      <c r="L385" s="61">
        <f>SUM(venta_a_mes12[[#This Row],[IMPORTE NETO]:[EXENTO]])</f>
        <v>34140.004800000002</v>
      </c>
      <c r="M385" s="55"/>
    </row>
    <row r="386" spans="2:13" x14ac:dyDescent="0.3">
      <c r="B386" s="105">
        <v>44895</v>
      </c>
      <c r="C386" s="37">
        <v>1</v>
      </c>
      <c r="D386" s="107">
        <v>10</v>
      </c>
      <c r="E386" s="108">
        <v>9628</v>
      </c>
      <c r="F386" s="109">
        <v>23269528214</v>
      </c>
      <c r="G386" s="95" t="str">
        <f>IFERROR(IF(venta_a_mes12[[#This Row],[CUIT]]="","-",VLOOKUP(venta_a_mes12[[#This Row],[CUIT]],Lista_CUIT[#All],2,0)),"CUIT NO CARGADO")</f>
        <v>VANINA ANABELLA ECHENIQUE</v>
      </c>
      <c r="H386" s="96">
        <v>2983.69</v>
      </c>
      <c r="I386" s="97">
        <f>venta_a_mes12[[#This Row],[IMPORTE NETO]]*0.21</f>
        <v>626.57489999999996</v>
      </c>
      <c r="J386" s="61"/>
      <c r="K386" s="61"/>
      <c r="L386" s="61">
        <f>SUM(venta_a_mes12[[#This Row],[IMPORTE NETO]:[EXENTO]])</f>
        <v>3610.2649000000001</v>
      </c>
      <c r="M386" s="55"/>
    </row>
    <row r="387" spans="2:13" x14ac:dyDescent="0.3">
      <c r="B387" s="105">
        <v>44895</v>
      </c>
      <c r="C387" s="37">
        <v>1</v>
      </c>
      <c r="D387" s="107">
        <v>10</v>
      </c>
      <c r="E387" s="108">
        <v>9644</v>
      </c>
      <c r="F387" s="109">
        <v>23180421564</v>
      </c>
      <c r="G387" s="95" t="str">
        <f>IFERROR(IF(venta_a_mes12[[#This Row],[CUIT]]="","-",VLOOKUP(venta_a_mes12[[#This Row],[CUIT]],Lista_CUIT[#All],2,0)),"CUIT NO CARGADO")</f>
        <v>RAMOS CLAUDIA JAQUELINA</v>
      </c>
      <c r="H387" s="96">
        <v>24079.360000000001</v>
      </c>
      <c r="I387" s="97">
        <f>venta_a_mes12[[#This Row],[IMPORTE NETO]]*0.21</f>
        <v>5056.6656000000003</v>
      </c>
      <c r="J387" s="61"/>
      <c r="K387" s="61"/>
      <c r="L387" s="61">
        <f>SUM(venta_a_mes12[[#This Row],[IMPORTE NETO]:[EXENTO]])</f>
        <v>29136.025600000001</v>
      </c>
      <c r="M387" s="55"/>
    </row>
    <row r="388" spans="2:13" x14ac:dyDescent="0.3">
      <c r="B388" s="105">
        <v>44895</v>
      </c>
      <c r="C388" s="37">
        <v>1</v>
      </c>
      <c r="D388" s="107">
        <v>10</v>
      </c>
      <c r="E388" s="108">
        <v>9638</v>
      </c>
      <c r="F388" s="109">
        <v>23180421564</v>
      </c>
      <c r="G388" s="95" t="str">
        <f>IFERROR(IF(venta_a_mes12[[#This Row],[CUIT]]="","-",VLOOKUP(venta_a_mes12[[#This Row],[CUIT]],Lista_CUIT[#All],2,0)),"CUIT NO CARGADO")</f>
        <v>RAMOS CLAUDIA JAQUELINA</v>
      </c>
      <c r="H388" s="96">
        <v>68115.7</v>
      </c>
      <c r="I388" s="97">
        <f>venta_a_mes12[[#This Row],[IMPORTE NETO]]*0.21</f>
        <v>14304.296999999999</v>
      </c>
      <c r="J388" s="61"/>
      <c r="K388" s="61"/>
      <c r="L388" s="61">
        <f>SUM(venta_a_mes12[[#This Row],[IMPORTE NETO]:[EXENTO]])</f>
        <v>82419.997000000003</v>
      </c>
      <c r="M388" s="55"/>
    </row>
    <row r="389" spans="2:13" x14ac:dyDescent="0.3">
      <c r="B389" s="105">
        <v>44895</v>
      </c>
      <c r="C389" s="37">
        <v>1</v>
      </c>
      <c r="D389" s="107">
        <v>10</v>
      </c>
      <c r="E389" s="108">
        <v>9639</v>
      </c>
      <c r="F389" s="109">
        <v>23180421564</v>
      </c>
      <c r="G389" s="95" t="str">
        <f>IFERROR(IF(venta_a_mes12[[#This Row],[CUIT]]="","-",VLOOKUP(venta_a_mes12[[#This Row],[CUIT]],Lista_CUIT[#All],2,0)),"CUIT NO CARGADO")</f>
        <v>RAMOS CLAUDIA JAQUELINA</v>
      </c>
      <c r="H389" s="96">
        <v>45860.34</v>
      </c>
      <c r="I389" s="97">
        <f>venta_a_mes12[[#This Row],[IMPORTE NETO]]*0.21</f>
        <v>9630.6713999999993</v>
      </c>
      <c r="J389" s="61"/>
      <c r="K389" s="61"/>
      <c r="L389" s="61">
        <f>SUM(venta_a_mes12[[#This Row],[IMPORTE NETO]:[EXENTO]])</f>
        <v>55491.011399999996</v>
      </c>
      <c r="M389" s="55"/>
    </row>
    <row r="390" spans="2:13" x14ac:dyDescent="0.3">
      <c r="B390" s="105">
        <v>44868</v>
      </c>
      <c r="C390" s="37">
        <v>3</v>
      </c>
      <c r="D390" s="107">
        <v>12</v>
      </c>
      <c r="E390" s="108">
        <v>43</v>
      </c>
      <c r="F390" s="109">
        <v>30708023910</v>
      </c>
      <c r="G390" s="95" t="str">
        <f>IFERROR(IF(venta_a_mes12[[#This Row],[CUIT]]="","-",VLOOKUP(venta_a_mes12[[#This Row],[CUIT]],Lista_CUIT[#All],2,0)),"CUIT NO CARGADO")</f>
        <v>IPMAG S.A. </v>
      </c>
      <c r="H390" s="96">
        <v>-2950.41</v>
      </c>
      <c r="I390" s="97">
        <f>venta_a_mes12[[#This Row],[IMPORTE NETO]]*0.21</f>
        <v>-619.58609999999999</v>
      </c>
      <c r="J390" s="61"/>
      <c r="K390" s="61"/>
      <c r="L390" s="61">
        <f>SUM(venta_a_mes12[[#This Row],[IMPORTE NETO]:[EXENTO]])</f>
        <v>-3569.9960999999998</v>
      </c>
      <c r="M390" s="55"/>
    </row>
    <row r="391" spans="2:13" x14ac:dyDescent="0.3">
      <c r="B391" s="105">
        <v>44870</v>
      </c>
      <c r="C391" s="37">
        <v>3</v>
      </c>
      <c r="D391" s="107">
        <v>10</v>
      </c>
      <c r="E391" s="108">
        <v>643</v>
      </c>
      <c r="F391" s="109">
        <v>30712104550</v>
      </c>
      <c r="G391" s="95" t="str">
        <f>IFERROR(IF(venta_a_mes12[[#This Row],[CUIT]]="","-",VLOOKUP(venta_a_mes12[[#This Row],[CUIT]],Lista_CUIT[#All],2,0)),"CUIT NO CARGADO")</f>
        <v>EUROCOSMETICA S.A.</v>
      </c>
      <c r="H391" s="96">
        <v>-117752.43</v>
      </c>
      <c r="I391" s="97">
        <f>venta_a_mes12[[#This Row],[IMPORTE NETO]]*0.21</f>
        <v>-24728.010299999998</v>
      </c>
      <c r="J391" s="61"/>
      <c r="K391" s="61"/>
      <c r="L391" s="61">
        <f>SUM(venta_a_mes12[[#This Row],[IMPORTE NETO]:[EXENTO]])</f>
        <v>-142480.44029999999</v>
      </c>
      <c r="M391" s="55"/>
    </row>
    <row r="392" spans="2:13" x14ac:dyDescent="0.3">
      <c r="B392" s="105">
        <v>44882</v>
      </c>
      <c r="C392" s="37">
        <v>3</v>
      </c>
      <c r="D392" s="107">
        <v>13</v>
      </c>
      <c r="E392" s="108">
        <v>55</v>
      </c>
      <c r="F392" s="109">
        <v>20132669644</v>
      </c>
      <c r="G392" s="95" t="str">
        <f>IFERROR(IF(venta_a_mes12[[#This Row],[CUIT]]="","-",VLOOKUP(venta_a_mes12[[#This Row],[CUIT]],Lista_CUIT[#All],2,0)),"CUIT NO CARGADO")</f>
        <v>SERAFINI OMAR JAVIER</v>
      </c>
      <c r="H392" s="96">
        <v>-11570.25</v>
      </c>
      <c r="I392" s="97">
        <f>venta_a_mes12[[#This Row],[IMPORTE NETO]]*0.21</f>
        <v>-2429.7525000000001</v>
      </c>
      <c r="J392" s="61"/>
      <c r="K392" s="61"/>
      <c r="L392" s="61">
        <f>SUM(venta_a_mes12[[#This Row],[IMPORTE NETO]:[EXENTO]])</f>
        <v>-14000.002500000001</v>
      </c>
      <c r="M392" s="55"/>
    </row>
    <row r="393" spans="2:13" x14ac:dyDescent="0.3">
      <c r="B393" s="105">
        <v>44884</v>
      </c>
      <c r="C393" s="37">
        <v>3</v>
      </c>
      <c r="D393" s="107">
        <v>11</v>
      </c>
      <c r="E393" s="108">
        <v>89</v>
      </c>
      <c r="F393" s="109">
        <v>27226500338</v>
      </c>
      <c r="G393" s="95" t="str">
        <f>IFERROR(IF(venta_a_mes12[[#This Row],[CUIT]]="","-",VLOOKUP(venta_a_mes12[[#This Row],[CUIT]],Lista_CUIT[#All],2,0)),"CUIT NO CARGADO")</f>
        <v>SINGER KARINA</v>
      </c>
      <c r="H393" s="96">
        <v>-3942.15</v>
      </c>
      <c r="I393" s="97">
        <f>venta_a_mes12[[#This Row],[IMPORTE NETO]]*0.21</f>
        <v>-827.85149999999999</v>
      </c>
      <c r="J393" s="61"/>
      <c r="K393" s="61"/>
      <c r="L393" s="61">
        <f>SUM(venta_a_mes12[[#This Row],[IMPORTE NETO]:[EXENTO]])</f>
        <v>-4770.0015000000003</v>
      </c>
      <c r="M393" s="55"/>
    </row>
    <row r="394" spans="2:13" x14ac:dyDescent="0.3">
      <c r="B394" s="105">
        <v>44890</v>
      </c>
      <c r="C394" s="37">
        <v>3</v>
      </c>
      <c r="D394" s="107">
        <v>11</v>
      </c>
      <c r="E394" s="108">
        <v>90</v>
      </c>
      <c r="F394" s="109">
        <v>27280796552</v>
      </c>
      <c r="G394" s="95" t="str">
        <f>IFERROR(IF(venta_a_mes12[[#This Row],[CUIT]]="","-",VLOOKUP(venta_a_mes12[[#This Row],[CUIT]],Lista_CUIT[#All],2,0)),"CUIT NO CARGADO")</f>
        <v>CARRERO DANIELA SOLANGE </v>
      </c>
      <c r="H394" s="96">
        <v>-6044.63</v>
      </c>
      <c r="I394" s="97">
        <f>venta_a_mes12[[#This Row],[IMPORTE NETO]]*0.21</f>
        <v>-1269.3723</v>
      </c>
      <c r="J394" s="61"/>
      <c r="K394" s="61"/>
      <c r="L394" s="61">
        <f>SUM(venta_a_mes12[[#This Row],[IMPORTE NETO]:[EXENTO]])</f>
        <v>-7314.0023000000001</v>
      </c>
      <c r="M394" s="55"/>
    </row>
    <row r="395" spans="2:13" x14ac:dyDescent="0.3">
      <c r="B395" s="105">
        <v>44894</v>
      </c>
      <c r="C395" s="37">
        <v>3</v>
      </c>
      <c r="D395" s="107">
        <v>12</v>
      </c>
      <c r="E395" s="108">
        <v>44</v>
      </c>
      <c r="F395" s="109">
        <v>30715705946</v>
      </c>
      <c r="G395" s="95" t="str">
        <f>IFERROR(IF(venta_a_mes12[[#This Row],[CUIT]]="","-",VLOOKUP(venta_a_mes12[[#This Row],[CUIT]],Lista_CUIT[#All],2,0)),"CUIT NO CARGADO")</f>
        <v>MEDICINA Y ARTE S.R.L.</v>
      </c>
      <c r="H395" s="96">
        <v>-1570.25</v>
      </c>
      <c r="I395" s="97">
        <f>venta_a_mes12[[#This Row],[IMPORTE NETO]]*0.21</f>
        <v>-329.7525</v>
      </c>
      <c r="J395" s="61"/>
      <c r="K395" s="61"/>
      <c r="L395" s="61">
        <f>SUM(venta_a_mes12[[#This Row],[IMPORTE NETO]:[EXENTO]])</f>
        <v>-1900.0025000000001</v>
      </c>
      <c r="M395" s="55"/>
    </row>
    <row r="396" spans="2:13" x14ac:dyDescent="0.3">
      <c r="B396" s="105"/>
      <c r="C396" s="37">
        <v>1</v>
      </c>
      <c r="D396" s="107"/>
      <c r="E396" s="108"/>
      <c r="F396" s="109"/>
      <c r="G396" s="95" t="str">
        <f>IFERROR(IF(venta_a_mes12[[#This Row],[CUIT]]="","-",VLOOKUP(venta_a_mes12[[#This Row],[CUIT]],Lista_CUIT[#All],2,0)),"CUIT NO CARGADO")</f>
        <v>-</v>
      </c>
      <c r="H396" s="96"/>
      <c r="I396" s="97">
        <f>venta_a_mes12[[#This Row],[IMPORTE NETO]]*0.21</f>
        <v>0</v>
      </c>
      <c r="J396" s="61"/>
      <c r="K396" s="61"/>
      <c r="L396" s="61">
        <f>SUM(venta_a_mes12[[#This Row],[IMPORTE NETO]:[EXENTO]])</f>
        <v>0</v>
      </c>
      <c r="M396" s="55"/>
    </row>
    <row r="397" spans="2:13" x14ac:dyDescent="0.3">
      <c r="B397" s="105"/>
      <c r="C397" s="37">
        <v>1</v>
      </c>
      <c r="D397" s="107"/>
      <c r="E397" s="108"/>
      <c r="F397" s="109"/>
      <c r="G397" s="95" t="str">
        <f>IFERROR(IF(venta_a_mes12[[#This Row],[CUIT]]="","-",VLOOKUP(venta_a_mes12[[#This Row],[CUIT]],Lista_CUIT[#All],2,0)),"CUIT NO CARGADO")</f>
        <v>-</v>
      </c>
      <c r="H397" s="96"/>
      <c r="I397" s="97">
        <f>venta_a_mes12[[#This Row],[IMPORTE NETO]]*0.21</f>
        <v>0</v>
      </c>
      <c r="J397" s="61"/>
      <c r="K397" s="61"/>
      <c r="L397" s="61">
        <f>SUM(venta_a_mes12[[#This Row],[IMPORTE NETO]:[EXENTO]])</f>
        <v>0</v>
      </c>
      <c r="M397" s="55"/>
    </row>
    <row r="398" spans="2:13" x14ac:dyDescent="0.3">
      <c r="B398" s="62" t="s">
        <v>83</v>
      </c>
      <c r="C398" s="63"/>
      <c r="D398" s="63"/>
      <c r="E398" s="63"/>
      <c r="F398" s="63"/>
      <c r="G398" s="63"/>
      <c r="H398" s="65">
        <f>SUBTOTAL(109,venta_a_mes12[IMPORTE NETO])</f>
        <v>11006820.159999996</v>
      </c>
      <c r="I398" s="66">
        <f>SUBTOTAL(109,venta_a_mes12[IVA 21%])</f>
        <v>2311432.2336000009</v>
      </c>
      <c r="J398" s="67">
        <f>SUBTOTAL(109,venta_a_mes12[IVA 10,5%])</f>
        <v>0</v>
      </c>
      <c r="K398" s="67">
        <f>SUBTOTAL(109,venta_a_mes12[EXENTO])</f>
        <v>0</v>
      </c>
      <c r="L398" s="67">
        <f>SUBTOTAL(109,venta_a_mes12[TOTAL])</f>
        <v>13318252.3936</v>
      </c>
      <c r="M398" s="64">
        <f>SUBTOTAL(103,venta_a_mes12[Provincia])</f>
        <v>0</v>
      </c>
    </row>
    <row r="399" spans="2:13" x14ac:dyDescent="0.3">
      <c r="B399" s="238"/>
      <c r="C399" s="238"/>
      <c r="D399" s="238"/>
      <c r="E399" s="238"/>
      <c r="F399" s="238"/>
      <c r="G399" s="238"/>
      <c r="H399" s="240"/>
      <c r="I399" s="241"/>
      <c r="J399" s="242"/>
      <c r="K399" s="242"/>
      <c r="L399" s="242"/>
      <c r="M399" s="239"/>
    </row>
    <row r="400" spans="2:13" ht="21" x14ac:dyDescent="0.3">
      <c r="B400" s="449" t="s">
        <v>31</v>
      </c>
      <c r="C400" s="449"/>
    </row>
    <row r="401" spans="2:13" ht="31.2" x14ac:dyDescent="0.3">
      <c r="B401" s="56" t="s">
        <v>0</v>
      </c>
      <c r="C401" s="57" t="s">
        <v>1</v>
      </c>
      <c r="D401" s="57" t="s">
        <v>21</v>
      </c>
      <c r="E401" s="57" t="s">
        <v>22</v>
      </c>
      <c r="F401" s="57" t="s">
        <v>3</v>
      </c>
      <c r="G401" s="57" t="s">
        <v>4</v>
      </c>
      <c r="H401" s="57" t="s">
        <v>23</v>
      </c>
      <c r="I401" s="57" t="s">
        <v>17</v>
      </c>
      <c r="J401" s="57" t="s">
        <v>7</v>
      </c>
      <c r="K401" s="57" t="s">
        <v>24</v>
      </c>
      <c r="L401" s="57" t="s">
        <v>10</v>
      </c>
      <c r="M401" s="58" t="s">
        <v>38</v>
      </c>
    </row>
    <row r="402" spans="2:13" x14ac:dyDescent="0.3">
      <c r="B402" s="223" t="s">
        <v>2466</v>
      </c>
      <c r="C402" s="224">
        <v>6</v>
      </c>
      <c r="D402" s="225">
        <v>13</v>
      </c>
      <c r="E402" s="226">
        <v>26640</v>
      </c>
      <c r="F402" s="227"/>
      <c r="G402" s="1" t="str">
        <f>IFERROR(IF(ventas_b_mes12[[#This Row],[CUIT]]="","-",VLOOKUP(ventas_b_mes12[[#This Row],[CUIT]],Lista_CUIT[#All],2,0)),"CUIT NO CARGADO")</f>
        <v>-</v>
      </c>
      <c r="H402" s="96">
        <f>ventas_b_mes12[[#This Row],[TOTAL]]/1.21</f>
        <v>17641.322314049587</v>
      </c>
      <c r="I402" s="60">
        <f>ventas_b_mes12[[#This Row],[IMPORTE NETO]]*0.21</f>
        <v>3704.677685950413</v>
      </c>
      <c r="J402" s="229"/>
      <c r="K402" s="229"/>
      <c r="L402" s="229">
        <v>21346</v>
      </c>
      <c r="M402" s="55"/>
    </row>
    <row r="403" spans="2:13" x14ac:dyDescent="0.3">
      <c r="B403" s="223" t="s">
        <v>2466</v>
      </c>
      <c r="C403" s="224">
        <v>6</v>
      </c>
      <c r="D403" s="225">
        <v>11</v>
      </c>
      <c r="E403" s="226">
        <v>29957</v>
      </c>
      <c r="F403" s="227"/>
      <c r="G403" s="1" t="str">
        <f>IFERROR(IF(ventas_b_mes12[[#This Row],[CUIT]]="","-",VLOOKUP(ventas_b_mes12[[#This Row],[CUIT]],Lista_CUIT[#All],2,0)),"CUIT NO CARGADO")</f>
        <v>-</v>
      </c>
      <c r="H403" s="96">
        <f>ventas_b_mes12[[#This Row],[TOTAL]]/1.21</f>
        <v>11338.851239669422</v>
      </c>
      <c r="I403" s="60">
        <f>ventas_b_mes12[[#This Row],[IMPORTE NETO]]*0.21</f>
        <v>2381.1587603305784</v>
      </c>
      <c r="J403" s="229"/>
      <c r="K403" s="229"/>
      <c r="L403" s="229">
        <v>13720.01</v>
      </c>
      <c r="M403" s="55"/>
    </row>
    <row r="404" spans="2:13" x14ac:dyDescent="0.3">
      <c r="B404" s="223" t="s">
        <v>2466</v>
      </c>
      <c r="C404" s="224">
        <v>6</v>
      </c>
      <c r="D404" s="225">
        <v>15</v>
      </c>
      <c r="E404" s="226">
        <v>7131</v>
      </c>
      <c r="F404" s="227"/>
      <c r="G404" s="1" t="str">
        <f>IFERROR(IF(ventas_b_mes12[[#This Row],[CUIT]]="","-",VLOOKUP(ventas_b_mes12[[#This Row],[CUIT]],Lista_CUIT[#All],2,0)),"CUIT NO CARGADO")</f>
        <v>-</v>
      </c>
      <c r="H404" s="96">
        <f>ventas_b_mes12[[#This Row],[TOTAL]]/1.21</f>
        <v>1355.3636363636365</v>
      </c>
      <c r="I404" s="60">
        <f>ventas_b_mes12[[#This Row],[IMPORTE NETO]]*0.21</f>
        <v>284.62636363636364</v>
      </c>
      <c r="J404" s="229"/>
      <c r="K404" s="229"/>
      <c r="L404" s="229">
        <v>1639.99</v>
      </c>
      <c r="M404" s="55"/>
    </row>
    <row r="405" spans="2:13" x14ac:dyDescent="0.3">
      <c r="B405" s="223" t="s">
        <v>2466</v>
      </c>
      <c r="C405" s="224">
        <v>6</v>
      </c>
      <c r="D405" s="225">
        <v>15</v>
      </c>
      <c r="E405" s="226">
        <v>7140</v>
      </c>
      <c r="F405" s="227"/>
      <c r="G405" s="1" t="str">
        <f>IFERROR(IF(ventas_b_mes12[[#This Row],[CUIT]]="","-",VLOOKUP(ventas_b_mes12[[#This Row],[CUIT]],Lista_CUIT[#All],2,0)),"CUIT NO CARGADO")</f>
        <v>-</v>
      </c>
      <c r="H405" s="96">
        <f>ventas_b_mes12[[#This Row],[TOTAL]]/1.21</f>
        <v>3206.6115702479342</v>
      </c>
      <c r="I405" s="60">
        <f>ventas_b_mes12[[#This Row],[IMPORTE NETO]]*0.21</f>
        <v>673.38842975206614</v>
      </c>
      <c r="J405" s="229"/>
      <c r="K405" s="229"/>
      <c r="L405" s="229">
        <v>3880</v>
      </c>
      <c r="M405" s="55"/>
    </row>
    <row r="406" spans="2:13" x14ac:dyDescent="0.3">
      <c r="B406" s="223" t="s">
        <v>2466</v>
      </c>
      <c r="C406" s="224">
        <v>6</v>
      </c>
      <c r="D406" s="225">
        <v>10</v>
      </c>
      <c r="E406" s="226">
        <v>43726</v>
      </c>
      <c r="F406" s="227"/>
      <c r="G406" s="1" t="str">
        <f>IFERROR(IF(ventas_b_mes12[[#This Row],[CUIT]]="","-",VLOOKUP(ventas_b_mes12[[#This Row],[CUIT]],Lista_CUIT[#All],2,0)),"CUIT NO CARGADO")</f>
        <v>-</v>
      </c>
      <c r="H406" s="96">
        <f>ventas_b_mes12[[#This Row],[TOTAL]]/1.21</f>
        <v>8549.5867768595035</v>
      </c>
      <c r="I406" s="60">
        <f>ventas_b_mes12[[#This Row],[IMPORTE NETO]]*0.21</f>
        <v>1795.4132231404956</v>
      </c>
      <c r="J406" s="229"/>
      <c r="K406" s="229"/>
      <c r="L406" s="229">
        <v>10345</v>
      </c>
      <c r="M406" s="55"/>
    </row>
    <row r="407" spans="2:13" x14ac:dyDescent="0.3">
      <c r="B407" s="223" t="s">
        <v>2466</v>
      </c>
      <c r="C407" s="224">
        <v>6</v>
      </c>
      <c r="D407" s="225">
        <v>15</v>
      </c>
      <c r="E407" s="226">
        <v>7141</v>
      </c>
      <c r="F407" s="227"/>
      <c r="G407" s="1" t="str">
        <f>IFERROR(IF(ventas_b_mes12[[#This Row],[CUIT]]="","-",VLOOKUP(ventas_b_mes12[[#This Row],[CUIT]],Lista_CUIT[#All],2,0)),"CUIT NO CARGADO")</f>
        <v>-</v>
      </c>
      <c r="H407" s="96">
        <f>ventas_b_mes12[[#This Row],[TOTAL]]/1.21</f>
        <v>1157.0247933884298</v>
      </c>
      <c r="I407" s="60">
        <f>ventas_b_mes12[[#This Row],[IMPORTE NETO]]*0.21</f>
        <v>242.97520661157023</v>
      </c>
      <c r="J407" s="229"/>
      <c r="K407" s="229"/>
      <c r="L407" s="229">
        <v>1400</v>
      </c>
      <c r="M407" s="55"/>
    </row>
    <row r="408" spans="2:13" x14ac:dyDescent="0.3">
      <c r="B408" s="223" t="s">
        <v>2466</v>
      </c>
      <c r="C408" s="224">
        <v>6</v>
      </c>
      <c r="D408" s="225">
        <v>15</v>
      </c>
      <c r="E408" s="226">
        <v>7124</v>
      </c>
      <c r="F408" s="227"/>
      <c r="G408" s="1" t="str">
        <f>IFERROR(IF(ventas_b_mes12[[#This Row],[CUIT]]="","-",VLOOKUP(ventas_b_mes12[[#This Row],[CUIT]],Lista_CUIT[#All],2,0)),"CUIT NO CARGADO")</f>
        <v>-</v>
      </c>
      <c r="H408" s="96">
        <f>ventas_b_mes12[[#This Row],[TOTAL]]/1.21</f>
        <v>1223.1487603305786</v>
      </c>
      <c r="I408" s="60">
        <f>ventas_b_mes12[[#This Row],[IMPORTE NETO]]*0.21</f>
        <v>256.86123966942148</v>
      </c>
      <c r="J408" s="229"/>
      <c r="K408" s="229"/>
      <c r="L408" s="229">
        <v>1480.01</v>
      </c>
      <c r="M408" s="55"/>
    </row>
    <row r="409" spans="2:13" x14ac:dyDescent="0.3">
      <c r="B409" s="223" t="s">
        <v>2466</v>
      </c>
      <c r="C409" s="224">
        <v>6</v>
      </c>
      <c r="D409" s="225">
        <v>10</v>
      </c>
      <c r="E409" s="226">
        <v>43712</v>
      </c>
      <c r="F409" s="227"/>
      <c r="G409" s="1" t="str">
        <f>IFERROR(IF(ventas_b_mes12[[#This Row],[CUIT]]="","-",VLOOKUP(ventas_b_mes12[[#This Row],[CUIT]],Lista_CUIT[#All],2,0)),"CUIT NO CARGADO")</f>
        <v>-</v>
      </c>
      <c r="H409" s="96">
        <f>ventas_b_mes12[[#This Row],[TOTAL]]/1.21</f>
        <v>6905.7851239669426</v>
      </c>
      <c r="I409" s="60">
        <f>ventas_b_mes12[[#This Row],[IMPORTE NETO]]*0.21</f>
        <v>1450.2148760330579</v>
      </c>
      <c r="J409" s="229"/>
      <c r="K409" s="229"/>
      <c r="L409" s="229">
        <v>8356</v>
      </c>
      <c r="M409" s="55"/>
    </row>
    <row r="410" spans="2:13" x14ac:dyDescent="0.3">
      <c r="B410" s="223" t="s">
        <v>2466</v>
      </c>
      <c r="C410" s="224">
        <v>6</v>
      </c>
      <c r="D410" s="225">
        <v>10</v>
      </c>
      <c r="E410" s="226">
        <v>43721</v>
      </c>
      <c r="F410" s="227"/>
      <c r="G410" s="1" t="str">
        <f>IFERROR(IF(ventas_b_mes12[[#This Row],[CUIT]]="","-",VLOOKUP(ventas_b_mes12[[#This Row],[CUIT]],Lista_CUIT[#All],2,0)),"CUIT NO CARGADO")</f>
        <v>-</v>
      </c>
      <c r="H410" s="96">
        <f>ventas_b_mes12[[#This Row],[TOTAL]]/1.21</f>
        <v>7809.9173553719011</v>
      </c>
      <c r="I410" s="60">
        <f>ventas_b_mes12[[#This Row],[IMPORTE NETO]]*0.21</f>
        <v>1640.0826446280992</v>
      </c>
      <c r="J410" s="229"/>
      <c r="K410" s="229"/>
      <c r="L410" s="229">
        <v>9450</v>
      </c>
      <c r="M410" s="55"/>
    </row>
    <row r="411" spans="2:13" x14ac:dyDescent="0.3">
      <c r="B411" s="223" t="s">
        <v>2466</v>
      </c>
      <c r="C411" s="224">
        <v>6</v>
      </c>
      <c r="D411" s="225">
        <v>12</v>
      </c>
      <c r="E411" s="226">
        <v>22379</v>
      </c>
      <c r="F411" s="227"/>
      <c r="G411" s="1" t="str">
        <f>IFERROR(IF(ventas_b_mes12[[#This Row],[CUIT]]="","-",VLOOKUP(ventas_b_mes12[[#This Row],[CUIT]],Lista_CUIT[#All],2,0)),"CUIT NO CARGADO")</f>
        <v>-</v>
      </c>
      <c r="H411" s="96">
        <f>ventas_b_mes12[[#This Row],[TOTAL]]/1.21</f>
        <v>9008.2561983471078</v>
      </c>
      <c r="I411" s="60">
        <f>ventas_b_mes12[[#This Row],[IMPORTE NETO]]*0.21</f>
        <v>1891.7338016528925</v>
      </c>
      <c r="J411" s="229"/>
      <c r="K411" s="229"/>
      <c r="L411" s="229">
        <v>10899.99</v>
      </c>
      <c r="M411" s="55"/>
    </row>
    <row r="412" spans="2:13" x14ac:dyDescent="0.3">
      <c r="B412" s="223" t="s">
        <v>2466</v>
      </c>
      <c r="C412" s="224">
        <v>6</v>
      </c>
      <c r="D412" s="225">
        <v>15</v>
      </c>
      <c r="E412" s="226">
        <v>7136</v>
      </c>
      <c r="F412" s="227"/>
      <c r="G412" s="1" t="str">
        <f>IFERROR(IF(ventas_b_mes12[[#This Row],[CUIT]]="","-",VLOOKUP(ventas_b_mes12[[#This Row],[CUIT]],Lista_CUIT[#All],2,0)),"CUIT NO CARGADO")</f>
        <v>-</v>
      </c>
      <c r="H412" s="96">
        <f>ventas_b_mes12[[#This Row],[TOTAL]]/1.21</f>
        <v>8066.1239669421493</v>
      </c>
      <c r="I412" s="60">
        <f>ventas_b_mes12[[#This Row],[IMPORTE NETO]]*0.21</f>
        <v>1693.8860330578514</v>
      </c>
      <c r="J412" s="229"/>
      <c r="K412" s="229"/>
      <c r="L412" s="229">
        <v>9760.01</v>
      </c>
      <c r="M412" s="55"/>
    </row>
    <row r="413" spans="2:13" x14ac:dyDescent="0.3">
      <c r="B413" s="223" t="s">
        <v>2466</v>
      </c>
      <c r="C413" s="224">
        <v>6</v>
      </c>
      <c r="D413" s="225">
        <v>15</v>
      </c>
      <c r="E413" s="226">
        <v>7130</v>
      </c>
      <c r="F413" s="227"/>
      <c r="G413" s="1" t="str">
        <f>IFERROR(IF(ventas_b_mes12[[#This Row],[CUIT]]="","-",VLOOKUP(ventas_b_mes12[[#This Row],[CUIT]],Lista_CUIT[#All],2,0)),"CUIT NO CARGADO")</f>
        <v>-</v>
      </c>
      <c r="H413" s="96">
        <f>ventas_b_mes12[[#This Row],[TOTAL]]/1.21</f>
        <v>11933.884297520661</v>
      </c>
      <c r="I413" s="60">
        <f>ventas_b_mes12[[#This Row],[IMPORTE NETO]]*0.21</f>
        <v>2506.1157024793388</v>
      </c>
      <c r="J413" s="229"/>
      <c r="K413" s="229"/>
      <c r="L413" s="229">
        <v>14440</v>
      </c>
      <c r="M413" s="55"/>
    </row>
    <row r="414" spans="2:13" x14ac:dyDescent="0.3">
      <c r="B414" s="223" t="s">
        <v>2466</v>
      </c>
      <c r="C414" s="224">
        <v>6</v>
      </c>
      <c r="D414" s="225">
        <v>10</v>
      </c>
      <c r="E414" s="226">
        <v>43732</v>
      </c>
      <c r="F414" s="227"/>
      <c r="G414" s="1" t="str">
        <f>IFERROR(IF(ventas_b_mes12[[#This Row],[CUIT]]="","-",VLOOKUP(ventas_b_mes12[[#This Row],[CUIT]],Lista_CUIT[#All],2,0)),"CUIT NO CARGADO")</f>
        <v>-</v>
      </c>
      <c r="H414" s="96">
        <f>ventas_b_mes12[[#This Row],[TOTAL]]/1.21</f>
        <v>2231.413223140496</v>
      </c>
      <c r="I414" s="60">
        <f>ventas_b_mes12[[#This Row],[IMPORTE NETO]]*0.21</f>
        <v>468.59677685950413</v>
      </c>
      <c r="J414" s="229"/>
      <c r="K414" s="229"/>
      <c r="L414" s="229">
        <v>2700.01</v>
      </c>
      <c r="M414" s="55"/>
    </row>
    <row r="415" spans="2:13" x14ac:dyDescent="0.3">
      <c r="B415" s="223" t="s">
        <v>2466</v>
      </c>
      <c r="C415" s="224">
        <v>6</v>
      </c>
      <c r="D415" s="225">
        <v>15</v>
      </c>
      <c r="E415" s="226">
        <v>7134</v>
      </c>
      <c r="F415" s="227"/>
      <c r="G415" s="1" t="str">
        <f>IFERROR(IF(ventas_b_mes12[[#This Row],[CUIT]]="","-",VLOOKUP(ventas_b_mes12[[#This Row],[CUIT]],Lista_CUIT[#All],2,0)),"CUIT NO CARGADO")</f>
        <v>-</v>
      </c>
      <c r="H415" s="96">
        <f>ventas_b_mes12[[#This Row],[TOTAL]]/1.21</f>
        <v>1289.2561983471076</v>
      </c>
      <c r="I415" s="60">
        <f>ventas_b_mes12[[#This Row],[IMPORTE NETO]]*0.21</f>
        <v>270.74380165289256</v>
      </c>
      <c r="J415" s="229"/>
      <c r="K415" s="229"/>
      <c r="L415" s="229">
        <v>1560</v>
      </c>
      <c r="M415" s="55"/>
    </row>
    <row r="416" spans="2:13" x14ac:dyDescent="0.3">
      <c r="B416" s="223" t="s">
        <v>2466</v>
      </c>
      <c r="C416" s="224">
        <v>6</v>
      </c>
      <c r="D416" s="225">
        <v>10</v>
      </c>
      <c r="E416" s="226">
        <v>43717</v>
      </c>
      <c r="F416" s="227"/>
      <c r="G416" s="1" t="str">
        <f>IFERROR(IF(ventas_b_mes12[[#This Row],[CUIT]]="","-",VLOOKUP(ventas_b_mes12[[#This Row],[CUIT]],Lista_CUIT[#All],2,0)),"CUIT NO CARGADO")</f>
        <v>-</v>
      </c>
      <c r="H416" s="96">
        <f>ventas_b_mes12[[#This Row],[TOTAL]]/1.21</f>
        <v>6277.6859504132235</v>
      </c>
      <c r="I416" s="60">
        <f>ventas_b_mes12[[#This Row],[IMPORTE NETO]]*0.21</f>
        <v>1318.3140495867769</v>
      </c>
      <c r="J416" s="229"/>
      <c r="K416" s="229"/>
      <c r="L416" s="229">
        <v>7596</v>
      </c>
      <c r="M416" s="55"/>
    </row>
    <row r="417" spans="2:13" x14ac:dyDescent="0.3">
      <c r="B417" s="223" t="s">
        <v>2466</v>
      </c>
      <c r="C417" s="224">
        <v>6</v>
      </c>
      <c r="D417" s="225">
        <v>11</v>
      </c>
      <c r="E417" s="226">
        <v>29963</v>
      </c>
      <c r="F417" s="227"/>
      <c r="G417" s="1" t="str">
        <f>IFERROR(IF(ventas_b_mes12[[#This Row],[CUIT]]="","-",VLOOKUP(ventas_b_mes12[[#This Row],[CUIT]],Lista_CUIT[#All],2,0)),"CUIT NO CARGADO")</f>
        <v>-</v>
      </c>
      <c r="H417" s="96">
        <f>ventas_b_mes12[[#This Row],[TOTAL]]/1.21</f>
        <v>3371.9008264462809</v>
      </c>
      <c r="I417" s="60">
        <f>ventas_b_mes12[[#This Row],[IMPORTE NETO]]*0.21</f>
        <v>708.09917355371897</v>
      </c>
      <c r="J417" s="229"/>
      <c r="K417" s="229"/>
      <c r="L417" s="229">
        <v>4080</v>
      </c>
      <c r="M417" s="55"/>
    </row>
    <row r="418" spans="2:13" x14ac:dyDescent="0.3">
      <c r="B418" s="223" t="s">
        <v>2466</v>
      </c>
      <c r="C418" s="224">
        <v>6</v>
      </c>
      <c r="D418" s="225">
        <v>15</v>
      </c>
      <c r="E418" s="226">
        <v>7125</v>
      </c>
      <c r="F418" s="227"/>
      <c r="G418" s="1" t="str">
        <f>IFERROR(IF(ventas_b_mes12[[#This Row],[CUIT]]="","-",VLOOKUP(ventas_b_mes12[[#This Row],[CUIT]],Lista_CUIT[#All],2,0)),"CUIT NO CARGADO")</f>
        <v>-</v>
      </c>
      <c r="H418" s="96">
        <f>ventas_b_mes12[[#This Row],[TOTAL]]/1.21</f>
        <v>2132.2314049586776</v>
      </c>
      <c r="I418" s="60">
        <f>ventas_b_mes12[[#This Row],[IMPORTE NETO]]*0.21</f>
        <v>447.76859504132227</v>
      </c>
      <c r="J418" s="229"/>
      <c r="K418" s="229"/>
      <c r="L418" s="229">
        <v>2580</v>
      </c>
      <c r="M418" s="55"/>
    </row>
    <row r="419" spans="2:13" x14ac:dyDescent="0.3">
      <c r="B419" s="223" t="s">
        <v>2466</v>
      </c>
      <c r="C419" s="224">
        <v>6</v>
      </c>
      <c r="D419" s="225">
        <v>11</v>
      </c>
      <c r="E419" s="226">
        <v>29964</v>
      </c>
      <c r="F419" s="227"/>
      <c r="G419" s="1" t="str">
        <f>IFERROR(IF(ventas_b_mes12[[#This Row],[CUIT]]="","-",VLOOKUP(ventas_b_mes12[[#This Row],[CUIT]],Lista_CUIT[#All],2,0)),"CUIT NO CARGADO")</f>
        <v>-</v>
      </c>
      <c r="H419" s="96">
        <f>ventas_b_mes12[[#This Row],[TOTAL]]/1.21</f>
        <v>8176.8595041322315</v>
      </c>
      <c r="I419" s="60">
        <f>ventas_b_mes12[[#This Row],[IMPORTE NETO]]*0.21</f>
        <v>1717.1404958677685</v>
      </c>
      <c r="J419" s="229"/>
      <c r="K419" s="229"/>
      <c r="L419" s="229">
        <v>9894</v>
      </c>
      <c r="M419" s="55"/>
    </row>
    <row r="420" spans="2:13" x14ac:dyDescent="0.3">
      <c r="B420" s="223" t="s">
        <v>2466</v>
      </c>
      <c r="C420" s="224">
        <v>6</v>
      </c>
      <c r="D420" s="225">
        <v>10</v>
      </c>
      <c r="E420" s="226">
        <v>43709</v>
      </c>
      <c r="F420" s="227"/>
      <c r="G420" s="1" t="str">
        <f>IFERROR(IF(ventas_b_mes12[[#This Row],[CUIT]]="","-",VLOOKUP(ventas_b_mes12[[#This Row],[CUIT]],Lista_CUIT[#All],2,0)),"CUIT NO CARGADO")</f>
        <v>-</v>
      </c>
      <c r="H420" s="96">
        <f>ventas_b_mes12[[#This Row],[TOTAL]]/1.21</f>
        <v>2380.1652892561983</v>
      </c>
      <c r="I420" s="60">
        <f>ventas_b_mes12[[#This Row],[IMPORTE NETO]]*0.21</f>
        <v>499.83471074380162</v>
      </c>
      <c r="J420" s="229"/>
      <c r="K420" s="229"/>
      <c r="L420" s="229">
        <v>2880</v>
      </c>
      <c r="M420" s="55"/>
    </row>
    <row r="421" spans="2:13" x14ac:dyDescent="0.3">
      <c r="B421" s="223" t="s">
        <v>2466</v>
      </c>
      <c r="C421" s="224">
        <v>6</v>
      </c>
      <c r="D421" s="225">
        <v>10</v>
      </c>
      <c r="E421" s="226">
        <v>43720</v>
      </c>
      <c r="F421" s="227"/>
      <c r="G421" s="1" t="str">
        <f>IFERROR(IF(ventas_b_mes12[[#This Row],[CUIT]]="","-",VLOOKUP(ventas_b_mes12[[#This Row],[CUIT]],Lista_CUIT[#All],2,0)),"CUIT NO CARGADO")</f>
        <v>-</v>
      </c>
      <c r="H421" s="96">
        <f>ventas_b_mes12[[#This Row],[TOTAL]]/1.21</f>
        <v>13757.330578512396</v>
      </c>
      <c r="I421" s="60">
        <f>ventas_b_mes12[[#This Row],[IMPORTE NETO]]*0.21</f>
        <v>2889.0394214876028</v>
      </c>
      <c r="J421" s="229"/>
      <c r="K421" s="229"/>
      <c r="L421" s="229">
        <v>16646.37</v>
      </c>
      <c r="M421" s="55"/>
    </row>
    <row r="422" spans="2:13" x14ac:dyDescent="0.3">
      <c r="B422" s="223" t="s">
        <v>2466</v>
      </c>
      <c r="C422" s="224">
        <v>6</v>
      </c>
      <c r="D422" s="225">
        <v>15</v>
      </c>
      <c r="E422" s="226">
        <v>7127</v>
      </c>
      <c r="F422" s="227"/>
      <c r="G422" s="1" t="str">
        <f>IFERROR(IF(ventas_b_mes12[[#This Row],[CUIT]]="","-",VLOOKUP(ventas_b_mes12[[#This Row],[CUIT]],Lista_CUIT[#All],2,0)),"CUIT NO CARGADO")</f>
        <v>-</v>
      </c>
      <c r="H422" s="96">
        <f>ventas_b_mes12[[#This Row],[TOTAL]]/1.21</f>
        <v>2148.7603305785124</v>
      </c>
      <c r="I422" s="60">
        <f>ventas_b_mes12[[#This Row],[IMPORTE NETO]]*0.21</f>
        <v>451.23966942148758</v>
      </c>
      <c r="J422" s="229"/>
      <c r="K422" s="229"/>
      <c r="L422" s="229">
        <v>2600</v>
      </c>
      <c r="M422" s="55"/>
    </row>
    <row r="423" spans="2:13" x14ac:dyDescent="0.3">
      <c r="B423" s="223" t="s">
        <v>2466</v>
      </c>
      <c r="C423" s="224">
        <v>6</v>
      </c>
      <c r="D423" s="225">
        <v>13</v>
      </c>
      <c r="E423" s="226">
        <v>26643</v>
      </c>
      <c r="F423" s="227"/>
      <c r="G423" s="1" t="str">
        <f>IFERROR(IF(ventas_b_mes12[[#This Row],[CUIT]]="","-",VLOOKUP(ventas_b_mes12[[#This Row],[CUIT]],Lista_CUIT[#All],2,0)),"CUIT NO CARGADO")</f>
        <v>-</v>
      </c>
      <c r="H423" s="96">
        <f>ventas_b_mes12[[#This Row],[TOTAL]]/1.21</f>
        <v>7963.636363636364</v>
      </c>
      <c r="I423" s="60">
        <f>ventas_b_mes12[[#This Row],[IMPORTE NETO]]*0.21</f>
        <v>1672.3636363636363</v>
      </c>
      <c r="J423" s="229"/>
      <c r="K423" s="229"/>
      <c r="L423" s="229">
        <v>9636</v>
      </c>
      <c r="M423" s="55"/>
    </row>
    <row r="424" spans="2:13" x14ac:dyDescent="0.3">
      <c r="B424" s="223" t="s">
        <v>2466</v>
      </c>
      <c r="C424" s="224">
        <v>6</v>
      </c>
      <c r="D424" s="225">
        <v>13</v>
      </c>
      <c r="E424" s="226">
        <v>26650</v>
      </c>
      <c r="F424" s="227"/>
      <c r="G424" s="1" t="str">
        <f>IFERROR(IF(ventas_b_mes12[[#This Row],[CUIT]]="","-",VLOOKUP(ventas_b_mes12[[#This Row],[CUIT]],Lista_CUIT[#All],2,0)),"CUIT NO CARGADO")</f>
        <v>-</v>
      </c>
      <c r="H424" s="96">
        <f>ventas_b_mes12[[#This Row],[TOTAL]]/1.21</f>
        <v>4099.1735537190079</v>
      </c>
      <c r="I424" s="60">
        <f>ventas_b_mes12[[#This Row],[IMPORTE NETO]]*0.21</f>
        <v>860.8264462809916</v>
      </c>
      <c r="J424" s="229"/>
      <c r="K424" s="229"/>
      <c r="L424" s="229">
        <v>4960</v>
      </c>
      <c r="M424" s="55"/>
    </row>
    <row r="425" spans="2:13" x14ac:dyDescent="0.3">
      <c r="B425" s="223" t="s">
        <v>2466</v>
      </c>
      <c r="C425" s="224">
        <v>6</v>
      </c>
      <c r="D425" s="225">
        <v>10</v>
      </c>
      <c r="E425" s="226">
        <v>43713</v>
      </c>
      <c r="F425" s="227"/>
      <c r="G425" s="1" t="str">
        <f>IFERROR(IF(ventas_b_mes12[[#This Row],[CUIT]]="","-",VLOOKUP(ventas_b_mes12[[#This Row],[CUIT]],Lista_CUIT[#All],2,0)),"CUIT NO CARGADO")</f>
        <v>-</v>
      </c>
      <c r="H425" s="96">
        <f>ventas_b_mes12[[#This Row],[TOTAL]]/1.21</f>
        <v>1223.1487603305786</v>
      </c>
      <c r="I425" s="60">
        <f>ventas_b_mes12[[#This Row],[IMPORTE NETO]]*0.21</f>
        <v>256.86123966942148</v>
      </c>
      <c r="J425" s="229"/>
      <c r="K425" s="229"/>
      <c r="L425" s="229">
        <v>1480.01</v>
      </c>
      <c r="M425" s="55"/>
    </row>
    <row r="426" spans="2:13" x14ac:dyDescent="0.3">
      <c r="B426" s="223" t="s">
        <v>2466</v>
      </c>
      <c r="C426" s="224">
        <v>6</v>
      </c>
      <c r="D426" s="225">
        <v>12</v>
      </c>
      <c r="E426" s="226">
        <v>22375</v>
      </c>
      <c r="F426" s="227"/>
      <c r="G426" s="1" t="str">
        <f>IFERROR(IF(ventas_b_mes12[[#This Row],[CUIT]]="","-",VLOOKUP(ventas_b_mes12[[#This Row],[CUIT]],Lista_CUIT[#All],2,0)),"CUIT NO CARGADO")</f>
        <v>-</v>
      </c>
      <c r="H426" s="96">
        <f>ventas_b_mes12[[#This Row],[TOTAL]]/1.21</f>
        <v>1326.4462809917356</v>
      </c>
      <c r="I426" s="60">
        <f>ventas_b_mes12[[#This Row],[IMPORTE NETO]]*0.21</f>
        <v>278.55371900826447</v>
      </c>
      <c r="J426" s="229"/>
      <c r="K426" s="229"/>
      <c r="L426" s="229">
        <v>1605</v>
      </c>
      <c r="M426" s="55"/>
    </row>
    <row r="427" spans="2:13" x14ac:dyDescent="0.3">
      <c r="B427" s="223" t="s">
        <v>2466</v>
      </c>
      <c r="C427" s="224">
        <v>6</v>
      </c>
      <c r="D427" s="225">
        <v>13</v>
      </c>
      <c r="E427" s="226">
        <v>26644</v>
      </c>
      <c r="F427" s="227"/>
      <c r="G427" s="1" t="str">
        <f>IFERROR(IF(ventas_b_mes12[[#This Row],[CUIT]]="","-",VLOOKUP(ventas_b_mes12[[#This Row],[CUIT]],Lista_CUIT[#All],2,0)),"CUIT NO CARGADO")</f>
        <v>-</v>
      </c>
      <c r="H427" s="96">
        <f>ventas_b_mes12[[#This Row],[TOTAL]]/1.21</f>
        <v>743.80165289256206</v>
      </c>
      <c r="I427" s="60">
        <f>ventas_b_mes12[[#This Row],[IMPORTE NETO]]*0.21</f>
        <v>156.19834710743802</v>
      </c>
      <c r="J427" s="229"/>
      <c r="K427" s="229"/>
      <c r="L427" s="229">
        <v>900</v>
      </c>
      <c r="M427" s="55"/>
    </row>
    <row r="428" spans="2:13" x14ac:dyDescent="0.3">
      <c r="B428" s="223" t="s">
        <v>2466</v>
      </c>
      <c r="C428" s="224">
        <v>6</v>
      </c>
      <c r="D428" s="225">
        <v>10</v>
      </c>
      <c r="E428" s="226">
        <v>43723</v>
      </c>
      <c r="F428" s="227"/>
      <c r="G428" s="1" t="str">
        <f>IFERROR(IF(ventas_b_mes12[[#This Row],[CUIT]]="","-",VLOOKUP(ventas_b_mes12[[#This Row],[CUIT]],Lista_CUIT[#All],2,0)),"CUIT NO CARGADO")</f>
        <v>-</v>
      </c>
      <c r="H428" s="96">
        <f>ventas_b_mes12[[#This Row],[TOTAL]]/1.21</f>
        <v>22975.214876033056</v>
      </c>
      <c r="I428" s="60">
        <f>ventas_b_mes12[[#This Row],[IMPORTE NETO]]*0.21</f>
        <v>4824.7951239669419</v>
      </c>
      <c r="J428" s="229"/>
      <c r="K428" s="229"/>
      <c r="L428" s="229">
        <v>27800.01</v>
      </c>
      <c r="M428" s="55"/>
    </row>
    <row r="429" spans="2:13" x14ac:dyDescent="0.3">
      <c r="B429" s="223" t="s">
        <v>2466</v>
      </c>
      <c r="C429" s="224">
        <v>6</v>
      </c>
      <c r="D429" s="225">
        <v>15</v>
      </c>
      <c r="E429" s="226">
        <v>7138</v>
      </c>
      <c r="F429" s="227"/>
      <c r="G429" s="1" t="str">
        <f>IFERROR(IF(ventas_b_mes12[[#This Row],[CUIT]]="","-",VLOOKUP(ventas_b_mes12[[#This Row],[CUIT]],Lista_CUIT[#All],2,0)),"CUIT NO CARGADO")</f>
        <v>-</v>
      </c>
      <c r="H429" s="96">
        <f>ventas_b_mes12[[#This Row],[TOTAL]]/1.21</f>
        <v>3921.4876033057853</v>
      </c>
      <c r="I429" s="60">
        <f>ventas_b_mes12[[#This Row],[IMPORTE NETO]]*0.21</f>
        <v>823.51239669421489</v>
      </c>
      <c r="J429" s="229"/>
      <c r="K429" s="229"/>
      <c r="L429" s="229">
        <v>4745</v>
      </c>
      <c r="M429" s="55"/>
    </row>
    <row r="430" spans="2:13" x14ac:dyDescent="0.3">
      <c r="B430" s="223" t="s">
        <v>2466</v>
      </c>
      <c r="C430" s="224">
        <v>6</v>
      </c>
      <c r="D430" s="225">
        <v>12</v>
      </c>
      <c r="E430" s="226">
        <v>22391</v>
      </c>
      <c r="F430" s="227"/>
      <c r="G430" s="1" t="str">
        <f>IFERROR(IF(ventas_b_mes12[[#This Row],[CUIT]]="","-",VLOOKUP(ventas_b_mes12[[#This Row],[CUIT]],Lista_CUIT[#All],2,0)),"CUIT NO CARGADO")</f>
        <v>-</v>
      </c>
      <c r="H430" s="96">
        <f>ventas_b_mes12[[#This Row],[TOTAL]]/1.21</f>
        <v>4545.454545454546</v>
      </c>
      <c r="I430" s="60">
        <f>ventas_b_mes12[[#This Row],[IMPORTE NETO]]*0.21</f>
        <v>954.54545454545462</v>
      </c>
      <c r="J430" s="229"/>
      <c r="K430" s="229"/>
      <c r="L430" s="229">
        <v>5500</v>
      </c>
      <c r="M430" s="55"/>
    </row>
    <row r="431" spans="2:13" x14ac:dyDescent="0.3">
      <c r="B431" s="223" t="s">
        <v>2466</v>
      </c>
      <c r="C431" s="224">
        <v>6</v>
      </c>
      <c r="D431" s="225">
        <v>10</v>
      </c>
      <c r="E431" s="226">
        <v>43711</v>
      </c>
      <c r="F431" s="227"/>
      <c r="G431" s="1" t="str">
        <f>IFERROR(IF(ventas_b_mes12[[#This Row],[CUIT]]="","-",VLOOKUP(ventas_b_mes12[[#This Row],[CUIT]],Lista_CUIT[#All],2,0)),"CUIT NO CARGADO")</f>
        <v>-</v>
      </c>
      <c r="H431" s="96">
        <f>ventas_b_mes12[[#This Row],[TOTAL]]/1.21</f>
        <v>9031.4049586776855</v>
      </c>
      <c r="I431" s="60">
        <f>ventas_b_mes12[[#This Row],[IMPORTE NETO]]*0.21</f>
        <v>1896.5950413223138</v>
      </c>
      <c r="J431" s="229"/>
      <c r="K431" s="229"/>
      <c r="L431" s="229">
        <v>10928</v>
      </c>
      <c r="M431" s="55"/>
    </row>
    <row r="432" spans="2:13" x14ac:dyDescent="0.3">
      <c r="B432" s="223" t="s">
        <v>2466</v>
      </c>
      <c r="C432" s="224">
        <v>6</v>
      </c>
      <c r="D432" s="225">
        <v>11</v>
      </c>
      <c r="E432" s="226">
        <v>29961</v>
      </c>
      <c r="F432" s="227"/>
      <c r="G432" s="1" t="str">
        <f>IFERROR(IF(ventas_b_mes12[[#This Row],[CUIT]]="","-",VLOOKUP(ventas_b_mes12[[#This Row],[CUIT]],Lista_CUIT[#All],2,0)),"CUIT NO CARGADO")</f>
        <v>-</v>
      </c>
      <c r="H432" s="96">
        <f>ventas_b_mes12[[#This Row],[TOTAL]]/1.21</f>
        <v>4743.7851239669417</v>
      </c>
      <c r="I432" s="60">
        <f>ventas_b_mes12[[#This Row],[IMPORTE NETO]]*0.21</f>
        <v>996.19487603305777</v>
      </c>
      <c r="J432" s="229"/>
      <c r="K432" s="229"/>
      <c r="L432" s="229">
        <v>5739.98</v>
      </c>
      <c r="M432" s="55"/>
    </row>
    <row r="433" spans="2:13" x14ac:dyDescent="0.3">
      <c r="B433" s="223" t="s">
        <v>2466</v>
      </c>
      <c r="C433" s="224">
        <v>6</v>
      </c>
      <c r="D433" s="225">
        <v>13</v>
      </c>
      <c r="E433" s="226">
        <v>26646</v>
      </c>
      <c r="F433" s="227"/>
      <c r="G433" s="1" t="str">
        <f>IFERROR(IF(ventas_b_mes12[[#This Row],[CUIT]]="","-",VLOOKUP(ventas_b_mes12[[#This Row],[CUIT]],Lista_CUIT[#All],2,0)),"CUIT NO CARGADO")</f>
        <v>-</v>
      </c>
      <c r="H433" s="96">
        <f>ventas_b_mes12[[#This Row],[TOTAL]]/1.21</f>
        <v>2644.6280991735539</v>
      </c>
      <c r="I433" s="60">
        <f>ventas_b_mes12[[#This Row],[IMPORTE NETO]]*0.21</f>
        <v>555.37190082644634</v>
      </c>
      <c r="J433" s="229"/>
      <c r="K433" s="229"/>
      <c r="L433" s="229">
        <v>3200</v>
      </c>
      <c r="M433" s="55"/>
    </row>
    <row r="434" spans="2:13" x14ac:dyDescent="0.3">
      <c r="B434" s="223" t="s">
        <v>2466</v>
      </c>
      <c r="C434" s="224">
        <v>6</v>
      </c>
      <c r="D434" s="225">
        <v>15</v>
      </c>
      <c r="E434" s="226">
        <v>7142</v>
      </c>
      <c r="F434" s="227"/>
      <c r="G434" s="1" t="str">
        <f>IFERROR(IF(ventas_b_mes12[[#This Row],[CUIT]]="","-",VLOOKUP(ventas_b_mes12[[#This Row],[CUIT]],Lista_CUIT[#All],2,0)),"CUIT NO CARGADO")</f>
        <v>-</v>
      </c>
      <c r="H434" s="96">
        <f>ventas_b_mes12[[#This Row],[TOTAL]]/1.21</f>
        <v>3684.231404958678</v>
      </c>
      <c r="I434" s="60">
        <f>ventas_b_mes12[[#This Row],[IMPORTE NETO]]*0.21</f>
        <v>773.6885950413224</v>
      </c>
      <c r="J434" s="229"/>
      <c r="K434" s="229"/>
      <c r="L434" s="229">
        <v>4457.92</v>
      </c>
      <c r="M434" s="55"/>
    </row>
    <row r="435" spans="2:13" x14ac:dyDescent="0.3">
      <c r="B435" s="223" t="s">
        <v>2466</v>
      </c>
      <c r="C435" s="224">
        <v>6</v>
      </c>
      <c r="D435" s="225">
        <v>13</v>
      </c>
      <c r="E435" s="226">
        <v>26656</v>
      </c>
      <c r="F435" s="227"/>
      <c r="G435" s="1" t="str">
        <f>IFERROR(IF(ventas_b_mes12[[#This Row],[CUIT]]="","-",VLOOKUP(ventas_b_mes12[[#This Row],[CUIT]],Lista_CUIT[#All],2,0)),"CUIT NO CARGADO")</f>
        <v>-</v>
      </c>
      <c r="H435" s="96">
        <f>ventas_b_mes12[[#This Row],[TOTAL]]/1.21</f>
        <v>1735.5371900826447</v>
      </c>
      <c r="I435" s="60">
        <f>ventas_b_mes12[[#This Row],[IMPORTE NETO]]*0.21</f>
        <v>364.46280991735534</v>
      </c>
      <c r="J435" s="229"/>
      <c r="K435" s="229"/>
      <c r="L435" s="229">
        <v>2100</v>
      </c>
      <c r="M435" s="55"/>
    </row>
    <row r="436" spans="2:13" x14ac:dyDescent="0.3">
      <c r="B436" s="223" t="s">
        <v>2466</v>
      </c>
      <c r="C436" s="224">
        <v>6</v>
      </c>
      <c r="D436" s="225">
        <v>10</v>
      </c>
      <c r="E436" s="226">
        <v>43730</v>
      </c>
      <c r="F436" s="227"/>
      <c r="G436" s="1" t="str">
        <f>IFERROR(IF(ventas_b_mes12[[#This Row],[CUIT]]="","-",VLOOKUP(ventas_b_mes12[[#This Row],[CUIT]],Lista_CUIT[#All],2,0)),"CUIT NO CARGADO")</f>
        <v>-</v>
      </c>
      <c r="H436" s="96">
        <f>ventas_b_mes12[[#This Row],[TOTAL]]/1.21</f>
        <v>416.57024793388433</v>
      </c>
      <c r="I436" s="60">
        <f>ventas_b_mes12[[#This Row],[IMPORTE NETO]]*0.21</f>
        <v>87.479752066115708</v>
      </c>
      <c r="J436" s="229"/>
      <c r="K436" s="229"/>
      <c r="L436" s="229">
        <v>504.05</v>
      </c>
      <c r="M436" s="55"/>
    </row>
    <row r="437" spans="2:13" x14ac:dyDescent="0.3">
      <c r="B437" s="223" t="s">
        <v>2466</v>
      </c>
      <c r="C437" s="224">
        <v>6</v>
      </c>
      <c r="D437" s="225">
        <v>13</v>
      </c>
      <c r="E437" s="226">
        <v>26657</v>
      </c>
      <c r="F437" s="227"/>
      <c r="G437" s="1" t="str">
        <f>IFERROR(IF(ventas_b_mes12[[#This Row],[CUIT]]="","-",VLOOKUP(ventas_b_mes12[[#This Row],[CUIT]],Lista_CUIT[#All],2,0)),"CUIT NO CARGADO")</f>
        <v>-</v>
      </c>
      <c r="H437" s="96">
        <f>ventas_b_mes12[[#This Row],[TOTAL]]/1.21</f>
        <v>7694.1983471074382</v>
      </c>
      <c r="I437" s="60">
        <f>ventas_b_mes12[[#This Row],[IMPORTE NETO]]*0.21</f>
        <v>1615.7816528925619</v>
      </c>
      <c r="J437" s="229"/>
      <c r="K437" s="229"/>
      <c r="L437" s="229">
        <v>9309.98</v>
      </c>
      <c r="M437" s="55"/>
    </row>
    <row r="438" spans="2:13" x14ac:dyDescent="0.3">
      <c r="B438" s="223" t="s">
        <v>2466</v>
      </c>
      <c r="C438" s="224">
        <v>6</v>
      </c>
      <c r="D438" s="225">
        <v>10</v>
      </c>
      <c r="E438" s="226">
        <v>43731</v>
      </c>
      <c r="F438" s="227"/>
      <c r="G438" s="1" t="str">
        <f>IFERROR(IF(ventas_b_mes12[[#This Row],[CUIT]]="","-",VLOOKUP(ventas_b_mes12[[#This Row],[CUIT]],Lista_CUIT[#All],2,0)),"CUIT NO CARGADO")</f>
        <v>-</v>
      </c>
      <c r="H438" s="96">
        <f>ventas_b_mes12[[#This Row],[TOTAL]]/1.21</f>
        <v>12904.545454545454</v>
      </c>
      <c r="I438" s="60">
        <f>ventas_b_mes12[[#This Row],[IMPORTE NETO]]*0.21</f>
        <v>2709.954545454545</v>
      </c>
      <c r="J438" s="229"/>
      <c r="K438" s="229"/>
      <c r="L438" s="229">
        <v>15614.5</v>
      </c>
      <c r="M438" s="55"/>
    </row>
    <row r="439" spans="2:13" x14ac:dyDescent="0.3">
      <c r="B439" s="223" t="s">
        <v>2466</v>
      </c>
      <c r="C439" s="224">
        <v>6</v>
      </c>
      <c r="D439" s="225">
        <v>13</v>
      </c>
      <c r="E439" s="226">
        <v>26638</v>
      </c>
      <c r="F439" s="227"/>
      <c r="G439" s="1" t="str">
        <f>IFERROR(IF(ventas_b_mes12[[#This Row],[CUIT]]="","-",VLOOKUP(ventas_b_mes12[[#This Row],[CUIT]],Lista_CUIT[#All],2,0)),"CUIT NO CARGADO")</f>
        <v>-</v>
      </c>
      <c r="H439" s="96">
        <f>ventas_b_mes12[[#This Row],[TOTAL]]/1.21</f>
        <v>4144.6280991735539</v>
      </c>
      <c r="I439" s="60">
        <f>ventas_b_mes12[[#This Row],[IMPORTE NETO]]*0.21</f>
        <v>870.37190082644634</v>
      </c>
      <c r="J439" s="229"/>
      <c r="K439" s="229"/>
      <c r="L439" s="229">
        <v>5015</v>
      </c>
      <c r="M439" s="55"/>
    </row>
    <row r="440" spans="2:13" x14ac:dyDescent="0.3">
      <c r="B440" s="223" t="s">
        <v>2466</v>
      </c>
      <c r="C440" s="224">
        <v>6</v>
      </c>
      <c r="D440" s="225">
        <v>10</v>
      </c>
      <c r="E440" s="226">
        <v>43728</v>
      </c>
      <c r="F440" s="227"/>
      <c r="G440" s="1" t="str">
        <f>IFERROR(IF(ventas_b_mes12[[#This Row],[CUIT]]="","-",VLOOKUP(ventas_b_mes12[[#This Row],[CUIT]],Lista_CUIT[#All],2,0)),"CUIT NO CARGADO")</f>
        <v>-</v>
      </c>
      <c r="H440" s="96">
        <f>ventas_b_mes12[[#This Row],[TOTAL]]/1.21</f>
        <v>4088.4297520661157</v>
      </c>
      <c r="I440" s="60">
        <f>ventas_b_mes12[[#This Row],[IMPORTE NETO]]*0.21</f>
        <v>858.57024793388427</v>
      </c>
      <c r="J440" s="229"/>
      <c r="K440" s="229"/>
      <c r="L440" s="229">
        <v>4947</v>
      </c>
      <c r="M440" s="55"/>
    </row>
    <row r="441" spans="2:13" x14ac:dyDescent="0.3">
      <c r="B441" s="223" t="s">
        <v>2466</v>
      </c>
      <c r="C441" s="224">
        <v>6</v>
      </c>
      <c r="D441" s="225">
        <v>10</v>
      </c>
      <c r="E441" s="226">
        <v>43729</v>
      </c>
      <c r="F441" s="227"/>
      <c r="G441" s="1" t="str">
        <f>IFERROR(IF(ventas_b_mes12[[#This Row],[CUIT]]="","-",VLOOKUP(ventas_b_mes12[[#This Row],[CUIT]],Lista_CUIT[#All],2,0)),"CUIT NO CARGADO")</f>
        <v>-</v>
      </c>
      <c r="H441" s="96">
        <f>ventas_b_mes12[[#This Row],[TOTAL]]/1.21</f>
        <v>6644.6280991735539</v>
      </c>
      <c r="I441" s="60">
        <f>ventas_b_mes12[[#This Row],[IMPORTE NETO]]*0.21</f>
        <v>1395.3719008264463</v>
      </c>
      <c r="J441" s="229"/>
      <c r="K441" s="229"/>
      <c r="L441" s="229">
        <v>8040</v>
      </c>
      <c r="M441" s="55"/>
    </row>
    <row r="442" spans="2:13" x14ac:dyDescent="0.3">
      <c r="B442" s="223" t="s">
        <v>2466</v>
      </c>
      <c r="C442" s="224">
        <v>6</v>
      </c>
      <c r="D442" s="225">
        <v>12</v>
      </c>
      <c r="E442" s="226">
        <v>22385</v>
      </c>
      <c r="F442" s="227"/>
      <c r="G442" s="1" t="str">
        <f>IFERROR(IF(ventas_b_mes12[[#This Row],[CUIT]]="","-",VLOOKUP(ventas_b_mes12[[#This Row],[CUIT]],Lista_CUIT[#All],2,0)),"CUIT NO CARGADO")</f>
        <v>-</v>
      </c>
      <c r="H442" s="96">
        <f>ventas_b_mes12[[#This Row],[TOTAL]]/1.21</f>
        <v>3863.636363636364</v>
      </c>
      <c r="I442" s="60">
        <f>ventas_b_mes12[[#This Row],[IMPORTE NETO]]*0.21</f>
        <v>811.36363636363637</v>
      </c>
      <c r="J442" s="229"/>
      <c r="K442" s="229"/>
      <c r="L442" s="229">
        <v>4675</v>
      </c>
      <c r="M442" s="55"/>
    </row>
    <row r="443" spans="2:13" x14ac:dyDescent="0.3">
      <c r="B443" s="223" t="s">
        <v>2466</v>
      </c>
      <c r="C443" s="224">
        <v>6</v>
      </c>
      <c r="D443" s="225">
        <v>11</v>
      </c>
      <c r="E443" s="226">
        <v>29954</v>
      </c>
      <c r="F443" s="227"/>
      <c r="G443" s="1" t="str">
        <f>IFERROR(IF(ventas_b_mes12[[#This Row],[CUIT]]="","-",VLOOKUP(ventas_b_mes12[[#This Row],[CUIT]],Lista_CUIT[#All],2,0)),"CUIT NO CARGADO")</f>
        <v>-</v>
      </c>
      <c r="H443" s="96">
        <f>ventas_b_mes12[[#This Row],[TOTAL]]/1.21</f>
        <v>2611.5785123966944</v>
      </c>
      <c r="I443" s="60">
        <f>ventas_b_mes12[[#This Row],[IMPORTE NETO]]*0.21</f>
        <v>548.43148760330575</v>
      </c>
      <c r="J443" s="229"/>
      <c r="K443" s="229"/>
      <c r="L443" s="229">
        <v>3160.01</v>
      </c>
      <c r="M443" s="55"/>
    </row>
    <row r="444" spans="2:13" x14ac:dyDescent="0.3">
      <c r="B444" s="223" t="s">
        <v>2466</v>
      </c>
      <c r="C444" s="224">
        <v>6</v>
      </c>
      <c r="D444" s="225">
        <v>12</v>
      </c>
      <c r="E444" s="226">
        <v>22381</v>
      </c>
      <c r="F444" s="227"/>
      <c r="G444" s="1" t="str">
        <f>IFERROR(IF(ventas_b_mes12[[#This Row],[CUIT]]="","-",VLOOKUP(ventas_b_mes12[[#This Row],[CUIT]],Lista_CUIT[#All],2,0)),"CUIT NO CARGADO")</f>
        <v>-</v>
      </c>
      <c r="H444" s="96">
        <f>ventas_b_mes12[[#This Row],[TOTAL]]/1.21</f>
        <v>3134.2975206611573</v>
      </c>
      <c r="I444" s="60">
        <f>ventas_b_mes12[[#This Row],[IMPORTE NETO]]*0.21</f>
        <v>658.20247933884298</v>
      </c>
      <c r="J444" s="229"/>
      <c r="K444" s="229"/>
      <c r="L444" s="229">
        <v>3792.5</v>
      </c>
      <c r="M444" s="55"/>
    </row>
    <row r="445" spans="2:13" x14ac:dyDescent="0.3">
      <c r="B445" s="223" t="s">
        <v>2466</v>
      </c>
      <c r="C445" s="224">
        <v>6</v>
      </c>
      <c r="D445" s="225">
        <v>12</v>
      </c>
      <c r="E445" s="226">
        <v>22394</v>
      </c>
      <c r="F445" s="227"/>
      <c r="G445" s="1" t="str">
        <f>IFERROR(IF(ventas_b_mes12[[#This Row],[CUIT]]="","-",VLOOKUP(ventas_b_mes12[[#This Row],[CUIT]],Lista_CUIT[#All],2,0)),"CUIT NO CARGADO")</f>
        <v>-</v>
      </c>
      <c r="H445" s="96">
        <f>ventas_b_mes12[[#This Row],[TOTAL]]/1.21</f>
        <v>1580.5785123966944</v>
      </c>
      <c r="I445" s="60">
        <f>ventas_b_mes12[[#This Row],[IMPORTE NETO]]*0.21</f>
        <v>331.92148760330582</v>
      </c>
      <c r="J445" s="229"/>
      <c r="K445" s="229"/>
      <c r="L445" s="229">
        <v>1912.5</v>
      </c>
      <c r="M445" s="55"/>
    </row>
    <row r="446" spans="2:13" x14ac:dyDescent="0.3">
      <c r="B446" s="223" t="s">
        <v>2466</v>
      </c>
      <c r="C446" s="224">
        <v>6</v>
      </c>
      <c r="D446" s="225">
        <v>11</v>
      </c>
      <c r="E446" s="226">
        <v>29958</v>
      </c>
      <c r="F446" s="227"/>
      <c r="G446" s="1" t="str">
        <f>IFERROR(IF(ventas_b_mes12[[#This Row],[CUIT]]="","-",VLOOKUP(ventas_b_mes12[[#This Row],[CUIT]],Lista_CUIT[#All],2,0)),"CUIT NO CARGADO")</f>
        <v>-</v>
      </c>
      <c r="H446" s="96">
        <f>ventas_b_mes12[[#This Row],[TOTAL]]/1.21</f>
        <v>8033.0743801652898</v>
      </c>
      <c r="I446" s="60">
        <f>ventas_b_mes12[[#This Row],[IMPORTE NETO]]*0.21</f>
        <v>1686.9456198347109</v>
      </c>
      <c r="J446" s="229"/>
      <c r="K446" s="229"/>
      <c r="L446" s="229">
        <v>9720.02</v>
      </c>
      <c r="M446" s="55"/>
    </row>
    <row r="447" spans="2:13" x14ac:dyDescent="0.3">
      <c r="B447" s="223" t="s">
        <v>2466</v>
      </c>
      <c r="C447" s="224">
        <v>6</v>
      </c>
      <c r="D447" s="225">
        <v>10</v>
      </c>
      <c r="E447" s="226">
        <v>43714</v>
      </c>
      <c r="F447" s="227"/>
      <c r="G447" s="1" t="str">
        <f>IFERROR(IF(ventas_b_mes12[[#This Row],[CUIT]]="","-",VLOOKUP(ventas_b_mes12[[#This Row],[CUIT]],Lista_CUIT[#All],2,0)),"CUIT NO CARGADO")</f>
        <v>-</v>
      </c>
      <c r="H447" s="96">
        <f>ventas_b_mes12[[#This Row],[TOTAL]]/1.21</f>
        <v>7206.6115702479337</v>
      </c>
      <c r="I447" s="60">
        <f>ventas_b_mes12[[#This Row],[IMPORTE NETO]]*0.21</f>
        <v>1513.388429752066</v>
      </c>
      <c r="J447" s="229"/>
      <c r="K447" s="229"/>
      <c r="L447" s="229">
        <v>8720</v>
      </c>
      <c r="M447" s="55"/>
    </row>
    <row r="448" spans="2:13" x14ac:dyDescent="0.3">
      <c r="B448" s="223" t="s">
        <v>2466</v>
      </c>
      <c r="C448" s="224">
        <v>6</v>
      </c>
      <c r="D448" s="225">
        <v>15</v>
      </c>
      <c r="E448" s="226">
        <v>7126</v>
      </c>
      <c r="F448" s="227"/>
      <c r="G448" s="1" t="str">
        <f>IFERROR(IF(ventas_b_mes12[[#This Row],[CUIT]]="","-",VLOOKUP(ventas_b_mes12[[#This Row],[CUIT]],Lista_CUIT[#All],2,0)),"CUIT NO CARGADO")</f>
        <v>-</v>
      </c>
      <c r="H448" s="96">
        <f>ventas_b_mes12[[#This Row],[TOTAL]]/1.21</f>
        <v>2148.7603305785124</v>
      </c>
      <c r="I448" s="60">
        <f>ventas_b_mes12[[#This Row],[IMPORTE NETO]]*0.21</f>
        <v>451.23966942148758</v>
      </c>
      <c r="J448" s="229"/>
      <c r="K448" s="229"/>
      <c r="L448" s="229">
        <v>2600</v>
      </c>
      <c r="M448" s="55"/>
    </row>
    <row r="449" spans="2:13" x14ac:dyDescent="0.3">
      <c r="B449" s="223" t="s">
        <v>2466</v>
      </c>
      <c r="C449" s="224">
        <v>6</v>
      </c>
      <c r="D449" s="225">
        <v>10</v>
      </c>
      <c r="E449" s="226">
        <v>43710</v>
      </c>
      <c r="F449" s="227"/>
      <c r="G449" s="1" t="str">
        <f>IFERROR(IF(ventas_b_mes12[[#This Row],[CUIT]]="","-",VLOOKUP(ventas_b_mes12[[#This Row],[CUIT]],Lista_CUIT[#All],2,0)),"CUIT NO CARGADO")</f>
        <v>-</v>
      </c>
      <c r="H449" s="96">
        <f>ventas_b_mes12[[#This Row],[TOTAL]]/1.21</f>
        <v>3272.727272727273</v>
      </c>
      <c r="I449" s="60">
        <f>ventas_b_mes12[[#This Row],[IMPORTE NETO]]*0.21</f>
        <v>687.27272727272725</v>
      </c>
      <c r="J449" s="229"/>
      <c r="K449" s="229"/>
      <c r="L449" s="229">
        <v>3960</v>
      </c>
      <c r="M449" s="55"/>
    </row>
    <row r="450" spans="2:13" x14ac:dyDescent="0.3">
      <c r="B450" s="223" t="s">
        <v>2466</v>
      </c>
      <c r="C450" s="224">
        <v>6</v>
      </c>
      <c r="D450" s="225">
        <v>10</v>
      </c>
      <c r="E450" s="226">
        <v>43705</v>
      </c>
      <c r="F450" s="227"/>
      <c r="G450" s="1" t="str">
        <f>IFERROR(IF(ventas_b_mes12[[#This Row],[CUIT]]="","-",VLOOKUP(ventas_b_mes12[[#This Row],[CUIT]],Lista_CUIT[#All],2,0)),"CUIT NO CARGADO")</f>
        <v>-</v>
      </c>
      <c r="H450" s="96">
        <f>ventas_b_mes12[[#This Row],[TOTAL]]/1.21</f>
        <v>6033.0578512396696</v>
      </c>
      <c r="I450" s="60">
        <f>ventas_b_mes12[[#This Row],[IMPORTE NETO]]*0.21</f>
        <v>1266.9421487603306</v>
      </c>
      <c r="J450" s="229"/>
      <c r="K450" s="229"/>
      <c r="L450" s="229">
        <v>7300</v>
      </c>
      <c r="M450" s="55"/>
    </row>
    <row r="451" spans="2:13" x14ac:dyDescent="0.3">
      <c r="B451" s="223" t="s">
        <v>2466</v>
      </c>
      <c r="C451" s="224">
        <v>6</v>
      </c>
      <c r="D451" s="225">
        <v>13</v>
      </c>
      <c r="E451" s="226">
        <v>26649</v>
      </c>
      <c r="F451" s="227"/>
      <c r="G451" s="1" t="str">
        <f>IFERROR(IF(ventas_b_mes12[[#This Row],[CUIT]]="","-",VLOOKUP(ventas_b_mes12[[#This Row],[CUIT]],Lista_CUIT[#All],2,0)),"CUIT NO CARGADO")</f>
        <v>-</v>
      </c>
      <c r="H451" s="96">
        <f>ventas_b_mes12[[#This Row],[TOTAL]]/1.21</f>
        <v>7743.8016528925618</v>
      </c>
      <c r="I451" s="60">
        <f>ventas_b_mes12[[#This Row],[IMPORTE NETO]]*0.21</f>
        <v>1626.1983471074379</v>
      </c>
      <c r="J451" s="229"/>
      <c r="K451" s="229"/>
      <c r="L451" s="229">
        <v>9370</v>
      </c>
      <c r="M451" s="55"/>
    </row>
    <row r="452" spans="2:13" x14ac:dyDescent="0.3">
      <c r="B452" s="223" t="s">
        <v>2466</v>
      </c>
      <c r="C452" s="224">
        <v>6</v>
      </c>
      <c r="D452" s="225">
        <v>10</v>
      </c>
      <c r="E452" s="226">
        <v>43722</v>
      </c>
      <c r="F452" s="227"/>
      <c r="G452" s="1" t="str">
        <f>IFERROR(IF(ventas_b_mes12[[#This Row],[CUIT]]="","-",VLOOKUP(ventas_b_mes12[[#This Row],[CUIT]],Lista_CUIT[#All],2,0)),"CUIT NO CARGADO")</f>
        <v>-</v>
      </c>
      <c r="H452" s="96">
        <f>ventas_b_mes12[[#This Row],[TOTAL]]/1.21</f>
        <v>13487.619834710744</v>
      </c>
      <c r="I452" s="60">
        <f>ventas_b_mes12[[#This Row],[IMPORTE NETO]]*0.21</f>
        <v>2832.4001652892562</v>
      </c>
      <c r="J452" s="229"/>
      <c r="K452" s="229"/>
      <c r="L452" s="229">
        <v>16320.02</v>
      </c>
      <c r="M452" s="55"/>
    </row>
    <row r="453" spans="2:13" x14ac:dyDescent="0.3">
      <c r="B453" s="223" t="s">
        <v>2466</v>
      </c>
      <c r="C453" s="224">
        <v>6</v>
      </c>
      <c r="D453" s="225">
        <v>15</v>
      </c>
      <c r="E453" s="226">
        <v>7135</v>
      </c>
      <c r="F453" s="227"/>
      <c r="G453" s="1" t="str">
        <f>IFERROR(IF(ventas_b_mes12[[#This Row],[CUIT]]="","-",VLOOKUP(ventas_b_mes12[[#This Row],[CUIT]],Lista_CUIT[#All],2,0)),"CUIT NO CARGADO")</f>
        <v>-</v>
      </c>
      <c r="H453" s="96">
        <f>ventas_b_mes12[[#This Row],[TOTAL]]/1.21</f>
        <v>8418.1735537190089</v>
      </c>
      <c r="I453" s="60">
        <f>ventas_b_mes12[[#This Row],[IMPORTE NETO]]*0.21</f>
        <v>1767.8164462809918</v>
      </c>
      <c r="J453" s="229"/>
      <c r="K453" s="229"/>
      <c r="L453" s="229">
        <v>10185.99</v>
      </c>
      <c r="M453" s="55"/>
    </row>
    <row r="454" spans="2:13" x14ac:dyDescent="0.3">
      <c r="B454" s="223" t="s">
        <v>2466</v>
      </c>
      <c r="C454" s="224">
        <v>6</v>
      </c>
      <c r="D454" s="225">
        <v>13</v>
      </c>
      <c r="E454" s="226">
        <v>26658</v>
      </c>
      <c r="F454" s="227"/>
      <c r="G454" s="1" t="str">
        <f>IFERROR(IF(ventas_b_mes12[[#This Row],[CUIT]]="","-",VLOOKUP(ventas_b_mes12[[#This Row],[CUIT]],Lista_CUIT[#All],2,0)),"CUIT NO CARGADO")</f>
        <v>-</v>
      </c>
      <c r="H454" s="96">
        <f>ventas_b_mes12[[#This Row],[TOTAL]]/1.21</f>
        <v>1673.5537190082646</v>
      </c>
      <c r="I454" s="60">
        <f>ventas_b_mes12[[#This Row],[IMPORTE NETO]]*0.21</f>
        <v>351.44628099173553</v>
      </c>
      <c r="J454" s="229"/>
      <c r="K454" s="229"/>
      <c r="L454" s="229">
        <v>2025</v>
      </c>
      <c r="M454" s="55"/>
    </row>
    <row r="455" spans="2:13" x14ac:dyDescent="0.3">
      <c r="B455" s="223" t="s">
        <v>2466</v>
      </c>
      <c r="C455" s="224">
        <v>6</v>
      </c>
      <c r="D455" s="225">
        <v>10</v>
      </c>
      <c r="E455" s="226">
        <v>43716</v>
      </c>
      <c r="F455" s="227"/>
      <c r="G455" s="1" t="str">
        <f>IFERROR(IF(ventas_b_mes12[[#This Row],[CUIT]]="","-",VLOOKUP(ventas_b_mes12[[#This Row],[CUIT]],Lista_CUIT[#All],2,0)),"CUIT NO CARGADO")</f>
        <v>-</v>
      </c>
      <c r="H455" s="96">
        <f>ventas_b_mes12[[#This Row],[TOTAL]]/1.21</f>
        <v>11834.710743801654</v>
      </c>
      <c r="I455" s="60">
        <f>ventas_b_mes12[[#This Row],[IMPORTE NETO]]*0.21</f>
        <v>2485.2892561983472</v>
      </c>
      <c r="J455" s="229"/>
      <c r="K455" s="229"/>
      <c r="L455" s="229">
        <v>14320</v>
      </c>
      <c r="M455" s="55"/>
    </row>
    <row r="456" spans="2:13" x14ac:dyDescent="0.3">
      <c r="B456" s="223" t="s">
        <v>2466</v>
      </c>
      <c r="C456" s="224">
        <v>6</v>
      </c>
      <c r="D456" s="225">
        <v>12</v>
      </c>
      <c r="E456" s="226">
        <v>22386</v>
      </c>
      <c r="F456" s="227"/>
      <c r="G456" s="1" t="str">
        <f>IFERROR(IF(ventas_b_mes12[[#This Row],[CUIT]]="","-",VLOOKUP(ventas_b_mes12[[#This Row],[CUIT]],Lista_CUIT[#All],2,0)),"CUIT NO CARGADO")</f>
        <v>-</v>
      </c>
      <c r="H456" s="96">
        <f>ventas_b_mes12[[#This Row],[TOTAL]]/1.21</f>
        <v>4545.454545454546</v>
      </c>
      <c r="I456" s="60">
        <f>ventas_b_mes12[[#This Row],[IMPORTE NETO]]*0.21</f>
        <v>954.54545454545462</v>
      </c>
      <c r="J456" s="229"/>
      <c r="K456" s="229"/>
      <c r="L456" s="229">
        <v>5500</v>
      </c>
      <c r="M456" s="55"/>
    </row>
    <row r="457" spans="2:13" x14ac:dyDescent="0.3">
      <c r="B457" s="223" t="s">
        <v>2466</v>
      </c>
      <c r="C457" s="224">
        <v>6</v>
      </c>
      <c r="D457" s="225">
        <v>13</v>
      </c>
      <c r="E457" s="226">
        <v>26654</v>
      </c>
      <c r="F457" s="227"/>
      <c r="G457" s="1" t="str">
        <f>IFERROR(IF(ventas_b_mes12[[#This Row],[CUIT]]="","-",VLOOKUP(ventas_b_mes12[[#This Row],[CUIT]],Lista_CUIT[#All],2,0)),"CUIT NO CARGADO")</f>
        <v>-</v>
      </c>
      <c r="H457" s="96">
        <f>ventas_b_mes12[[#This Row],[TOTAL]]/1.21</f>
        <v>23231.404958677685</v>
      </c>
      <c r="I457" s="60">
        <f>ventas_b_mes12[[#This Row],[IMPORTE NETO]]*0.21</f>
        <v>4878.5950413223136</v>
      </c>
      <c r="J457" s="229"/>
      <c r="K457" s="229"/>
      <c r="L457" s="229">
        <v>28110</v>
      </c>
      <c r="M457" s="55"/>
    </row>
    <row r="458" spans="2:13" x14ac:dyDescent="0.3">
      <c r="B458" s="223" t="s">
        <v>2466</v>
      </c>
      <c r="C458" s="224">
        <v>6</v>
      </c>
      <c r="D458" s="225">
        <v>10</v>
      </c>
      <c r="E458" s="226">
        <v>43724</v>
      </c>
      <c r="F458" s="227"/>
      <c r="G458" s="1" t="str">
        <f>IFERROR(IF(ventas_b_mes12[[#This Row],[CUIT]]="","-",VLOOKUP(ventas_b_mes12[[#This Row],[CUIT]],Lista_CUIT[#All],2,0)),"CUIT NO CARGADO")</f>
        <v>-</v>
      </c>
      <c r="H458" s="96">
        <f>ventas_b_mes12[[#This Row],[TOTAL]]/1.21</f>
        <v>8314.0495867768605</v>
      </c>
      <c r="I458" s="60">
        <f>ventas_b_mes12[[#This Row],[IMPORTE NETO]]*0.21</f>
        <v>1745.9504132231407</v>
      </c>
      <c r="J458" s="229"/>
      <c r="K458" s="229"/>
      <c r="L458" s="229">
        <v>10060</v>
      </c>
      <c r="M458" s="55"/>
    </row>
    <row r="459" spans="2:13" x14ac:dyDescent="0.3">
      <c r="B459" s="223" t="s">
        <v>2466</v>
      </c>
      <c r="C459" s="224">
        <v>6</v>
      </c>
      <c r="D459" s="225">
        <v>11</v>
      </c>
      <c r="E459" s="226">
        <v>29953</v>
      </c>
      <c r="F459" s="227"/>
      <c r="G459" s="1" t="str">
        <f>IFERROR(IF(ventas_b_mes12[[#This Row],[CUIT]]="","-",VLOOKUP(ventas_b_mes12[[#This Row],[CUIT]],Lista_CUIT[#All],2,0)),"CUIT NO CARGADO")</f>
        <v>-</v>
      </c>
      <c r="H459" s="96">
        <f>ventas_b_mes12[[#This Row],[TOTAL]]/1.21</f>
        <v>5917.3553719008269</v>
      </c>
      <c r="I459" s="60">
        <f>ventas_b_mes12[[#This Row],[IMPORTE NETO]]*0.21</f>
        <v>1242.6446280991736</v>
      </c>
      <c r="J459" s="229"/>
      <c r="K459" s="229"/>
      <c r="L459" s="229">
        <v>7160</v>
      </c>
      <c r="M459" s="55"/>
    </row>
    <row r="460" spans="2:13" x14ac:dyDescent="0.3">
      <c r="B460" s="223" t="s">
        <v>2466</v>
      </c>
      <c r="C460" s="224">
        <v>6</v>
      </c>
      <c r="D460" s="225">
        <v>13</v>
      </c>
      <c r="E460" s="226">
        <v>26642</v>
      </c>
      <c r="F460" s="227"/>
      <c r="G460" s="1" t="str">
        <f>IFERROR(IF(ventas_b_mes12[[#This Row],[CUIT]]="","-",VLOOKUP(ventas_b_mes12[[#This Row],[CUIT]],Lista_CUIT[#All],2,0)),"CUIT NO CARGADO")</f>
        <v>-</v>
      </c>
      <c r="H460" s="96">
        <f>ventas_b_mes12[[#This Row],[TOTAL]]/1.21</f>
        <v>10270.247933884299</v>
      </c>
      <c r="I460" s="60">
        <f>ventas_b_mes12[[#This Row],[IMPORTE NETO]]*0.21</f>
        <v>2156.7520661157027</v>
      </c>
      <c r="J460" s="229"/>
      <c r="K460" s="229"/>
      <c r="L460" s="229">
        <v>12427</v>
      </c>
      <c r="M460" s="55"/>
    </row>
    <row r="461" spans="2:13" x14ac:dyDescent="0.3">
      <c r="B461" s="223" t="s">
        <v>2466</v>
      </c>
      <c r="C461" s="224">
        <v>6</v>
      </c>
      <c r="D461" s="225">
        <v>15</v>
      </c>
      <c r="E461" s="226">
        <v>7133</v>
      </c>
      <c r="F461" s="227"/>
      <c r="G461" s="1" t="str">
        <f>IFERROR(IF(ventas_b_mes12[[#This Row],[CUIT]]="","-",VLOOKUP(ventas_b_mes12[[#This Row],[CUIT]],Lista_CUIT[#All],2,0)),"CUIT NO CARGADO")</f>
        <v>-</v>
      </c>
      <c r="H461" s="96">
        <f>ventas_b_mes12[[#This Row],[TOTAL]]/1.21</f>
        <v>1123.9669421487604</v>
      </c>
      <c r="I461" s="60">
        <f>ventas_b_mes12[[#This Row],[IMPORTE NETO]]*0.21</f>
        <v>236.03305785123968</v>
      </c>
      <c r="J461" s="229"/>
      <c r="K461" s="229"/>
      <c r="L461" s="229">
        <v>1360</v>
      </c>
      <c r="M461" s="55"/>
    </row>
    <row r="462" spans="2:13" x14ac:dyDescent="0.3">
      <c r="B462" s="223" t="s">
        <v>2466</v>
      </c>
      <c r="C462" s="224">
        <v>6</v>
      </c>
      <c r="D462" s="225">
        <v>12</v>
      </c>
      <c r="E462" s="226">
        <v>22377</v>
      </c>
      <c r="F462" s="227"/>
      <c r="G462" s="1" t="str">
        <f>IFERROR(IF(ventas_b_mes12[[#This Row],[CUIT]]="","-",VLOOKUP(ventas_b_mes12[[#This Row],[CUIT]],Lista_CUIT[#All],2,0)),"CUIT NO CARGADO")</f>
        <v>-</v>
      </c>
      <c r="H462" s="96">
        <f>ventas_b_mes12[[#This Row],[TOTAL]]/1.21</f>
        <v>5795.454545454546</v>
      </c>
      <c r="I462" s="60">
        <f>ventas_b_mes12[[#This Row],[IMPORTE NETO]]*0.21</f>
        <v>1217.0454545454545</v>
      </c>
      <c r="J462" s="229"/>
      <c r="K462" s="229"/>
      <c r="L462" s="229">
        <v>7012.5</v>
      </c>
      <c r="M462" s="55"/>
    </row>
    <row r="463" spans="2:13" x14ac:dyDescent="0.3">
      <c r="B463" s="223" t="s">
        <v>2466</v>
      </c>
      <c r="C463" s="224">
        <v>6</v>
      </c>
      <c r="D463" s="225">
        <v>15</v>
      </c>
      <c r="E463" s="226">
        <v>7137</v>
      </c>
      <c r="F463" s="227"/>
      <c r="G463" s="1" t="str">
        <f>IFERROR(IF(ventas_b_mes12[[#This Row],[CUIT]]="","-",VLOOKUP(ventas_b_mes12[[#This Row],[CUIT]],Lista_CUIT[#All],2,0)),"CUIT NO CARGADO")</f>
        <v>-</v>
      </c>
      <c r="H463" s="96">
        <f>ventas_b_mes12[[#This Row],[TOTAL]]/1.21</f>
        <v>4905.7851239669426</v>
      </c>
      <c r="I463" s="60">
        <f>ventas_b_mes12[[#This Row],[IMPORTE NETO]]*0.21</f>
        <v>1030.2148760330579</v>
      </c>
      <c r="J463" s="229"/>
      <c r="K463" s="229"/>
      <c r="L463" s="229">
        <v>5936</v>
      </c>
      <c r="M463" s="55"/>
    </row>
    <row r="464" spans="2:13" x14ac:dyDescent="0.3">
      <c r="B464" s="223" t="s">
        <v>2466</v>
      </c>
      <c r="C464" s="224">
        <v>6</v>
      </c>
      <c r="D464" s="225">
        <v>10</v>
      </c>
      <c r="E464" s="226">
        <v>43704</v>
      </c>
      <c r="F464" s="227"/>
      <c r="G464" s="1" t="str">
        <f>IFERROR(IF(ventas_b_mes12[[#This Row],[CUIT]]="","-",VLOOKUP(ventas_b_mes12[[#This Row],[CUIT]],Lista_CUIT[#All],2,0)),"CUIT NO CARGADO")</f>
        <v>-</v>
      </c>
      <c r="H464" s="96">
        <f>ventas_b_mes12[[#This Row],[TOTAL]]/1.21</f>
        <v>805.78512396694214</v>
      </c>
      <c r="I464" s="60">
        <f>ventas_b_mes12[[#This Row],[IMPORTE NETO]]*0.21</f>
        <v>169.21487603305783</v>
      </c>
      <c r="J464" s="229"/>
      <c r="K464" s="229"/>
      <c r="L464" s="229">
        <v>975</v>
      </c>
      <c r="M464" s="55"/>
    </row>
    <row r="465" spans="2:13" x14ac:dyDescent="0.3">
      <c r="B465" s="223" t="s">
        <v>2466</v>
      </c>
      <c r="C465" s="224">
        <v>6</v>
      </c>
      <c r="D465" s="225">
        <v>13</v>
      </c>
      <c r="E465" s="226">
        <v>26652</v>
      </c>
      <c r="F465" s="227"/>
      <c r="G465" s="1" t="str">
        <f>IFERROR(IF(ventas_b_mes12[[#This Row],[CUIT]]="","-",VLOOKUP(ventas_b_mes12[[#This Row],[CUIT]],Lista_CUIT[#All],2,0)),"CUIT NO CARGADO")</f>
        <v>-</v>
      </c>
      <c r="H465" s="96">
        <f>ventas_b_mes12[[#This Row],[TOTAL]]/1.21</f>
        <v>16639.677685950413</v>
      </c>
      <c r="I465" s="60">
        <f>ventas_b_mes12[[#This Row],[IMPORTE NETO]]*0.21</f>
        <v>3494.3323140495868</v>
      </c>
      <c r="J465" s="229"/>
      <c r="K465" s="229"/>
      <c r="L465" s="229">
        <v>20134.009999999998</v>
      </c>
      <c r="M465" s="55"/>
    </row>
    <row r="466" spans="2:13" x14ac:dyDescent="0.3">
      <c r="B466" s="223" t="s">
        <v>2466</v>
      </c>
      <c r="C466" s="224">
        <v>6</v>
      </c>
      <c r="D466" s="225">
        <v>11</v>
      </c>
      <c r="E466" s="226">
        <v>29955</v>
      </c>
      <c r="F466" s="227"/>
      <c r="G466" s="1" t="str">
        <f>IFERROR(IF(ventas_b_mes12[[#This Row],[CUIT]]="","-",VLOOKUP(ventas_b_mes12[[#This Row],[CUIT]],Lista_CUIT[#All],2,0)),"CUIT NO CARGADO")</f>
        <v>-</v>
      </c>
      <c r="H466" s="96">
        <f>ventas_b_mes12[[#This Row],[TOTAL]]/1.21</f>
        <v>4958.6776859504134</v>
      </c>
      <c r="I466" s="60">
        <f>ventas_b_mes12[[#This Row],[IMPORTE NETO]]*0.21</f>
        <v>1041.3223140495868</v>
      </c>
      <c r="J466" s="229"/>
      <c r="K466" s="229"/>
      <c r="L466" s="229">
        <v>6000</v>
      </c>
      <c r="M466" s="55"/>
    </row>
    <row r="467" spans="2:13" x14ac:dyDescent="0.3">
      <c r="B467" s="223" t="s">
        <v>2466</v>
      </c>
      <c r="C467" s="224">
        <v>6</v>
      </c>
      <c r="D467" s="225">
        <v>15</v>
      </c>
      <c r="E467" s="226">
        <v>7139</v>
      </c>
      <c r="F467" s="227"/>
      <c r="G467" s="1" t="str">
        <f>IFERROR(IF(ventas_b_mes12[[#This Row],[CUIT]]="","-",VLOOKUP(ventas_b_mes12[[#This Row],[CUIT]],Lista_CUIT[#All],2,0)),"CUIT NO CARGADO")</f>
        <v>-</v>
      </c>
      <c r="H467" s="96">
        <f>ventas_b_mes12[[#This Row],[TOTAL]]/1.21</f>
        <v>614.87603305785126</v>
      </c>
      <c r="I467" s="60">
        <f>ventas_b_mes12[[#This Row],[IMPORTE NETO]]*0.21</f>
        <v>129.12396694214877</v>
      </c>
      <c r="J467" s="229"/>
      <c r="K467" s="229"/>
      <c r="L467" s="229">
        <v>744</v>
      </c>
      <c r="M467" s="55"/>
    </row>
    <row r="468" spans="2:13" x14ac:dyDescent="0.3">
      <c r="B468" s="223" t="s">
        <v>2466</v>
      </c>
      <c r="C468" s="224">
        <v>6</v>
      </c>
      <c r="D468" s="225">
        <v>13</v>
      </c>
      <c r="E468" s="226">
        <v>26655</v>
      </c>
      <c r="F468" s="227"/>
      <c r="G468" s="1" t="str">
        <f>IFERROR(IF(ventas_b_mes12[[#This Row],[CUIT]]="","-",VLOOKUP(ventas_b_mes12[[#This Row],[CUIT]],Lista_CUIT[#All],2,0)),"CUIT NO CARGADO")</f>
        <v>-</v>
      </c>
      <c r="H468" s="96">
        <f>ventas_b_mes12[[#This Row],[TOTAL]]/1.21</f>
        <v>6198.7603305785124</v>
      </c>
      <c r="I468" s="60">
        <f>ventas_b_mes12[[#This Row],[IMPORTE NETO]]*0.21</f>
        <v>1301.7396694214876</v>
      </c>
      <c r="J468" s="229"/>
      <c r="K468" s="229"/>
      <c r="L468" s="229">
        <v>7500.5</v>
      </c>
      <c r="M468" s="55"/>
    </row>
    <row r="469" spans="2:13" x14ac:dyDescent="0.3">
      <c r="B469" s="223" t="s">
        <v>2466</v>
      </c>
      <c r="C469" s="224">
        <v>6</v>
      </c>
      <c r="D469" s="225">
        <v>15</v>
      </c>
      <c r="E469" s="226">
        <v>7132</v>
      </c>
      <c r="F469" s="227"/>
      <c r="G469" s="1" t="str">
        <f>IFERROR(IF(ventas_b_mes12[[#This Row],[CUIT]]="","-",VLOOKUP(ventas_b_mes12[[#This Row],[CUIT]],Lista_CUIT[#All],2,0)),"CUIT NO CARGADO")</f>
        <v>-</v>
      </c>
      <c r="H469" s="96">
        <f>ventas_b_mes12[[#This Row],[TOTAL]]/1.21</f>
        <v>10578.520661157025</v>
      </c>
      <c r="I469" s="60">
        <f>ventas_b_mes12[[#This Row],[IMPORTE NETO]]*0.21</f>
        <v>2221.489338842975</v>
      </c>
      <c r="J469" s="229"/>
      <c r="K469" s="229"/>
      <c r="L469" s="229">
        <v>12800.01</v>
      </c>
      <c r="M469" s="55"/>
    </row>
    <row r="470" spans="2:13" x14ac:dyDescent="0.3">
      <c r="B470" s="223" t="s">
        <v>2466</v>
      </c>
      <c r="C470" s="224">
        <v>6</v>
      </c>
      <c r="D470" s="225">
        <v>12</v>
      </c>
      <c r="E470" s="226">
        <v>22388</v>
      </c>
      <c r="F470" s="227"/>
      <c r="G470" s="1" t="str">
        <f>IFERROR(IF(ventas_b_mes12[[#This Row],[CUIT]]="","-",VLOOKUP(ventas_b_mes12[[#This Row],[CUIT]],Lista_CUIT[#All],2,0)),"CUIT NO CARGADO")</f>
        <v>-</v>
      </c>
      <c r="H470" s="96">
        <f>ventas_b_mes12[[#This Row],[TOTAL]]/1.21</f>
        <v>4545.454545454546</v>
      </c>
      <c r="I470" s="60">
        <f>ventas_b_mes12[[#This Row],[IMPORTE NETO]]*0.21</f>
        <v>954.54545454545462</v>
      </c>
      <c r="J470" s="229"/>
      <c r="K470" s="229"/>
      <c r="L470" s="229">
        <v>5500</v>
      </c>
      <c r="M470" s="55"/>
    </row>
    <row r="471" spans="2:13" x14ac:dyDescent="0.3">
      <c r="B471" s="223" t="s">
        <v>2466</v>
      </c>
      <c r="C471" s="224">
        <v>6</v>
      </c>
      <c r="D471" s="225">
        <v>13</v>
      </c>
      <c r="E471" s="226">
        <v>26659</v>
      </c>
      <c r="F471" s="227"/>
      <c r="G471" s="1" t="str">
        <f>IFERROR(IF(ventas_b_mes12[[#This Row],[CUIT]]="","-",VLOOKUP(ventas_b_mes12[[#This Row],[CUIT]],Lista_CUIT[#All],2,0)),"CUIT NO CARGADO")</f>
        <v>-</v>
      </c>
      <c r="H471" s="96">
        <f>ventas_b_mes12[[#This Row],[TOTAL]]/1.21</f>
        <v>9917.3553719008269</v>
      </c>
      <c r="I471" s="60">
        <f>ventas_b_mes12[[#This Row],[IMPORTE NETO]]*0.21</f>
        <v>2082.6446280991736</v>
      </c>
      <c r="J471" s="229"/>
      <c r="K471" s="229"/>
      <c r="L471" s="229">
        <v>12000</v>
      </c>
      <c r="M471" s="55"/>
    </row>
    <row r="472" spans="2:13" x14ac:dyDescent="0.3">
      <c r="B472" s="223" t="s">
        <v>2466</v>
      </c>
      <c r="C472" s="224">
        <v>6</v>
      </c>
      <c r="D472" s="225">
        <v>12</v>
      </c>
      <c r="E472" s="226">
        <v>22390</v>
      </c>
      <c r="F472" s="227"/>
      <c r="G472" s="1" t="str">
        <f>IFERROR(IF(ventas_b_mes12[[#This Row],[CUIT]]="","-",VLOOKUP(ventas_b_mes12[[#This Row],[CUIT]],Lista_CUIT[#All],2,0)),"CUIT NO CARGADO")</f>
        <v>-</v>
      </c>
      <c r="H472" s="96">
        <f>ventas_b_mes12[[#This Row],[TOTAL]]/1.21</f>
        <v>826.44628099173553</v>
      </c>
      <c r="I472" s="60">
        <f>ventas_b_mes12[[#This Row],[IMPORTE NETO]]*0.21</f>
        <v>173.55371900826447</v>
      </c>
      <c r="J472" s="229"/>
      <c r="K472" s="229"/>
      <c r="L472" s="229">
        <v>1000</v>
      </c>
      <c r="M472" s="55"/>
    </row>
    <row r="473" spans="2:13" x14ac:dyDescent="0.3">
      <c r="B473" s="223" t="s">
        <v>2466</v>
      </c>
      <c r="C473" s="224">
        <v>6</v>
      </c>
      <c r="D473" s="225">
        <v>11</v>
      </c>
      <c r="E473" s="226">
        <v>29965</v>
      </c>
      <c r="F473" s="227"/>
      <c r="G473" s="1" t="str">
        <f>IFERROR(IF(ventas_b_mes12[[#This Row],[CUIT]]="","-",VLOOKUP(ventas_b_mes12[[#This Row],[CUIT]],Lista_CUIT[#All],2,0)),"CUIT NO CARGADO")</f>
        <v>-</v>
      </c>
      <c r="H473" s="96">
        <f>ventas_b_mes12[[#This Row],[TOTAL]]/1.21</f>
        <v>2869.4214876033056</v>
      </c>
      <c r="I473" s="60">
        <f>ventas_b_mes12[[#This Row],[IMPORTE NETO]]*0.21</f>
        <v>602.57851239669412</v>
      </c>
      <c r="J473" s="229"/>
      <c r="K473" s="229"/>
      <c r="L473" s="229">
        <v>3472</v>
      </c>
      <c r="M473" s="55"/>
    </row>
    <row r="474" spans="2:13" x14ac:dyDescent="0.3">
      <c r="B474" s="223" t="s">
        <v>2466</v>
      </c>
      <c r="C474" s="224">
        <v>6</v>
      </c>
      <c r="D474" s="225">
        <v>13</v>
      </c>
      <c r="E474" s="226">
        <v>26639</v>
      </c>
      <c r="F474" s="227"/>
      <c r="G474" s="1" t="str">
        <f>IFERROR(IF(ventas_b_mes12[[#This Row],[CUIT]]="","-",VLOOKUP(ventas_b_mes12[[#This Row],[CUIT]],Lista_CUIT[#All],2,0)),"CUIT NO CARGADO")</f>
        <v>-</v>
      </c>
      <c r="H474" s="96">
        <f>ventas_b_mes12[[#This Row],[TOTAL]]/1.21</f>
        <v>3025.6198347107438</v>
      </c>
      <c r="I474" s="60">
        <f>ventas_b_mes12[[#This Row],[IMPORTE NETO]]*0.21</f>
        <v>635.38016528925618</v>
      </c>
      <c r="J474" s="229"/>
      <c r="K474" s="229"/>
      <c r="L474" s="229">
        <v>3661</v>
      </c>
      <c r="M474" s="55"/>
    </row>
    <row r="475" spans="2:13" x14ac:dyDescent="0.3">
      <c r="B475" s="223" t="s">
        <v>2466</v>
      </c>
      <c r="C475" s="224">
        <v>6</v>
      </c>
      <c r="D475" s="225">
        <v>11</v>
      </c>
      <c r="E475" s="226">
        <v>29951</v>
      </c>
      <c r="F475" s="227"/>
      <c r="G475" s="1" t="str">
        <f>IFERROR(IF(ventas_b_mes12[[#This Row],[CUIT]]="","-",VLOOKUP(ventas_b_mes12[[#This Row],[CUIT]],Lista_CUIT[#All],2,0)),"CUIT NO CARGADO")</f>
        <v>-</v>
      </c>
      <c r="H475" s="96">
        <f>ventas_b_mes12[[#This Row],[TOTAL]]/1.21</f>
        <v>14776.859504132231</v>
      </c>
      <c r="I475" s="60">
        <f>ventas_b_mes12[[#This Row],[IMPORTE NETO]]*0.21</f>
        <v>3103.1404958677685</v>
      </c>
      <c r="J475" s="229"/>
      <c r="K475" s="229"/>
      <c r="L475" s="229">
        <v>17880</v>
      </c>
      <c r="M475" s="55"/>
    </row>
    <row r="476" spans="2:13" x14ac:dyDescent="0.3">
      <c r="B476" s="223" t="s">
        <v>2466</v>
      </c>
      <c r="C476" s="224">
        <v>6</v>
      </c>
      <c r="D476" s="225">
        <v>11</v>
      </c>
      <c r="E476" s="226">
        <v>29960</v>
      </c>
      <c r="F476" s="227"/>
      <c r="G476" s="1" t="str">
        <f>IFERROR(IF(ventas_b_mes12[[#This Row],[CUIT]]="","-",VLOOKUP(ventas_b_mes12[[#This Row],[CUIT]],Lista_CUIT[#All],2,0)),"CUIT NO CARGADO")</f>
        <v>-</v>
      </c>
      <c r="H476" s="96">
        <f>ventas_b_mes12[[#This Row],[TOTAL]]/1.21</f>
        <v>3834.7107438016528</v>
      </c>
      <c r="I476" s="60">
        <f>ventas_b_mes12[[#This Row],[IMPORTE NETO]]*0.21</f>
        <v>805.28925619834706</v>
      </c>
      <c r="J476" s="229"/>
      <c r="K476" s="229"/>
      <c r="L476" s="229">
        <v>4640</v>
      </c>
      <c r="M476" s="55"/>
    </row>
    <row r="477" spans="2:13" x14ac:dyDescent="0.3">
      <c r="B477" s="223" t="s">
        <v>2466</v>
      </c>
      <c r="C477" s="224">
        <v>6</v>
      </c>
      <c r="D477" s="225">
        <v>12</v>
      </c>
      <c r="E477" s="226">
        <v>22384</v>
      </c>
      <c r="F477" s="227"/>
      <c r="G477" s="1" t="str">
        <f>IFERROR(IF(ventas_b_mes12[[#This Row],[CUIT]]="","-",VLOOKUP(ventas_b_mes12[[#This Row],[CUIT]],Lista_CUIT[#All],2,0)),"CUIT NO CARGADO")</f>
        <v>-</v>
      </c>
      <c r="H477" s="96">
        <f>ventas_b_mes12[[#This Row],[TOTAL]]/1.21</f>
        <v>2299.5867768595044</v>
      </c>
      <c r="I477" s="60">
        <f>ventas_b_mes12[[#This Row],[IMPORTE NETO]]*0.21</f>
        <v>482.91322314049592</v>
      </c>
      <c r="J477" s="229"/>
      <c r="K477" s="229"/>
      <c r="L477" s="229">
        <v>2782.5</v>
      </c>
      <c r="M477" s="55"/>
    </row>
    <row r="478" spans="2:13" x14ac:dyDescent="0.3">
      <c r="B478" s="223" t="s">
        <v>2466</v>
      </c>
      <c r="C478" s="224">
        <v>6</v>
      </c>
      <c r="D478" s="225">
        <v>13</v>
      </c>
      <c r="E478" s="226">
        <v>26647</v>
      </c>
      <c r="F478" s="227"/>
      <c r="G478" s="1" t="str">
        <f>IFERROR(IF(ventas_b_mes12[[#This Row],[CUIT]]="","-",VLOOKUP(ventas_b_mes12[[#This Row],[CUIT]],Lista_CUIT[#All],2,0)),"CUIT NO CARGADO")</f>
        <v>-</v>
      </c>
      <c r="H478" s="96">
        <f>ventas_b_mes12[[#This Row],[TOTAL]]/1.21</f>
        <v>15629.768595041323</v>
      </c>
      <c r="I478" s="60">
        <f>ventas_b_mes12[[#This Row],[IMPORTE NETO]]*0.21</f>
        <v>3282.251404958678</v>
      </c>
      <c r="J478" s="229"/>
      <c r="K478" s="229"/>
      <c r="L478" s="229">
        <v>18912.02</v>
      </c>
      <c r="M478" s="55"/>
    </row>
    <row r="479" spans="2:13" x14ac:dyDescent="0.3">
      <c r="B479" s="223" t="s">
        <v>2466</v>
      </c>
      <c r="C479" s="224">
        <v>6</v>
      </c>
      <c r="D479" s="225">
        <v>12</v>
      </c>
      <c r="E479" s="226">
        <v>22389</v>
      </c>
      <c r="F479" s="227"/>
      <c r="G479" s="1" t="str">
        <f>IFERROR(IF(ventas_b_mes12[[#This Row],[CUIT]]="","-",VLOOKUP(ventas_b_mes12[[#This Row],[CUIT]],Lista_CUIT[#All],2,0)),"CUIT NO CARGADO")</f>
        <v>-</v>
      </c>
      <c r="H479" s="96">
        <f>ventas_b_mes12[[#This Row],[TOTAL]]/1.21</f>
        <v>1404.9586776859505</v>
      </c>
      <c r="I479" s="60">
        <f>ventas_b_mes12[[#This Row],[IMPORTE NETO]]*0.21</f>
        <v>295.04132231404958</v>
      </c>
      <c r="J479" s="229"/>
      <c r="K479" s="229"/>
      <c r="L479" s="229">
        <v>1700</v>
      </c>
      <c r="M479" s="55"/>
    </row>
    <row r="480" spans="2:13" x14ac:dyDescent="0.3">
      <c r="B480" s="223" t="s">
        <v>2466</v>
      </c>
      <c r="C480" s="224">
        <v>6</v>
      </c>
      <c r="D480" s="225">
        <v>10</v>
      </c>
      <c r="E480" s="226">
        <v>43725</v>
      </c>
      <c r="F480" s="227"/>
      <c r="G480" s="1" t="str">
        <f>IFERROR(IF(ventas_b_mes12[[#This Row],[CUIT]]="","-",VLOOKUP(ventas_b_mes12[[#This Row],[CUIT]],Lista_CUIT[#All],2,0)),"CUIT NO CARGADO")</f>
        <v>-</v>
      </c>
      <c r="H480" s="96">
        <f>ventas_b_mes12[[#This Row],[TOTAL]]/1.21</f>
        <v>2459.504132231405</v>
      </c>
      <c r="I480" s="60">
        <f>ventas_b_mes12[[#This Row],[IMPORTE NETO]]*0.21</f>
        <v>516.49586776859508</v>
      </c>
      <c r="J480" s="229"/>
      <c r="K480" s="229"/>
      <c r="L480" s="229">
        <v>2976</v>
      </c>
      <c r="M480" s="55"/>
    </row>
    <row r="481" spans="2:13" x14ac:dyDescent="0.3">
      <c r="B481" s="223" t="s">
        <v>2466</v>
      </c>
      <c r="C481" s="224">
        <v>6</v>
      </c>
      <c r="D481" s="225">
        <v>10</v>
      </c>
      <c r="E481" s="226">
        <v>43718</v>
      </c>
      <c r="F481" s="227"/>
      <c r="G481" s="1" t="str">
        <f>IFERROR(IF(ventas_b_mes12[[#This Row],[CUIT]]="","-",VLOOKUP(ventas_b_mes12[[#This Row],[CUIT]],Lista_CUIT[#All],2,0)),"CUIT NO CARGADO")</f>
        <v>-</v>
      </c>
      <c r="H481" s="96">
        <f>ventas_b_mes12[[#This Row],[TOTAL]]/1.21</f>
        <v>4941.8099173553719</v>
      </c>
      <c r="I481" s="60">
        <f>ventas_b_mes12[[#This Row],[IMPORTE NETO]]*0.21</f>
        <v>1037.780082644628</v>
      </c>
      <c r="J481" s="229"/>
      <c r="K481" s="229"/>
      <c r="L481" s="229">
        <v>5979.59</v>
      </c>
      <c r="M481" s="55"/>
    </row>
    <row r="482" spans="2:13" x14ac:dyDescent="0.3">
      <c r="B482" s="223" t="s">
        <v>2466</v>
      </c>
      <c r="C482" s="224">
        <v>6</v>
      </c>
      <c r="D482" s="225">
        <v>10</v>
      </c>
      <c r="E482" s="226">
        <v>43707</v>
      </c>
      <c r="F482" s="227"/>
      <c r="G482" s="1" t="str">
        <f>IFERROR(IF(ventas_b_mes12[[#This Row],[CUIT]]="","-",VLOOKUP(ventas_b_mes12[[#This Row],[CUIT]],Lista_CUIT[#All],2,0)),"CUIT NO CARGADO")</f>
        <v>-</v>
      </c>
      <c r="H482" s="96">
        <f>ventas_b_mes12[[#This Row],[TOTAL]]/1.21</f>
        <v>10181.818181818182</v>
      </c>
      <c r="I482" s="60">
        <f>ventas_b_mes12[[#This Row],[IMPORTE NETO]]*0.21</f>
        <v>2138.181818181818</v>
      </c>
      <c r="J482" s="229"/>
      <c r="K482" s="229"/>
      <c r="L482" s="229">
        <v>12320</v>
      </c>
      <c r="M482" s="55"/>
    </row>
    <row r="483" spans="2:13" x14ac:dyDescent="0.3">
      <c r="B483" s="223" t="s">
        <v>2466</v>
      </c>
      <c r="C483" s="224">
        <v>6</v>
      </c>
      <c r="D483" s="225">
        <v>12</v>
      </c>
      <c r="E483" s="226">
        <v>22393</v>
      </c>
      <c r="F483" s="227"/>
      <c r="G483" s="1" t="str">
        <f>IFERROR(IF(ventas_b_mes12[[#This Row],[CUIT]]="","-",VLOOKUP(ventas_b_mes12[[#This Row],[CUIT]],Lista_CUIT[#All],2,0)),"CUIT NO CARGADO")</f>
        <v>-</v>
      </c>
      <c r="H483" s="96">
        <f>ventas_b_mes12[[#This Row],[TOTAL]]/1.21</f>
        <v>1115.702479338843</v>
      </c>
      <c r="I483" s="60">
        <f>ventas_b_mes12[[#This Row],[IMPORTE NETO]]*0.21</f>
        <v>234.29752066115702</v>
      </c>
      <c r="J483" s="229"/>
      <c r="K483" s="229"/>
      <c r="L483" s="229">
        <v>1350</v>
      </c>
      <c r="M483" s="55"/>
    </row>
    <row r="484" spans="2:13" x14ac:dyDescent="0.3">
      <c r="B484" s="223" t="s">
        <v>2466</v>
      </c>
      <c r="C484" s="224">
        <v>6</v>
      </c>
      <c r="D484" s="225">
        <v>12</v>
      </c>
      <c r="E484" s="226">
        <v>22376</v>
      </c>
      <c r="F484" s="227"/>
      <c r="G484" s="1" t="str">
        <f>IFERROR(IF(ventas_b_mes12[[#This Row],[CUIT]]="","-",VLOOKUP(ventas_b_mes12[[#This Row],[CUIT]],Lista_CUIT[#All],2,0)),"CUIT NO CARGADO")</f>
        <v>-</v>
      </c>
      <c r="H484" s="96">
        <f>ventas_b_mes12[[#This Row],[TOTAL]]/1.21</f>
        <v>925.61983471074382</v>
      </c>
      <c r="I484" s="60">
        <f>ventas_b_mes12[[#This Row],[IMPORTE NETO]]*0.21</f>
        <v>194.38016528925618</v>
      </c>
      <c r="J484" s="229"/>
      <c r="K484" s="229"/>
      <c r="L484" s="229">
        <v>1120</v>
      </c>
      <c r="M484" s="55"/>
    </row>
    <row r="485" spans="2:13" x14ac:dyDescent="0.3">
      <c r="B485" s="223" t="s">
        <v>2466</v>
      </c>
      <c r="C485" s="224">
        <v>6</v>
      </c>
      <c r="D485" s="225">
        <v>11</v>
      </c>
      <c r="E485" s="226">
        <v>29956</v>
      </c>
      <c r="F485" s="227"/>
      <c r="G485" s="1" t="str">
        <f>IFERROR(IF(ventas_b_mes12[[#This Row],[CUIT]]="","-",VLOOKUP(ventas_b_mes12[[#This Row],[CUIT]],Lista_CUIT[#All],2,0)),"CUIT NO CARGADO")</f>
        <v>-</v>
      </c>
      <c r="H485" s="96">
        <f>ventas_b_mes12[[#This Row],[TOTAL]]/1.21</f>
        <v>1719.0082644628101</v>
      </c>
      <c r="I485" s="60">
        <f>ventas_b_mes12[[#This Row],[IMPORTE NETO]]*0.21</f>
        <v>360.9917355371901</v>
      </c>
      <c r="J485" s="229"/>
      <c r="K485" s="229"/>
      <c r="L485" s="229">
        <v>2080</v>
      </c>
      <c r="M485" s="55"/>
    </row>
    <row r="486" spans="2:13" x14ac:dyDescent="0.3">
      <c r="B486" s="223" t="s">
        <v>2466</v>
      </c>
      <c r="C486" s="224">
        <v>6</v>
      </c>
      <c r="D486" s="225">
        <v>12</v>
      </c>
      <c r="E486" s="226">
        <v>22382</v>
      </c>
      <c r="F486" s="227"/>
      <c r="G486" s="1" t="str">
        <f>IFERROR(IF(ventas_b_mes12[[#This Row],[CUIT]]="","-",VLOOKUP(ventas_b_mes12[[#This Row],[CUIT]],Lista_CUIT[#All],2,0)),"CUIT NO CARGADO")</f>
        <v>-</v>
      </c>
      <c r="H486" s="96">
        <f>ventas_b_mes12[[#This Row],[TOTAL]]/1.21</f>
        <v>629.20661157024801</v>
      </c>
      <c r="I486" s="60">
        <f>ventas_b_mes12[[#This Row],[IMPORTE NETO]]*0.21</f>
        <v>132.13338842975207</v>
      </c>
      <c r="J486" s="229"/>
      <c r="K486" s="229"/>
      <c r="L486" s="229">
        <v>761.34</v>
      </c>
      <c r="M486" s="55"/>
    </row>
    <row r="487" spans="2:13" x14ac:dyDescent="0.3">
      <c r="B487" s="223" t="s">
        <v>2466</v>
      </c>
      <c r="C487" s="224">
        <v>6</v>
      </c>
      <c r="D487" s="225">
        <v>11</v>
      </c>
      <c r="E487" s="226">
        <v>29962</v>
      </c>
      <c r="F487" s="227"/>
      <c r="G487" s="1" t="str">
        <f>IFERROR(IF(ventas_b_mes12[[#This Row],[CUIT]]="","-",VLOOKUP(ventas_b_mes12[[#This Row],[CUIT]],Lista_CUIT[#All],2,0)),"CUIT NO CARGADO")</f>
        <v>-</v>
      </c>
      <c r="H487" s="96">
        <f>ventas_b_mes12[[#This Row],[TOTAL]]/1.21</f>
        <v>7603.3057851239673</v>
      </c>
      <c r="I487" s="60">
        <f>ventas_b_mes12[[#This Row],[IMPORTE NETO]]*0.21</f>
        <v>1596.6942148760331</v>
      </c>
      <c r="J487" s="229"/>
      <c r="K487" s="229"/>
      <c r="L487" s="229">
        <v>9200</v>
      </c>
      <c r="M487" s="55"/>
    </row>
    <row r="488" spans="2:13" x14ac:dyDescent="0.3">
      <c r="B488" s="223" t="s">
        <v>2466</v>
      </c>
      <c r="C488" s="224">
        <v>6</v>
      </c>
      <c r="D488" s="225">
        <v>12</v>
      </c>
      <c r="E488" s="226">
        <v>22383</v>
      </c>
      <c r="F488" s="227"/>
      <c r="G488" s="1" t="str">
        <f>IFERROR(IF(ventas_b_mes12[[#This Row],[CUIT]]="","-",VLOOKUP(ventas_b_mes12[[#This Row],[CUIT]],Lista_CUIT[#All],2,0)),"CUIT NO CARGADO")</f>
        <v>-</v>
      </c>
      <c r="H488" s="96">
        <f>ventas_b_mes12[[#This Row],[TOTAL]]/1.21</f>
        <v>5925.6198347107438</v>
      </c>
      <c r="I488" s="60">
        <f>ventas_b_mes12[[#This Row],[IMPORTE NETO]]*0.21</f>
        <v>1244.3801652892562</v>
      </c>
      <c r="J488" s="229"/>
      <c r="K488" s="229"/>
      <c r="L488" s="229">
        <v>7170</v>
      </c>
      <c r="M488" s="55"/>
    </row>
    <row r="489" spans="2:13" x14ac:dyDescent="0.3">
      <c r="B489" s="223" t="s">
        <v>2466</v>
      </c>
      <c r="C489" s="224">
        <v>6</v>
      </c>
      <c r="D489" s="225">
        <v>10</v>
      </c>
      <c r="E489" s="226">
        <v>43733</v>
      </c>
      <c r="F489" s="227"/>
      <c r="G489" s="1" t="str">
        <f>IFERROR(IF(ventas_b_mes12[[#This Row],[CUIT]]="","-",VLOOKUP(ventas_b_mes12[[#This Row],[CUIT]],Lista_CUIT[#All],2,0)),"CUIT NO CARGADO")</f>
        <v>-</v>
      </c>
      <c r="H489" s="96">
        <f>ventas_b_mes12[[#This Row],[TOTAL]]/1.21</f>
        <v>2705.9504132231405</v>
      </c>
      <c r="I489" s="60">
        <f>ventas_b_mes12[[#This Row],[IMPORTE NETO]]*0.21</f>
        <v>568.24958677685947</v>
      </c>
      <c r="J489" s="229"/>
      <c r="K489" s="229"/>
      <c r="L489" s="229">
        <v>3274.2</v>
      </c>
      <c r="M489" s="55"/>
    </row>
    <row r="490" spans="2:13" x14ac:dyDescent="0.3">
      <c r="B490" s="223" t="s">
        <v>2466</v>
      </c>
      <c r="C490" s="224">
        <v>6</v>
      </c>
      <c r="D490" s="225">
        <v>12</v>
      </c>
      <c r="E490" s="226">
        <v>22387</v>
      </c>
      <c r="F490" s="227"/>
      <c r="G490" s="1" t="str">
        <f>IFERROR(IF(ventas_b_mes12[[#This Row],[CUIT]]="","-",VLOOKUP(ventas_b_mes12[[#This Row],[CUIT]],Lista_CUIT[#All],2,0)),"CUIT NO CARGADO")</f>
        <v>-</v>
      </c>
      <c r="H490" s="96">
        <f>ventas_b_mes12[[#This Row],[TOTAL]]/1.21</f>
        <v>9504.1322314049594</v>
      </c>
      <c r="I490" s="60">
        <f>ventas_b_mes12[[#This Row],[IMPORTE NETO]]*0.21</f>
        <v>1995.8677685950413</v>
      </c>
      <c r="J490" s="229"/>
      <c r="K490" s="229"/>
      <c r="L490" s="229">
        <v>11500</v>
      </c>
      <c r="M490" s="55"/>
    </row>
    <row r="491" spans="2:13" x14ac:dyDescent="0.3">
      <c r="B491" s="223" t="s">
        <v>2466</v>
      </c>
      <c r="C491" s="224">
        <v>6</v>
      </c>
      <c r="D491" s="225">
        <v>12</v>
      </c>
      <c r="E491" s="226">
        <v>22378</v>
      </c>
      <c r="F491" s="227"/>
      <c r="G491" s="1" t="str">
        <f>IFERROR(IF(ventas_b_mes12[[#This Row],[CUIT]]="","-",VLOOKUP(ventas_b_mes12[[#This Row],[CUIT]],Lista_CUIT[#All],2,0)),"CUIT NO CARGADO")</f>
        <v>-</v>
      </c>
      <c r="H491" s="96">
        <f>ventas_b_mes12[[#This Row],[TOTAL]]/1.21</f>
        <v>2404.9586776859505</v>
      </c>
      <c r="I491" s="60">
        <f>ventas_b_mes12[[#This Row],[IMPORTE NETO]]*0.21</f>
        <v>505.04132231404958</v>
      </c>
      <c r="J491" s="229"/>
      <c r="K491" s="229"/>
      <c r="L491" s="229">
        <v>2910</v>
      </c>
      <c r="M491" s="55"/>
    </row>
    <row r="492" spans="2:13" x14ac:dyDescent="0.3">
      <c r="B492" s="223" t="s">
        <v>2466</v>
      </c>
      <c r="C492" s="224">
        <v>6</v>
      </c>
      <c r="D492" s="225">
        <v>15</v>
      </c>
      <c r="E492" s="226">
        <v>7128</v>
      </c>
      <c r="F492" s="227"/>
      <c r="G492" s="1" t="str">
        <f>IFERROR(IF(ventas_b_mes12[[#This Row],[CUIT]]="","-",VLOOKUP(ventas_b_mes12[[#This Row],[CUIT]],Lista_CUIT[#All],2,0)),"CUIT NO CARGADO")</f>
        <v>-</v>
      </c>
      <c r="H492" s="96">
        <f>ventas_b_mes12[[#This Row],[TOTAL]]/1.21</f>
        <v>2148.7603305785124</v>
      </c>
      <c r="I492" s="60">
        <f>ventas_b_mes12[[#This Row],[IMPORTE NETO]]*0.21</f>
        <v>451.23966942148758</v>
      </c>
      <c r="J492" s="229"/>
      <c r="K492" s="229"/>
      <c r="L492" s="229">
        <v>2600</v>
      </c>
      <c r="M492" s="55"/>
    </row>
    <row r="493" spans="2:13" x14ac:dyDescent="0.3">
      <c r="B493" s="223" t="s">
        <v>2466</v>
      </c>
      <c r="C493" s="224">
        <v>6</v>
      </c>
      <c r="D493" s="225">
        <v>10</v>
      </c>
      <c r="E493" s="226">
        <v>43706</v>
      </c>
      <c r="F493" s="227"/>
      <c r="G493" s="1" t="str">
        <f>IFERROR(IF(ventas_b_mes12[[#This Row],[CUIT]]="","-",VLOOKUP(ventas_b_mes12[[#This Row],[CUIT]],Lista_CUIT[#All],2,0)),"CUIT NO CARGADO")</f>
        <v>-</v>
      </c>
      <c r="H493" s="96">
        <f>ventas_b_mes12[[#This Row],[TOTAL]]/1.21</f>
        <v>43272.396694214876</v>
      </c>
      <c r="I493" s="60">
        <f>ventas_b_mes12[[#This Row],[IMPORTE NETO]]*0.21</f>
        <v>9087.203305785124</v>
      </c>
      <c r="J493" s="229"/>
      <c r="K493" s="229"/>
      <c r="L493" s="229">
        <v>52359.6</v>
      </c>
      <c r="M493" s="55"/>
    </row>
    <row r="494" spans="2:13" x14ac:dyDescent="0.3">
      <c r="B494" s="223" t="s">
        <v>2466</v>
      </c>
      <c r="C494" s="224">
        <v>6</v>
      </c>
      <c r="D494" s="225">
        <v>10</v>
      </c>
      <c r="E494" s="226">
        <v>43727</v>
      </c>
      <c r="F494" s="227"/>
      <c r="G494" s="1" t="str">
        <f>IFERROR(IF(ventas_b_mes12[[#This Row],[CUIT]]="","-",VLOOKUP(ventas_b_mes12[[#This Row],[CUIT]],Lista_CUIT[#All],2,0)),"CUIT NO CARGADO")</f>
        <v>-</v>
      </c>
      <c r="H494" s="96">
        <f>ventas_b_mes12[[#This Row],[TOTAL]]/1.21</f>
        <v>1028.9256198347107</v>
      </c>
      <c r="I494" s="60">
        <f>ventas_b_mes12[[#This Row],[IMPORTE NETO]]*0.21</f>
        <v>216.07438016528923</v>
      </c>
      <c r="J494" s="229"/>
      <c r="K494" s="229"/>
      <c r="L494" s="229">
        <v>1245</v>
      </c>
      <c r="M494" s="55"/>
    </row>
    <row r="495" spans="2:13" x14ac:dyDescent="0.3">
      <c r="B495" s="223" t="s">
        <v>2466</v>
      </c>
      <c r="C495" s="224">
        <v>6</v>
      </c>
      <c r="D495" s="225">
        <v>11</v>
      </c>
      <c r="E495" s="226">
        <v>29952</v>
      </c>
      <c r="F495" s="227"/>
      <c r="G495" s="1" t="str">
        <f>IFERROR(IF(ventas_b_mes12[[#This Row],[CUIT]]="","-",VLOOKUP(ventas_b_mes12[[#This Row],[CUIT]],Lista_CUIT[#All],2,0)),"CUIT NO CARGADO")</f>
        <v>-</v>
      </c>
      <c r="H495" s="96">
        <f>ventas_b_mes12[[#This Row],[TOTAL]]/1.21</f>
        <v>642.33057851239676</v>
      </c>
      <c r="I495" s="60">
        <f>ventas_b_mes12[[#This Row],[IMPORTE NETO]]*0.21</f>
        <v>134.8894214876033</v>
      </c>
      <c r="J495" s="229"/>
      <c r="K495" s="229"/>
      <c r="L495" s="229">
        <v>777.22</v>
      </c>
      <c r="M495" s="55"/>
    </row>
    <row r="496" spans="2:13" x14ac:dyDescent="0.3">
      <c r="B496" s="223" t="s">
        <v>2466</v>
      </c>
      <c r="C496" s="224">
        <v>6</v>
      </c>
      <c r="D496" s="225">
        <v>15</v>
      </c>
      <c r="E496" s="226">
        <v>7129</v>
      </c>
      <c r="F496" s="227"/>
      <c r="G496" s="1" t="str">
        <f>IFERROR(IF(ventas_b_mes12[[#This Row],[CUIT]]="","-",VLOOKUP(ventas_b_mes12[[#This Row],[CUIT]],Lista_CUIT[#All],2,0)),"CUIT NO CARGADO")</f>
        <v>-</v>
      </c>
      <c r="H496" s="96">
        <f>ventas_b_mes12[[#This Row],[TOTAL]]/1.21</f>
        <v>3768.595041322314</v>
      </c>
      <c r="I496" s="60">
        <f>ventas_b_mes12[[#This Row],[IMPORTE NETO]]*0.21</f>
        <v>791.40495867768595</v>
      </c>
      <c r="J496" s="229"/>
      <c r="K496" s="229"/>
      <c r="L496" s="229">
        <v>4560</v>
      </c>
      <c r="M496" s="55"/>
    </row>
    <row r="497" spans="2:13" x14ac:dyDescent="0.3">
      <c r="B497" s="223" t="s">
        <v>2466</v>
      </c>
      <c r="C497" s="224">
        <v>6</v>
      </c>
      <c r="D497" s="225">
        <v>13</v>
      </c>
      <c r="E497" s="226">
        <v>26648</v>
      </c>
      <c r="F497" s="227"/>
      <c r="G497" s="1" t="str">
        <f>IFERROR(IF(ventas_b_mes12[[#This Row],[CUIT]]="","-",VLOOKUP(ventas_b_mes12[[#This Row],[CUIT]],Lista_CUIT[#All],2,0)),"CUIT NO CARGADO")</f>
        <v>-</v>
      </c>
      <c r="H497" s="96">
        <f>ventas_b_mes12[[#This Row],[TOTAL]]/1.21</f>
        <v>3338.8429752066118</v>
      </c>
      <c r="I497" s="60">
        <f>ventas_b_mes12[[#This Row],[IMPORTE NETO]]*0.21</f>
        <v>701.15702479338847</v>
      </c>
      <c r="J497" s="229"/>
      <c r="K497" s="229"/>
      <c r="L497" s="229">
        <v>4040</v>
      </c>
      <c r="M497" s="55"/>
    </row>
    <row r="498" spans="2:13" x14ac:dyDescent="0.3">
      <c r="B498" s="223" t="s">
        <v>2466</v>
      </c>
      <c r="C498" s="224">
        <v>6</v>
      </c>
      <c r="D498" s="225">
        <v>10</v>
      </c>
      <c r="E498" s="226">
        <v>43715</v>
      </c>
      <c r="F498" s="227"/>
      <c r="G498" s="1" t="str">
        <f>IFERROR(IF(ventas_b_mes12[[#This Row],[CUIT]]="","-",VLOOKUP(ventas_b_mes12[[#This Row],[CUIT]],Lista_CUIT[#All],2,0)),"CUIT NO CARGADO")</f>
        <v>-</v>
      </c>
      <c r="H498" s="96">
        <f>ventas_b_mes12[[#This Row],[TOTAL]]/1.21</f>
        <v>2412.3966942148759</v>
      </c>
      <c r="I498" s="60">
        <f>ventas_b_mes12[[#This Row],[IMPORTE NETO]]*0.21</f>
        <v>506.60330578512389</v>
      </c>
      <c r="J498" s="229"/>
      <c r="K498" s="229"/>
      <c r="L498" s="229">
        <v>2919</v>
      </c>
      <c r="M498" s="55"/>
    </row>
    <row r="499" spans="2:13" x14ac:dyDescent="0.3">
      <c r="B499" s="223" t="s">
        <v>2466</v>
      </c>
      <c r="C499" s="224">
        <v>6</v>
      </c>
      <c r="D499" s="225">
        <v>13</v>
      </c>
      <c r="E499" s="226">
        <v>26637</v>
      </c>
      <c r="F499" s="227"/>
      <c r="G499" s="1" t="str">
        <f>IFERROR(IF(ventas_b_mes12[[#This Row],[CUIT]]="","-",VLOOKUP(ventas_b_mes12[[#This Row],[CUIT]],Lista_CUIT[#All],2,0)),"CUIT NO CARGADO")</f>
        <v>-</v>
      </c>
      <c r="H499" s="96">
        <f>ventas_b_mes12[[#This Row],[TOTAL]]/1.21</f>
        <v>3719.0082644628101</v>
      </c>
      <c r="I499" s="60">
        <f>ventas_b_mes12[[#This Row],[IMPORTE NETO]]*0.21</f>
        <v>780.99173553719004</v>
      </c>
      <c r="J499" s="229"/>
      <c r="K499" s="229"/>
      <c r="L499" s="229">
        <v>4500</v>
      </c>
      <c r="M499" s="55"/>
    </row>
    <row r="500" spans="2:13" x14ac:dyDescent="0.3">
      <c r="B500" s="223" t="s">
        <v>2466</v>
      </c>
      <c r="C500" s="224">
        <v>6</v>
      </c>
      <c r="D500" s="225">
        <v>11</v>
      </c>
      <c r="E500" s="226">
        <v>29959</v>
      </c>
      <c r="F500" s="227"/>
      <c r="G500" s="1" t="str">
        <f>IFERROR(IF(ventas_b_mes12[[#This Row],[CUIT]]="","-",VLOOKUP(ventas_b_mes12[[#This Row],[CUIT]],Lista_CUIT[#All],2,0)),"CUIT NO CARGADO")</f>
        <v>-</v>
      </c>
      <c r="H500" s="96">
        <f>ventas_b_mes12[[#This Row],[TOTAL]]/1.21</f>
        <v>5636.371900826447</v>
      </c>
      <c r="I500" s="60">
        <f>ventas_b_mes12[[#This Row],[IMPORTE NETO]]*0.21</f>
        <v>1183.6380991735539</v>
      </c>
      <c r="J500" s="229"/>
      <c r="K500" s="229"/>
      <c r="L500" s="229">
        <v>6820.01</v>
      </c>
      <c r="M500" s="55"/>
    </row>
    <row r="501" spans="2:13" x14ac:dyDescent="0.3">
      <c r="B501" s="223" t="s">
        <v>2466</v>
      </c>
      <c r="C501" s="224">
        <v>6</v>
      </c>
      <c r="D501" s="225">
        <v>13</v>
      </c>
      <c r="E501" s="226">
        <v>26653</v>
      </c>
      <c r="F501" s="227"/>
      <c r="G501" s="1" t="str">
        <f>IFERROR(IF(ventas_b_mes12[[#This Row],[CUIT]]="","-",VLOOKUP(ventas_b_mes12[[#This Row],[CUIT]],Lista_CUIT[#All],2,0)),"CUIT NO CARGADO")</f>
        <v>-</v>
      </c>
      <c r="H501" s="96">
        <f>ventas_b_mes12[[#This Row],[TOTAL]]/1.21</f>
        <v>2438.0165289256197</v>
      </c>
      <c r="I501" s="60">
        <f>ventas_b_mes12[[#This Row],[IMPORTE NETO]]*0.21</f>
        <v>511.98347107438013</v>
      </c>
      <c r="J501" s="229"/>
      <c r="K501" s="229"/>
      <c r="L501" s="229">
        <v>2950</v>
      </c>
      <c r="M501" s="55"/>
    </row>
    <row r="502" spans="2:13" x14ac:dyDescent="0.3">
      <c r="B502" s="223" t="s">
        <v>2466</v>
      </c>
      <c r="C502" s="224">
        <v>6</v>
      </c>
      <c r="D502" s="225">
        <v>13</v>
      </c>
      <c r="E502" s="226">
        <v>26645</v>
      </c>
      <c r="F502" s="227"/>
      <c r="G502" s="1" t="str">
        <f>IFERROR(IF(ventas_b_mes12[[#This Row],[CUIT]]="","-",VLOOKUP(ventas_b_mes12[[#This Row],[CUIT]],Lista_CUIT[#All],2,0)),"CUIT NO CARGADO")</f>
        <v>-</v>
      </c>
      <c r="H502" s="96">
        <f>ventas_b_mes12[[#This Row],[TOTAL]]/1.21</f>
        <v>7272.727272727273</v>
      </c>
      <c r="I502" s="60">
        <f>ventas_b_mes12[[#This Row],[IMPORTE NETO]]*0.21</f>
        <v>1527.2727272727273</v>
      </c>
      <c r="J502" s="229"/>
      <c r="K502" s="229"/>
      <c r="L502" s="229">
        <v>8800</v>
      </c>
      <c r="M502" s="55"/>
    </row>
    <row r="503" spans="2:13" x14ac:dyDescent="0.3">
      <c r="B503" s="223" t="s">
        <v>2466</v>
      </c>
      <c r="C503" s="224">
        <v>6</v>
      </c>
      <c r="D503" s="225">
        <v>12</v>
      </c>
      <c r="E503" s="226">
        <v>22380</v>
      </c>
      <c r="F503" s="227"/>
      <c r="G503" s="1" t="str">
        <f>IFERROR(IF(ventas_b_mes12[[#This Row],[CUIT]]="","-",VLOOKUP(ventas_b_mes12[[#This Row],[CUIT]],Lista_CUIT[#All],2,0)),"CUIT NO CARGADO")</f>
        <v>-</v>
      </c>
      <c r="H503" s="96">
        <f>ventas_b_mes12[[#This Row],[TOTAL]]/1.21</f>
        <v>3239.6611570247933</v>
      </c>
      <c r="I503" s="60">
        <f>ventas_b_mes12[[#This Row],[IMPORTE NETO]]*0.21</f>
        <v>680.32884297520661</v>
      </c>
      <c r="J503" s="229"/>
      <c r="K503" s="229"/>
      <c r="L503" s="229">
        <v>3919.99</v>
      </c>
      <c r="M503" s="55"/>
    </row>
    <row r="504" spans="2:13" x14ac:dyDescent="0.3">
      <c r="B504" s="223" t="s">
        <v>2466</v>
      </c>
      <c r="C504" s="224">
        <v>6</v>
      </c>
      <c r="D504" s="225">
        <v>13</v>
      </c>
      <c r="E504" s="226">
        <v>26651</v>
      </c>
      <c r="F504" s="227"/>
      <c r="G504" s="1" t="str">
        <f>IFERROR(IF(ventas_b_mes12[[#This Row],[CUIT]]="","-",VLOOKUP(ventas_b_mes12[[#This Row],[CUIT]],Lista_CUIT[#All],2,0)),"CUIT NO CARGADO")</f>
        <v>-</v>
      </c>
      <c r="H504" s="96">
        <f>ventas_b_mes12[[#This Row],[TOTAL]]/1.21</f>
        <v>8165.2892561983472</v>
      </c>
      <c r="I504" s="60">
        <f>ventas_b_mes12[[#This Row],[IMPORTE NETO]]*0.21</f>
        <v>1714.7107438016528</v>
      </c>
      <c r="J504" s="229"/>
      <c r="K504" s="229"/>
      <c r="L504" s="229">
        <v>9880</v>
      </c>
      <c r="M504" s="55"/>
    </row>
    <row r="505" spans="2:13" x14ac:dyDescent="0.3">
      <c r="B505" s="223" t="s">
        <v>2466</v>
      </c>
      <c r="C505" s="224">
        <v>6</v>
      </c>
      <c r="D505" s="225">
        <v>13</v>
      </c>
      <c r="E505" s="226">
        <v>26641</v>
      </c>
      <c r="F505" s="227"/>
      <c r="G505" s="1" t="str">
        <f>IFERROR(IF(ventas_b_mes12[[#This Row],[CUIT]]="","-",VLOOKUP(ventas_b_mes12[[#This Row],[CUIT]],Lista_CUIT[#All],2,0)),"CUIT NO CARGADO")</f>
        <v>-</v>
      </c>
      <c r="H505" s="96">
        <f>ventas_b_mes12[[#This Row],[TOTAL]]/1.21</f>
        <v>3442.1487603305786</v>
      </c>
      <c r="I505" s="60">
        <f>ventas_b_mes12[[#This Row],[IMPORTE NETO]]*0.21</f>
        <v>722.85123966942149</v>
      </c>
      <c r="J505" s="229"/>
      <c r="K505" s="229"/>
      <c r="L505" s="229">
        <v>4165</v>
      </c>
      <c r="M505" s="55"/>
    </row>
    <row r="506" spans="2:13" x14ac:dyDescent="0.3">
      <c r="B506" s="223" t="s">
        <v>2466</v>
      </c>
      <c r="C506" s="224">
        <v>6</v>
      </c>
      <c r="D506" s="225">
        <v>10</v>
      </c>
      <c r="E506" s="226">
        <v>43719</v>
      </c>
      <c r="F506" s="227"/>
      <c r="G506" s="1" t="str">
        <f>IFERROR(IF(ventas_b_mes12[[#This Row],[CUIT]]="","-",VLOOKUP(ventas_b_mes12[[#This Row],[CUIT]],Lista_CUIT[#All],2,0)),"CUIT NO CARGADO")</f>
        <v>-</v>
      </c>
      <c r="H506" s="96">
        <f>ventas_b_mes12[[#This Row],[TOTAL]]/1.21</f>
        <v>13606.611570247935</v>
      </c>
      <c r="I506" s="60">
        <f>ventas_b_mes12[[#This Row],[IMPORTE NETO]]*0.21</f>
        <v>2857.3884297520663</v>
      </c>
      <c r="J506" s="229"/>
      <c r="K506" s="229"/>
      <c r="L506" s="229">
        <v>16464</v>
      </c>
      <c r="M506" s="55"/>
    </row>
    <row r="507" spans="2:13" x14ac:dyDescent="0.3">
      <c r="B507" s="223" t="s">
        <v>2466</v>
      </c>
      <c r="C507" s="224">
        <v>6</v>
      </c>
      <c r="D507" s="225">
        <v>12</v>
      </c>
      <c r="E507" s="226">
        <v>22395</v>
      </c>
      <c r="F507" s="227"/>
      <c r="G507" s="1" t="str">
        <f>IFERROR(IF(ventas_b_mes12[[#This Row],[CUIT]]="","-",VLOOKUP(ventas_b_mes12[[#This Row],[CUIT]],Lista_CUIT[#All],2,0)),"CUIT NO CARGADO")</f>
        <v>-</v>
      </c>
      <c r="H507" s="96">
        <f>ventas_b_mes12[[#This Row],[TOTAL]]/1.21</f>
        <v>3367.7685950413224</v>
      </c>
      <c r="I507" s="60">
        <f>ventas_b_mes12[[#This Row],[IMPORTE NETO]]*0.21</f>
        <v>707.23140495867767</v>
      </c>
      <c r="J507" s="229"/>
      <c r="K507" s="229"/>
      <c r="L507" s="229">
        <v>4075</v>
      </c>
      <c r="M507" s="55"/>
    </row>
    <row r="508" spans="2:13" x14ac:dyDescent="0.3">
      <c r="B508" s="223" t="s">
        <v>2466</v>
      </c>
      <c r="C508" s="224">
        <v>6</v>
      </c>
      <c r="D508" s="225">
        <v>10</v>
      </c>
      <c r="E508" s="226">
        <v>43708</v>
      </c>
      <c r="F508" s="227"/>
      <c r="G508" s="1" t="str">
        <f>IFERROR(IF(ventas_b_mes12[[#This Row],[CUIT]]="","-",VLOOKUP(ventas_b_mes12[[#This Row],[CUIT]],Lista_CUIT[#All],2,0)),"CUIT NO CARGADO")</f>
        <v>-</v>
      </c>
      <c r="H508" s="96">
        <f>ventas_b_mes12[[#This Row],[TOTAL]]/1.21</f>
        <v>8926.446280991735</v>
      </c>
      <c r="I508" s="60">
        <f>ventas_b_mes12[[#This Row],[IMPORTE NETO]]*0.21</f>
        <v>1874.5537190082644</v>
      </c>
      <c r="J508" s="229"/>
      <c r="K508" s="229"/>
      <c r="L508" s="229">
        <v>10801</v>
      </c>
      <c r="M508" s="55"/>
    </row>
    <row r="509" spans="2:13" x14ac:dyDescent="0.3">
      <c r="B509" s="223" t="s">
        <v>2466</v>
      </c>
      <c r="C509" s="224">
        <v>6</v>
      </c>
      <c r="D509" s="225">
        <v>12</v>
      </c>
      <c r="E509" s="226">
        <v>22392</v>
      </c>
      <c r="F509" s="227"/>
      <c r="G509" s="1" t="str">
        <f>IFERROR(IF(ventas_b_mes12[[#This Row],[CUIT]]="","-",VLOOKUP(ventas_b_mes12[[#This Row],[CUIT]],Lista_CUIT[#All],2,0)),"CUIT NO CARGADO")</f>
        <v>-</v>
      </c>
      <c r="H509" s="96">
        <f>ventas_b_mes12[[#This Row],[TOTAL]]/1.21</f>
        <v>11369.834710743802</v>
      </c>
      <c r="I509" s="60">
        <f>ventas_b_mes12[[#This Row],[IMPORTE NETO]]*0.21</f>
        <v>2387.6652892561983</v>
      </c>
      <c r="J509" s="229"/>
      <c r="K509" s="229"/>
      <c r="L509" s="229">
        <v>13757.5</v>
      </c>
      <c r="M509" s="55"/>
    </row>
    <row r="510" spans="2:13" x14ac:dyDescent="0.3">
      <c r="B510" s="223" t="s">
        <v>2467</v>
      </c>
      <c r="C510" s="224">
        <v>6</v>
      </c>
      <c r="D510" s="225">
        <v>10</v>
      </c>
      <c r="E510" s="226">
        <v>43742</v>
      </c>
      <c r="F510" s="227"/>
      <c r="G510" s="1" t="str">
        <f>IFERROR(IF(ventas_b_mes12[[#This Row],[CUIT]]="","-",VLOOKUP(ventas_b_mes12[[#This Row],[CUIT]],Lista_CUIT[#All],2,0)),"CUIT NO CARGADO")</f>
        <v>-</v>
      </c>
      <c r="H510" s="96">
        <f>ventas_b_mes12[[#This Row],[TOTAL]]/1.21</f>
        <v>4545.454545454546</v>
      </c>
      <c r="I510" s="60">
        <f>ventas_b_mes12[[#This Row],[IMPORTE NETO]]*0.21</f>
        <v>954.54545454545462</v>
      </c>
      <c r="J510" s="229"/>
      <c r="K510" s="229"/>
      <c r="L510" s="229">
        <v>5500</v>
      </c>
      <c r="M510" s="55"/>
    </row>
    <row r="511" spans="2:13" x14ac:dyDescent="0.3">
      <c r="B511" s="223" t="s">
        <v>2467</v>
      </c>
      <c r="C511" s="224">
        <v>6</v>
      </c>
      <c r="D511" s="225">
        <v>10</v>
      </c>
      <c r="E511" s="226">
        <v>43741</v>
      </c>
      <c r="F511" s="227"/>
      <c r="G511" s="1" t="str">
        <f>IFERROR(IF(ventas_b_mes12[[#This Row],[CUIT]]="","-",VLOOKUP(ventas_b_mes12[[#This Row],[CUIT]],Lista_CUIT[#All],2,0)),"CUIT NO CARGADO")</f>
        <v>-</v>
      </c>
      <c r="H511" s="96">
        <f>ventas_b_mes12[[#This Row],[TOTAL]]/1.21</f>
        <v>1289.2561983471076</v>
      </c>
      <c r="I511" s="60">
        <f>ventas_b_mes12[[#This Row],[IMPORTE NETO]]*0.21</f>
        <v>270.74380165289256</v>
      </c>
      <c r="J511" s="229"/>
      <c r="K511" s="229"/>
      <c r="L511" s="229">
        <v>1560</v>
      </c>
      <c r="M511" s="55"/>
    </row>
    <row r="512" spans="2:13" x14ac:dyDescent="0.3">
      <c r="B512" s="223" t="s">
        <v>2467</v>
      </c>
      <c r="C512" s="224">
        <v>6</v>
      </c>
      <c r="D512" s="225">
        <v>11</v>
      </c>
      <c r="E512" s="226">
        <v>29990</v>
      </c>
      <c r="F512" s="227"/>
      <c r="G512" s="1" t="str">
        <f>IFERROR(IF(ventas_b_mes12[[#This Row],[CUIT]]="","-",VLOOKUP(ventas_b_mes12[[#This Row],[CUIT]],Lista_CUIT[#All],2,0)),"CUIT NO CARGADO")</f>
        <v>-</v>
      </c>
      <c r="H512" s="96">
        <f>ventas_b_mes12[[#This Row],[TOTAL]]/1.21</f>
        <v>3054.5454545454545</v>
      </c>
      <c r="I512" s="60">
        <f>ventas_b_mes12[[#This Row],[IMPORTE NETO]]*0.21</f>
        <v>641.45454545454538</v>
      </c>
      <c r="J512" s="229"/>
      <c r="K512" s="229"/>
      <c r="L512" s="229">
        <v>3696</v>
      </c>
      <c r="M512" s="55"/>
    </row>
    <row r="513" spans="2:13" x14ac:dyDescent="0.3">
      <c r="B513" s="36" t="s">
        <v>2467</v>
      </c>
      <c r="C513" s="224">
        <v>6</v>
      </c>
      <c r="D513" s="38">
        <v>11</v>
      </c>
      <c r="E513" s="39">
        <v>29991</v>
      </c>
      <c r="F513" s="109"/>
      <c r="G513" s="1" t="str">
        <f>IFERROR(IF(ventas_b_mes12[[#This Row],[CUIT]]="","-",VLOOKUP(ventas_b_mes12[[#This Row],[CUIT]],Lista_CUIT[#All],2,0)),"CUIT NO CARGADO")</f>
        <v>-</v>
      </c>
      <c r="H513" s="96">
        <f>ventas_b_mes12[[#This Row],[TOTAL]]/1.21</f>
        <v>1561.9834710743803</v>
      </c>
      <c r="I513" s="60">
        <f>ventas_b_mes12[[#This Row],[IMPORTE NETO]]*0.21</f>
        <v>328.01652892561987</v>
      </c>
      <c r="J513" s="60"/>
      <c r="K513" s="60"/>
      <c r="L513" s="60">
        <v>1890</v>
      </c>
      <c r="M513" s="55"/>
    </row>
    <row r="514" spans="2:13" x14ac:dyDescent="0.3">
      <c r="B514" s="36" t="s">
        <v>2467</v>
      </c>
      <c r="C514" s="224">
        <v>6</v>
      </c>
      <c r="D514" s="38">
        <v>15</v>
      </c>
      <c r="E514" s="39">
        <v>7153</v>
      </c>
      <c r="F514" s="109"/>
      <c r="G514" s="1" t="str">
        <f>IFERROR(IF(ventas_b_mes12[[#This Row],[CUIT]]="","-",VLOOKUP(ventas_b_mes12[[#This Row],[CUIT]],Lista_CUIT[#All],2,0)),"CUIT NO CARGADO")</f>
        <v>-</v>
      </c>
      <c r="H514" s="96">
        <f>ventas_b_mes12[[#This Row],[TOTAL]]/1.21</f>
        <v>6765.0909090909099</v>
      </c>
      <c r="I514" s="60">
        <f>ventas_b_mes12[[#This Row],[IMPORTE NETO]]*0.21</f>
        <v>1420.669090909091</v>
      </c>
      <c r="J514" s="60"/>
      <c r="K514" s="60"/>
      <c r="L514" s="60">
        <v>8185.76</v>
      </c>
      <c r="M514" s="55"/>
    </row>
    <row r="515" spans="2:13" x14ac:dyDescent="0.3">
      <c r="B515" s="36" t="s">
        <v>2467</v>
      </c>
      <c r="C515" s="224">
        <v>6</v>
      </c>
      <c r="D515" s="38">
        <v>15</v>
      </c>
      <c r="E515" s="39">
        <v>7157</v>
      </c>
      <c r="F515" s="109"/>
      <c r="G515" s="1" t="str">
        <f>IFERROR(IF(ventas_b_mes12[[#This Row],[CUIT]]="","-",VLOOKUP(ventas_b_mes12[[#This Row],[CUIT]],Lista_CUIT[#All],2,0)),"CUIT NO CARGADO")</f>
        <v>-</v>
      </c>
      <c r="H515" s="96">
        <f>ventas_b_mes12[[#This Row],[TOTAL]]/1.21</f>
        <v>3239.6694214876034</v>
      </c>
      <c r="I515" s="60">
        <f>ventas_b_mes12[[#This Row],[IMPORTE NETO]]*0.21</f>
        <v>680.33057851239664</v>
      </c>
      <c r="J515" s="60"/>
      <c r="K515" s="60"/>
      <c r="L515" s="60">
        <v>3920</v>
      </c>
      <c r="M515" s="55"/>
    </row>
    <row r="516" spans="2:13" x14ac:dyDescent="0.3">
      <c r="B516" s="36" t="s">
        <v>2467</v>
      </c>
      <c r="C516" s="224">
        <v>6</v>
      </c>
      <c r="D516" s="38">
        <v>15</v>
      </c>
      <c r="E516" s="39">
        <v>7160</v>
      </c>
      <c r="F516" s="109"/>
      <c r="G516" s="1" t="str">
        <f>IFERROR(IF(ventas_b_mes12[[#This Row],[CUIT]]="","-",VLOOKUP(ventas_b_mes12[[#This Row],[CUIT]],Lista_CUIT[#All],2,0)),"CUIT NO CARGADO")</f>
        <v>-</v>
      </c>
      <c r="H516" s="96">
        <f>ventas_b_mes12[[#This Row],[TOTAL]]/1.21</f>
        <v>8899.1735537190089</v>
      </c>
      <c r="I516" s="60">
        <f>ventas_b_mes12[[#This Row],[IMPORTE NETO]]*0.21</f>
        <v>1868.8264462809918</v>
      </c>
      <c r="J516" s="60"/>
      <c r="K516" s="60"/>
      <c r="L516" s="60">
        <v>10768</v>
      </c>
      <c r="M516" s="55"/>
    </row>
    <row r="517" spans="2:13" x14ac:dyDescent="0.3">
      <c r="B517" s="36" t="s">
        <v>2467</v>
      </c>
      <c r="C517" s="224">
        <v>6</v>
      </c>
      <c r="D517" s="38">
        <v>13</v>
      </c>
      <c r="E517" s="39">
        <v>26662</v>
      </c>
      <c r="F517" s="109"/>
      <c r="G517" s="1" t="str">
        <f>IFERROR(IF(ventas_b_mes12[[#This Row],[CUIT]]="","-",VLOOKUP(ventas_b_mes12[[#This Row],[CUIT]],Lista_CUIT[#All],2,0)),"CUIT NO CARGADO")</f>
        <v>-</v>
      </c>
      <c r="H517" s="96">
        <f>ventas_b_mes12[[#This Row],[TOTAL]]/1.21</f>
        <v>2867.7685950413224</v>
      </c>
      <c r="I517" s="60">
        <f>ventas_b_mes12[[#This Row],[IMPORTE NETO]]*0.21</f>
        <v>602.23140495867767</v>
      </c>
      <c r="J517" s="60"/>
      <c r="K517" s="60"/>
      <c r="L517" s="60">
        <v>3470</v>
      </c>
      <c r="M517" s="55"/>
    </row>
    <row r="518" spans="2:13" x14ac:dyDescent="0.3">
      <c r="B518" s="36" t="s">
        <v>2467</v>
      </c>
      <c r="C518" s="224">
        <v>6</v>
      </c>
      <c r="D518" s="38">
        <v>15</v>
      </c>
      <c r="E518" s="39">
        <v>7148</v>
      </c>
      <c r="F518" s="109"/>
      <c r="G518" s="1" t="str">
        <f>IFERROR(IF(ventas_b_mes12[[#This Row],[CUIT]]="","-",VLOOKUP(ventas_b_mes12[[#This Row],[CUIT]],Lista_CUIT[#All],2,0)),"CUIT NO CARGADO")</f>
        <v>-</v>
      </c>
      <c r="H518" s="96">
        <f>ventas_b_mes12[[#This Row],[TOTAL]]/1.21</f>
        <v>1388.4297520661157</v>
      </c>
      <c r="I518" s="60">
        <f>ventas_b_mes12[[#This Row],[IMPORTE NETO]]*0.21</f>
        <v>291.57024793388427</v>
      </c>
      <c r="J518" s="60"/>
      <c r="K518" s="60"/>
      <c r="L518" s="60">
        <v>1680</v>
      </c>
      <c r="M518" s="55"/>
    </row>
    <row r="519" spans="2:13" x14ac:dyDescent="0.3">
      <c r="B519" s="223" t="s">
        <v>2467</v>
      </c>
      <c r="C519" s="224">
        <v>6</v>
      </c>
      <c r="D519" s="225">
        <v>11</v>
      </c>
      <c r="E519" s="226">
        <v>29981</v>
      </c>
      <c r="F519" s="227"/>
      <c r="G519" s="1" t="str">
        <f>IFERROR(IF(ventas_b_mes12[[#This Row],[CUIT]]="","-",VLOOKUP(ventas_b_mes12[[#This Row],[CUIT]],Lista_CUIT[#All],2,0)),"CUIT NO CARGADO")</f>
        <v>-</v>
      </c>
      <c r="H519" s="96">
        <f>ventas_b_mes12[[#This Row],[TOTAL]]/1.21</f>
        <v>1652.8925619834711</v>
      </c>
      <c r="I519" s="60">
        <f>ventas_b_mes12[[#This Row],[IMPORTE NETO]]*0.21</f>
        <v>347.10743801652893</v>
      </c>
      <c r="J519" s="229"/>
      <c r="K519" s="229"/>
      <c r="L519" s="229">
        <v>2000</v>
      </c>
      <c r="M519" s="55"/>
    </row>
    <row r="520" spans="2:13" x14ac:dyDescent="0.3">
      <c r="B520" s="223" t="s">
        <v>2467</v>
      </c>
      <c r="C520" s="224">
        <v>6</v>
      </c>
      <c r="D520" s="225">
        <v>12</v>
      </c>
      <c r="E520" s="226">
        <v>22404</v>
      </c>
      <c r="F520" s="227"/>
      <c r="G520" s="1" t="str">
        <f>IFERROR(IF(ventas_b_mes12[[#This Row],[CUIT]]="","-",VLOOKUP(ventas_b_mes12[[#This Row],[CUIT]],Lista_CUIT[#All],2,0)),"CUIT NO CARGADO")</f>
        <v>-</v>
      </c>
      <c r="H520" s="96">
        <f>ventas_b_mes12[[#This Row],[TOTAL]]/1.21</f>
        <v>4958.6776859504134</v>
      </c>
      <c r="I520" s="60">
        <f>ventas_b_mes12[[#This Row],[IMPORTE NETO]]*0.21</f>
        <v>1041.3223140495868</v>
      </c>
      <c r="J520" s="229"/>
      <c r="K520" s="229"/>
      <c r="L520" s="229">
        <v>6000</v>
      </c>
      <c r="M520" s="55"/>
    </row>
    <row r="521" spans="2:13" x14ac:dyDescent="0.3">
      <c r="B521" s="223" t="s">
        <v>2467</v>
      </c>
      <c r="C521" s="224">
        <v>6</v>
      </c>
      <c r="D521" s="225">
        <v>13</v>
      </c>
      <c r="E521" s="226">
        <v>26661</v>
      </c>
      <c r="F521" s="227"/>
      <c r="G521" s="1" t="str">
        <f>IFERROR(IF(ventas_b_mes12[[#This Row],[CUIT]]="","-",VLOOKUP(ventas_b_mes12[[#This Row],[CUIT]],Lista_CUIT[#All],2,0)),"CUIT NO CARGADO")</f>
        <v>-</v>
      </c>
      <c r="H521" s="96">
        <f>ventas_b_mes12[[#This Row],[TOTAL]]/1.21</f>
        <v>5236.371900826447</v>
      </c>
      <c r="I521" s="60">
        <f>ventas_b_mes12[[#This Row],[IMPORTE NETO]]*0.21</f>
        <v>1099.6380991735539</v>
      </c>
      <c r="J521" s="229"/>
      <c r="K521" s="229"/>
      <c r="L521" s="229">
        <v>6336.01</v>
      </c>
      <c r="M521" s="55"/>
    </row>
    <row r="522" spans="2:13" x14ac:dyDescent="0.3">
      <c r="B522" s="223" t="s">
        <v>2467</v>
      </c>
      <c r="C522" s="224">
        <v>6</v>
      </c>
      <c r="D522" s="225">
        <v>10</v>
      </c>
      <c r="E522" s="226">
        <v>43740</v>
      </c>
      <c r="F522" s="227"/>
      <c r="G522" s="1" t="str">
        <f>IFERROR(IF(ventas_b_mes12[[#This Row],[CUIT]]="","-",VLOOKUP(ventas_b_mes12[[#This Row],[CUIT]],Lista_CUIT[#All],2,0)),"CUIT NO CARGADO")</f>
        <v>-</v>
      </c>
      <c r="H522" s="96">
        <f>ventas_b_mes12[[#This Row],[TOTAL]]/1.21</f>
        <v>13757.024793388429</v>
      </c>
      <c r="I522" s="60">
        <f>ventas_b_mes12[[#This Row],[IMPORTE NETO]]*0.21</f>
        <v>2888.9752066115702</v>
      </c>
      <c r="J522" s="229"/>
      <c r="K522" s="229"/>
      <c r="L522" s="229">
        <v>16646</v>
      </c>
      <c r="M522" s="55"/>
    </row>
    <row r="523" spans="2:13" x14ac:dyDescent="0.3">
      <c r="B523" s="223" t="s">
        <v>2467</v>
      </c>
      <c r="C523" s="224">
        <v>6</v>
      </c>
      <c r="D523" s="225">
        <v>11</v>
      </c>
      <c r="E523" s="226">
        <v>29966</v>
      </c>
      <c r="F523" s="227"/>
      <c r="G523" s="1" t="str">
        <f>IFERROR(IF(ventas_b_mes12[[#This Row],[CUIT]]="","-",VLOOKUP(ventas_b_mes12[[#This Row],[CUIT]],Lista_CUIT[#All],2,0)),"CUIT NO CARGADO")</f>
        <v>-</v>
      </c>
      <c r="H523" s="96">
        <f>ventas_b_mes12[[#This Row],[TOTAL]]/1.21</f>
        <v>10694.231404958678</v>
      </c>
      <c r="I523" s="60">
        <f>ventas_b_mes12[[#This Row],[IMPORTE NETO]]*0.21</f>
        <v>2245.7885950413224</v>
      </c>
      <c r="J523" s="229"/>
      <c r="K523" s="229"/>
      <c r="L523" s="229">
        <v>12940.02</v>
      </c>
      <c r="M523" s="55"/>
    </row>
    <row r="524" spans="2:13" x14ac:dyDescent="0.3">
      <c r="B524" s="223" t="s">
        <v>2467</v>
      </c>
      <c r="C524" s="224">
        <v>6</v>
      </c>
      <c r="D524" s="225">
        <v>11</v>
      </c>
      <c r="E524" s="226">
        <v>29967</v>
      </c>
      <c r="F524" s="227"/>
      <c r="G524" s="1" t="str">
        <f>IFERROR(IF(ventas_b_mes12[[#This Row],[CUIT]]="","-",VLOOKUP(ventas_b_mes12[[#This Row],[CUIT]],Lista_CUIT[#All],2,0)),"CUIT NO CARGADO")</f>
        <v>-</v>
      </c>
      <c r="H524" s="96">
        <f>ventas_b_mes12[[#This Row],[TOTAL]]/1.21</f>
        <v>8176.8595041322315</v>
      </c>
      <c r="I524" s="60">
        <f>ventas_b_mes12[[#This Row],[IMPORTE NETO]]*0.21</f>
        <v>1717.1404958677685</v>
      </c>
      <c r="J524" s="229"/>
      <c r="K524" s="229"/>
      <c r="L524" s="229">
        <v>9894</v>
      </c>
      <c r="M524" s="55"/>
    </row>
    <row r="525" spans="2:13" x14ac:dyDescent="0.3">
      <c r="B525" s="223" t="s">
        <v>2467</v>
      </c>
      <c r="C525" s="224">
        <v>6</v>
      </c>
      <c r="D525" s="225">
        <v>10</v>
      </c>
      <c r="E525" s="226">
        <v>43759</v>
      </c>
      <c r="F525" s="227"/>
      <c r="G525" s="1" t="str">
        <f>IFERROR(IF(ventas_b_mes12[[#This Row],[CUIT]]="","-",VLOOKUP(ventas_b_mes12[[#This Row],[CUIT]],Lista_CUIT[#All],2,0)),"CUIT NO CARGADO")</f>
        <v>-</v>
      </c>
      <c r="H525" s="96">
        <f>ventas_b_mes12[[#This Row],[TOTAL]]/1.21</f>
        <v>2776.8595041322315</v>
      </c>
      <c r="I525" s="60">
        <f>ventas_b_mes12[[#This Row],[IMPORTE NETO]]*0.21</f>
        <v>583.14049586776855</v>
      </c>
      <c r="J525" s="229"/>
      <c r="K525" s="229"/>
      <c r="L525" s="229">
        <v>3360</v>
      </c>
      <c r="M525" s="55"/>
    </row>
    <row r="526" spans="2:13" x14ac:dyDescent="0.3">
      <c r="B526" s="223" t="s">
        <v>2467</v>
      </c>
      <c r="C526" s="224">
        <v>6</v>
      </c>
      <c r="D526" s="225">
        <v>13</v>
      </c>
      <c r="E526" s="226">
        <v>26677</v>
      </c>
      <c r="F526" s="227"/>
      <c r="G526" s="1" t="str">
        <f>IFERROR(IF(ventas_b_mes12[[#This Row],[CUIT]]="","-",VLOOKUP(ventas_b_mes12[[#This Row],[CUIT]],Lista_CUIT[#All],2,0)),"CUIT NO CARGADO")</f>
        <v>-</v>
      </c>
      <c r="H526" s="96">
        <f>ventas_b_mes12[[#This Row],[TOTAL]]/1.21</f>
        <v>314.04958677685954</v>
      </c>
      <c r="I526" s="60">
        <f>ventas_b_mes12[[#This Row],[IMPORTE NETO]]*0.21</f>
        <v>65.950413223140501</v>
      </c>
      <c r="J526" s="229"/>
      <c r="K526" s="229"/>
      <c r="L526" s="229">
        <v>380</v>
      </c>
      <c r="M526" s="55"/>
    </row>
    <row r="527" spans="2:13" x14ac:dyDescent="0.3">
      <c r="B527" s="223" t="s">
        <v>2467</v>
      </c>
      <c r="C527" s="224">
        <v>6</v>
      </c>
      <c r="D527" s="225">
        <v>13</v>
      </c>
      <c r="E527" s="226">
        <v>26676</v>
      </c>
      <c r="F527" s="227"/>
      <c r="G527" s="1" t="str">
        <f>IFERROR(IF(ventas_b_mes12[[#This Row],[CUIT]]="","-",VLOOKUP(ventas_b_mes12[[#This Row],[CUIT]],Lista_CUIT[#All],2,0)),"CUIT NO CARGADO")</f>
        <v>-</v>
      </c>
      <c r="H527" s="96">
        <f>ventas_b_mes12[[#This Row],[TOTAL]]/1.21</f>
        <v>6307.4380165289258</v>
      </c>
      <c r="I527" s="60">
        <f>ventas_b_mes12[[#This Row],[IMPORTE NETO]]*0.21</f>
        <v>1324.5619834710744</v>
      </c>
      <c r="J527" s="229"/>
      <c r="K527" s="229"/>
      <c r="L527" s="229">
        <v>7632</v>
      </c>
      <c r="M527" s="55"/>
    </row>
    <row r="528" spans="2:13" x14ac:dyDescent="0.3">
      <c r="B528" s="223" t="s">
        <v>2467</v>
      </c>
      <c r="C528" s="224">
        <v>6</v>
      </c>
      <c r="D528" s="225">
        <v>11</v>
      </c>
      <c r="E528" s="226">
        <v>30004</v>
      </c>
      <c r="F528" s="227"/>
      <c r="G528" s="1" t="str">
        <f>IFERROR(IF(ventas_b_mes12[[#This Row],[CUIT]]="","-",VLOOKUP(ventas_b_mes12[[#This Row],[CUIT]],Lista_CUIT[#All],2,0)),"CUIT NO CARGADO")</f>
        <v>-</v>
      </c>
      <c r="H528" s="96">
        <f>ventas_b_mes12[[#This Row],[TOTAL]]/1.21</f>
        <v>1376.0413223140497</v>
      </c>
      <c r="I528" s="60">
        <f>ventas_b_mes12[[#This Row],[IMPORTE NETO]]*0.21</f>
        <v>288.96867768595041</v>
      </c>
      <c r="J528" s="229"/>
      <c r="K528" s="229"/>
      <c r="L528" s="229">
        <v>1665.01</v>
      </c>
      <c r="M528" s="55"/>
    </row>
    <row r="529" spans="2:13" x14ac:dyDescent="0.3">
      <c r="B529" s="223" t="s">
        <v>2467</v>
      </c>
      <c r="C529" s="224">
        <v>6</v>
      </c>
      <c r="D529" s="225">
        <v>10</v>
      </c>
      <c r="E529" s="226">
        <v>43739</v>
      </c>
      <c r="F529" s="227"/>
      <c r="G529" s="1" t="str">
        <f>IFERROR(IF(ventas_b_mes12[[#This Row],[CUIT]]="","-",VLOOKUP(ventas_b_mes12[[#This Row],[CUIT]],Lista_CUIT[#All],2,0)),"CUIT NO CARGADO")</f>
        <v>-</v>
      </c>
      <c r="H529" s="96">
        <f>ventas_b_mes12[[#This Row],[TOTAL]]/1.21</f>
        <v>4545.454545454546</v>
      </c>
      <c r="I529" s="60">
        <f>ventas_b_mes12[[#This Row],[IMPORTE NETO]]*0.21</f>
        <v>954.54545454545462</v>
      </c>
      <c r="J529" s="229"/>
      <c r="K529" s="229"/>
      <c r="L529" s="229">
        <v>5500</v>
      </c>
      <c r="M529" s="55"/>
    </row>
    <row r="530" spans="2:13" x14ac:dyDescent="0.3">
      <c r="B530" s="223" t="s">
        <v>2467</v>
      </c>
      <c r="C530" s="224">
        <v>6</v>
      </c>
      <c r="D530" s="225">
        <v>15</v>
      </c>
      <c r="E530" s="226">
        <v>7155</v>
      </c>
      <c r="F530" s="227"/>
      <c r="G530" s="1" t="str">
        <f>IFERROR(IF(ventas_b_mes12[[#This Row],[CUIT]]="","-",VLOOKUP(ventas_b_mes12[[#This Row],[CUIT]],Lista_CUIT[#All],2,0)),"CUIT NO CARGADO")</f>
        <v>-</v>
      </c>
      <c r="H530" s="96">
        <f>ventas_b_mes12[[#This Row],[TOTAL]]/1.21</f>
        <v>3980.1652892561983</v>
      </c>
      <c r="I530" s="60">
        <f>ventas_b_mes12[[#This Row],[IMPORTE NETO]]*0.21</f>
        <v>835.83471074380157</v>
      </c>
      <c r="J530" s="229"/>
      <c r="K530" s="229"/>
      <c r="L530" s="229">
        <v>4816</v>
      </c>
      <c r="M530" s="55"/>
    </row>
    <row r="531" spans="2:13" x14ac:dyDescent="0.3">
      <c r="B531" s="223" t="s">
        <v>2467</v>
      </c>
      <c r="C531" s="224">
        <v>6</v>
      </c>
      <c r="D531" s="225">
        <v>10</v>
      </c>
      <c r="E531" s="226">
        <v>43754</v>
      </c>
      <c r="F531" s="227"/>
      <c r="G531" s="1" t="str">
        <f>IFERROR(IF(ventas_b_mes12[[#This Row],[CUIT]]="","-",VLOOKUP(ventas_b_mes12[[#This Row],[CUIT]],Lista_CUIT[#All],2,0)),"CUIT NO CARGADO")</f>
        <v>-</v>
      </c>
      <c r="H531" s="96">
        <f>ventas_b_mes12[[#This Row],[TOTAL]]/1.21</f>
        <v>4958.6776859504134</v>
      </c>
      <c r="I531" s="60">
        <f>ventas_b_mes12[[#This Row],[IMPORTE NETO]]*0.21</f>
        <v>1041.3223140495868</v>
      </c>
      <c r="J531" s="229"/>
      <c r="K531" s="229"/>
      <c r="L531" s="229">
        <v>6000</v>
      </c>
      <c r="M531" s="55"/>
    </row>
    <row r="532" spans="2:13" x14ac:dyDescent="0.3">
      <c r="B532" s="223" t="s">
        <v>2467</v>
      </c>
      <c r="C532" s="224">
        <v>6</v>
      </c>
      <c r="D532" s="225">
        <v>11</v>
      </c>
      <c r="E532" s="226">
        <v>29985</v>
      </c>
      <c r="F532" s="227"/>
      <c r="G532" s="1" t="str">
        <f>IFERROR(IF(ventas_b_mes12[[#This Row],[CUIT]]="","-",VLOOKUP(ventas_b_mes12[[#This Row],[CUIT]],Lista_CUIT[#All],2,0)),"CUIT NO CARGADO")</f>
        <v>-</v>
      </c>
      <c r="H532" s="96">
        <f>ventas_b_mes12[[#This Row],[TOTAL]]/1.21</f>
        <v>2710.7438016528927</v>
      </c>
      <c r="I532" s="60">
        <f>ventas_b_mes12[[#This Row],[IMPORTE NETO]]*0.21</f>
        <v>569.25619834710744</v>
      </c>
      <c r="J532" s="229"/>
      <c r="K532" s="229"/>
      <c r="L532" s="229">
        <v>3280</v>
      </c>
      <c r="M532" s="55"/>
    </row>
    <row r="533" spans="2:13" x14ac:dyDescent="0.3">
      <c r="B533" s="223" t="s">
        <v>2467</v>
      </c>
      <c r="C533" s="224">
        <v>6</v>
      </c>
      <c r="D533" s="225">
        <v>11</v>
      </c>
      <c r="E533" s="226">
        <v>30002</v>
      </c>
      <c r="F533" s="227"/>
      <c r="G533" s="1" t="str">
        <f>IFERROR(IF(ventas_b_mes12[[#This Row],[CUIT]]="","-",VLOOKUP(ventas_b_mes12[[#This Row],[CUIT]],Lista_CUIT[#All],2,0)),"CUIT NO CARGADO")</f>
        <v>-</v>
      </c>
      <c r="H533" s="96">
        <f>ventas_b_mes12[[#This Row],[TOTAL]]/1.21</f>
        <v>4580.5785123966944</v>
      </c>
      <c r="I533" s="60">
        <f>ventas_b_mes12[[#This Row],[IMPORTE NETO]]*0.21</f>
        <v>961.92148760330576</v>
      </c>
      <c r="J533" s="229"/>
      <c r="K533" s="229"/>
      <c r="L533" s="229">
        <v>5542.5</v>
      </c>
      <c r="M533" s="55"/>
    </row>
    <row r="534" spans="2:13" x14ac:dyDescent="0.3">
      <c r="B534" s="223" t="s">
        <v>2467</v>
      </c>
      <c r="C534" s="224">
        <v>6</v>
      </c>
      <c r="D534" s="225">
        <v>10</v>
      </c>
      <c r="E534" s="226">
        <v>43756</v>
      </c>
      <c r="F534" s="227"/>
      <c r="G534" s="1" t="str">
        <f>IFERROR(IF(ventas_b_mes12[[#This Row],[CUIT]]="","-",VLOOKUP(ventas_b_mes12[[#This Row],[CUIT]],Lista_CUIT[#All],2,0)),"CUIT NO CARGADO")</f>
        <v>-</v>
      </c>
      <c r="H534" s="96">
        <f>ventas_b_mes12[[#This Row],[TOTAL]]/1.21</f>
        <v>4004.1322314049589</v>
      </c>
      <c r="I534" s="60">
        <f>ventas_b_mes12[[#This Row],[IMPORTE NETO]]*0.21</f>
        <v>840.8677685950413</v>
      </c>
      <c r="J534" s="229"/>
      <c r="K534" s="229"/>
      <c r="L534" s="229">
        <v>4845</v>
      </c>
      <c r="M534" s="55"/>
    </row>
    <row r="535" spans="2:13" x14ac:dyDescent="0.3">
      <c r="B535" s="223" t="s">
        <v>2467</v>
      </c>
      <c r="C535" s="224">
        <v>6</v>
      </c>
      <c r="D535" s="225">
        <v>10</v>
      </c>
      <c r="E535" s="226">
        <v>43735</v>
      </c>
      <c r="F535" s="227"/>
      <c r="G535" s="1" t="str">
        <f>IFERROR(IF(ventas_b_mes12[[#This Row],[CUIT]]="","-",VLOOKUP(ventas_b_mes12[[#This Row],[CUIT]],Lista_CUIT[#All],2,0)),"CUIT NO CARGADO")</f>
        <v>-</v>
      </c>
      <c r="H535" s="96">
        <f>ventas_b_mes12[[#This Row],[TOTAL]]/1.21</f>
        <v>4545.454545454546</v>
      </c>
      <c r="I535" s="60">
        <f>ventas_b_mes12[[#This Row],[IMPORTE NETO]]*0.21</f>
        <v>954.54545454545462</v>
      </c>
      <c r="J535" s="229"/>
      <c r="K535" s="229"/>
      <c r="L535" s="229">
        <v>5500</v>
      </c>
      <c r="M535" s="55"/>
    </row>
    <row r="536" spans="2:13" x14ac:dyDescent="0.3">
      <c r="B536" s="223" t="s">
        <v>2467</v>
      </c>
      <c r="C536" s="224">
        <v>6</v>
      </c>
      <c r="D536" s="225">
        <v>15</v>
      </c>
      <c r="E536" s="226">
        <v>7162</v>
      </c>
      <c r="F536" s="227"/>
      <c r="G536" s="1" t="str">
        <f>IFERROR(IF(ventas_b_mes12[[#This Row],[CUIT]]="","-",VLOOKUP(ventas_b_mes12[[#This Row],[CUIT]],Lista_CUIT[#All],2,0)),"CUIT NO CARGADO")</f>
        <v>-</v>
      </c>
      <c r="H536" s="96">
        <f>ventas_b_mes12[[#This Row],[TOTAL]]/1.21</f>
        <v>8042.9752066115707</v>
      </c>
      <c r="I536" s="60">
        <f>ventas_b_mes12[[#This Row],[IMPORTE NETO]]*0.21</f>
        <v>1689.0247933884298</v>
      </c>
      <c r="J536" s="229"/>
      <c r="K536" s="229"/>
      <c r="L536" s="229">
        <v>9732</v>
      </c>
      <c r="M536" s="55"/>
    </row>
    <row r="537" spans="2:13" x14ac:dyDescent="0.3">
      <c r="B537" s="223" t="s">
        <v>2467</v>
      </c>
      <c r="C537" s="224">
        <v>6</v>
      </c>
      <c r="D537" s="225">
        <v>15</v>
      </c>
      <c r="E537" s="226">
        <v>7159</v>
      </c>
      <c r="F537" s="227"/>
      <c r="G537" s="1" t="str">
        <f>IFERROR(IF(ventas_b_mes12[[#This Row],[CUIT]]="","-",VLOOKUP(ventas_b_mes12[[#This Row],[CUIT]],Lista_CUIT[#All],2,0)),"CUIT NO CARGADO")</f>
        <v>-</v>
      </c>
      <c r="H537" s="96">
        <f>ventas_b_mes12[[#This Row],[TOTAL]]/1.21</f>
        <v>10525.636363636364</v>
      </c>
      <c r="I537" s="60">
        <f>ventas_b_mes12[[#This Row],[IMPORTE NETO]]*0.21</f>
        <v>2210.3836363636365</v>
      </c>
      <c r="J537" s="229"/>
      <c r="K537" s="229"/>
      <c r="L537" s="229">
        <v>12736.02</v>
      </c>
      <c r="M537" s="55"/>
    </row>
    <row r="538" spans="2:13" x14ac:dyDescent="0.3">
      <c r="B538" s="223" t="s">
        <v>2467</v>
      </c>
      <c r="C538" s="224">
        <v>6</v>
      </c>
      <c r="D538" s="225">
        <v>11</v>
      </c>
      <c r="E538" s="226">
        <v>29998</v>
      </c>
      <c r="F538" s="227"/>
      <c r="G538" s="1" t="str">
        <f>IFERROR(IF(ventas_b_mes12[[#This Row],[CUIT]]="","-",VLOOKUP(ventas_b_mes12[[#This Row],[CUIT]],Lista_CUIT[#All],2,0)),"CUIT NO CARGADO")</f>
        <v>-</v>
      </c>
      <c r="H538" s="96">
        <f>ventas_b_mes12[[#This Row],[TOTAL]]/1.21</f>
        <v>5983.4710743801652</v>
      </c>
      <c r="I538" s="60">
        <f>ventas_b_mes12[[#This Row],[IMPORTE NETO]]*0.21</f>
        <v>1256.5289256198346</v>
      </c>
      <c r="J538" s="229"/>
      <c r="K538" s="229"/>
      <c r="L538" s="229">
        <v>7240</v>
      </c>
      <c r="M538" s="55"/>
    </row>
    <row r="539" spans="2:13" x14ac:dyDescent="0.3">
      <c r="B539" s="223" t="s">
        <v>2467</v>
      </c>
      <c r="C539" s="224">
        <v>6</v>
      </c>
      <c r="D539" s="225">
        <v>15</v>
      </c>
      <c r="E539" s="226">
        <v>7145</v>
      </c>
      <c r="F539" s="227"/>
      <c r="G539" s="1" t="str">
        <f>IFERROR(IF(ventas_b_mes12[[#This Row],[CUIT]]="","-",VLOOKUP(ventas_b_mes12[[#This Row],[CUIT]],Lista_CUIT[#All],2,0)),"CUIT NO CARGADO")</f>
        <v>-</v>
      </c>
      <c r="H539" s="96">
        <f>ventas_b_mes12[[#This Row],[TOTAL]]/1.21</f>
        <v>13148.752066115703</v>
      </c>
      <c r="I539" s="60">
        <f>ventas_b_mes12[[#This Row],[IMPORTE NETO]]*0.21</f>
        <v>2761.2379338842975</v>
      </c>
      <c r="J539" s="229"/>
      <c r="K539" s="229"/>
      <c r="L539" s="229">
        <v>15909.99</v>
      </c>
      <c r="M539" s="55"/>
    </row>
    <row r="540" spans="2:13" x14ac:dyDescent="0.3">
      <c r="B540" s="223" t="s">
        <v>2467</v>
      </c>
      <c r="C540" s="224">
        <v>6</v>
      </c>
      <c r="D540" s="225">
        <v>12</v>
      </c>
      <c r="E540" s="226">
        <v>22396</v>
      </c>
      <c r="F540" s="227"/>
      <c r="G540" s="1" t="str">
        <f>IFERROR(IF(ventas_b_mes12[[#This Row],[CUIT]]="","-",VLOOKUP(ventas_b_mes12[[#This Row],[CUIT]],Lista_CUIT[#All],2,0)),"CUIT NO CARGADO")</f>
        <v>-</v>
      </c>
      <c r="H540" s="96">
        <f>ventas_b_mes12[[#This Row],[TOTAL]]/1.21</f>
        <v>6148.7603305785124</v>
      </c>
      <c r="I540" s="60">
        <f>ventas_b_mes12[[#This Row],[IMPORTE NETO]]*0.21</f>
        <v>1291.2396694214876</v>
      </c>
      <c r="J540" s="229"/>
      <c r="K540" s="229"/>
      <c r="L540" s="229">
        <v>7440</v>
      </c>
      <c r="M540" s="55"/>
    </row>
    <row r="541" spans="2:13" x14ac:dyDescent="0.3">
      <c r="B541" s="223" t="s">
        <v>2467</v>
      </c>
      <c r="C541" s="224">
        <v>6</v>
      </c>
      <c r="D541" s="225">
        <v>15</v>
      </c>
      <c r="E541" s="226">
        <v>7154</v>
      </c>
      <c r="F541" s="227"/>
      <c r="G541" s="1" t="str">
        <f>IFERROR(IF(ventas_b_mes12[[#This Row],[CUIT]]="","-",VLOOKUP(ventas_b_mes12[[#This Row],[CUIT]],Lista_CUIT[#All],2,0)),"CUIT NO CARGADO")</f>
        <v>-</v>
      </c>
      <c r="H541" s="96">
        <f>ventas_b_mes12[[#This Row],[TOTAL]]/1.21</f>
        <v>2142.1487603305786</v>
      </c>
      <c r="I541" s="60">
        <f>ventas_b_mes12[[#This Row],[IMPORTE NETO]]*0.21</f>
        <v>449.85123966942149</v>
      </c>
      <c r="J541" s="229"/>
      <c r="K541" s="229"/>
      <c r="L541" s="229">
        <v>2592</v>
      </c>
      <c r="M541" s="55"/>
    </row>
    <row r="542" spans="2:13" x14ac:dyDescent="0.3">
      <c r="B542" s="223" t="s">
        <v>2467</v>
      </c>
      <c r="C542" s="224">
        <v>6</v>
      </c>
      <c r="D542" s="225">
        <v>11</v>
      </c>
      <c r="E542" s="226">
        <v>29978</v>
      </c>
      <c r="F542" s="227"/>
      <c r="G542" s="1" t="str">
        <f>IFERROR(IF(ventas_b_mes12[[#This Row],[CUIT]]="","-",VLOOKUP(ventas_b_mes12[[#This Row],[CUIT]],Lista_CUIT[#All],2,0)),"CUIT NO CARGADO")</f>
        <v>-</v>
      </c>
      <c r="H542" s="96">
        <f>ventas_b_mes12[[#This Row],[TOTAL]]/1.21</f>
        <v>4500.8264462809921</v>
      </c>
      <c r="I542" s="60">
        <f>ventas_b_mes12[[#This Row],[IMPORTE NETO]]*0.21</f>
        <v>945.17355371900828</v>
      </c>
      <c r="J542" s="229"/>
      <c r="K542" s="229"/>
      <c r="L542" s="229">
        <v>5446</v>
      </c>
      <c r="M542" s="55"/>
    </row>
    <row r="543" spans="2:13" x14ac:dyDescent="0.3">
      <c r="B543" s="223" t="s">
        <v>2467</v>
      </c>
      <c r="C543" s="224">
        <v>6</v>
      </c>
      <c r="D543" s="225">
        <v>11</v>
      </c>
      <c r="E543" s="226">
        <v>29986</v>
      </c>
      <c r="F543" s="227"/>
      <c r="G543" s="1" t="str">
        <f>IFERROR(IF(ventas_b_mes12[[#This Row],[CUIT]]="","-",VLOOKUP(ventas_b_mes12[[#This Row],[CUIT]],Lista_CUIT[#All],2,0)),"CUIT NO CARGADO")</f>
        <v>-</v>
      </c>
      <c r="H543" s="96">
        <f>ventas_b_mes12[[#This Row],[TOTAL]]/1.21</f>
        <v>11371.909090909092</v>
      </c>
      <c r="I543" s="60">
        <f>ventas_b_mes12[[#This Row],[IMPORTE NETO]]*0.21</f>
        <v>2388.1009090909092</v>
      </c>
      <c r="J543" s="229"/>
      <c r="K543" s="229"/>
      <c r="L543" s="229">
        <v>13760.01</v>
      </c>
      <c r="M543" s="55"/>
    </row>
    <row r="544" spans="2:13" x14ac:dyDescent="0.3">
      <c r="B544" s="223" t="s">
        <v>2467</v>
      </c>
      <c r="C544" s="224">
        <v>6</v>
      </c>
      <c r="D544" s="225">
        <v>15</v>
      </c>
      <c r="E544" s="226">
        <v>7147</v>
      </c>
      <c r="F544" s="227"/>
      <c r="G544" s="1" t="str">
        <f>IFERROR(IF(ventas_b_mes12[[#This Row],[CUIT]]="","-",VLOOKUP(ventas_b_mes12[[#This Row],[CUIT]],Lista_CUIT[#All],2,0)),"CUIT NO CARGADO")</f>
        <v>-</v>
      </c>
      <c r="H544" s="96">
        <f>ventas_b_mes12[[#This Row],[TOTAL]]/1.21</f>
        <v>4495.8677685950415</v>
      </c>
      <c r="I544" s="60">
        <f>ventas_b_mes12[[#This Row],[IMPORTE NETO]]*0.21</f>
        <v>944.1322314049587</v>
      </c>
      <c r="J544" s="229"/>
      <c r="K544" s="229"/>
      <c r="L544" s="229">
        <v>5440</v>
      </c>
      <c r="M544" s="55"/>
    </row>
    <row r="545" spans="2:13" x14ac:dyDescent="0.3">
      <c r="B545" s="223" t="s">
        <v>2467</v>
      </c>
      <c r="C545" s="224">
        <v>6</v>
      </c>
      <c r="D545" s="225">
        <v>10</v>
      </c>
      <c r="E545" s="226">
        <v>43757</v>
      </c>
      <c r="F545" s="227"/>
      <c r="G545" s="1" t="str">
        <f>IFERROR(IF(ventas_b_mes12[[#This Row],[CUIT]]="","-",VLOOKUP(ventas_b_mes12[[#This Row],[CUIT]],Lista_CUIT[#All],2,0)),"CUIT NO CARGADO")</f>
        <v>-</v>
      </c>
      <c r="H545" s="96">
        <f>ventas_b_mes12[[#This Row],[TOTAL]]/1.21</f>
        <v>33317.545454545456</v>
      </c>
      <c r="I545" s="60">
        <f>ventas_b_mes12[[#This Row],[IMPORTE NETO]]*0.21</f>
        <v>6996.6845454545455</v>
      </c>
      <c r="J545" s="229"/>
      <c r="K545" s="229"/>
      <c r="L545" s="229">
        <v>40314.230000000003</v>
      </c>
      <c r="M545" s="55"/>
    </row>
    <row r="546" spans="2:13" x14ac:dyDescent="0.3">
      <c r="B546" s="223" t="s">
        <v>2467</v>
      </c>
      <c r="C546" s="224">
        <v>6</v>
      </c>
      <c r="D546" s="225">
        <v>15</v>
      </c>
      <c r="E546" s="226">
        <v>7161</v>
      </c>
      <c r="F546" s="227"/>
      <c r="G546" s="1" t="str">
        <f>IFERROR(IF(ventas_b_mes12[[#This Row],[CUIT]]="","-",VLOOKUP(ventas_b_mes12[[#This Row],[CUIT]],Lista_CUIT[#All],2,0)),"CUIT NO CARGADO")</f>
        <v>-</v>
      </c>
      <c r="H546" s="96">
        <f>ventas_b_mes12[[#This Row],[TOTAL]]/1.21</f>
        <v>995.8677685950413</v>
      </c>
      <c r="I546" s="60">
        <f>ventas_b_mes12[[#This Row],[IMPORTE NETO]]*0.21</f>
        <v>209.13223140495867</v>
      </c>
      <c r="J546" s="229"/>
      <c r="K546" s="229"/>
      <c r="L546" s="229">
        <v>1205</v>
      </c>
      <c r="M546" s="55"/>
    </row>
    <row r="547" spans="2:13" x14ac:dyDescent="0.3">
      <c r="B547" s="223" t="s">
        <v>2467</v>
      </c>
      <c r="C547" s="224">
        <v>6</v>
      </c>
      <c r="D547" s="225">
        <v>15</v>
      </c>
      <c r="E547" s="226">
        <v>7158</v>
      </c>
      <c r="F547" s="227"/>
      <c r="G547" s="1" t="str">
        <f>IFERROR(IF(ventas_b_mes12[[#This Row],[CUIT]]="","-",VLOOKUP(ventas_b_mes12[[#This Row],[CUIT]],Lista_CUIT[#All],2,0)),"CUIT NO CARGADO")</f>
        <v>-</v>
      </c>
      <c r="H547" s="96">
        <f>ventas_b_mes12[[#This Row],[TOTAL]]/1.21</f>
        <v>5653.7190082644629</v>
      </c>
      <c r="I547" s="60">
        <f>ventas_b_mes12[[#This Row],[IMPORTE NETO]]*0.21</f>
        <v>1187.2809917355371</v>
      </c>
      <c r="J547" s="229"/>
      <c r="K547" s="229"/>
      <c r="L547" s="229">
        <v>6841</v>
      </c>
      <c r="M547" s="55"/>
    </row>
    <row r="548" spans="2:13" x14ac:dyDescent="0.3">
      <c r="B548" s="223" t="s">
        <v>2467</v>
      </c>
      <c r="C548" s="224">
        <v>6</v>
      </c>
      <c r="D548" s="225">
        <v>11</v>
      </c>
      <c r="E548" s="226">
        <v>30001</v>
      </c>
      <c r="F548" s="227"/>
      <c r="G548" s="1" t="str">
        <f>IFERROR(IF(ventas_b_mes12[[#This Row],[CUIT]]="","-",VLOOKUP(ventas_b_mes12[[#This Row],[CUIT]],Lista_CUIT[#All],2,0)),"CUIT NO CARGADO")</f>
        <v>-</v>
      </c>
      <c r="H548" s="96">
        <f>ventas_b_mes12[[#This Row],[TOTAL]]/1.21</f>
        <v>2512.3966942148763</v>
      </c>
      <c r="I548" s="60">
        <f>ventas_b_mes12[[#This Row],[IMPORTE NETO]]*0.21</f>
        <v>527.60330578512401</v>
      </c>
      <c r="J548" s="229"/>
      <c r="K548" s="229"/>
      <c r="L548" s="229">
        <v>3040</v>
      </c>
      <c r="M548" s="55"/>
    </row>
    <row r="549" spans="2:13" x14ac:dyDescent="0.3">
      <c r="B549" s="223" t="s">
        <v>2467</v>
      </c>
      <c r="C549" s="224">
        <v>6</v>
      </c>
      <c r="D549" s="225">
        <v>11</v>
      </c>
      <c r="E549" s="226">
        <v>29984</v>
      </c>
      <c r="F549" s="227"/>
      <c r="G549" s="1" t="str">
        <f>IFERROR(IF(ventas_b_mes12[[#This Row],[CUIT]]="","-",VLOOKUP(ventas_b_mes12[[#This Row],[CUIT]],Lista_CUIT[#All],2,0)),"CUIT NO CARGADO")</f>
        <v>-</v>
      </c>
      <c r="H549" s="96">
        <f>ventas_b_mes12[[#This Row],[TOTAL]]/1.21</f>
        <v>8740.4958677685954</v>
      </c>
      <c r="I549" s="60">
        <f>ventas_b_mes12[[#This Row],[IMPORTE NETO]]*0.21</f>
        <v>1835.504132231405</v>
      </c>
      <c r="J549" s="229"/>
      <c r="K549" s="229"/>
      <c r="L549" s="229">
        <v>10576</v>
      </c>
      <c r="M549" s="55"/>
    </row>
    <row r="550" spans="2:13" x14ac:dyDescent="0.3">
      <c r="B550" s="223" t="s">
        <v>2467</v>
      </c>
      <c r="C550" s="224">
        <v>6</v>
      </c>
      <c r="D550" s="225">
        <v>11</v>
      </c>
      <c r="E550" s="226">
        <v>29977</v>
      </c>
      <c r="F550" s="227"/>
      <c r="G550" s="1" t="str">
        <f>IFERROR(IF(ventas_b_mes12[[#This Row],[CUIT]]="","-",VLOOKUP(ventas_b_mes12[[#This Row],[CUIT]],Lista_CUIT[#All],2,0)),"CUIT NO CARGADO")</f>
        <v>-</v>
      </c>
      <c r="H550" s="96">
        <f>ventas_b_mes12[[#This Row],[TOTAL]]/1.21</f>
        <v>1239.6694214876034</v>
      </c>
      <c r="I550" s="60">
        <f>ventas_b_mes12[[#This Row],[IMPORTE NETO]]*0.21</f>
        <v>260.3305785123967</v>
      </c>
      <c r="J550" s="229"/>
      <c r="K550" s="229"/>
      <c r="L550" s="229">
        <v>1500</v>
      </c>
      <c r="M550" s="55"/>
    </row>
    <row r="551" spans="2:13" x14ac:dyDescent="0.3">
      <c r="B551" s="223" t="s">
        <v>2467</v>
      </c>
      <c r="C551" s="224">
        <v>6</v>
      </c>
      <c r="D551" s="225">
        <v>12</v>
      </c>
      <c r="E551" s="226">
        <v>22397</v>
      </c>
      <c r="F551" s="227"/>
      <c r="G551" s="1" t="str">
        <f>IFERROR(IF(ventas_b_mes12[[#This Row],[CUIT]]="","-",VLOOKUP(ventas_b_mes12[[#This Row],[CUIT]],Lista_CUIT[#All],2,0)),"CUIT NO CARGADO")</f>
        <v>-</v>
      </c>
      <c r="H551" s="96">
        <f>ventas_b_mes12[[#This Row],[TOTAL]]/1.21</f>
        <v>4694.2231404958684</v>
      </c>
      <c r="I551" s="60">
        <f>ventas_b_mes12[[#This Row],[IMPORTE NETO]]*0.21</f>
        <v>985.78685950413228</v>
      </c>
      <c r="J551" s="229"/>
      <c r="K551" s="229"/>
      <c r="L551" s="229">
        <v>5680.01</v>
      </c>
      <c r="M551" s="55"/>
    </row>
    <row r="552" spans="2:13" x14ac:dyDescent="0.3">
      <c r="B552" s="223" t="s">
        <v>2467</v>
      </c>
      <c r="C552" s="224">
        <v>6</v>
      </c>
      <c r="D552" s="225">
        <v>13</v>
      </c>
      <c r="E552" s="226">
        <v>26666</v>
      </c>
      <c r="F552" s="227"/>
      <c r="G552" s="1" t="str">
        <f>IFERROR(IF(ventas_b_mes12[[#This Row],[CUIT]]="","-",VLOOKUP(ventas_b_mes12[[#This Row],[CUIT]],Lista_CUIT[#All],2,0)),"CUIT NO CARGADO")</f>
        <v>-</v>
      </c>
      <c r="H552" s="96">
        <f>ventas_b_mes12[[#This Row],[TOTAL]]/1.21</f>
        <v>3966.9338842975208</v>
      </c>
      <c r="I552" s="60">
        <f>ventas_b_mes12[[#This Row],[IMPORTE NETO]]*0.21</f>
        <v>833.05611570247936</v>
      </c>
      <c r="J552" s="229"/>
      <c r="K552" s="229"/>
      <c r="L552" s="229">
        <v>4799.99</v>
      </c>
      <c r="M552" s="55"/>
    </row>
    <row r="553" spans="2:13" x14ac:dyDescent="0.3">
      <c r="B553" s="223" t="s">
        <v>2467</v>
      </c>
      <c r="C553" s="224">
        <v>6</v>
      </c>
      <c r="D553" s="225">
        <v>11</v>
      </c>
      <c r="E553" s="226">
        <v>29999</v>
      </c>
      <c r="F553" s="227"/>
      <c r="G553" s="1" t="str">
        <f>IFERROR(IF(ventas_b_mes12[[#This Row],[CUIT]]="","-",VLOOKUP(ventas_b_mes12[[#This Row],[CUIT]],Lista_CUIT[#All],2,0)),"CUIT NO CARGADO")</f>
        <v>-</v>
      </c>
      <c r="H553" s="96">
        <f>ventas_b_mes12[[#This Row],[TOTAL]]/1.21</f>
        <v>6538.8512396694223</v>
      </c>
      <c r="I553" s="60">
        <f>ventas_b_mes12[[#This Row],[IMPORTE NETO]]*0.21</f>
        <v>1373.1587603305786</v>
      </c>
      <c r="J553" s="229"/>
      <c r="K553" s="229"/>
      <c r="L553" s="229">
        <v>7912.01</v>
      </c>
      <c r="M553" s="55"/>
    </row>
    <row r="554" spans="2:13" x14ac:dyDescent="0.3">
      <c r="B554" s="223" t="s">
        <v>2467</v>
      </c>
      <c r="C554" s="224">
        <v>6</v>
      </c>
      <c r="D554" s="225">
        <v>11</v>
      </c>
      <c r="E554" s="226">
        <v>30000</v>
      </c>
      <c r="F554" s="227"/>
      <c r="G554" s="1" t="str">
        <f>IFERROR(IF(ventas_b_mes12[[#This Row],[CUIT]]="","-",VLOOKUP(ventas_b_mes12[[#This Row],[CUIT]],Lista_CUIT[#All],2,0)),"CUIT NO CARGADO")</f>
        <v>-</v>
      </c>
      <c r="H554" s="96">
        <f>ventas_b_mes12[[#This Row],[TOTAL]]/1.21</f>
        <v>6652.4793388429753</v>
      </c>
      <c r="I554" s="60">
        <f>ventas_b_mes12[[#This Row],[IMPORTE NETO]]*0.21</f>
        <v>1397.0206611570247</v>
      </c>
      <c r="J554" s="229"/>
      <c r="K554" s="229"/>
      <c r="L554" s="229">
        <v>8049.5</v>
      </c>
      <c r="M554" s="55"/>
    </row>
    <row r="555" spans="2:13" x14ac:dyDescent="0.3">
      <c r="B555" s="223" t="s">
        <v>2467</v>
      </c>
      <c r="C555" s="224">
        <v>6</v>
      </c>
      <c r="D555" s="225">
        <v>11</v>
      </c>
      <c r="E555" s="226">
        <v>29997</v>
      </c>
      <c r="F555" s="227"/>
      <c r="G555" s="1" t="str">
        <f>IFERROR(IF(ventas_b_mes12[[#This Row],[CUIT]]="","-",VLOOKUP(ventas_b_mes12[[#This Row],[CUIT]],Lista_CUIT[#All],2,0)),"CUIT NO CARGADO")</f>
        <v>-</v>
      </c>
      <c r="H555" s="96">
        <f>ventas_b_mes12[[#This Row],[TOTAL]]/1.21</f>
        <v>4545.454545454546</v>
      </c>
      <c r="I555" s="60">
        <f>ventas_b_mes12[[#This Row],[IMPORTE NETO]]*0.21</f>
        <v>954.54545454545462</v>
      </c>
      <c r="J555" s="229"/>
      <c r="K555" s="229"/>
      <c r="L555" s="229">
        <v>5500</v>
      </c>
      <c r="M555" s="55"/>
    </row>
    <row r="556" spans="2:13" x14ac:dyDescent="0.3">
      <c r="B556" s="223" t="s">
        <v>2467</v>
      </c>
      <c r="C556" s="224">
        <v>6</v>
      </c>
      <c r="D556" s="225">
        <v>13</v>
      </c>
      <c r="E556" s="226">
        <v>26664</v>
      </c>
      <c r="F556" s="227"/>
      <c r="G556" s="1" t="str">
        <f>IFERROR(IF(ventas_b_mes12[[#This Row],[CUIT]]="","-",VLOOKUP(ventas_b_mes12[[#This Row],[CUIT]],Lista_CUIT[#All],2,0)),"CUIT NO CARGADO")</f>
        <v>-</v>
      </c>
      <c r="H556" s="96">
        <f>ventas_b_mes12[[#This Row],[TOTAL]]/1.21</f>
        <v>7525.6198347107438</v>
      </c>
      <c r="I556" s="60">
        <f>ventas_b_mes12[[#This Row],[IMPORTE NETO]]*0.21</f>
        <v>1580.3801652892562</v>
      </c>
      <c r="J556" s="229"/>
      <c r="K556" s="229"/>
      <c r="L556" s="229">
        <v>9106</v>
      </c>
      <c r="M556" s="55"/>
    </row>
    <row r="557" spans="2:13" x14ac:dyDescent="0.3">
      <c r="B557" s="223" t="s">
        <v>2467</v>
      </c>
      <c r="C557" s="224">
        <v>6</v>
      </c>
      <c r="D557" s="225">
        <v>11</v>
      </c>
      <c r="E557" s="226">
        <v>29976</v>
      </c>
      <c r="F557" s="227"/>
      <c r="G557" s="1" t="str">
        <f>IFERROR(IF(ventas_b_mes12[[#This Row],[CUIT]]="","-",VLOOKUP(ventas_b_mes12[[#This Row],[CUIT]],Lista_CUIT[#All],2,0)),"CUIT NO CARGADO")</f>
        <v>-</v>
      </c>
      <c r="H557" s="96">
        <f>ventas_b_mes12[[#This Row],[TOTAL]]/1.21</f>
        <v>466.94214876033061</v>
      </c>
      <c r="I557" s="60">
        <f>ventas_b_mes12[[#This Row],[IMPORTE NETO]]*0.21</f>
        <v>98.057851239669418</v>
      </c>
      <c r="J557" s="229"/>
      <c r="K557" s="229"/>
      <c r="L557" s="229">
        <v>565</v>
      </c>
      <c r="M557" s="55"/>
    </row>
    <row r="558" spans="2:13" x14ac:dyDescent="0.3">
      <c r="B558" s="223" t="s">
        <v>2467</v>
      </c>
      <c r="C558" s="224">
        <v>6</v>
      </c>
      <c r="D558" s="225">
        <v>15</v>
      </c>
      <c r="E558" s="226">
        <v>7150</v>
      </c>
      <c r="F558" s="227"/>
      <c r="G558" s="1" t="str">
        <f>IFERROR(IF(ventas_b_mes12[[#This Row],[CUIT]]="","-",VLOOKUP(ventas_b_mes12[[#This Row],[CUIT]],Lista_CUIT[#All],2,0)),"CUIT NO CARGADO")</f>
        <v>-</v>
      </c>
      <c r="H558" s="96">
        <f>ventas_b_mes12[[#This Row],[TOTAL]]/1.21</f>
        <v>2066.1157024793388</v>
      </c>
      <c r="I558" s="60">
        <f>ventas_b_mes12[[#This Row],[IMPORTE NETO]]*0.21</f>
        <v>433.88429752066111</v>
      </c>
      <c r="J558" s="229"/>
      <c r="K558" s="229"/>
      <c r="L558" s="229">
        <v>2500</v>
      </c>
      <c r="M558" s="55"/>
    </row>
    <row r="559" spans="2:13" x14ac:dyDescent="0.3">
      <c r="B559" s="223" t="s">
        <v>2467</v>
      </c>
      <c r="C559" s="224">
        <v>6</v>
      </c>
      <c r="D559" s="225">
        <v>11</v>
      </c>
      <c r="E559" s="226">
        <v>29995</v>
      </c>
      <c r="F559" s="227"/>
      <c r="G559" s="1" t="str">
        <f>IFERROR(IF(ventas_b_mes12[[#This Row],[CUIT]]="","-",VLOOKUP(ventas_b_mes12[[#This Row],[CUIT]],Lista_CUIT[#All],2,0)),"CUIT NO CARGADO")</f>
        <v>-</v>
      </c>
      <c r="H559" s="96">
        <f>ventas_b_mes12[[#This Row],[TOTAL]]/1.21</f>
        <v>4958.6776859504134</v>
      </c>
      <c r="I559" s="60">
        <f>ventas_b_mes12[[#This Row],[IMPORTE NETO]]*0.21</f>
        <v>1041.3223140495868</v>
      </c>
      <c r="J559" s="229"/>
      <c r="K559" s="229"/>
      <c r="L559" s="229">
        <v>6000</v>
      </c>
      <c r="M559" s="55"/>
    </row>
    <row r="560" spans="2:13" x14ac:dyDescent="0.3">
      <c r="B560" s="223" t="s">
        <v>2467</v>
      </c>
      <c r="C560" s="224">
        <v>6</v>
      </c>
      <c r="D560" s="225">
        <v>10</v>
      </c>
      <c r="E560" s="226">
        <v>43743</v>
      </c>
      <c r="F560" s="227"/>
      <c r="G560" s="1" t="str">
        <f>IFERROR(IF(ventas_b_mes12[[#This Row],[CUIT]]="","-",VLOOKUP(ventas_b_mes12[[#This Row],[CUIT]],Lista_CUIT[#All],2,0)),"CUIT NO CARGADO")</f>
        <v>-</v>
      </c>
      <c r="H560" s="96">
        <f>ventas_b_mes12[[#This Row],[TOTAL]]/1.21</f>
        <v>2148.7603305785124</v>
      </c>
      <c r="I560" s="60">
        <f>ventas_b_mes12[[#This Row],[IMPORTE NETO]]*0.21</f>
        <v>451.23966942148758</v>
      </c>
      <c r="J560" s="229"/>
      <c r="K560" s="229"/>
      <c r="L560" s="229">
        <v>2600</v>
      </c>
      <c r="M560" s="55"/>
    </row>
    <row r="561" spans="2:13" x14ac:dyDescent="0.3">
      <c r="B561" s="223" t="s">
        <v>2467</v>
      </c>
      <c r="C561" s="224">
        <v>6</v>
      </c>
      <c r="D561" s="225">
        <v>10</v>
      </c>
      <c r="E561" s="226">
        <v>43751</v>
      </c>
      <c r="F561" s="227"/>
      <c r="G561" s="1" t="str">
        <f>IFERROR(IF(ventas_b_mes12[[#This Row],[CUIT]]="","-",VLOOKUP(ventas_b_mes12[[#This Row],[CUIT]],Lista_CUIT[#All],2,0)),"CUIT NO CARGADO")</f>
        <v>-</v>
      </c>
      <c r="H561" s="96">
        <f>ventas_b_mes12[[#This Row],[TOTAL]]/1.21</f>
        <v>8839.6694214876043</v>
      </c>
      <c r="I561" s="60">
        <f>ventas_b_mes12[[#This Row],[IMPORTE NETO]]*0.21</f>
        <v>1856.3305785123969</v>
      </c>
      <c r="J561" s="229"/>
      <c r="K561" s="229"/>
      <c r="L561" s="229">
        <v>10696</v>
      </c>
      <c r="M561" s="55"/>
    </row>
    <row r="562" spans="2:13" x14ac:dyDescent="0.3">
      <c r="B562" s="223" t="s">
        <v>2467</v>
      </c>
      <c r="C562" s="224">
        <v>6</v>
      </c>
      <c r="D562" s="225">
        <v>15</v>
      </c>
      <c r="E562" s="226">
        <v>7151</v>
      </c>
      <c r="F562" s="227"/>
      <c r="G562" s="1" t="str">
        <f>IFERROR(IF(ventas_b_mes12[[#This Row],[CUIT]]="","-",VLOOKUP(ventas_b_mes12[[#This Row],[CUIT]],Lista_CUIT[#All],2,0)),"CUIT NO CARGADO")</f>
        <v>-</v>
      </c>
      <c r="H562" s="96">
        <f>ventas_b_mes12[[#This Row],[TOTAL]]/1.21</f>
        <v>1540.504132231405</v>
      </c>
      <c r="I562" s="60">
        <f>ventas_b_mes12[[#This Row],[IMPORTE NETO]]*0.21</f>
        <v>323.50586776859507</v>
      </c>
      <c r="J562" s="229"/>
      <c r="K562" s="229"/>
      <c r="L562" s="229">
        <v>1864.01</v>
      </c>
      <c r="M562" s="55"/>
    </row>
    <row r="563" spans="2:13" x14ac:dyDescent="0.3">
      <c r="B563" s="223" t="s">
        <v>2467</v>
      </c>
      <c r="C563" s="224">
        <v>6</v>
      </c>
      <c r="D563" s="225">
        <v>15</v>
      </c>
      <c r="E563" s="226">
        <v>7152</v>
      </c>
      <c r="F563" s="227"/>
      <c r="G563" s="1" t="str">
        <f>IFERROR(IF(ventas_b_mes12[[#This Row],[CUIT]]="","-",VLOOKUP(ventas_b_mes12[[#This Row],[CUIT]],Lista_CUIT[#All],2,0)),"CUIT NO CARGADO")</f>
        <v>-</v>
      </c>
      <c r="H563" s="96">
        <f>ventas_b_mes12[[#This Row],[TOTAL]]/1.21</f>
        <v>4919.0082644628101</v>
      </c>
      <c r="I563" s="60">
        <f>ventas_b_mes12[[#This Row],[IMPORTE NETO]]*0.21</f>
        <v>1032.9917355371902</v>
      </c>
      <c r="J563" s="229"/>
      <c r="K563" s="229"/>
      <c r="L563" s="229">
        <v>5952</v>
      </c>
      <c r="M563" s="55"/>
    </row>
    <row r="564" spans="2:13" x14ac:dyDescent="0.3">
      <c r="B564" s="223" t="s">
        <v>2467</v>
      </c>
      <c r="C564" s="224">
        <v>6</v>
      </c>
      <c r="D564" s="225">
        <v>10</v>
      </c>
      <c r="E564" s="226">
        <v>43752</v>
      </c>
      <c r="F564" s="227"/>
      <c r="G564" s="1" t="str">
        <f>IFERROR(IF(ventas_b_mes12[[#This Row],[CUIT]]="","-",VLOOKUP(ventas_b_mes12[[#This Row],[CUIT]],Lista_CUIT[#All],2,0)),"CUIT NO CARGADO")</f>
        <v>-</v>
      </c>
      <c r="H564" s="96">
        <f>ventas_b_mes12[[#This Row],[TOTAL]]/1.21</f>
        <v>5834.7107438016528</v>
      </c>
      <c r="I564" s="60">
        <f>ventas_b_mes12[[#This Row],[IMPORTE NETO]]*0.21</f>
        <v>1225.2892561983469</v>
      </c>
      <c r="J564" s="229"/>
      <c r="K564" s="229"/>
      <c r="L564" s="229">
        <v>7060</v>
      </c>
      <c r="M564" s="55"/>
    </row>
    <row r="565" spans="2:13" x14ac:dyDescent="0.3">
      <c r="B565" s="223" t="s">
        <v>2467</v>
      </c>
      <c r="C565" s="224">
        <v>6</v>
      </c>
      <c r="D565" s="225">
        <v>10</v>
      </c>
      <c r="E565" s="226">
        <v>43753</v>
      </c>
      <c r="F565" s="227"/>
      <c r="G565" s="1" t="str">
        <f>IFERROR(IF(ventas_b_mes12[[#This Row],[CUIT]]="","-",VLOOKUP(ventas_b_mes12[[#This Row],[CUIT]],Lista_CUIT[#All],2,0)),"CUIT NO CARGADO")</f>
        <v>-</v>
      </c>
      <c r="H565" s="96">
        <f>ventas_b_mes12[[#This Row],[TOTAL]]/1.21</f>
        <v>21590.041322314049</v>
      </c>
      <c r="I565" s="60">
        <f>ventas_b_mes12[[#This Row],[IMPORTE NETO]]*0.21</f>
        <v>4533.9086776859504</v>
      </c>
      <c r="J565" s="229"/>
      <c r="K565" s="229"/>
      <c r="L565" s="229">
        <v>26123.95</v>
      </c>
      <c r="M565" s="55"/>
    </row>
    <row r="566" spans="2:13" x14ac:dyDescent="0.3">
      <c r="B566" s="223" t="s">
        <v>2467</v>
      </c>
      <c r="C566" s="224">
        <v>6</v>
      </c>
      <c r="D566" s="225">
        <v>13</v>
      </c>
      <c r="E566" s="226">
        <v>26669</v>
      </c>
      <c r="F566" s="227"/>
      <c r="G566" s="1" t="str">
        <f>IFERROR(IF(ventas_b_mes12[[#This Row],[CUIT]]="","-",VLOOKUP(ventas_b_mes12[[#This Row],[CUIT]],Lista_CUIT[#All],2,0)),"CUIT NO CARGADO")</f>
        <v>-</v>
      </c>
      <c r="H566" s="96">
        <f>ventas_b_mes12[[#This Row],[TOTAL]]/1.21</f>
        <v>5980.1570247933887</v>
      </c>
      <c r="I566" s="60">
        <f>ventas_b_mes12[[#This Row],[IMPORTE NETO]]*0.21</f>
        <v>1255.8329752066115</v>
      </c>
      <c r="J566" s="229"/>
      <c r="K566" s="229"/>
      <c r="L566" s="229">
        <v>7235.99</v>
      </c>
      <c r="M566" s="55"/>
    </row>
    <row r="567" spans="2:13" x14ac:dyDescent="0.3">
      <c r="B567" s="223" t="s">
        <v>2467</v>
      </c>
      <c r="C567" s="224">
        <v>6</v>
      </c>
      <c r="D567" s="225">
        <v>11</v>
      </c>
      <c r="E567" s="226">
        <v>29982</v>
      </c>
      <c r="F567" s="227"/>
      <c r="G567" s="1" t="str">
        <f>IFERROR(IF(ventas_b_mes12[[#This Row],[CUIT]]="","-",VLOOKUP(ventas_b_mes12[[#This Row],[CUIT]],Lista_CUIT[#All],2,0)),"CUIT NO CARGADO")</f>
        <v>-</v>
      </c>
      <c r="H567" s="96">
        <f>ventas_b_mes12[[#This Row],[TOTAL]]/1.21</f>
        <v>7438.0165289256202</v>
      </c>
      <c r="I567" s="60">
        <f>ventas_b_mes12[[#This Row],[IMPORTE NETO]]*0.21</f>
        <v>1561.9834710743801</v>
      </c>
      <c r="J567" s="229"/>
      <c r="K567" s="229"/>
      <c r="L567" s="229">
        <v>9000</v>
      </c>
      <c r="M567" s="55"/>
    </row>
    <row r="568" spans="2:13" x14ac:dyDescent="0.3">
      <c r="B568" s="223" t="s">
        <v>2467</v>
      </c>
      <c r="C568" s="224">
        <v>6</v>
      </c>
      <c r="D568" s="225">
        <v>10</v>
      </c>
      <c r="E568" s="226">
        <v>43760</v>
      </c>
      <c r="F568" s="227"/>
      <c r="G568" s="1" t="str">
        <f>IFERROR(IF(ventas_b_mes12[[#This Row],[CUIT]]="","-",VLOOKUP(ventas_b_mes12[[#This Row],[CUIT]],Lista_CUIT[#All],2,0)),"CUIT NO CARGADO")</f>
        <v>-</v>
      </c>
      <c r="H568" s="96">
        <f>ventas_b_mes12[[#This Row],[TOTAL]]/1.21</f>
        <v>4545.454545454546</v>
      </c>
      <c r="I568" s="60">
        <f>ventas_b_mes12[[#This Row],[IMPORTE NETO]]*0.21</f>
        <v>954.54545454545462</v>
      </c>
      <c r="J568" s="229"/>
      <c r="K568" s="229"/>
      <c r="L568" s="229">
        <v>5500</v>
      </c>
      <c r="M568" s="55"/>
    </row>
    <row r="569" spans="2:13" x14ac:dyDescent="0.3">
      <c r="B569" s="223" t="s">
        <v>2467</v>
      </c>
      <c r="C569" s="224">
        <v>6</v>
      </c>
      <c r="D569" s="225">
        <v>12</v>
      </c>
      <c r="E569" s="226">
        <v>22403</v>
      </c>
      <c r="F569" s="227"/>
      <c r="G569" s="1" t="str">
        <f>IFERROR(IF(ventas_b_mes12[[#This Row],[CUIT]]="","-",VLOOKUP(ventas_b_mes12[[#This Row],[CUIT]],Lista_CUIT[#All],2,0)),"CUIT NO CARGADO")</f>
        <v>-</v>
      </c>
      <c r="H569" s="96">
        <f>ventas_b_mes12[[#This Row],[TOTAL]]/1.21</f>
        <v>2742.6033057851241</v>
      </c>
      <c r="I569" s="60">
        <f>ventas_b_mes12[[#This Row],[IMPORTE NETO]]*0.21</f>
        <v>575.94669421487606</v>
      </c>
      <c r="J569" s="229"/>
      <c r="K569" s="229"/>
      <c r="L569" s="229">
        <v>3318.55</v>
      </c>
      <c r="M569" s="55"/>
    </row>
    <row r="570" spans="2:13" x14ac:dyDescent="0.3">
      <c r="B570" s="223" t="s">
        <v>2467</v>
      </c>
      <c r="C570" s="224">
        <v>6</v>
      </c>
      <c r="D570" s="225">
        <v>12</v>
      </c>
      <c r="E570" s="226">
        <v>22402</v>
      </c>
      <c r="F570" s="227"/>
      <c r="G570" s="1" t="str">
        <f>IFERROR(IF(ventas_b_mes12[[#This Row],[CUIT]]="","-",VLOOKUP(ventas_b_mes12[[#This Row],[CUIT]],Lista_CUIT[#All],2,0)),"CUIT NO CARGADO")</f>
        <v>-</v>
      </c>
      <c r="H570" s="96">
        <f>ventas_b_mes12[[#This Row],[TOTAL]]/1.21</f>
        <v>6823.1404958677685</v>
      </c>
      <c r="I570" s="60">
        <f>ventas_b_mes12[[#This Row],[IMPORTE NETO]]*0.21</f>
        <v>1432.8595041322315</v>
      </c>
      <c r="J570" s="229"/>
      <c r="K570" s="229"/>
      <c r="L570" s="229">
        <v>8256</v>
      </c>
      <c r="M570" s="55"/>
    </row>
    <row r="571" spans="2:13" x14ac:dyDescent="0.3">
      <c r="B571" s="223" t="s">
        <v>2467</v>
      </c>
      <c r="C571" s="224">
        <v>6</v>
      </c>
      <c r="D571" s="225">
        <v>13</v>
      </c>
      <c r="E571" s="226">
        <v>26668</v>
      </c>
      <c r="F571" s="227"/>
      <c r="G571" s="1" t="str">
        <f>IFERROR(IF(ventas_b_mes12[[#This Row],[CUIT]]="","-",VLOOKUP(ventas_b_mes12[[#This Row],[CUIT]],Lista_CUIT[#All],2,0)),"CUIT NO CARGADO")</f>
        <v>-</v>
      </c>
      <c r="H571" s="96">
        <f>ventas_b_mes12[[#This Row],[TOTAL]]/1.21</f>
        <v>2541.322314049587</v>
      </c>
      <c r="I571" s="60">
        <f>ventas_b_mes12[[#This Row],[IMPORTE NETO]]*0.21</f>
        <v>533.67768595041321</v>
      </c>
      <c r="J571" s="229"/>
      <c r="K571" s="229"/>
      <c r="L571" s="229">
        <v>3075</v>
      </c>
      <c r="M571" s="55"/>
    </row>
    <row r="572" spans="2:13" x14ac:dyDescent="0.3">
      <c r="B572" s="223" t="s">
        <v>2467</v>
      </c>
      <c r="C572" s="224">
        <v>6</v>
      </c>
      <c r="D572" s="225">
        <v>13</v>
      </c>
      <c r="E572" s="226">
        <v>26671</v>
      </c>
      <c r="F572" s="227"/>
      <c r="G572" s="1" t="str">
        <f>IFERROR(IF(ventas_b_mes12[[#This Row],[CUIT]]="","-",VLOOKUP(ventas_b_mes12[[#This Row],[CUIT]],Lista_CUIT[#All],2,0)),"CUIT NO CARGADO")</f>
        <v>-</v>
      </c>
      <c r="H572" s="96">
        <f>ventas_b_mes12[[#This Row],[TOTAL]]/1.21</f>
        <v>18768.603305785124</v>
      </c>
      <c r="I572" s="60">
        <f>ventas_b_mes12[[#This Row],[IMPORTE NETO]]*0.21</f>
        <v>3941.4066942148756</v>
      </c>
      <c r="J572" s="229"/>
      <c r="K572" s="229"/>
      <c r="L572" s="229">
        <v>22710.01</v>
      </c>
      <c r="M572" s="55"/>
    </row>
    <row r="573" spans="2:13" x14ac:dyDescent="0.3">
      <c r="B573" s="223" t="s">
        <v>2467</v>
      </c>
      <c r="C573" s="224">
        <v>6</v>
      </c>
      <c r="D573" s="225">
        <v>10</v>
      </c>
      <c r="E573" s="226">
        <v>43734</v>
      </c>
      <c r="F573" s="227"/>
      <c r="G573" s="1" t="str">
        <f>IFERROR(IF(ventas_b_mes12[[#This Row],[CUIT]]="","-",VLOOKUP(ventas_b_mes12[[#This Row],[CUIT]],Lista_CUIT[#All],2,0)),"CUIT NO CARGADO")</f>
        <v>-</v>
      </c>
      <c r="H573" s="96">
        <f>ventas_b_mes12[[#This Row],[TOTAL]]/1.21</f>
        <v>3842.9752066115702</v>
      </c>
      <c r="I573" s="60">
        <f>ventas_b_mes12[[#This Row],[IMPORTE NETO]]*0.21</f>
        <v>807.02479338842977</v>
      </c>
      <c r="J573" s="229"/>
      <c r="K573" s="229"/>
      <c r="L573" s="229">
        <v>4650</v>
      </c>
      <c r="M573" s="55"/>
    </row>
    <row r="574" spans="2:13" x14ac:dyDescent="0.3">
      <c r="B574" s="223" t="s">
        <v>2467</v>
      </c>
      <c r="C574" s="224">
        <v>6</v>
      </c>
      <c r="D574" s="225">
        <v>13</v>
      </c>
      <c r="E574" s="226">
        <v>26670</v>
      </c>
      <c r="F574" s="227"/>
      <c r="G574" s="1" t="str">
        <f>IFERROR(IF(ventas_b_mes12[[#This Row],[CUIT]]="","-",VLOOKUP(ventas_b_mes12[[#This Row],[CUIT]],Lista_CUIT[#All],2,0)),"CUIT NO CARGADO")</f>
        <v>-</v>
      </c>
      <c r="H574" s="96">
        <f>ventas_b_mes12[[#This Row],[TOTAL]]/1.21</f>
        <v>2796.6942148760331</v>
      </c>
      <c r="I574" s="60">
        <f>ventas_b_mes12[[#This Row],[IMPORTE NETO]]*0.21</f>
        <v>587.30578512396698</v>
      </c>
      <c r="J574" s="229"/>
      <c r="K574" s="229"/>
      <c r="L574" s="229">
        <v>3384</v>
      </c>
      <c r="M574" s="55"/>
    </row>
    <row r="575" spans="2:13" x14ac:dyDescent="0.3">
      <c r="B575" s="223" t="s">
        <v>2467</v>
      </c>
      <c r="C575" s="224">
        <v>6</v>
      </c>
      <c r="D575" s="225">
        <v>10</v>
      </c>
      <c r="E575" s="226">
        <v>43755</v>
      </c>
      <c r="F575" s="227"/>
      <c r="G575" s="1" t="str">
        <f>IFERROR(IF(ventas_b_mes12[[#This Row],[CUIT]]="","-",VLOOKUP(ventas_b_mes12[[#This Row],[CUIT]],Lista_CUIT[#All],2,0)),"CUIT NO CARGADO")</f>
        <v>-</v>
      </c>
      <c r="H575" s="96">
        <f>ventas_b_mes12[[#This Row],[TOTAL]]/1.21</f>
        <v>9368.5950413223145</v>
      </c>
      <c r="I575" s="60">
        <f>ventas_b_mes12[[#This Row],[IMPORTE NETO]]*0.21</f>
        <v>1967.404958677686</v>
      </c>
      <c r="J575" s="229"/>
      <c r="K575" s="229"/>
      <c r="L575" s="229">
        <v>11336</v>
      </c>
      <c r="M575" s="55"/>
    </row>
    <row r="576" spans="2:13" x14ac:dyDescent="0.3">
      <c r="B576" s="223" t="s">
        <v>2467</v>
      </c>
      <c r="C576" s="224">
        <v>6</v>
      </c>
      <c r="D576" s="225">
        <v>15</v>
      </c>
      <c r="E576" s="226">
        <v>7149</v>
      </c>
      <c r="F576" s="227"/>
      <c r="G576" s="1" t="str">
        <f>IFERROR(IF(ventas_b_mes12[[#This Row],[CUIT]]="","-",VLOOKUP(ventas_b_mes12[[#This Row],[CUIT]],Lista_CUIT[#All],2,0)),"CUIT NO CARGADO")</f>
        <v>-</v>
      </c>
      <c r="H576" s="96">
        <f>ventas_b_mes12[[#This Row],[TOTAL]]/1.21</f>
        <v>6869.4214876033056</v>
      </c>
      <c r="I576" s="60">
        <f>ventas_b_mes12[[#This Row],[IMPORTE NETO]]*0.21</f>
        <v>1442.5785123966941</v>
      </c>
      <c r="J576" s="229"/>
      <c r="K576" s="229"/>
      <c r="L576" s="229">
        <v>8312</v>
      </c>
      <c r="M576" s="55"/>
    </row>
    <row r="577" spans="2:13" x14ac:dyDescent="0.3">
      <c r="B577" s="223" t="s">
        <v>2467</v>
      </c>
      <c r="C577" s="224">
        <v>6</v>
      </c>
      <c r="D577" s="225">
        <v>11</v>
      </c>
      <c r="E577" s="226">
        <v>29992</v>
      </c>
      <c r="F577" s="227"/>
      <c r="G577" s="1" t="str">
        <f>IFERROR(IF(ventas_b_mes12[[#This Row],[CUIT]]="","-",VLOOKUP(ventas_b_mes12[[#This Row],[CUIT]],Lista_CUIT[#All],2,0)),"CUIT NO CARGADO")</f>
        <v>-</v>
      </c>
      <c r="H577" s="96">
        <f>ventas_b_mes12[[#This Row],[TOTAL]]/1.21</f>
        <v>15543.380165289258</v>
      </c>
      <c r="I577" s="60">
        <f>ventas_b_mes12[[#This Row],[IMPORTE NETO]]*0.21</f>
        <v>3264.1098347107441</v>
      </c>
      <c r="J577" s="229"/>
      <c r="K577" s="229"/>
      <c r="L577" s="229">
        <v>18807.490000000002</v>
      </c>
      <c r="M577" s="55"/>
    </row>
    <row r="578" spans="2:13" x14ac:dyDescent="0.3">
      <c r="B578" s="223" t="s">
        <v>2467</v>
      </c>
      <c r="C578" s="224">
        <v>6</v>
      </c>
      <c r="D578" s="225">
        <v>11</v>
      </c>
      <c r="E578" s="226">
        <v>29971</v>
      </c>
      <c r="F578" s="227"/>
      <c r="G578" s="1" t="str">
        <f>IFERROR(IF(ventas_b_mes12[[#This Row],[CUIT]]="","-",VLOOKUP(ventas_b_mes12[[#This Row],[CUIT]],Lista_CUIT[#All],2,0)),"CUIT NO CARGADO")</f>
        <v>-</v>
      </c>
      <c r="H578" s="96">
        <f>ventas_b_mes12[[#This Row],[TOTAL]]/1.21</f>
        <v>3355.3719008264466</v>
      </c>
      <c r="I578" s="60">
        <f>ventas_b_mes12[[#This Row],[IMPORTE NETO]]*0.21</f>
        <v>704.62809917355378</v>
      </c>
      <c r="J578" s="229"/>
      <c r="K578" s="229"/>
      <c r="L578" s="229">
        <v>4060</v>
      </c>
      <c r="M578" s="55"/>
    </row>
    <row r="579" spans="2:13" x14ac:dyDescent="0.3">
      <c r="B579" s="223" t="s">
        <v>2467</v>
      </c>
      <c r="C579" s="224">
        <v>6</v>
      </c>
      <c r="D579" s="225">
        <v>15</v>
      </c>
      <c r="E579" s="226">
        <v>7146</v>
      </c>
      <c r="F579" s="227"/>
      <c r="G579" s="1" t="str">
        <f>IFERROR(IF(ventas_b_mes12[[#This Row],[CUIT]]="","-",VLOOKUP(ventas_b_mes12[[#This Row],[CUIT]],Lista_CUIT[#All],2,0)),"CUIT NO CARGADO")</f>
        <v>-</v>
      </c>
      <c r="H579" s="96">
        <f>ventas_b_mes12[[#This Row],[TOTAL]]/1.21</f>
        <v>2644.6280991735539</v>
      </c>
      <c r="I579" s="60">
        <f>ventas_b_mes12[[#This Row],[IMPORTE NETO]]*0.21</f>
        <v>555.37190082644634</v>
      </c>
      <c r="J579" s="229"/>
      <c r="K579" s="229"/>
      <c r="L579" s="229">
        <v>3200</v>
      </c>
      <c r="M579" s="55"/>
    </row>
    <row r="580" spans="2:13" x14ac:dyDescent="0.3">
      <c r="B580" s="223" t="s">
        <v>2467</v>
      </c>
      <c r="C580" s="224">
        <v>6</v>
      </c>
      <c r="D580" s="225">
        <v>15</v>
      </c>
      <c r="E580" s="226">
        <v>7143</v>
      </c>
      <c r="F580" s="227"/>
      <c r="G580" s="1" t="str">
        <f>IFERROR(IF(ventas_b_mes12[[#This Row],[CUIT]]="","-",VLOOKUP(ventas_b_mes12[[#This Row],[CUIT]],Lista_CUIT[#All],2,0)),"CUIT NO CARGADO")</f>
        <v>-</v>
      </c>
      <c r="H580" s="96">
        <f>ventas_b_mes12[[#This Row],[TOTAL]]/1.21</f>
        <v>6500</v>
      </c>
      <c r="I580" s="60">
        <f>ventas_b_mes12[[#This Row],[IMPORTE NETO]]*0.21</f>
        <v>1365</v>
      </c>
      <c r="J580" s="229"/>
      <c r="K580" s="229"/>
      <c r="L580" s="229">
        <v>7865</v>
      </c>
      <c r="M580" s="55"/>
    </row>
    <row r="581" spans="2:13" x14ac:dyDescent="0.3">
      <c r="B581" s="223" t="s">
        <v>2467</v>
      </c>
      <c r="C581" s="224">
        <v>6</v>
      </c>
      <c r="D581" s="225">
        <v>10</v>
      </c>
      <c r="E581" s="226">
        <v>43748</v>
      </c>
      <c r="F581" s="227"/>
      <c r="G581" s="1" t="str">
        <f>IFERROR(IF(ventas_b_mes12[[#This Row],[CUIT]]="","-",VLOOKUP(ventas_b_mes12[[#This Row],[CUIT]],Lista_CUIT[#All],2,0)),"CUIT NO CARGADO")</f>
        <v>-</v>
      </c>
      <c r="H581" s="96">
        <f>ventas_b_mes12[[#This Row],[TOTAL]]/1.21</f>
        <v>2181.818181818182</v>
      </c>
      <c r="I581" s="60">
        <f>ventas_b_mes12[[#This Row],[IMPORTE NETO]]*0.21</f>
        <v>458.18181818181819</v>
      </c>
      <c r="J581" s="229"/>
      <c r="K581" s="229"/>
      <c r="L581" s="229">
        <v>2640</v>
      </c>
      <c r="M581" s="55"/>
    </row>
    <row r="582" spans="2:13" x14ac:dyDescent="0.3">
      <c r="B582" s="223" t="s">
        <v>2467</v>
      </c>
      <c r="C582" s="224">
        <v>6</v>
      </c>
      <c r="D582" s="225">
        <v>13</v>
      </c>
      <c r="E582" s="226">
        <v>26665</v>
      </c>
      <c r="F582" s="227"/>
      <c r="G582" s="1" t="str">
        <f>IFERROR(IF(ventas_b_mes12[[#This Row],[CUIT]]="","-",VLOOKUP(ventas_b_mes12[[#This Row],[CUIT]],Lista_CUIT[#All],2,0)),"CUIT NO CARGADO")</f>
        <v>-</v>
      </c>
      <c r="H582" s="96">
        <f>ventas_b_mes12[[#This Row],[TOTAL]]/1.21</f>
        <v>2975.2066115702482</v>
      </c>
      <c r="I582" s="60">
        <f>ventas_b_mes12[[#This Row],[IMPORTE NETO]]*0.21</f>
        <v>624.7933884297521</v>
      </c>
      <c r="J582" s="229"/>
      <c r="K582" s="229"/>
      <c r="L582" s="229">
        <v>3600</v>
      </c>
      <c r="M582" s="55"/>
    </row>
    <row r="583" spans="2:13" x14ac:dyDescent="0.3">
      <c r="B583" s="223" t="s">
        <v>2467</v>
      </c>
      <c r="C583" s="224">
        <v>6</v>
      </c>
      <c r="D583" s="225">
        <v>11</v>
      </c>
      <c r="E583" s="226">
        <v>29996</v>
      </c>
      <c r="F583" s="227"/>
      <c r="G583" s="1" t="str">
        <f>IFERROR(IF(ventas_b_mes12[[#This Row],[CUIT]]="","-",VLOOKUP(ventas_b_mes12[[#This Row],[CUIT]],Lista_CUIT[#All],2,0)),"CUIT NO CARGADO")</f>
        <v>-</v>
      </c>
      <c r="H583" s="96">
        <f>ventas_b_mes12[[#This Row],[TOTAL]]/1.21</f>
        <v>4545.454545454546</v>
      </c>
      <c r="I583" s="60">
        <f>ventas_b_mes12[[#This Row],[IMPORTE NETO]]*0.21</f>
        <v>954.54545454545462</v>
      </c>
      <c r="J583" s="229"/>
      <c r="K583" s="229"/>
      <c r="L583" s="229">
        <v>5500</v>
      </c>
      <c r="M583" s="55"/>
    </row>
    <row r="584" spans="2:13" x14ac:dyDescent="0.3">
      <c r="B584" s="223" t="s">
        <v>2467</v>
      </c>
      <c r="C584" s="224">
        <v>6</v>
      </c>
      <c r="D584" s="225">
        <v>12</v>
      </c>
      <c r="E584" s="226">
        <v>22399</v>
      </c>
      <c r="F584" s="227"/>
      <c r="G584" s="1" t="str">
        <f>IFERROR(IF(ventas_b_mes12[[#This Row],[CUIT]]="","-",VLOOKUP(ventas_b_mes12[[#This Row],[CUIT]],Lista_CUIT[#All],2,0)),"CUIT NO CARGADO")</f>
        <v>-</v>
      </c>
      <c r="H584" s="96">
        <f>ventas_b_mes12[[#This Row],[TOTAL]]/1.21</f>
        <v>2404.9586776859505</v>
      </c>
      <c r="I584" s="60">
        <f>ventas_b_mes12[[#This Row],[IMPORTE NETO]]*0.21</f>
        <v>505.04132231404958</v>
      </c>
      <c r="J584" s="229"/>
      <c r="K584" s="229"/>
      <c r="L584" s="229">
        <v>2910</v>
      </c>
      <c r="M584" s="55"/>
    </row>
    <row r="585" spans="2:13" x14ac:dyDescent="0.3">
      <c r="B585" s="223" t="s">
        <v>2467</v>
      </c>
      <c r="C585" s="224">
        <v>6</v>
      </c>
      <c r="D585" s="225">
        <v>10</v>
      </c>
      <c r="E585" s="226">
        <v>43744</v>
      </c>
      <c r="F585" s="227"/>
      <c r="G585" s="1" t="str">
        <f>IFERROR(IF(ventas_b_mes12[[#This Row],[CUIT]]="","-",VLOOKUP(ventas_b_mes12[[#This Row],[CUIT]],Lista_CUIT[#All],2,0)),"CUIT NO CARGADO")</f>
        <v>-</v>
      </c>
      <c r="H585" s="96">
        <f>ventas_b_mes12[[#This Row],[TOTAL]]/1.21</f>
        <v>4909.0743801652889</v>
      </c>
      <c r="I585" s="60">
        <f>ventas_b_mes12[[#This Row],[IMPORTE NETO]]*0.21</f>
        <v>1030.9056198347107</v>
      </c>
      <c r="J585" s="229"/>
      <c r="K585" s="229"/>
      <c r="L585" s="229">
        <v>5939.98</v>
      </c>
      <c r="M585" s="55"/>
    </row>
    <row r="586" spans="2:13" x14ac:dyDescent="0.3">
      <c r="B586" s="223" t="s">
        <v>2467</v>
      </c>
      <c r="C586" s="224">
        <v>6</v>
      </c>
      <c r="D586" s="225">
        <v>11</v>
      </c>
      <c r="E586" s="226">
        <v>29983</v>
      </c>
      <c r="F586" s="227"/>
      <c r="G586" s="1" t="str">
        <f>IFERROR(IF(ventas_b_mes12[[#This Row],[CUIT]]="","-",VLOOKUP(ventas_b_mes12[[#This Row],[CUIT]],Lista_CUIT[#All],2,0)),"CUIT NO CARGADO")</f>
        <v>-</v>
      </c>
      <c r="H586" s="96">
        <f>ventas_b_mes12[[#This Row],[TOTAL]]/1.21</f>
        <v>665.28925619834718</v>
      </c>
      <c r="I586" s="60">
        <f>ventas_b_mes12[[#This Row],[IMPORTE NETO]]*0.21</f>
        <v>139.71074380165291</v>
      </c>
      <c r="J586" s="229"/>
      <c r="K586" s="229"/>
      <c r="L586" s="229">
        <v>805</v>
      </c>
      <c r="M586" s="55"/>
    </row>
    <row r="587" spans="2:13" x14ac:dyDescent="0.3">
      <c r="B587" s="223" t="s">
        <v>2467</v>
      </c>
      <c r="C587" s="224">
        <v>6</v>
      </c>
      <c r="D587" s="225">
        <v>10</v>
      </c>
      <c r="E587" s="226">
        <v>43746</v>
      </c>
      <c r="F587" s="227"/>
      <c r="G587" s="1" t="str">
        <f>IFERROR(IF(ventas_b_mes12[[#This Row],[CUIT]]="","-",VLOOKUP(ventas_b_mes12[[#This Row],[CUIT]],Lista_CUIT[#All],2,0)),"CUIT NO CARGADO")</f>
        <v>-</v>
      </c>
      <c r="H587" s="96">
        <f>ventas_b_mes12[[#This Row],[TOTAL]]/1.21</f>
        <v>5024.7933884297527</v>
      </c>
      <c r="I587" s="60">
        <f>ventas_b_mes12[[#This Row],[IMPORTE NETO]]*0.21</f>
        <v>1055.206611570248</v>
      </c>
      <c r="J587" s="229"/>
      <c r="K587" s="229"/>
      <c r="L587" s="229">
        <v>6080</v>
      </c>
      <c r="M587" s="55"/>
    </row>
    <row r="588" spans="2:13" x14ac:dyDescent="0.3">
      <c r="B588" s="223" t="s">
        <v>2467</v>
      </c>
      <c r="C588" s="224">
        <v>6</v>
      </c>
      <c r="D588" s="225">
        <v>10</v>
      </c>
      <c r="E588" s="226">
        <v>43749</v>
      </c>
      <c r="F588" s="227"/>
      <c r="G588" s="1" t="str">
        <f>IFERROR(IF(ventas_b_mes12[[#This Row],[CUIT]]="","-",VLOOKUP(ventas_b_mes12[[#This Row],[CUIT]],Lista_CUIT[#All],2,0)),"CUIT NO CARGADO")</f>
        <v>-</v>
      </c>
      <c r="H588" s="96">
        <f>ventas_b_mes12[[#This Row],[TOTAL]]/1.21</f>
        <v>4157.0247933884302</v>
      </c>
      <c r="I588" s="60">
        <f>ventas_b_mes12[[#This Row],[IMPORTE NETO]]*0.21</f>
        <v>872.97520661157034</v>
      </c>
      <c r="J588" s="229"/>
      <c r="K588" s="229"/>
      <c r="L588" s="229">
        <v>5030</v>
      </c>
      <c r="M588" s="55"/>
    </row>
    <row r="589" spans="2:13" x14ac:dyDescent="0.3">
      <c r="B589" s="223" t="s">
        <v>2467</v>
      </c>
      <c r="C589" s="224">
        <v>6</v>
      </c>
      <c r="D589" s="225">
        <v>12</v>
      </c>
      <c r="E589" s="226">
        <v>22401</v>
      </c>
      <c r="F589" s="227"/>
      <c r="G589" s="1" t="str">
        <f>IFERROR(IF(ventas_b_mes12[[#This Row],[CUIT]]="","-",VLOOKUP(ventas_b_mes12[[#This Row],[CUIT]],Lista_CUIT[#All],2,0)),"CUIT NO CARGADO")</f>
        <v>-</v>
      </c>
      <c r="H589" s="96">
        <f>ventas_b_mes12[[#This Row],[TOTAL]]/1.21</f>
        <v>5814.3305785123966</v>
      </c>
      <c r="I589" s="60">
        <f>ventas_b_mes12[[#This Row],[IMPORTE NETO]]*0.21</f>
        <v>1221.0094214876033</v>
      </c>
      <c r="J589" s="229"/>
      <c r="K589" s="229"/>
      <c r="L589" s="229">
        <v>7035.34</v>
      </c>
      <c r="M589" s="55"/>
    </row>
    <row r="590" spans="2:13" x14ac:dyDescent="0.3">
      <c r="B590" s="223" t="s">
        <v>2467</v>
      </c>
      <c r="C590" s="224">
        <v>6</v>
      </c>
      <c r="D590" s="225">
        <v>12</v>
      </c>
      <c r="E590" s="226">
        <v>22398</v>
      </c>
      <c r="F590" s="227"/>
      <c r="G590" s="1" t="str">
        <f>IFERROR(IF(ventas_b_mes12[[#This Row],[CUIT]]="","-",VLOOKUP(ventas_b_mes12[[#This Row],[CUIT]],Lista_CUIT[#All],2,0)),"CUIT NO CARGADO")</f>
        <v>-</v>
      </c>
      <c r="H590" s="96">
        <f>ventas_b_mes12[[#This Row],[TOTAL]]/1.21</f>
        <v>6849.1735537190089</v>
      </c>
      <c r="I590" s="60">
        <f>ventas_b_mes12[[#This Row],[IMPORTE NETO]]*0.21</f>
        <v>1438.3264462809918</v>
      </c>
      <c r="J590" s="229"/>
      <c r="K590" s="229"/>
      <c r="L590" s="229">
        <v>8287.5</v>
      </c>
      <c r="M590" s="55"/>
    </row>
    <row r="591" spans="2:13" x14ac:dyDescent="0.3">
      <c r="B591" s="223" t="s">
        <v>2467</v>
      </c>
      <c r="C591" s="224">
        <v>6</v>
      </c>
      <c r="D591" s="225">
        <v>13</v>
      </c>
      <c r="E591" s="226">
        <v>26673</v>
      </c>
      <c r="F591" s="227"/>
      <c r="G591" s="1" t="str">
        <f>IFERROR(IF(ventas_b_mes12[[#This Row],[CUIT]]="","-",VLOOKUP(ventas_b_mes12[[#This Row],[CUIT]],Lista_CUIT[#All],2,0)),"CUIT NO CARGADO")</f>
        <v>-</v>
      </c>
      <c r="H591" s="96">
        <f>ventas_b_mes12[[#This Row],[TOTAL]]/1.21</f>
        <v>6264.4628099173551</v>
      </c>
      <c r="I591" s="60">
        <f>ventas_b_mes12[[#This Row],[IMPORTE NETO]]*0.21</f>
        <v>1315.5371900826444</v>
      </c>
      <c r="J591" s="229"/>
      <c r="K591" s="229"/>
      <c r="L591" s="229">
        <v>7580</v>
      </c>
      <c r="M591" s="55"/>
    </row>
    <row r="592" spans="2:13" x14ac:dyDescent="0.3">
      <c r="B592" s="223" t="s">
        <v>2467</v>
      </c>
      <c r="C592" s="224">
        <v>6</v>
      </c>
      <c r="D592" s="225">
        <v>11</v>
      </c>
      <c r="E592" s="226">
        <v>29989</v>
      </c>
      <c r="F592" s="227"/>
      <c r="G592" s="1" t="str">
        <f>IFERROR(IF(ventas_b_mes12[[#This Row],[CUIT]]="","-",VLOOKUP(ventas_b_mes12[[#This Row],[CUIT]],Lista_CUIT[#All],2,0)),"CUIT NO CARGADO")</f>
        <v>-</v>
      </c>
      <c r="H592" s="96">
        <f>ventas_b_mes12[[#This Row],[TOTAL]]/1.21</f>
        <v>8132.2148760330574</v>
      </c>
      <c r="I592" s="60">
        <f>ventas_b_mes12[[#This Row],[IMPORTE NETO]]*0.21</f>
        <v>1707.7651239669419</v>
      </c>
      <c r="J592" s="229"/>
      <c r="K592" s="229"/>
      <c r="L592" s="229">
        <v>9839.98</v>
      </c>
      <c r="M592" s="55"/>
    </row>
    <row r="593" spans="2:13" x14ac:dyDescent="0.3">
      <c r="B593" s="223" t="s">
        <v>2467</v>
      </c>
      <c r="C593" s="224">
        <v>6</v>
      </c>
      <c r="D593" s="225">
        <v>15</v>
      </c>
      <c r="E593" s="226">
        <v>7156</v>
      </c>
      <c r="F593" s="227"/>
      <c r="G593" s="1" t="str">
        <f>IFERROR(IF(ventas_b_mes12[[#This Row],[CUIT]]="","-",VLOOKUP(ventas_b_mes12[[#This Row],[CUIT]],Lista_CUIT[#All],2,0)),"CUIT NO CARGADO")</f>
        <v>-</v>
      </c>
      <c r="H593" s="96">
        <f>ventas_b_mes12[[#This Row],[TOTAL]]/1.21</f>
        <v>1190.0826446280992</v>
      </c>
      <c r="I593" s="60">
        <f>ventas_b_mes12[[#This Row],[IMPORTE NETO]]*0.21</f>
        <v>249.91735537190081</v>
      </c>
      <c r="J593" s="229"/>
      <c r="K593" s="229"/>
      <c r="L593" s="229">
        <v>1440</v>
      </c>
      <c r="M593" s="55"/>
    </row>
    <row r="594" spans="2:13" x14ac:dyDescent="0.3">
      <c r="B594" s="223" t="s">
        <v>2467</v>
      </c>
      <c r="C594" s="224">
        <v>6</v>
      </c>
      <c r="D594" s="225">
        <v>13</v>
      </c>
      <c r="E594" s="226">
        <v>26674</v>
      </c>
      <c r="F594" s="227"/>
      <c r="G594" s="1" t="str">
        <f>IFERROR(IF(ventas_b_mes12[[#This Row],[CUIT]]="","-",VLOOKUP(ventas_b_mes12[[#This Row],[CUIT]],Lista_CUIT[#All],2,0)),"CUIT NO CARGADO")</f>
        <v>-</v>
      </c>
      <c r="H594" s="96">
        <f>ventas_b_mes12[[#This Row],[TOTAL]]/1.21</f>
        <v>3074.3801652892562</v>
      </c>
      <c r="I594" s="60">
        <f>ventas_b_mes12[[#This Row],[IMPORTE NETO]]*0.21</f>
        <v>645.61983471074382</v>
      </c>
      <c r="J594" s="229"/>
      <c r="K594" s="229"/>
      <c r="L594" s="229">
        <v>3720</v>
      </c>
      <c r="M594" s="55"/>
    </row>
    <row r="595" spans="2:13" x14ac:dyDescent="0.3">
      <c r="B595" s="223" t="s">
        <v>2467</v>
      </c>
      <c r="C595" s="224">
        <v>6</v>
      </c>
      <c r="D595" s="225">
        <v>11</v>
      </c>
      <c r="E595" s="226">
        <v>29987</v>
      </c>
      <c r="F595" s="227"/>
      <c r="G595" s="1" t="str">
        <f>IFERROR(IF(ventas_b_mes12[[#This Row],[CUIT]]="","-",VLOOKUP(ventas_b_mes12[[#This Row],[CUIT]],Lista_CUIT[#All],2,0)),"CUIT NO CARGADO")</f>
        <v>-</v>
      </c>
      <c r="H595" s="96">
        <f>ventas_b_mes12[[#This Row],[TOTAL]]/1.21</f>
        <v>7206.6198347107438</v>
      </c>
      <c r="I595" s="60">
        <f>ventas_b_mes12[[#This Row],[IMPORTE NETO]]*0.21</f>
        <v>1513.3901652892562</v>
      </c>
      <c r="J595" s="229"/>
      <c r="K595" s="229"/>
      <c r="L595" s="229">
        <v>8720.01</v>
      </c>
      <c r="M595" s="55"/>
    </row>
    <row r="596" spans="2:13" x14ac:dyDescent="0.3">
      <c r="B596" s="223" t="s">
        <v>2467</v>
      </c>
      <c r="C596" s="224">
        <v>6</v>
      </c>
      <c r="D596" s="225">
        <v>13</v>
      </c>
      <c r="E596" s="226">
        <v>26675</v>
      </c>
      <c r="F596" s="227"/>
      <c r="G596" s="1" t="str">
        <f>IFERROR(IF(ventas_b_mes12[[#This Row],[CUIT]]="","-",VLOOKUP(ventas_b_mes12[[#This Row],[CUIT]],Lista_CUIT[#All],2,0)),"CUIT NO CARGADO")</f>
        <v>-</v>
      </c>
      <c r="H596" s="96">
        <f>ventas_b_mes12[[#This Row],[TOTAL]]/1.21</f>
        <v>20515.719008264463</v>
      </c>
      <c r="I596" s="60">
        <f>ventas_b_mes12[[#This Row],[IMPORTE NETO]]*0.21</f>
        <v>4308.3009917355366</v>
      </c>
      <c r="J596" s="229"/>
      <c r="K596" s="229"/>
      <c r="L596" s="229">
        <v>24824.02</v>
      </c>
      <c r="M596" s="55"/>
    </row>
    <row r="597" spans="2:13" x14ac:dyDescent="0.3">
      <c r="B597" s="223" t="s">
        <v>2467</v>
      </c>
      <c r="C597" s="224">
        <v>6</v>
      </c>
      <c r="D597" s="225">
        <v>11</v>
      </c>
      <c r="E597" s="226">
        <v>29988</v>
      </c>
      <c r="F597" s="227"/>
      <c r="G597" s="1" t="str">
        <f>IFERROR(IF(ventas_b_mes12[[#This Row],[CUIT]]="","-",VLOOKUP(ventas_b_mes12[[#This Row],[CUIT]],Lista_CUIT[#All],2,0)),"CUIT NO CARGADO")</f>
        <v>-</v>
      </c>
      <c r="H597" s="96">
        <f>ventas_b_mes12[[#This Row],[TOTAL]]/1.21</f>
        <v>7603.3057851239673</v>
      </c>
      <c r="I597" s="60">
        <f>ventas_b_mes12[[#This Row],[IMPORTE NETO]]*0.21</f>
        <v>1596.6942148760331</v>
      </c>
      <c r="J597" s="229"/>
      <c r="K597" s="229"/>
      <c r="L597" s="229">
        <v>9200</v>
      </c>
      <c r="M597" s="55"/>
    </row>
    <row r="598" spans="2:13" x14ac:dyDescent="0.3">
      <c r="B598" s="223" t="s">
        <v>2467</v>
      </c>
      <c r="C598" s="224">
        <v>6</v>
      </c>
      <c r="D598" s="225">
        <v>12</v>
      </c>
      <c r="E598" s="226">
        <v>22400</v>
      </c>
      <c r="F598" s="227"/>
      <c r="G598" s="1" t="str">
        <f>IFERROR(IF(ventas_b_mes12[[#This Row],[CUIT]]="","-",VLOOKUP(ventas_b_mes12[[#This Row],[CUIT]],Lista_CUIT[#All],2,0)),"CUIT NO CARGADO")</f>
        <v>-</v>
      </c>
      <c r="H598" s="96">
        <f>ventas_b_mes12[[#This Row],[TOTAL]]/1.21</f>
        <v>4545.454545454546</v>
      </c>
      <c r="I598" s="60">
        <f>ventas_b_mes12[[#This Row],[IMPORTE NETO]]*0.21</f>
        <v>954.54545454545462</v>
      </c>
      <c r="J598" s="229"/>
      <c r="K598" s="229"/>
      <c r="L598" s="229">
        <v>5500</v>
      </c>
      <c r="M598" s="55"/>
    </row>
    <row r="599" spans="2:13" x14ac:dyDescent="0.3">
      <c r="B599" s="223" t="s">
        <v>2467</v>
      </c>
      <c r="C599" s="224">
        <v>6</v>
      </c>
      <c r="D599" s="225">
        <v>11</v>
      </c>
      <c r="E599" s="226">
        <v>29980</v>
      </c>
      <c r="F599" s="227"/>
      <c r="G599" s="1" t="str">
        <f>IFERROR(IF(ventas_b_mes12[[#This Row],[CUIT]]="","-",VLOOKUP(ventas_b_mes12[[#This Row],[CUIT]],Lista_CUIT[#All],2,0)),"CUIT NO CARGADO")</f>
        <v>-</v>
      </c>
      <c r="H599" s="96">
        <f>ventas_b_mes12[[#This Row],[TOTAL]]/1.21</f>
        <v>11434.710743801654</v>
      </c>
      <c r="I599" s="60">
        <f>ventas_b_mes12[[#This Row],[IMPORTE NETO]]*0.21</f>
        <v>2401.2892561983472</v>
      </c>
      <c r="J599" s="229"/>
      <c r="K599" s="229"/>
      <c r="L599" s="229">
        <v>13836</v>
      </c>
      <c r="M599" s="55"/>
    </row>
    <row r="600" spans="2:13" x14ac:dyDescent="0.3">
      <c r="B600" s="223" t="s">
        <v>2467</v>
      </c>
      <c r="C600" s="224">
        <v>6</v>
      </c>
      <c r="D600" s="225">
        <v>11</v>
      </c>
      <c r="E600" s="226">
        <v>29979</v>
      </c>
      <c r="F600" s="227"/>
      <c r="G600" s="1" t="str">
        <f>IFERROR(IF(ventas_b_mes12[[#This Row],[CUIT]]="","-",VLOOKUP(ventas_b_mes12[[#This Row],[CUIT]],Lista_CUIT[#All],2,0)),"CUIT NO CARGADO")</f>
        <v>-</v>
      </c>
      <c r="H600" s="96">
        <f>ventas_b_mes12[[#This Row],[TOTAL]]/1.21</f>
        <v>6671.0743801652898</v>
      </c>
      <c r="I600" s="60">
        <f>ventas_b_mes12[[#This Row],[IMPORTE NETO]]*0.21</f>
        <v>1400.9256198347107</v>
      </c>
      <c r="J600" s="229"/>
      <c r="K600" s="229"/>
      <c r="L600" s="229">
        <v>8072</v>
      </c>
      <c r="M600" s="55"/>
    </row>
    <row r="601" spans="2:13" x14ac:dyDescent="0.3">
      <c r="B601" s="223" t="s">
        <v>2467</v>
      </c>
      <c r="C601" s="224">
        <v>6</v>
      </c>
      <c r="D601" s="225">
        <v>10</v>
      </c>
      <c r="E601" s="226">
        <v>43737</v>
      </c>
      <c r="F601" s="227"/>
      <c r="G601" s="1" t="str">
        <f>IFERROR(IF(ventas_b_mes12[[#This Row],[CUIT]]="","-",VLOOKUP(ventas_b_mes12[[#This Row],[CUIT]],Lista_CUIT[#All],2,0)),"CUIT NO CARGADO")</f>
        <v>-</v>
      </c>
      <c r="H601" s="96">
        <f>ventas_b_mes12[[#This Row],[TOTAL]]/1.21</f>
        <v>1520.6694214876034</v>
      </c>
      <c r="I601" s="60">
        <f>ventas_b_mes12[[#This Row],[IMPORTE NETO]]*0.21</f>
        <v>319.34057851239669</v>
      </c>
      <c r="J601" s="229"/>
      <c r="K601" s="229"/>
      <c r="L601" s="229">
        <v>1840.01</v>
      </c>
      <c r="M601" s="55"/>
    </row>
    <row r="602" spans="2:13" x14ac:dyDescent="0.3">
      <c r="B602" s="223" t="s">
        <v>2467</v>
      </c>
      <c r="C602" s="224">
        <v>6</v>
      </c>
      <c r="D602" s="225">
        <v>11</v>
      </c>
      <c r="E602" s="226">
        <v>29972</v>
      </c>
      <c r="F602" s="227"/>
      <c r="G602" s="1" t="str">
        <f>IFERROR(IF(ventas_b_mes12[[#This Row],[CUIT]]="","-",VLOOKUP(ventas_b_mes12[[#This Row],[CUIT]],Lista_CUIT[#All],2,0)),"CUIT NO CARGADO")</f>
        <v>-</v>
      </c>
      <c r="H602" s="96">
        <f>ventas_b_mes12[[#This Row],[TOTAL]]/1.21</f>
        <v>8409.9173553719011</v>
      </c>
      <c r="I602" s="60">
        <f>ventas_b_mes12[[#This Row],[IMPORTE NETO]]*0.21</f>
        <v>1766.0826446280992</v>
      </c>
      <c r="J602" s="229"/>
      <c r="K602" s="229"/>
      <c r="L602" s="229">
        <v>10176</v>
      </c>
      <c r="M602" s="55"/>
    </row>
    <row r="603" spans="2:13" x14ac:dyDescent="0.3">
      <c r="B603" s="223" t="s">
        <v>2467</v>
      </c>
      <c r="C603" s="224">
        <v>6</v>
      </c>
      <c r="D603" s="225">
        <v>11</v>
      </c>
      <c r="E603" s="226">
        <v>29994</v>
      </c>
      <c r="F603" s="227"/>
      <c r="G603" s="1" t="str">
        <f>IFERROR(IF(ventas_b_mes12[[#This Row],[CUIT]]="","-",VLOOKUP(ventas_b_mes12[[#This Row],[CUIT]],Lista_CUIT[#All],2,0)),"CUIT NO CARGADO")</f>
        <v>-</v>
      </c>
      <c r="H603" s="96">
        <f>ventas_b_mes12[[#This Row],[TOTAL]]/1.21</f>
        <v>1388.4297520661157</v>
      </c>
      <c r="I603" s="60">
        <f>ventas_b_mes12[[#This Row],[IMPORTE NETO]]*0.21</f>
        <v>291.57024793388427</v>
      </c>
      <c r="J603" s="229"/>
      <c r="K603" s="229"/>
      <c r="L603" s="229">
        <v>1680</v>
      </c>
      <c r="M603" s="55"/>
    </row>
    <row r="604" spans="2:13" x14ac:dyDescent="0.3">
      <c r="B604" s="223" t="s">
        <v>2467</v>
      </c>
      <c r="C604" s="224">
        <v>6</v>
      </c>
      <c r="D604" s="225">
        <v>10</v>
      </c>
      <c r="E604" s="226">
        <v>43747</v>
      </c>
      <c r="F604" s="227"/>
      <c r="G604" s="1" t="str">
        <f>IFERROR(IF(ventas_b_mes12[[#This Row],[CUIT]]="","-",VLOOKUP(ventas_b_mes12[[#This Row],[CUIT]],Lista_CUIT[#All],2,0)),"CUIT NO CARGADO")</f>
        <v>-</v>
      </c>
      <c r="H604" s="96">
        <f>ventas_b_mes12[[#This Row],[TOTAL]]/1.21</f>
        <v>4495.8760330578516</v>
      </c>
      <c r="I604" s="60">
        <f>ventas_b_mes12[[#This Row],[IMPORTE NETO]]*0.21</f>
        <v>944.13396694214885</v>
      </c>
      <c r="J604" s="229"/>
      <c r="K604" s="229"/>
      <c r="L604" s="229">
        <v>5440.01</v>
      </c>
      <c r="M604" s="55"/>
    </row>
    <row r="605" spans="2:13" x14ac:dyDescent="0.3">
      <c r="B605" s="223" t="s">
        <v>2467</v>
      </c>
      <c r="C605" s="224">
        <v>6</v>
      </c>
      <c r="D605" s="225">
        <v>13</v>
      </c>
      <c r="E605" s="226">
        <v>26672</v>
      </c>
      <c r="F605" s="227"/>
      <c r="G605" s="1" t="str">
        <f>IFERROR(IF(ventas_b_mes12[[#This Row],[CUIT]]="","-",VLOOKUP(ventas_b_mes12[[#This Row],[CUIT]],Lista_CUIT[#All],2,0)),"CUIT NO CARGADO")</f>
        <v>-</v>
      </c>
      <c r="H605" s="96">
        <f>ventas_b_mes12[[#This Row],[TOTAL]]/1.21</f>
        <v>4363.636363636364</v>
      </c>
      <c r="I605" s="60">
        <f>ventas_b_mes12[[#This Row],[IMPORTE NETO]]*0.21</f>
        <v>916.36363636363637</v>
      </c>
      <c r="J605" s="229"/>
      <c r="K605" s="229"/>
      <c r="L605" s="229">
        <v>5280</v>
      </c>
      <c r="M605" s="55"/>
    </row>
    <row r="606" spans="2:13" x14ac:dyDescent="0.3">
      <c r="B606" s="223" t="s">
        <v>2467</v>
      </c>
      <c r="C606" s="224">
        <v>6</v>
      </c>
      <c r="D606" s="225">
        <v>11</v>
      </c>
      <c r="E606" s="226">
        <v>29975</v>
      </c>
      <c r="F606" s="227"/>
      <c r="G606" s="1" t="str">
        <f>IFERROR(IF(ventas_b_mes12[[#This Row],[CUIT]]="","-",VLOOKUP(ventas_b_mes12[[#This Row],[CUIT]],Lista_CUIT[#All],2,0)),"CUIT NO CARGADO")</f>
        <v>-</v>
      </c>
      <c r="H606" s="96">
        <f>ventas_b_mes12[[#This Row],[TOTAL]]/1.21</f>
        <v>5553.7190082644629</v>
      </c>
      <c r="I606" s="60">
        <f>ventas_b_mes12[[#This Row],[IMPORTE NETO]]*0.21</f>
        <v>1166.2809917355371</v>
      </c>
      <c r="J606" s="229"/>
      <c r="K606" s="229"/>
      <c r="L606" s="229">
        <v>6720</v>
      </c>
      <c r="M606" s="55"/>
    </row>
    <row r="607" spans="2:13" x14ac:dyDescent="0.3">
      <c r="B607" s="223" t="s">
        <v>2467</v>
      </c>
      <c r="C607" s="224">
        <v>6</v>
      </c>
      <c r="D607" s="225">
        <v>11</v>
      </c>
      <c r="E607" s="226">
        <v>29968</v>
      </c>
      <c r="F607" s="227"/>
      <c r="G607" s="1" t="str">
        <f>IFERROR(IF(ventas_b_mes12[[#This Row],[CUIT]]="","-",VLOOKUP(ventas_b_mes12[[#This Row],[CUIT]],Lista_CUIT[#All],2,0)),"CUIT NO CARGADO")</f>
        <v>-</v>
      </c>
      <c r="H607" s="96">
        <f>ventas_b_mes12[[#This Row],[TOTAL]]/1.21</f>
        <v>595.04132231404958</v>
      </c>
      <c r="I607" s="60">
        <f>ventas_b_mes12[[#This Row],[IMPORTE NETO]]*0.21</f>
        <v>124.95867768595041</v>
      </c>
      <c r="J607" s="229"/>
      <c r="K607" s="229"/>
      <c r="L607" s="229">
        <v>720</v>
      </c>
      <c r="M607" s="55"/>
    </row>
    <row r="608" spans="2:13" x14ac:dyDescent="0.3">
      <c r="B608" s="223" t="s">
        <v>2467</v>
      </c>
      <c r="C608" s="224">
        <v>6</v>
      </c>
      <c r="D608" s="225">
        <v>11</v>
      </c>
      <c r="E608" s="226">
        <v>29969</v>
      </c>
      <c r="F608" s="227"/>
      <c r="G608" s="1" t="str">
        <f>IFERROR(IF(ventas_b_mes12[[#This Row],[CUIT]]="","-",VLOOKUP(ventas_b_mes12[[#This Row],[CUIT]],Lista_CUIT[#All],2,0)),"CUIT NO CARGADO")</f>
        <v>-</v>
      </c>
      <c r="H608" s="96">
        <f>ventas_b_mes12[[#This Row],[TOTAL]]/1.21</f>
        <v>4355.3719008264461</v>
      </c>
      <c r="I608" s="60">
        <f>ventas_b_mes12[[#This Row],[IMPORTE NETO]]*0.21</f>
        <v>914.62809917355366</v>
      </c>
      <c r="J608" s="229"/>
      <c r="K608" s="229"/>
      <c r="L608" s="229">
        <v>5270</v>
      </c>
      <c r="M608" s="55"/>
    </row>
    <row r="609" spans="2:13" x14ac:dyDescent="0.3">
      <c r="B609" s="223" t="s">
        <v>2467</v>
      </c>
      <c r="C609" s="224">
        <v>6</v>
      </c>
      <c r="D609" s="225">
        <v>13</v>
      </c>
      <c r="E609" s="226">
        <v>26663</v>
      </c>
      <c r="F609" s="227"/>
      <c r="G609" s="1" t="str">
        <f>IFERROR(IF(ventas_b_mes12[[#This Row],[CUIT]]="","-",VLOOKUP(ventas_b_mes12[[#This Row],[CUIT]],Lista_CUIT[#All],2,0)),"CUIT NO CARGADO")</f>
        <v>-</v>
      </c>
      <c r="H609" s="96">
        <f>ventas_b_mes12[[#This Row],[TOTAL]]/1.21</f>
        <v>1057.8512396694216</v>
      </c>
      <c r="I609" s="60">
        <f>ventas_b_mes12[[#This Row],[IMPORTE NETO]]*0.21</f>
        <v>222.14876033057854</v>
      </c>
      <c r="J609" s="229"/>
      <c r="K609" s="229"/>
      <c r="L609" s="229">
        <v>1280</v>
      </c>
      <c r="M609" s="55"/>
    </row>
    <row r="610" spans="2:13" x14ac:dyDescent="0.3">
      <c r="B610" s="223" t="s">
        <v>2467</v>
      </c>
      <c r="C610" s="224">
        <v>6</v>
      </c>
      <c r="D610" s="225">
        <v>10</v>
      </c>
      <c r="E610" s="226">
        <v>43736</v>
      </c>
      <c r="F610" s="227"/>
      <c r="G610" s="1" t="str">
        <f>IFERROR(IF(ventas_b_mes12[[#This Row],[CUIT]]="","-",VLOOKUP(ventas_b_mes12[[#This Row],[CUIT]],Lista_CUIT[#All],2,0)),"CUIT NO CARGADO")</f>
        <v>-</v>
      </c>
      <c r="H610" s="96">
        <f>ventas_b_mes12[[#This Row],[TOTAL]]/1.21</f>
        <v>2049.5950413223145</v>
      </c>
      <c r="I610" s="60">
        <f>ventas_b_mes12[[#This Row],[IMPORTE NETO]]*0.21</f>
        <v>430.414958677686</v>
      </c>
      <c r="J610" s="229"/>
      <c r="K610" s="229"/>
      <c r="L610" s="229">
        <v>2480.0100000000002</v>
      </c>
      <c r="M610" s="55"/>
    </row>
    <row r="611" spans="2:13" x14ac:dyDescent="0.3">
      <c r="B611" s="223" t="s">
        <v>2467</v>
      </c>
      <c r="C611" s="224">
        <v>6</v>
      </c>
      <c r="D611" s="225">
        <v>15</v>
      </c>
      <c r="E611" s="226">
        <v>7144</v>
      </c>
      <c r="F611" s="227"/>
      <c r="G611" s="1" t="str">
        <f>IFERROR(IF(ventas_b_mes12[[#This Row],[CUIT]]="","-",VLOOKUP(ventas_b_mes12[[#This Row],[CUIT]],Lista_CUIT[#All],2,0)),"CUIT NO CARGADO")</f>
        <v>-</v>
      </c>
      <c r="H611" s="96">
        <f>ventas_b_mes12[[#This Row],[TOTAL]]/1.21</f>
        <v>1388.4297520661157</v>
      </c>
      <c r="I611" s="60">
        <f>ventas_b_mes12[[#This Row],[IMPORTE NETO]]*0.21</f>
        <v>291.57024793388427</v>
      </c>
      <c r="J611" s="229"/>
      <c r="K611" s="229"/>
      <c r="L611" s="229">
        <v>1680</v>
      </c>
      <c r="M611" s="55"/>
    </row>
    <row r="612" spans="2:13" x14ac:dyDescent="0.3">
      <c r="B612" s="223" t="s">
        <v>2467</v>
      </c>
      <c r="C612" s="224">
        <v>6</v>
      </c>
      <c r="D612" s="225">
        <v>11</v>
      </c>
      <c r="E612" s="226">
        <v>29974</v>
      </c>
      <c r="F612" s="227"/>
      <c r="G612" s="1" t="str">
        <f>IFERROR(IF(ventas_b_mes12[[#This Row],[CUIT]]="","-",VLOOKUP(ventas_b_mes12[[#This Row],[CUIT]],Lista_CUIT[#All],2,0)),"CUIT NO CARGADO")</f>
        <v>-</v>
      </c>
      <c r="H612" s="96">
        <f>ventas_b_mes12[[#This Row],[TOTAL]]/1.21</f>
        <v>4958.6776859504134</v>
      </c>
      <c r="I612" s="60">
        <f>ventas_b_mes12[[#This Row],[IMPORTE NETO]]*0.21</f>
        <v>1041.3223140495868</v>
      </c>
      <c r="J612" s="229"/>
      <c r="K612" s="229"/>
      <c r="L612" s="229">
        <v>6000</v>
      </c>
      <c r="M612" s="55"/>
    </row>
    <row r="613" spans="2:13" x14ac:dyDescent="0.3">
      <c r="B613" s="223" t="s">
        <v>2467</v>
      </c>
      <c r="C613" s="224">
        <v>6</v>
      </c>
      <c r="D613" s="225">
        <v>10</v>
      </c>
      <c r="E613" s="226">
        <v>43745</v>
      </c>
      <c r="F613" s="227"/>
      <c r="G613" s="1" t="str">
        <f>IFERROR(IF(ventas_b_mes12[[#This Row],[CUIT]]="","-",VLOOKUP(ventas_b_mes12[[#This Row],[CUIT]],Lista_CUIT[#All],2,0)),"CUIT NO CARGADO")</f>
        <v>-</v>
      </c>
      <c r="H613" s="96">
        <f>ventas_b_mes12[[#This Row],[TOTAL]]/1.21</f>
        <v>4425.6198347107438</v>
      </c>
      <c r="I613" s="60">
        <f>ventas_b_mes12[[#This Row],[IMPORTE NETO]]*0.21</f>
        <v>929.38016528925618</v>
      </c>
      <c r="J613" s="229"/>
      <c r="K613" s="229"/>
      <c r="L613" s="229">
        <v>5355</v>
      </c>
      <c r="M613" s="55"/>
    </row>
    <row r="614" spans="2:13" x14ac:dyDescent="0.3">
      <c r="B614" s="223" t="s">
        <v>2467</v>
      </c>
      <c r="C614" s="224">
        <v>6</v>
      </c>
      <c r="D614" s="225">
        <v>10</v>
      </c>
      <c r="E614" s="226">
        <v>43761</v>
      </c>
      <c r="F614" s="227"/>
      <c r="G614" s="1" t="str">
        <f>IFERROR(IF(ventas_b_mes12[[#This Row],[CUIT]]="","-",VLOOKUP(ventas_b_mes12[[#This Row],[CUIT]],Lista_CUIT[#All],2,0)),"CUIT NO CARGADO")</f>
        <v>-</v>
      </c>
      <c r="H614" s="96">
        <f>ventas_b_mes12[[#This Row],[TOTAL]]/1.21</f>
        <v>7801.6528925619841</v>
      </c>
      <c r="I614" s="60">
        <f>ventas_b_mes12[[#This Row],[IMPORTE NETO]]*0.21</f>
        <v>1638.3471074380166</v>
      </c>
      <c r="J614" s="229"/>
      <c r="K614" s="229"/>
      <c r="L614" s="229">
        <v>9440</v>
      </c>
      <c r="M614" s="55"/>
    </row>
    <row r="615" spans="2:13" x14ac:dyDescent="0.3">
      <c r="B615" s="223" t="s">
        <v>2467</v>
      </c>
      <c r="C615" s="224">
        <v>6</v>
      </c>
      <c r="D615" s="225">
        <v>10</v>
      </c>
      <c r="E615" s="226">
        <v>43758</v>
      </c>
      <c r="F615" s="227"/>
      <c r="G615" s="1" t="str">
        <f>IFERROR(IF(ventas_b_mes12[[#This Row],[CUIT]]="","-",VLOOKUP(ventas_b_mes12[[#This Row],[CUIT]],Lista_CUIT[#All],2,0)),"CUIT NO CARGADO")</f>
        <v>-</v>
      </c>
      <c r="H615" s="96">
        <f>ventas_b_mes12[[#This Row],[TOTAL]]/1.21</f>
        <v>3404.9586776859505</v>
      </c>
      <c r="I615" s="60">
        <f>ventas_b_mes12[[#This Row],[IMPORTE NETO]]*0.21</f>
        <v>715.04132231404958</v>
      </c>
      <c r="J615" s="229"/>
      <c r="K615" s="229"/>
      <c r="L615" s="229">
        <v>4120</v>
      </c>
      <c r="M615" s="55"/>
    </row>
    <row r="616" spans="2:13" x14ac:dyDescent="0.3">
      <c r="B616" s="223" t="s">
        <v>2467</v>
      </c>
      <c r="C616" s="224">
        <v>6</v>
      </c>
      <c r="D616" s="225">
        <v>11</v>
      </c>
      <c r="E616" s="226">
        <v>29993</v>
      </c>
      <c r="F616" s="227"/>
      <c r="G616" s="1" t="str">
        <f>IFERROR(IF(ventas_b_mes12[[#This Row],[CUIT]]="","-",VLOOKUP(ventas_b_mes12[[#This Row],[CUIT]],Lista_CUIT[#All],2,0)),"CUIT NO CARGADO")</f>
        <v>-</v>
      </c>
      <c r="H616" s="96">
        <f>ventas_b_mes12[[#This Row],[TOTAL]]/1.21</f>
        <v>3921.4876033057853</v>
      </c>
      <c r="I616" s="60">
        <f>ventas_b_mes12[[#This Row],[IMPORTE NETO]]*0.21</f>
        <v>823.51239669421489</v>
      </c>
      <c r="J616" s="229"/>
      <c r="K616" s="229"/>
      <c r="L616" s="229">
        <v>4745</v>
      </c>
      <c r="M616" s="55"/>
    </row>
    <row r="617" spans="2:13" x14ac:dyDescent="0.3">
      <c r="B617" s="223" t="s">
        <v>2467</v>
      </c>
      <c r="C617" s="224">
        <v>6</v>
      </c>
      <c r="D617" s="225">
        <v>11</v>
      </c>
      <c r="E617" s="226">
        <v>29970</v>
      </c>
      <c r="F617" s="227"/>
      <c r="G617" s="1" t="str">
        <f>IFERROR(IF(ventas_b_mes12[[#This Row],[CUIT]]="","-",VLOOKUP(ventas_b_mes12[[#This Row],[CUIT]],Lista_CUIT[#All],2,0)),"CUIT NO CARGADO")</f>
        <v>-</v>
      </c>
      <c r="H617" s="96">
        <f>ventas_b_mes12[[#This Row],[TOTAL]]/1.21</f>
        <v>6102.4793388429753</v>
      </c>
      <c r="I617" s="60">
        <f>ventas_b_mes12[[#This Row],[IMPORTE NETO]]*0.21</f>
        <v>1281.5206611570247</v>
      </c>
      <c r="J617" s="229"/>
      <c r="K617" s="229"/>
      <c r="L617" s="229">
        <v>7384</v>
      </c>
      <c r="M617" s="55"/>
    </row>
    <row r="618" spans="2:13" x14ac:dyDescent="0.3">
      <c r="B618" s="223" t="s">
        <v>2467</v>
      </c>
      <c r="C618" s="224">
        <v>6</v>
      </c>
      <c r="D618" s="225">
        <v>10</v>
      </c>
      <c r="E618" s="226">
        <v>43750</v>
      </c>
      <c r="F618" s="227"/>
      <c r="G618" s="1" t="str">
        <f>IFERROR(IF(ventas_b_mes12[[#This Row],[CUIT]]="","-",VLOOKUP(ventas_b_mes12[[#This Row],[CUIT]],Lista_CUIT[#All],2,0)),"CUIT NO CARGADO")</f>
        <v>-</v>
      </c>
      <c r="H618" s="96">
        <f>ventas_b_mes12[[#This Row],[TOTAL]]/1.21</f>
        <v>6159.5041322314055</v>
      </c>
      <c r="I618" s="60">
        <f>ventas_b_mes12[[#This Row],[IMPORTE NETO]]*0.21</f>
        <v>1293.4958677685952</v>
      </c>
      <c r="J618" s="229"/>
      <c r="K618" s="229"/>
      <c r="L618" s="229">
        <v>7453</v>
      </c>
      <c r="M618" s="55"/>
    </row>
    <row r="619" spans="2:13" x14ac:dyDescent="0.3">
      <c r="B619" s="223" t="s">
        <v>2467</v>
      </c>
      <c r="C619" s="224">
        <v>6</v>
      </c>
      <c r="D619" s="225">
        <v>13</v>
      </c>
      <c r="E619" s="226">
        <v>26667</v>
      </c>
      <c r="F619" s="227"/>
      <c r="G619" s="1" t="str">
        <f>IFERROR(IF(ventas_b_mes12[[#This Row],[CUIT]]="","-",VLOOKUP(ventas_b_mes12[[#This Row],[CUIT]],Lista_CUIT[#All],2,0)),"CUIT NO CARGADO")</f>
        <v>-</v>
      </c>
      <c r="H619" s="96">
        <f>ventas_b_mes12[[#This Row],[TOTAL]]/1.21</f>
        <v>4520.6611570247933</v>
      </c>
      <c r="I619" s="60">
        <f>ventas_b_mes12[[#This Row],[IMPORTE NETO]]*0.21</f>
        <v>949.3388429752066</v>
      </c>
      <c r="J619" s="229"/>
      <c r="K619" s="229"/>
      <c r="L619" s="229">
        <v>5470</v>
      </c>
      <c r="M619" s="55"/>
    </row>
    <row r="620" spans="2:13" x14ac:dyDescent="0.3">
      <c r="B620" s="223" t="s">
        <v>2467</v>
      </c>
      <c r="C620" s="224">
        <v>6</v>
      </c>
      <c r="D620" s="225">
        <v>11</v>
      </c>
      <c r="E620" s="226">
        <v>30003</v>
      </c>
      <c r="F620" s="227"/>
      <c r="G620" s="1" t="str">
        <f>IFERROR(IF(ventas_b_mes12[[#This Row],[CUIT]]="","-",VLOOKUP(ventas_b_mes12[[#This Row],[CUIT]],Lista_CUIT[#All],2,0)),"CUIT NO CARGADO")</f>
        <v>-</v>
      </c>
      <c r="H620" s="96">
        <f>ventas_b_mes12[[#This Row],[TOTAL]]/1.21</f>
        <v>10100.421487603306</v>
      </c>
      <c r="I620" s="60">
        <f>ventas_b_mes12[[#This Row],[IMPORTE NETO]]*0.21</f>
        <v>2121.0885123966941</v>
      </c>
      <c r="J620" s="229"/>
      <c r="K620" s="229"/>
      <c r="L620" s="229">
        <v>12221.51</v>
      </c>
      <c r="M620" s="55"/>
    </row>
    <row r="621" spans="2:13" x14ac:dyDescent="0.3">
      <c r="B621" s="223" t="s">
        <v>2467</v>
      </c>
      <c r="C621" s="224">
        <v>6</v>
      </c>
      <c r="D621" s="225">
        <v>10</v>
      </c>
      <c r="E621" s="226">
        <v>43738</v>
      </c>
      <c r="F621" s="227"/>
      <c r="G621" s="1" t="str">
        <f>IFERROR(IF(ventas_b_mes12[[#This Row],[CUIT]]="","-",VLOOKUP(ventas_b_mes12[[#This Row],[CUIT]],Lista_CUIT[#All],2,0)),"CUIT NO CARGADO")</f>
        <v>-</v>
      </c>
      <c r="H621" s="96">
        <f>ventas_b_mes12[[#This Row],[TOTAL]]/1.21</f>
        <v>6534.7107438016528</v>
      </c>
      <c r="I621" s="60">
        <f>ventas_b_mes12[[#This Row],[IMPORTE NETO]]*0.21</f>
        <v>1372.2892561983469</v>
      </c>
      <c r="J621" s="229"/>
      <c r="K621" s="229"/>
      <c r="L621" s="229">
        <v>7907</v>
      </c>
      <c r="M621" s="55"/>
    </row>
    <row r="622" spans="2:13" x14ac:dyDescent="0.3">
      <c r="B622" s="223" t="s">
        <v>2467</v>
      </c>
      <c r="C622" s="224">
        <v>6</v>
      </c>
      <c r="D622" s="225">
        <v>11</v>
      </c>
      <c r="E622" s="226">
        <v>29973</v>
      </c>
      <c r="F622" s="227"/>
      <c r="G622" s="1" t="str">
        <f>IFERROR(IF(ventas_b_mes12[[#This Row],[CUIT]]="","-",VLOOKUP(ventas_b_mes12[[#This Row],[CUIT]],Lista_CUIT[#All],2,0)),"CUIT NO CARGADO")</f>
        <v>-</v>
      </c>
      <c r="H622" s="96">
        <f>ventas_b_mes12[[#This Row],[TOTAL]]/1.21</f>
        <v>3041.322314049587</v>
      </c>
      <c r="I622" s="60">
        <f>ventas_b_mes12[[#This Row],[IMPORTE NETO]]*0.21</f>
        <v>638.67768595041321</v>
      </c>
      <c r="J622" s="229"/>
      <c r="K622" s="229"/>
      <c r="L622" s="229">
        <v>3680</v>
      </c>
      <c r="M622" s="55"/>
    </row>
    <row r="623" spans="2:13" x14ac:dyDescent="0.3">
      <c r="B623" s="223" t="s">
        <v>2467</v>
      </c>
      <c r="C623" s="224">
        <v>6</v>
      </c>
      <c r="D623" s="225">
        <v>13</v>
      </c>
      <c r="E623" s="226">
        <v>26660</v>
      </c>
      <c r="F623" s="227"/>
      <c r="G623" s="1" t="str">
        <f>IFERROR(IF(ventas_b_mes12[[#This Row],[CUIT]]="","-",VLOOKUP(ventas_b_mes12[[#This Row],[CUIT]],Lista_CUIT[#All],2,0)),"CUIT NO CARGADO")</f>
        <v>-</v>
      </c>
      <c r="H623" s="96">
        <f>ventas_b_mes12[[#This Row],[TOTAL]]/1.21</f>
        <v>16493.388429752067</v>
      </c>
      <c r="I623" s="60">
        <f>ventas_b_mes12[[#This Row],[IMPORTE NETO]]*0.21</f>
        <v>3463.6115702479342</v>
      </c>
      <c r="J623" s="229"/>
      <c r="K623" s="229"/>
      <c r="L623" s="229">
        <v>19957</v>
      </c>
      <c r="M623" s="55"/>
    </row>
    <row r="624" spans="2:13" x14ac:dyDescent="0.3">
      <c r="B624" s="223" t="s">
        <v>2468</v>
      </c>
      <c r="C624" s="224">
        <v>6</v>
      </c>
      <c r="D624" s="225">
        <v>10</v>
      </c>
      <c r="E624" s="226">
        <v>43766</v>
      </c>
      <c r="F624" s="227"/>
      <c r="G624" s="1" t="str">
        <f>IFERROR(IF(ventas_b_mes12[[#This Row],[CUIT]]="","-",VLOOKUP(ventas_b_mes12[[#This Row],[CUIT]],Lista_CUIT[#All],2,0)),"CUIT NO CARGADO")</f>
        <v>-</v>
      </c>
      <c r="H624" s="96">
        <f>ventas_b_mes12[[#This Row],[TOTAL]]/1.21</f>
        <v>6694.2148760330583</v>
      </c>
      <c r="I624" s="60">
        <f>ventas_b_mes12[[#This Row],[IMPORTE NETO]]*0.21</f>
        <v>1405.7851239669421</v>
      </c>
      <c r="J624" s="229"/>
      <c r="K624" s="229"/>
      <c r="L624" s="229">
        <v>8100</v>
      </c>
      <c r="M624" s="55"/>
    </row>
    <row r="625" spans="2:13" x14ac:dyDescent="0.3">
      <c r="B625" s="223" t="s">
        <v>2468</v>
      </c>
      <c r="C625" s="224">
        <v>6</v>
      </c>
      <c r="D625" s="225">
        <v>13</v>
      </c>
      <c r="E625" s="226">
        <v>26698</v>
      </c>
      <c r="F625" s="227"/>
      <c r="G625" s="1" t="str">
        <f>IFERROR(IF(ventas_b_mes12[[#This Row],[CUIT]]="","-",VLOOKUP(ventas_b_mes12[[#This Row],[CUIT]],Lista_CUIT[#All],2,0)),"CUIT NO CARGADO")</f>
        <v>-</v>
      </c>
      <c r="H625" s="96">
        <f>ventas_b_mes12[[#This Row],[TOTAL]]/1.21</f>
        <v>2882.6446280991736</v>
      </c>
      <c r="I625" s="60">
        <f>ventas_b_mes12[[#This Row],[IMPORTE NETO]]*0.21</f>
        <v>605.35537190082641</v>
      </c>
      <c r="J625" s="229"/>
      <c r="K625" s="229"/>
      <c r="L625" s="229">
        <v>3488</v>
      </c>
      <c r="M625" s="55"/>
    </row>
    <row r="626" spans="2:13" x14ac:dyDescent="0.3">
      <c r="B626" s="223" t="s">
        <v>2468</v>
      </c>
      <c r="C626" s="224">
        <v>6</v>
      </c>
      <c r="D626" s="225">
        <v>11</v>
      </c>
      <c r="E626" s="226">
        <v>30014</v>
      </c>
      <c r="F626" s="227"/>
      <c r="G626" s="1" t="str">
        <f>IFERROR(IF(ventas_b_mes12[[#This Row],[CUIT]]="","-",VLOOKUP(ventas_b_mes12[[#This Row],[CUIT]],Lista_CUIT[#All],2,0)),"CUIT NO CARGADO")</f>
        <v>-</v>
      </c>
      <c r="H626" s="96">
        <f>ventas_b_mes12[[#This Row],[TOTAL]]/1.21</f>
        <v>5157.0247933884302</v>
      </c>
      <c r="I626" s="60">
        <f>ventas_b_mes12[[#This Row],[IMPORTE NETO]]*0.21</f>
        <v>1082.9752066115702</v>
      </c>
      <c r="J626" s="229"/>
      <c r="K626" s="229"/>
      <c r="L626" s="229">
        <v>6240</v>
      </c>
      <c r="M626" s="55"/>
    </row>
    <row r="627" spans="2:13" x14ac:dyDescent="0.3">
      <c r="B627" s="223" t="s">
        <v>2468</v>
      </c>
      <c r="C627" s="224">
        <v>6</v>
      </c>
      <c r="D627" s="225">
        <v>12</v>
      </c>
      <c r="E627" s="226">
        <v>22411</v>
      </c>
      <c r="F627" s="227"/>
      <c r="G627" s="1" t="str">
        <f>IFERROR(IF(ventas_b_mes12[[#This Row],[CUIT]]="","-",VLOOKUP(ventas_b_mes12[[#This Row],[CUIT]],Lista_CUIT[#All],2,0)),"CUIT NO CARGADO")</f>
        <v>-</v>
      </c>
      <c r="H627" s="96">
        <f>ventas_b_mes12[[#This Row],[TOTAL]]/1.21</f>
        <v>13553.710743801654</v>
      </c>
      <c r="I627" s="60">
        <f>ventas_b_mes12[[#This Row],[IMPORTE NETO]]*0.21</f>
        <v>2846.279256198347</v>
      </c>
      <c r="J627" s="229"/>
      <c r="K627" s="229"/>
      <c r="L627" s="229">
        <v>16399.990000000002</v>
      </c>
      <c r="M627" s="55"/>
    </row>
    <row r="628" spans="2:13" x14ac:dyDescent="0.3">
      <c r="B628" s="223" t="s">
        <v>2468</v>
      </c>
      <c r="C628" s="224">
        <v>6</v>
      </c>
      <c r="D628" s="225">
        <v>12</v>
      </c>
      <c r="E628" s="226">
        <v>22439</v>
      </c>
      <c r="F628" s="227"/>
      <c r="G628" s="1" t="str">
        <f>IFERROR(IF(ventas_b_mes12[[#This Row],[CUIT]]="","-",VLOOKUP(ventas_b_mes12[[#This Row],[CUIT]],Lista_CUIT[#All],2,0)),"CUIT NO CARGADO")</f>
        <v>-</v>
      </c>
      <c r="H628" s="96">
        <f>ventas_b_mes12[[#This Row],[TOTAL]]/1.21</f>
        <v>4088.4297520661157</v>
      </c>
      <c r="I628" s="60">
        <f>ventas_b_mes12[[#This Row],[IMPORTE NETO]]*0.21</f>
        <v>858.57024793388427</v>
      </c>
      <c r="J628" s="229"/>
      <c r="K628" s="229"/>
      <c r="L628" s="229">
        <v>4947</v>
      </c>
      <c r="M628" s="55"/>
    </row>
    <row r="629" spans="2:13" x14ac:dyDescent="0.3">
      <c r="B629" s="223" t="s">
        <v>2468</v>
      </c>
      <c r="C629" s="224">
        <v>6</v>
      </c>
      <c r="D629" s="225">
        <v>10</v>
      </c>
      <c r="E629" s="226">
        <v>43796</v>
      </c>
      <c r="F629" s="227"/>
      <c r="G629" s="1" t="str">
        <f>IFERROR(IF(ventas_b_mes12[[#This Row],[CUIT]]="","-",VLOOKUP(ventas_b_mes12[[#This Row],[CUIT]],Lista_CUIT[#All],2,0)),"CUIT NO CARGADO")</f>
        <v>-</v>
      </c>
      <c r="H629" s="96">
        <f>ventas_b_mes12[[#This Row],[TOTAL]]/1.21</f>
        <v>5280.9917355371899</v>
      </c>
      <c r="I629" s="60">
        <f>ventas_b_mes12[[#This Row],[IMPORTE NETO]]*0.21</f>
        <v>1109.0082644628098</v>
      </c>
      <c r="J629" s="229"/>
      <c r="K629" s="229"/>
      <c r="L629" s="229">
        <v>6390</v>
      </c>
      <c r="M629" s="55"/>
    </row>
    <row r="630" spans="2:13" x14ac:dyDescent="0.3">
      <c r="B630" s="223" t="s">
        <v>2468</v>
      </c>
      <c r="C630" s="224">
        <v>6</v>
      </c>
      <c r="D630" s="225">
        <v>10</v>
      </c>
      <c r="E630" s="226">
        <v>43792</v>
      </c>
      <c r="F630" s="227"/>
      <c r="G630" s="1" t="str">
        <f>IFERROR(IF(ventas_b_mes12[[#This Row],[CUIT]]="","-",VLOOKUP(ventas_b_mes12[[#This Row],[CUIT]],Lista_CUIT[#All],2,0)),"CUIT NO CARGADO")</f>
        <v>-</v>
      </c>
      <c r="H630" s="96">
        <f>ventas_b_mes12[[#This Row],[TOTAL]]/1.21</f>
        <v>5487.6033057851246</v>
      </c>
      <c r="I630" s="60">
        <f>ventas_b_mes12[[#This Row],[IMPORTE NETO]]*0.21</f>
        <v>1152.3966942148761</v>
      </c>
      <c r="J630" s="229"/>
      <c r="K630" s="229"/>
      <c r="L630" s="229">
        <v>6640</v>
      </c>
      <c r="M630" s="55"/>
    </row>
    <row r="631" spans="2:13" x14ac:dyDescent="0.3">
      <c r="B631" s="223" t="s">
        <v>2468</v>
      </c>
      <c r="C631" s="224">
        <v>6</v>
      </c>
      <c r="D631" s="225">
        <v>11</v>
      </c>
      <c r="E631" s="226">
        <v>30016</v>
      </c>
      <c r="F631" s="227"/>
      <c r="G631" s="1" t="str">
        <f>IFERROR(IF(ventas_b_mes12[[#This Row],[CUIT]]="","-",VLOOKUP(ventas_b_mes12[[#This Row],[CUIT]],Lista_CUIT[#All],2,0)),"CUIT NO CARGADO")</f>
        <v>-</v>
      </c>
      <c r="H631" s="96">
        <f>ventas_b_mes12[[#This Row],[TOTAL]]/1.21</f>
        <v>6016.5289256198348</v>
      </c>
      <c r="I631" s="60">
        <f>ventas_b_mes12[[#This Row],[IMPORTE NETO]]*0.21</f>
        <v>1263.4710743801652</v>
      </c>
      <c r="J631" s="229"/>
      <c r="K631" s="229"/>
      <c r="L631" s="229">
        <v>7280</v>
      </c>
      <c r="M631" s="55"/>
    </row>
    <row r="632" spans="2:13" x14ac:dyDescent="0.3">
      <c r="B632" s="223" t="s">
        <v>2468</v>
      </c>
      <c r="C632" s="224">
        <v>6</v>
      </c>
      <c r="D632" s="225">
        <v>10</v>
      </c>
      <c r="E632" s="226">
        <v>43772</v>
      </c>
      <c r="F632" s="227"/>
      <c r="G632" s="1" t="str">
        <f>IFERROR(IF(ventas_b_mes12[[#This Row],[CUIT]]="","-",VLOOKUP(ventas_b_mes12[[#This Row],[CUIT]],Lista_CUIT[#All],2,0)),"CUIT NO CARGADO")</f>
        <v>-</v>
      </c>
      <c r="H632" s="96">
        <f>ventas_b_mes12[[#This Row],[TOTAL]]/1.21</f>
        <v>2694.2148760330579</v>
      </c>
      <c r="I632" s="60">
        <f>ventas_b_mes12[[#This Row],[IMPORTE NETO]]*0.21</f>
        <v>565.78512396694214</v>
      </c>
      <c r="J632" s="229"/>
      <c r="K632" s="229"/>
      <c r="L632" s="229">
        <v>3260</v>
      </c>
      <c r="M632" s="55"/>
    </row>
    <row r="633" spans="2:13" x14ac:dyDescent="0.3">
      <c r="B633" s="223" t="s">
        <v>2468</v>
      </c>
      <c r="C633" s="224">
        <v>6</v>
      </c>
      <c r="D633" s="225">
        <v>12</v>
      </c>
      <c r="E633" s="226">
        <v>22438</v>
      </c>
      <c r="F633" s="227"/>
      <c r="G633" s="1" t="str">
        <f>IFERROR(IF(ventas_b_mes12[[#This Row],[CUIT]]="","-",VLOOKUP(ventas_b_mes12[[#This Row],[CUIT]],Lista_CUIT[#All],2,0)),"CUIT NO CARGADO")</f>
        <v>-</v>
      </c>
      <c r="H633" s="96">
        <f>ventas_b_mes12[[#This Row],[TOTAL]]/1.21</f>
        <v>3355.3719008264466</v>
      </c>
      <c r="I633" s="60">
        <f>ventas_b_mes12[[#This Row],[IMPORTE NETO]]*0.21</f>
        <v>704.62809917355378</v>
      </c>
      <c r="J633" s="229"/>
      <c r="K633" s="229"/>
      <c r="L633" s="229">
        <v>4060</v>
      </c>
      <c r="M633" s="55"/>
    </row>
    <row r="634" spans="2:13" x14ac:dyDescent="0.3">
      <c r="B634" s="223" t="s">
        <v>2468</v>
      </c>
      <c r="C634" s="224">
        <v>6</v>
      </c>
      <c r="D634" s="225">
        <v>15</v>
      </c>
      <c r="E634" s="226">
        <v>7166</v>
      </c>
      <c r="F634" s="227"/>
      <c r="G634" s="1" t="str">
        <f>IFERROR(IF(ventas_b_mes12[[#This Row],[CUIT]]="","-",VLOOKUP(ventas_b_mes12[[#This Row],[CUIT]],Lista_CUIT[#All],2,0)),"CUIT NO CARGADO")</f>
        <v>-</v>
      </c>
      <c r="H634" s="96">
        <f>ventas_b_mes12[[#This Row],[TOTAL]]/1.21</f>
        <v>4545.454545454546</v>
      </c>
      <c r="I634" s="60">
        <f>ventas_b_mes12[[#This Row],[IMPORTE NETO]]*0.21</f>
        <v>954.54545454545462</v>
      </c>
      <c r="J634" s="229"/>
      <c r="K634" s="229"/>
      <c r="L634" s="229">
        <v>5500</v>
      </c>
      <c r="M634" s="55"/>
    </row>
    <row r="635" spans="2:13" x14ac:dyDescent="0.3">
      <c r="B635" s="223" t="s">
        <v>2468</v>
      </c>
      <c r="C635" s="224">
        <v>6</v>
      </c>
      <c r="D635" s="225">
        <v>12</v>
      </c>
      <c r="E635" s="226">
        <v>22419</v>
      </c>
      <c r="F635" s="227"/>
      <c r="G635" s="1" t="str">
        <f>IFERROR(IF(ventas_b_mes12[[#This Row],[CUIT]]="","-",VLOOKUP(ventas_b_mes12[[#This Row],[CUIT]],Lista_CUIT[#All],2,0)),"CUIT NO CARGADO")</f>
        <v>-</v>
      </c>
      <c r="H635" s="96">
        <f>ventas_b_mes12[[#This Row],[TOTAL]]/1.21</f>
        <v>4545.454545454546</v>
      </c>
      <c r="I635" s="60">
        <f>ventas_b_mes12[[#This Row],[IMPORTE NETO]]*0.21</f>
        <v>954.54545454545462</v>
      </c>
      <c r="J635" s="229"/>
      <c r="K635" s="229"/>
      <c r="L635" s="229">
        <v>5500</v>
      </c>
      <c r="M635" s="55"/>
    </row>
    <row r="636" spans="2:13" x14ac:dyDescent="0.3">
      <c r="B636" s="223" t="s">
        <v>2468</v>
      </c>
      <c r="C636" s="224">
        <v>6</v>
      </c>
      <c r="D636" s="225">
        <v>15</v>
      </c>
      <c r="E636" s="226">
        <v>7163</v>
      </c>
      <c r="F636" s="227"/>
      <c r="G636" s="1" t="str">
        <f>IFERROR(IF(ventas_b_mes12[[#This Row],[CUIT]]="","-",VLOOKUP(ventas_b_mes12[[#This Row],[CUIT]],Lista_CUIT[#All],2,0)),"CUIT NO CARGADO")</f>
        <v>-</v>
      </c>
      <c r="H636" s="96">
        <f>ventas_b_mes12[[#This Row],[TOTAL]]/1.21</f>
        <v>4958.6776859504134</v>
      </c>
      <c r="I636" s="60">
        <f>ventas_b_mes12[[#This Row],[IMPORTE NETO]]*0.21</f>
        <v>1041.3223140495868</v>
      </c>
      <c r="J636" s="229"/>
      <c r="K636" s="229"/>
      <c r="L636" s="229">
        <v>6000</v>
      </c>
      <c r="M636" s="55"/>
    </row>
    <row r="637" spans="2:13" x14ac:dyDescent="0.3">
      <c r="B637" s="223" t="s">
        <v>2468</v>
      </c>
      <c r="C637" s="224">
        <v>6</v>
      </c>
      <c r="D637" s="225">
        <v>12</v>
      </c>
      <c r="E637" s="226">
        <v>22429</v>
      </c>
      <c r="F637" s="227"/>
      <c r="G637" s="1" t="str">
        <f>IFERROR(IF(ventas_b_mes12[[#This Row],[CUIT]]="","-",VLOOKUP(ventas_b_mes12[[#This Row],[CUIT]],Lista_CUIT[#All],2,0)),"CUIT NO CARGADO")</f>
        <v>-</v>
      </c>
      <c r="H637" s="96">
        <f>ventas_b_mes12[[#This Row],[TOTAL]]/1.21</f>
        <v>2975.2066115702482</v>
      </c>
      <c r="I637" s="60">
        <f>ventas_b_mes12[[#This Row],[IMPORTE NETO]]*0.21</f>
        <v>624.7933884297521</v>
      </c>
      <c r="J637" s="229"/>
      <c r="K637" s="229"/>
      <c r="L637" s="229">
        <v>3600</v>
      </c>
      <c r="M637" s="55"/>
    </row>
    <row r="638" spans="2:13" x14ac:dyDescent="0.3">
      <c r="B638" s="223" t="s">
        <v>2468</v>
      </c>
      <c r="C638" s="224">
        <v>6</v>
      </c>
      <c r="D638" s="225">
        <v>13</v>
      </c>
      <c r="E638" s="226">
        <v>26682</v>
      </c>
      <c r="F638" s="227"/>
      <c r="G638" s="1" t="str">
        <f>IFERROR(IF(ventas_b_mes12[[#This Row],[CUIT]]="","-",VLOOKUP(ventas_b_mes12[[#This Row],[CUIT]],Lista_CUIT[#All],2,0)),"CUIT NO CARGADO")</f>
        <v>-</v>
      </c>
      <c r="H638" s="96">
        <f>ventas_b_mes12[[#This Row],[TOTAL]]/1.21</f>
        <v>5702.4793388429753</v>
      </c>
      <c r="I638" s="60">
        <f>ventas_b_mes12[[#This Row],[IMPORTE NETO]]*0.21</f>
        <v>1197.5206611570247</v>
      </c>
      <c r="J638" s="229"/>
      <c r="K638" s="229"/>
      <c r="L638" s="229">
        <v>6900</v>
      </c>
      <c r="M638" s="55"/>
    </row>
    <row r="639" spans="2:13" x14ac:dyDescent="0.3">
      <c r="B639" s="223" t="s">
        <v>2468</v>
      </c>
      <c r="C639" s="224">
        <v>6</v>
      </c>
      <c r="D639" s="225">
        <v>12</v>
      </c>
      <c r="E639" s="226">
        <v>22407</v>
      </c>
      <c r="F639" s="227"/>
      <c r="G639" s="1" t="str">
        <f>IFERROR(IF(ventas_b_mes12[[#This Row],[CUIT]]="","-",VLOOKUP(ventas_b_mes12[[#This Row],[CUIT]],Lista_CUIT[#All],2,0)),"CUIT NO CARGADO")</f>
        <v>-</v>
      </c>
      <c r="H639" s="96">
        <f>ventas_b_mes12[[#This Row],[TOTAL]]/1.21</f>
        <v>6287.6033057851246</v>
      </c>
      <c r="I639" s="60">
        <f>ventas_b_mes12[[#This Row],[IMPORTE NETO]]*0.21</f>
        <v>1320.3966942148761</v>
      </c>
      <c r="J639" s="229"/>
      <c r="K639" s="229"/>
      <c r="L639" s="229">
        <v>7608</v>
      </c>
      <c r="M639" s="55"/>
    </row>
    <row r="640" spans="2:13" x14ac:dyDescent="0.3">
      <c r="B640" s="223" t="s">
        <v>2468</v>
      </c>
      <c r="C640" s="224">
        <v>6</v>
      </c>
      <c r="D640" s="225">
        <v>13</v>
      </c>
      <c r="E640" s="226">
        <v>26686</v>
      </c>
      <c r="F640" s="227"/>
      <c r="G640" s="1" t="str">
        <f>IFERROR(IF(ventas_b_mes12[[#This Row],[CUIT]]="","-",VLOOKUP(ventas_b_mes12[[#This Row],[CUIT]],Lista_CUIT[#All],2,0)),"CUIT NO CARGADO")</f>
        <v>-</v>
      </c>
      <c r="H640" s="96">
        <f>ventas_b_mes12[[#This Row],[TOTAL]]/1.21</f>
        <v>4545.454545454546</v>
      </c>
      <c r="I640" s="60">
        <f>ventas_b_mes12[[#This Row],[IMPORTE NETO]]*0.21</f>
        <v>954.54545454545462</v>
      </c>
      <c r="J640" s="229"/>
      <c r="K640" s="229"/>
      <c r="L640" s="229">
        <v>5500</v>
      </c>
      <c r="M640" s="55"/>
    </row>
    <row r="641" spans="2:13" x14ac:dyDescent="0.3">
      <c r="B641" s="223" t="s">
        <v>2468</v>
      </c>
      <c r="C641" s="224">
        <v>6</v>
      </c>
      <c r="D641" s="225">
        <v>12</v>
      </c>
      <c r="E641" s="226">
        <v>22406</v>
      </c>
      <c r="F641" s="227"/>
      <c r="G641" s="1" t="str">
        <f>IFERROR(IF(ventas_b_mes12[[#This Row],[CUIT]]="","-",VLOOKUP(ventas_b_mes12[[#This Row],[CUIT]],Lista_CUIT[#All],2,0)),"CUIT NO CARGADO")</f>
        <v>-</v>
      </c>
      <c r="H641" s="96">
        <f>ventas_b_mes12[[#This Row],[TOTAL]]/1.21</f>
        <v>10836.363636363636</v>
      </c>
      <c r="I641" s="60">
        <f>ventas_b_mes12[[#This Row],[IMPORTE NETO]]*0.21</f>
        <v>2275.6363636363635</v>
      </c>
      <c r="J641" s="229"/>
      <c r="K641" s="229"/>
      <c r="L641" s="229">
        <v>13112</v>
      </c>
      <c r="M641" s="55"/>
    </row>
    <row r="642" spans="2:13" x14ac:dyDescent="0.3">
      <c r="B642" s="223" t="s">
        <v>2468</v>
      </c>
      <c r="C642" s="224">
        <v>6</v>
      </c>
      <c r="D642" s="225">
        <v>13</v>
      </c>
      <c r="E642" s="226">
        <v>26697</v>
      </c>
      <c r="F642" s="227"/>
      <c r="G642" s="1" t="str">
        <f>IFERROR(IF(ventas_b_mes12[[#This Row],[CUIT]]="","-",VLOOKUP(ventas_b_mes12[[#This Row],[CUIT]],Lista_CUIT[#All],2,0)),"CUIT NO CARGADO")</f>
        <v>-</v>
      </c>
      <c r="H642" s="96">
        <f>ventas_b_mes12[[#This Row],[TOTAL]]/1.21</f>
        <v>4489.2561983471078</v>
      </c>
      <c r="I642" s="60">
        <f>ventas_b_mes12[[#This Row],[IMPORTE NETO]]*0.21</f>
        <v>942.74380165289256</v>
      </c>
      <c r="J642" s="229"/>
      <c r="K642" s="229"/>
      <c r="L642" s="229">
        <v>5432</v>
      </c>
      <c r="M642" s="55"/>
    </row>
    <row r="643" spans="2:13" x14ac:dyDescent="0.3">
      <c r="B643" s="223" t="s">
        <v>2468</v>
      </c>
      <c r="C643" s="224">
        <v>6</v>
      </c>
      <c r="D643" s="225">
        <v>13</v>
      </c>
      <c r="E643" s="226">
        <v>26696</v>
      </c>
      <c r="F643" s="227"/>
      <c r="G643" s="1" t="str">
        <f>IFERROR(IF(ventas_b_mes12[[#This Row],[CUIT]]="","-",VLOOKUP(ventas_b_mes12[[#This Row],[CUIT]],Lista_CUIT[#All],2,0)),"CUIT NO CARGADO")</f>
        <v>-</v>
      </c>
      <c r="H643" s="96">
        <f>ventas_b_mes12[[#This Row],[TOTAL]]/1.21</f>
        <v>6690.9173553719011</v>
      </c>
      <c r="I643" s="60">
        <f>ventas_b_mes12[[#This Row],[IMPORTE NETO]]*0.21</f>
        <v>1405.0926446280992</v>
      </c>
      <c r="J643" s="229"/>
      <c r="K643" s="229"/>
      <c r="L643" s="229">
        <v>8096.01</v>
      </c>
      <c r="M643" s="55"/>
    </row>
    <row r="644" spans="2:13" x14ac:dyDescent="0.3">
      <c r="B644" s="223" t="s">
        <v>2468</v>
      </c>
      <c r="C644" s="224">
        <v>6</v>
      </c>
      <c r="D644" s="225">
        <v>13</v>
      </c>
      <c r="E644" s="226">
        <v>26692</v>
      </c>
      <c r="F644" s="227"/>
      <c r="G644" s="1" t="str">
        <f>IFERROR(IF(ventas_b_mes12[[#This Row],[CUIT]]="","-",VLOOKUP(ventas_b_mes12[[#This Row],[CUIT]],Lista_CUIT[#All],2,0)),"CUIT NO CARGADO")</f>
        <v>-</v>
      </c>
      <c r="H644" s="96">
        <f>ventas_b_mes12[[#This Row],[TOTAL]]/1.21</f>
        <v>2438.0165289256197</v>
      </c>
      <c r="I644" s="60">
        <f>ventas_b_mes12[[#This Row],[IMPORTE NETO]]*0.21</f>
        <v>511.98347107438013</v>
      </c>
      <c r="J644" s="229"/>
      <c r="K644" s="229"/>
      <c r="L644" s="229">
        <v>2950</v>
      </c>
      <c r="M644" s="55"/>
    </row>
    <row r="645" spans="2:13" x14ac:dyDescent="0.3">
      <c r="B645" s="223" t="s">
        <v>2468</v>
      </c>
      <c r="C645" s="224">
        <v>6</v>
      </c>
      <c r="D645" s="225">
        <v>10</v>
      </c>
      <c r="E645" s="226">
        <v>43774</v>
      </c>
      <c r="F645" s="227"/>
      <c r="G645" s="1" t="str">
        <f>IFERROR(IF(ventas_b_mes12[[#This Row],[CUIT]]="","-",VLOOKUP(ventas_b_mes12[[#This Row],[CUIT]],Lista_CUIT[#All],2,0)),"CUIT NO CARGADO")</f>
        <v>-</v>
      </c>
      <c r="H645" s="96">
        <f>ventas_b_mes12[[#This Row],[TOTAL]]/1.21</f>
        <v>15890.090909090908</v>
      </c>
      <c r="I645" s="60">
        <f>ventas_b_mes12[[#This Row],[IMPORTE NETO]]*0.21</f>
        <v>3336.9190909090908</v>
      </c>
      <c r="J645" s="229"/>
      <c r="K645" s="229"/>
      <c r="L645" s="229">
        <v>19227.009999999998</v>
      </c>
      <c r="M645" s="55"/>
    </row>
    <row r="646" spans="2:13" x14ac:dyDescent="0.3">
      <c r="B646" s="223" t="s">
        <v>2468</v>
      </c>
      <c r="C646" s="224">
        <v>6</v>
      </c>
      <c r="D646" s="225">
        <v>12</v>
      </c>
      <c r="E646" s="226">
        <v>22410</v>
      </c>
      <c r="F646" s="227"/>
      <c r="G646" s="1" t="str">
        <f>IFERROR(IF(ventas_b_mes12[[#This Row],[CUIT]]="","-",VLOOKUP(ventas_b_mes12[[#This Row],[CUIT]],Lista_CUIT[#All],2,0)),"CUIT NO CARGADO")</f>
        <v>-</v>
      </c>
      <c r="H646" s="96">
        <f>ventas_b_mes12[[#This Row],[TOTAL]]/1.21</f>
        <v>5719.0082644628101</v>
      </c>
      <c r="I646" s="60">
        <f>ventas_b_mes12[[#This Row],[IMPORTE NETO]]*0.21</f>
        <v>1200.9917355371902</v>
      </c>
      <c r="J646" s="229"/>
      <c r="K646" s="229"/>
      <c r="L646" s="229">
        <v>6920</v>
      </c>
      <c r="M646" s="55"/>
    </row>
    <row r="647" spans="2:13" x14ac:dyDescent="0.3">
      <c r="B647" s="223" t="s">
        <v>2468</v>
      </c>
      <c r="C647" s="224">
        <v>6</v>
      </c>
      <c r="D647" s="225">
        <v>12</v>
      </c>
      <c r="E647" s="226">
        <v>22437</v>
      </c>
      <c r="F647" s="227"/>
      <c r="G647" s="1" t="str">
        <f>IFERROR(IF(ventas_b_mes12[[#This Row],[CUIT]]="","-",VLOOKUP(ventas_b_mes12[[#This Row],[CUIT]],Lista_CUIT[#All],2,0)),"CUIT NO CARGADO")</f>
        <v>-</v>
      </c>
      <c r="H647" s="96">
        <f>ventas_b_mes12[[#This Row],[TOTAL]]/1.21</f>
        <v>4330.5785123966944</v>
      </c>
      <c r="I647" s="60">
        <f>ventas_b_mes12[[#This Row],[IMPORTE NETO]]*0.21</f>
        <v>909.42148760330576</v>
      </c>
      <c r="J647" s="229"/>
      <c r="K647" s="229"/>
      <c r="L647" s="229">
        <v>5240</v>
      </c>
      <c r="M647" s="55"/>
    </row>
    <row r="648" spans="2:13" x14ac:dyDescent="0.3">
      <c r="B648" s="223" t="s">
        <v>2468</v>
      </c>
      <c r="C648" s="224">
        <v>6</v>
      </c>
      <c r="D648" s="225">
        <v>12</v>
      </c>
      <c r="E648" s="226">
        <v>22436</v>
      </c>
      <c r="F648" s="227"/>
      <c r="G648" s="1" t="str">
        <f>IFERROR(IF(ventas_b_mes12[[#This Row],[CUIT]]="","-",VLOOKUP(ventas_b_mes12[[#This Row],[CUIT]],Lista_CUIT[#All],2,0)),"CUIT NO CARGADO")</f>
        <v>-</v>
      </c>
      <c r="H648" s="96">
        <f>ventas_b_mes12[[#This Row],[TOTAL]]/1.21</f>
        <v>3120.6611570247933</v>
      </c>
      <c r="I648" s="60">
        <f>ventas_b_mes12[[#This Row],[IMPORTE NETO]]*0.21</f>
        <v>655.3388429752066</v>
      </c>
      <c r="J648" s="229"/>
      <c r="K648" s="229"/>
      <c r="L648" s="229">
        <v>3776</v>
      </c>
      <c r="M648" s="55"/>
    </row>
    <row r="649" spans="2:13" x14ac:dyDescent="0.3">
      <c r="B649" s="223" t="s">
        <v>2468</v>
      </c>
      <c r="C649" s="224">
        <v>6</v>
      </c>
      <c r="D649" s="225">
        <v>13</v>
      </c>
      <c r="E649" s="226">
        <v>26679</v>
      </c>
      <c r="F649" s="227"/>
      <c r="G649" s="1" t="str">
        <f>IFERROR(IF(ventas_b_mes12[[#This Row],[CUIT]]="","-",VLOOKUP(ventas_b_mes12[[#This Row],[CUIT]],Lista_CUIT[#All],2,0)),"CUIT NO CARGADO")</f>
        <v>-</v>
      </c>
      <c r="H649" s="96">
        <f>ventas_b_mes12[[#This Row],[TOTAL]]/1.21</f>
        <v>4958.6776859504134</v>
      </c>
      <c r="I649" s="60">
        <f>ventas_b_mes12[[#This Row],[IMPORTE NETO]]*0.21</f>
        <v>1041.3223140495868</v>
      </c>
      <c r="J649" s="229"/>
      <c r="K649" s="229"/>
      <c r="L649" s="229">
        <v>6000</v>
      </c>
      <c r="M649" s="55"/>
    </row>
    <row r="650" spans="2:13" x14ac:dyDescent="0.3">
      <c r="B650" s="223" t="s">
        <v>2468</v>
      </c>
      <c r="C650" s="224">
        <v>6</v>
      </c>
      <c r="D650" s="225">
        <v>10</v>
      </c>
      <c r="E650" s="226">
        <v>43762</v>
      </c>
      <c r="F650" s="227"/>
      <c r="G650" s="1" t="str">
        <f>IFERROR(IF(ventas_b_mes12[[#This Row],[CUIT]]="","-",VLOOKUP(ventas_b_mes12[[#This Row],[CUIT]],Lista_CUIT[#All],2,0)),"CUIT NO CARGADO")</f>
        <v>-</v>
      </c>
      <c r="H650" s="96">
        <f>ventas_b_mes12[[#This Row],[TOTAL]]/1.21</f>
        <v>41467.793388429753</v>
      </c>
      <c r="I650" s="60">
        <f>ventas_b_mes12[[#This Row],[IMPORTE NETO]]*0.21</f>
        <v>8708.236611570248</v>
      </c>
      <c r="J650" s="229"/>
      <c r="K650" s="229"/>
      <c r="L650" s="229">
        <v>50176.03</v>
      </c>
      <c r="M650" s="55"/>
    </row>
    <row r="651" spans="2:13" x14ac:dyDescent="0.3">
      <c r="B651" s="223" t="s">
        <v>2468</v>
      </c>
      <c r="C651" s="224">
        <v>6</v>
      </c>
      <c r="D651" s="225">
        <v>15</v>
      </c>
      <c r="E651" s="226">
        <v>7171</v>
      </c>
      <c r="F651" s="227"/>
      <c r="G651" s="1" t="str">
        <f>IFERROR(IF(ventas_b_mes12[[#This Row],[CUIT]]="","-",VLOOKUP(ventas_b_mes12[[#This Row],[CUIT]],Lista_CUIT[#All],2,0)),"CUIT NO CARGADO")</f>
        <v>-</v>
      </c>
      <c r="H651" s="96">
        <f>ventas_b_mes12[[#This Row],[TOTAL]]/1.21</f>
        <v>4545.454545454546</v>
      </c>
      <c r="I651" s="60">
        <f>ventas_b_mes12[[#This Row],[IMPORTE NETO]]*0.21</f>
        <v>954.54545454545462</v>
      </c>
      <c r="J651" s="229"/>
      <c r="K651" s="229"/>
      <c r="L651" s="229">
        <v>5500</v>
      </c>
      <c r="M651" s="55"/>
    </row>
    <row r="652" spans="2:13" x14ac:dyDescent="0.3">
      <c r="B652" s="223" t="s">
        <v>2468</v>
      </c>
      <c r="C652" s="224">
        <v>6</v>
      </c>
      <c r="D652" s="225">
        <v>15</v>
      </c>
      <c r="E652" s="226">
        <v>7167</v>
      </c>
      <c r="F652" s="227"/>
      <c r="G652" s="1" t="str">
        <f>IFERROR(IF(ventas_b_mes12[[#This Row],[CUIT]]="","-",VLOOKUP(ventas_b_mes12[[#This Row],[CUIT]],Lista_CUIT[#All],2,0)),"CUIT NO CARGADO")</f>
        <v>-</v>
      </c>
      <c r="H652" s="96">
        <f>ventas_b_mes12[[#This Row],[TOTAL]]/1.21</f>
        <v>2380.1652892561983</v>
      </c>
      <c r="I652" s="60">
        <f>ventas_b_mes12[[#This Row],[IMPORTE NETO]]*0.21</f>
        <v>499.83471074380162</v>
      </c>
      <c r="J652" s="229"/>
      <c r="K652" s="229"/>
      <c r="L652" s="229">
        <v>2880</v>
      </c>
      <c r="M652" s="55"/>
    </row>
    <row r="653" spans="2:13" x14ac:dyDescent="0.3">
      <c r="B653" s="223" t="s">
        <v>2468</v>
      </c>
      <c r="C653" s="224">
        <v>6</v>
      </c>
      <c r="D653" s="225">
        <v>13</v>
      </c>
      <c r="E653" s="226">
        <v>26685</v>
      </c>
      <c r="F653" s="227"/>
      <c r="G653" s="1" t="str">
        <f>IFERROR(IF(ventas_b_mes12[[#This Row],[CUIT]]="","-",VLOOKUP(ventas_b_mes12[[#This Row],[CUIT]],Lista_CUIT[#All],2,0)),"CUIT NO CARGADO")</f>
        <v>-</v>
      </c>
      <c r="H653" s="96">
        <f>ventas_b_mes12[[#This Row],[TOTAL]]/1.21</f>
        <v>1818.1818181818182</v>
      </c>
      <c r="I653" s="60">
        <f>ventas_b_mes12[[#This Row],[IMPORTE NETO]]*0.21</f>
        <v>381.81818181818181</v>
      </c>
      <c r="J653" s="229"/>
      <c r="K653" s="229"/>
      <c r="L653" s="229">
        <v>2200</v>
      </c>
      <c r="M653" s="55"/>
    </row>
    <row r="654" spans="2:13" x14ac:dyDescent="0.3">
      <c r="B654" s="223" t="s">
        <v>2468</v>
      </c>
      <c r="C654" s="224">
        <v>6</v>
      </c>
      <c r="D654" s="225">
        <v>13</v>
      </c>
      <c r="E654" s="226">
        <v>26684</v>
      </c>
      <c r="F654" s="227"/>
      <c r="G654" s="1" t="str">
        <f>IFERROR(IF(ventas_b_mes12[[#This Row],[CUIT]]="","-",VLOOKUP(ventas_b_mes12[[#This Row],[CUIT]],Lista_CUIT[#All],2,0)),"CUIT NO CARGADO")</f>
        <v>-</v>
      </c>
      <c r="H654" s="96">
        <f>ventas_b_mes12[[#This Row],[TOTAL]]/1.21</f>
        <v>4545.454545454546</v>
      </c>
      <c r="I654" s="60">
        <f>ventas_b_mes12[[#This Row],[IMPORTE NETO]]*0.21</f>
        <v>954.54545454545462</v>
      </c>
      <c r="J654" s="229"/>
      <c r="K654" s="229"/>
      <c r="L654" s="229">
        <v>5500</v>
      </c>
      <c r="M654" s="55"/>
    </row>
    <row r="655" spans="2:13" x14ac:dyDescent="0.3">
      <c r="B655" s="223" t="s">
        <v>2468</v>
      </c>
      <c r="C655" s="224">
        <v>6</v>
      </c>
      <c r="D655" s="225">
        <v>10</v>
      </c>
      <c r="E655" s="226">
        <v>43789</v>
      </c>
      <c r="F655" s="227"/>
      <c r="G655" s="1" t="str">
        <f>IFERROR(IF(ventas_b_mes12[[#This Row],[CUIT]]="","-",VLOOKUP(ventas_b_mes12[[#This Row],[CUIT]],Lista_CUIT[#All],2,0)),"CUIT NO CARGADO")</f>
        <v>-</v>
      </c>
      <c r="H655" s="96">
        <f>ventas_b_mes12[[#This Row],[TOTAL]]/1.21</f>
        <v>3371.9008264462809</v>
      </c>
      <c r="I655" s="60">
        <f>ventas_b_mes12[[#This Row],[IMPORTE NETO]]*0.21</f>
        <v>708.09917355371897</v>
      </c>
      <c r="J655" s="229"/>
      <c r="K655" s="229"/>
      <c r="L655" s="229">
        <v>4080</v>
      </c>
      <c r="M655" s="55"/>
    </row>
    <row r="656" spans="2:13" x14ac:dyDescent="0.3">
      <c r="B656" s="223" t="s">
        <v>2468</v>
      </c>
      <c r="C656" s="224">
        <v>6</v>
      </c>
      <c r="D656" s="225">
        <v>10</v>
      </c>
      <c r="E656" s="226">
        <v>43769</v>
      </c>
      <c r="F656" s="227"/>
      <c r="G656" s="1" t="str">
        <f>IFERROR(IF(ventas_b_mes12[[#This Row],[CUIT]]="","-",VLOOKUP(ventas_b_mes12[[#This Row],[CUIT]],Lista_CUIT[#All],2,0)),"CUIT NO CARGADO")</f>
        <v>-</v>
      </c>
      <c r="H656" s="96">
        <f>ventas_b_mes12[[#This Row],[TOTAL]]/1.21</f>
        <v>4404.9504132231405</v>
      </c>
      <c r="I656" s="60">
        <f>ventas_b_mes12[[#This Row],[IMPORTE NETO]]*0.21</f>
        <v>925.03958677685944</v>
      </c>
      <c r="J656" s="229"/>
      <c r="K656" s="229"/>
      <c r="L656" s="229">
        <v>5329.99</v>
      </c>
      <c r="M656" s="55"/>
    </row>
    <row r="657" spans="2:13" x14ac:dyDescent="0.3">
      <c r="B657" s="223" t="s">
        <v>2468</v>
      </c>
      <c r="C657" s="224">
        <v>6</v>
      </c>
      <c r="D657" s="225">
        <v>13</v>
      </c>
      <c r="E657" s="226">
        <v>26695</v>
      </c>
      <c r="F657" s="227"/>
      <c r="G657" s="1" t="str">
        <f>IFERROR(IF(ventas_b_mes12[[#This Row],[CUIT]]="","-",VLOOKUP(ventas_b_mes12[[#This Row],[CUIT]],Lista_CUIT[#All],2,0)),"CUIT NO CARGADO")</f>
        <v>-</v>
      </c>
      <c r="H657" s="96">
        <f>ventas_b_mes12[[#This Row],[TOTAL]]/1.21</f>
        <v>4958.6776859504134</v>
      </c>
      <c r="I657" s="60">
        <f>ventas_b_mes12[[#This Row],[IMPORTE NETO]]*0.21</f>
        <v>1041.3223140495868</v>
      </c>
      <c r="J657" s="229"/>
      <c r="K657" s="229"/>
      <c r="L657" s="229">
        <v>6000</v>
      </c>
      <c r="M657" s="55"/>
    </row>
    <row r="658" spans="2:13" x14ac:dyDescent="0.3">
      <c r="B658" s="223" t="s">
        <v>2468</v>
      </c>
      <c r="C658" s="224">
        <v>6</v>
      </c>
      <c r="D658" s="225">
        <v>10</v>
      </c>
      <c r="E658" s="226">
        <v>43777</v>
      </c>
      <c r="F658" s="227"/>
      <c r="G658" s="1" t="str">
        <f>IFERROR(IF(ventas_b_mes12[[#This Row],[CUIT]]="","-",VLOOKUP(ventas_b_mes12[[#This Row],[CUIT]],Lista_CUIT[#All],2,0)),"CUIT NO CARGADO")</f>
        <v>-</v>
      </c>
      <c r="H658" s="96">
        <f>ventas_b_mes12[[#This Row],[TOTAL]]/1.21</f>
        <v>1289.2561983471076</v>
      </c>
      <c r="I658" s="60">
        <f>ventas_b_mes12[[#This Row],[IMPORTE NETO]]*0.21</f>
        <v>270.74380165289256</v>
      </c>
      <c r="J658" s="229"/>
      <c r="K658" s="229"/>
      <c r="L658" s="229">
        <v>1560</v>
      </c>
      <c r="M658" s="55"/>
    </row>
    <row r="659" spans="2:13" x14ac:dyDescent="0.3">
      <c r="B659" s="223" t="s">
        <v>2468</v>
      </c>
      <c r="C659" s="224">
        <v>6</v>
      </c>
      <c r="D659" s="225">
        <v>11</v>
      </c>
      <c r="E659" s="226">
        <v>30007</v>
      </c>
      <c r="F659" s="227"/>
      <c r="G659" s="1" t="str">
        <f>IFERROR(IF(ventas_b_mes12[[#This Row],[CUIT]]="","-",VLOOKUP(ventas_b_mes12[[#This Row],[CUIT]],Lista_CUIT[#All],2,0)),"CUIT NO CARGADO")</f>
        <v>-</v>
      </c>
      <c r="H659" s="96">
        <f>ventas_b_mes12[[#This Row],[TOTAL]]/1.21</f>
        <v>4545.454545454546</v>
      </c>
      <c r="I659" s="60">
        <f>ventas_b_mes12[[#This Row],[IMPORTE NETO]]*0.21</f>
        <v>954.54545454545462</v>
      </c>
      <c r="J659" s="229"/>
      <c r="K659" s="229"/>
      <c r="L659" s="229">
        <v>5500</v>
      </c>
      <c r="M659" s="55"/>
    </row>
    <row r="660" spans="2:13" x14ac:dyDescent="0.3">
      <c r="B660" s="223" t="s">
        <v>2468</v>
      </c>
      <c r="C660" s="224">
        <v>6</v>
      </c>
      <c r="D660" s="225">
        <v>10</v>
      </c>
      <c r="E660" s="226">
        <v>43771</v>
      </c>
      <c r="F660" s="227"/>
      <c r="G660" s="1" t="str">
        <f>IFERROR(IF(ventas_b_mes12[[#This Row],[CUIT]]="","-",VLOOKUP(ventas_b_mes12[[#This Row],[CUIT]],Lista_CUIT[#All],2,0)),"CUIT NO CARGADO")</f>
        <v>-</v>
      </c>
      <c r="H660" s="96">
        <f>ventas_b_mes12[[#This Row],[TOTAL]]/1.21</f>
        <v>17844.628099173555</v>
      </c>
      <c r="I660" s="60">
        <f>ventas_b_mes12[[#This Row],[IMPORTE NETO]]*0.21</f>
        <v>3747.3719008264466</v>
      </c>
      <c r="J660" s="229"/>
      <c r="K660" s="229"/>
      <c r="L660" s="229">
        <v>21592</v>
      </c>
      <c r="M660" s="55"/>
    </row>
    <row r="661" spans="2:13" x14ac:dyDescent="0.3">
      <c r="B661" s="223" t="s">
        <v>2468</v>
      </c>
      <c r="C661" s="224">
        <v>6</v>
      </c>
      <c r="D661" s="225">
        <v>13</v>
      </c>
      <c r="E661" s="226">
        <v>26690</v>
      </c>
      <c r="F661" s="227"/>
      <c r="G661" s="1" t="str">
        <f>IFERROR(IF(ventas_b_mes12[[#This Row],[CUIT]]="","-",VLOOKUP(ventas_b_mes12[[#This Row],[CUIT]],Lista_CUIT[#All],2,0)),"CUIT NO CARGADO")</f>
        <v>-</v>
      </c>
      <c r="H661" s="96">
        <f>ventas_b_mes12[[#This Row],[TOTAL]]/1.21</f>
        <v>2148.7603305785124</v>
      </c>
      <c r="I661" s="60">
        <f>ventas_b_mes12[[#This Row],[IMPORTE NETO]]*0.21</f>
        <v>451.23966942148758</v>
      </c>
      <c r="J661" s="229"/>
      <c r="K661" s="229"/>
      <c r="L661" s="229">
        <v>2600</v>
      </c>
      <c r="M661" s="55"/>
    </row>
    <row r="662" spans="2:13" x14ac:dyDescent="0.3">
      <c r="B662" s="223" t="s">
        <v>2468</v>
      </c>
      <c r="C662" s="224">
        <v>6</v>
      </c>
      <c r="D662" s="225">
        <v>12</v>
      </c>
      <c r="E662" s="226">
        <v>22435</v>
      </c>
      <c r="F662" s="227"/>
      <c r="G662" s="1" t="str">
        <f>IFERROR(IF(ventas_b_mes12[[#This Row],[CUIT]]="","-",VLOOKUP(ventas_b_mes12[[#This Row],[CUIT]],Lista_CUIT[#All],2,0)),"CUIT NO CARGADO")</f>
        <v>-</v>
      </c>
      <c r="H662" s="96">
        <f>ventas_b_mes12[[#This Row],[TOTAL]]/1.21</f>
        <v>17151.239669421488</v>
      </c>
      <c r="I662" s="60">
        <f>ventas_b_mes12[[#This Row],[IMPORTE NETO]]*0.21</f>
        <v>3601.7603305785124</v>
      </c>
      <c r="J662" s="229"/>
      <c r="K662" s="229"/>
      <c r="L662" s="229">
        <v>20753</v>
      </c>
      <c r="M662" s="55"/>
    </row>
    <row r="663" spans="2:13" x14ac:dyDescent="0.3">
      <c r="B663" s="223" t="s">
        <v>2468</v>
      </c>
      <c r="C663" s="224">
        <v>6</v>
      </c>
      <c r="D663" s="225">
        <v>11</v>
      </c>
      <c r="E663" s="226">
        <v>30011</v>
      </c>
      <c r="F663" s="227"/>
      <c r="G663" s="1" t="str">
        <f>IFERROR(IF(ventas_b_mes12[[#This Row],[CUIT]]="","-",VLOOKUP(ventas_b_mes12[[#This Row],[CUIT]],Lista_CUIT[#All],2,0)),"CUIT NO CARGADO")</f>
        <v>-</v>
      </c>
      <c r="H663" s="96">
        <f>ventas_b_mes12[[#This Row],[TOTAL]]/1.21</f>
        <v>1057.8512396694216</v>
      </c>
      <c r="I663" s="60">
        <f>ventas_b_mes12[[#This Row],[IMPORTE NETO]]*0.21</f>
        <v>222.14876033057854</v>
      </c>
      <c r="J663" s="229"/>
      <c r="K663" s="229"/>
      <c r="L663" s="229">
        <v>1280</v>
      </c>
      <c r="M663" s="55"/>
    </row>
    <row r="664" spans="2:13" x14ac:dyDescent="0.3">
      <c r="B664" s="223" t="s">
        <v>2468</v>
      </c>
      <c r="C664" s="224">
        <v>6</v>
      </c>
      <c r="D664" s="225">
        <v>13</v>
      </c>
      <c r="E664" s="226">
        <v>26689</v>
      </c>
      <c r="F664" s="227"/>
      <c r="G664" s="1" t="str">
        <f>IFERROR(IF(ventas_b_mes12[[#This Row],[CUIT]]="","-",VLOOKUP(ventas_b_mes12[[#This Row],[CUIT]],Lista_CUIT[#All],2,0)),"CUIT NO CARGADO")</f>
        <v>-</v>
      </c>
      <c r="H664" s="96">
        <f>ventas_b_mes12[[#This Row],[TOTAL]]/1.21</f>
        <v>4958.6776859504134</v>
      </c>
      <c r="I664" s="60">
        <f>ventas_b_mes12[[#This Row],[IMPORTE NETO]]*0.21</f>
        <v>1041.3223140495868</v>
      </c>
      <c r="J664" s="229"/>
      <c r="K664" s="229"/>
      <c r="L664" s="229">
        <v>6000</v>
      </c>
      <c r="M664" s="55"/>
    </row>
    <row r="665" spans="2:13" x14ac:dyDescent="0.3">
      <c r="B665" s="223" t="s">
        <v>2468</v>
      </c>
      <c r="C665" s="224">
        <v>6</v>
      </c>
      <c r="D665" s="225">
        <v>10</v>
      </c>
      <c r="E665" s="226">
        <v>43770</v>
      </c>
      <c r="F665" s="227"/>
      <c r="G665" s="1" t="str">
        <f>IFERROR(IF(ventas_b_mes12[[#This Row],[CUIT]]="","-",VLOOKUP(ventas_b_mes12[[#This Row],[CUIT]],Lista_CUIT[#All],2,0)),"CUIT NO CARGADO")</f>
        <v>-</v>
      </c>
      <c r="H665" s="96">
        <f>ventas_b_mes12[[#This Row],[TOTAL]]/1.21</f>
        <v>4099.1735537190079</v>
      </c>
      <c r="I665" s="60">
        <f>ventas_b_mes12[[#This Row],[IMPORTE NETO]]*0.21</f>
        <v>860.8264462809916</v>
      </c>
      <c r="J665" s="229"/>
      <c r="K665" s="229"/>
      <c r="L665" s="229">
        <v>4960</v>
      </c>
      <c r="M665" s="55"/>
    </row>
    <row r="666" spans="2:13" x14ac:dyDescent="0.3">
      <c r="B666" s="223" t="s">
        <v>2468</v>
      </c>
      <c r="C666" s="224">
        <v>6</v>
      </c>
      <c r="D666" s="225">
        <v>15</v>
      </c>
      <c r="E666" s="226">
        <v>7165</v>
      </c>
      <c r="F666" s="227"/>
      <c r="G666" s="1" t="str">
        <f>IFERROR(IF(ventas_b_mes12[[#This Row],[CUIT]]="","-",VLOOKUP(ventas_b_mes12[[#This Row],[CUIT]],Lista_CUIT[#All],2,0)),"CUIT NO CARGADO")</f>
        <v>-</v>
      </c>
      <c r="H666" s="96">
        <f>ventas_b_mes12[[#This Row],[TOTAL]]/1.21</f>
        <v>4958.6776859504134</v>
      </c>
      <c r="I666" s="60">
        <f>ventas_b_mes12[[#This Row],[IMPORTE NETO]]*0.21</f>
        <v>1041.3223140495868</v>
      </c>
      <c r="J666" s="229"/>
      <c r="K666" s="229"/>
      <c r="L666" s="229">
        <v>6000</v>
      </c>
      <c r="M666" s="55"/>
    </row>
    <row r="667" spans="2:13" x14ac:dyDescent="0.3">
      <c r="B667" s="223" t="s">
        <v>2468</v>
      </c>
      <c r="C667" s="224">
        <v>6</v>
      </c>
      <c r="D667" s="225">
        <v>13</v>
      </c>
      <c r="E667" s="226">
        <v>26693</v>
      </c>
      <c r="F667" s="227"/>
      <c r="G667" s="1" t="str">
        <f>IFERROR(IF(ventas_b_mes12[[#This Row],[CUIT]]="","-",VLOOKUP(ventas_b_mes12[[#This Row],[CUIT]],Lista_CUIT[#All],2,0)),"CUIT NO CARGADO")</f>
        <v>-</v>
      </c>
      <c r="H667" s="96">
        <f>ventas_b_mes12[[#This Row],[TOTAL]]/1.21</f>
        <v>7644.6280991735539</v>
      </c>
      <c r="I667" s="60">
        <f>ventas_b_mes12[[#This Row],[IMPORTE NETO]]*0.21</f>
        <v>1605.3719008264463</v>
      </c>
      <c r="J667" s="229"/>
      <c r="K667" s="229"/>
      <c r="L667" s="229">
        <v>9250</v>
      </c>
      <c r="M667" s="55"/>
    </row>
    <row r="668" spans="2:13" x14ac:dyDescent="0.3">
      <c r="B668" s="223" t="s">
        <v>2468</v>
      </c>
      <c r="C668" s="224">
        <v>6</v>
      </c>
      <c r="D668" s="225">
        <v>12</v>
      </c>
      <c r="E668" s="226">
        <v>22440</v>
      </c>
      <c r="F668" s="227"/>
      <c r="G668" s="1" t="str">
        <f>IFERROR(IF(ventas_b_mes12[[#This Row],[CUIT]]="","-",VLOOKUP(ventas_b_mes12[[#This Row],[CUIT]],Lista_CUIT[#All],2,0)),"CUIT NO CARGADO")</f>
        <v>-</v>
      </c>
      <c r="H668" s="96">
        <f>ventas_b_mes12[[#This Row],[TOTAL]]/1.21</f>
        <v>9256.1983471074382</v>
      </c>
      <c r="I668" s="60">
        <f>ventas_b_mes12[[#This Row],[IMPORTE NETO]]*0.21</f>
        <v>1943.8016528925618</v>
      </c>
      <c r="J668" s="229"/>
      <c r="K668" s="229"/>
      <c r="L668" s="229">
        <v>11200</v>
      </c>
      <c r="M668" s="55"/>
    </row>
    <row r="669" spans="2:13" x14ac:dyDescent="0.3">
      <c r="B669" s="223" t="s">
        <v>2468</v>
      </c>
      <c r="C669" s="224">
        <v>6</v>
      </c>
      <c r="D669" s="225">
        <v>10</v>
      </c>
      <c r="E669" s="226">
        <v>43797</v>
      </c>
      <c r="F669" s="227"/>
      <c r="G669" s="1" t="str">
        <f>IFERROR(IF(ventas_b_mes12[[#This Row],[CUIT]]="","-",VLOOKUP(ventas_b_mes12[[#This Row],[CUIT]],Lista_CUIT[#All],2,0)),"CUIT NO CARGADO")</f>
        <v>-</v>
      </c>
      <c r="H669" s="96">
        <f>ventas_b_mes12[[#This Row],[TOTAL]]/1.21</f>
        <v>1611.5702479338843</v>
      </c>
      <c r="I669" s="60">
        <f>ventas_b_mes12[[#This Row],[IMPORTE NETO]]*0.21</f>
        <v>338.42975206611567</v>
      </c>
      <c r="J669" s="229"/>
      <c r="K669" s="229"/>
      <c r="L669" s="229">
        <v>1950</v>
      </c>
      <c r="M669" s="55"/>
    </row>
    <row r="670" spans="2:13" x14ac:dyDescent="0.3">
      <c r="B670" s="223" t="s">
        <v>2468</v>
      </c>
      <c r="C670" s="224">
        <v>6</v>
      </c>
      <c r="D670" s="225">
        <v>12</v>
      </c>
      <c r="E670" s="226">
        <v>22422</v>
      </c>
      <c r="F670" s="227"/>
      <c r="G670" s="1" t="str">
        <f>IFERROR(IF(ventas_b_mes12[[#This Row],[CUIT]]="","-",VLOOKUP(ventas_b_mes12[[#This Row],[CUIT]],Lista_CUIT[#All],2,0)),"CUIT NO CARGADO")</f>
        <v>-</v>
      </c>
      <c r="H670" s="96">
        <f>ventas_b_mes12[[#This Row],[TOTAL]]/1.21</f>
        <v>11627.231404958678</v>
      </c>
      <c r="I670" s="60">
        <f>ventas_b_mes12[[#This Row],[IMPORTE NETO]]*0.21</f>
        <v>2441.7185950413223</v>
      </c>
      <c r="J670" s="229"/>
      <c r="K670" s="229"/>
      <c r="L670" s="229">
        <v>14068.95</v>
      </c>
      <c r="M670" s="55"/>
    </row>
    <row r="671" spans="2:13" x14ac:dyDescent="0.3">
      <c r="B671" s="223" t="s">
        <v>2468</v>
      </c>
      <c r="C671" s="224">
        <v>6</v>
      </c>
      <c r="D671" s="225">
        <v>10</v>
      </c>
      <c r="E671" s="226">
        <v>43767</v>
      </c>
      <c r="F671" s="227"/>
      <c r="G671" s="1" t="str">
        <f>IFERROR(IF(ventas_b_mes12[[#This Row],[CUIT]]="","-",VLOOKUP(ventas_b_mes12[[#This Row],[CUIT]],Lista_CUIT[#All],2,0)),"CUIT NO CARGADO")</f>
        <v>-</v>
      </c>
      <c r="H671" s="96">
        <f>ventas_b_mes12[[#This Row],[TOTAL]]/1.21</f>
        <v>23276.03305785124</v>
      </c>
      <c r="I671" s="60">
        <f>ventas_b_mes12[[#This Row],[IMPORTE NETO]]*0.21</f>
        <v>4887.9669421487606</v>
      </c>
      <c r="J671" s="229"/>
      <c r="K671" s="229"/>
      <c r="L671" s="229">
        <v>28164</v>
      </c>
      <c r="M671" s="55"/>
    </row>
    <row r="672" spans="2:13" x14ac:dyDescent="0.3">
      <c r="B672" s="223" t="s">
        <v>2468</v>
      </c>
      <c r="C672" s="224">
        <v>6</v>
      </c>
      <c r="D672" s="225">
        <v>10</v>
      </c>
      <c r="E672" s="226">
        <v>43768</v>
      </c>
      <c r="F672" s="227"/>
      <c r="G672" s="1" t="str">
        <f>IFERROR(IF(ventas_b_mes12[[#This Row],[CUIT]]="","-",VLOOKUP(ventas_b_mes12[[#This Row],[CUIT]],Lista_CUIT[#All],2,0)),"CUIT NO CARGADO")</f>
        <v>-</v>
      </c>
      <c r="H672" s="96">
        <f>ventas_b_mes12[[#This Row],[TOTAL]]/1.21</f>
        <v>1057.8512396694216</v>
      </c>
      <c r="I672" s="60">
        <f>ventas_b_mes12[[#This Row],[IMPORTE NETO]]*0.21</f>
        <v>222.14876033057854</v>
      </c>
      <c r="J672" s="229"/>
      <c r="K672" s="229"/>
      <c r="L672" s="229">
        <v>1280</v>
      </c>
      <c r="M672" s="55"/>
    </row>
    <row r="673" spans="2:13" x14ac:dyDescent="0.3">
      <c r="B673" s="223" t="s">
        <v>2468</v>
      </c>
      <c r="C673" s="224">
        <v>6</v>
      </c>
      <c r="D673" s="225">
        <v>10</v>
      </c>
      <c r="E673" s="226">
        <v>43773</v>
      </c>
      <c r="F673" s="227"/>
      <c r="G673" s="1" t="str">
        <f>IFERROR(IF(ventas_b_mes12[[#This Row],[CUIT]]="","-",VLOOKUP(ventas_b_mes12[[#This Row],[CUIT]],Lista_CUIT[#All],2,0)),"CUIT NO CARGADO")</f>
        <v>-</v>
      </c>
      <c r="H673" s="96">
        <f>ventas_b_mes12[[#This Row],[TOTAL]]/1.21</f>
        <v>8132.2314049586776</v>
      </c>
      <c r="I673" s="60">
        <f>ventas_b_mes12[[#This Row],[IMPORTE NETO]]*0.21</f>
        <v>1707.7685950413222</v>
      </c>
      <c r="J673" s="229"/>
      <c r="K673" s="229"/>
      <c r="L673" s="229">
        <v>9840</v>
      </c>
      <c r="M673" s="55"/>
    </row>
    <row r="674" spans="2:13" x14ac:dyDescent="0.3">
      <c r="B674" s="223" t="s">
        <v>2468</v>
      </c>
      <c r="C674" s="224">
        <v>6</v>
      </c>
      <c r="D674" s="225">
        <v>10</v>
      </c>
      <c r="E674" s="226">
        <v>43784</v>
      </c>
      <c r="F674" s="227"/>
      <c r="G674" s="1" t="str">
        <f>IFERROR(IF(ventas_b_mes12[[#This Row],[CUIT]]="","-",VLOOKUP(ventas_b_mes12[[#This Row],[CUIT]],Lista_CUIT[#All],2,0)),"CUIT NO CARGADO")</f>
        <v>-</v>
      </c>
      <c r="H674" s="96">
        <f>ventas_b_mes12[[#This Row],[TOTAL]]/1.21</f>
        <v>68653.586776859505</v>
      </c>
      <c r="I674" s="60">
        <f>ventas_b_mes12[[#This Row],[IMPORTE NETO]]*0.21</f>
        <v>14417.253223140495</v>
      </c>
      <c r="J674" s="229"/>
      <c r="K674" s="229"/>
      <c r="L674" s="229">
        <v>83070.84</v>
      </c>
      <c r="M674" s="55"/>
    </row>
    <row r="675" spans="2:13" x14ac:dyDescent="0.3">
      <c r="B675" s="223" t="s">
        <v>2468</v>
      </c>
      <c r="C675" s="224">
        <v>6</v>
      </c>
      <c r="D675" s="225">
        <v>13</v>
      </c>
      <c r="E675" s="226">
        <v>26699</v>
      </c>
      <c r="F675" s="227"/>
      <c r="G675" s="1" t="str">
        <f>IFERROR(IF(ventas_b_mes12[[#This Row],[CUIT]]="","-",VLOOKUP(ventas_b_mes12[[#This Row],[CUIT]],Lista_CUIT[#All],2,0)),"CUIT NO CARGADO")</f>
        <v>-</v>
      </c>
      <c r="H675" s="96">
        <f>ventas_b_mes12[[#This Row],[TOTAL]]/1.21</f>
        <v>6162.818181818182</v>
      </c>
      <c r="I675" s="60">
        <f>ventas_b_mes12[[#This Row],[IMPORTE NETO]]*0.21</f>
        <v>1294.1918181818182</v>
      </c>
      <c r="J675" s="229"/>
      <c r="K675" s="229"/>
      <c r="L675" s="229">
        <v>7457.01</v>
      </c>
      <c r="M675" s="55"/>
    </row>
    <row r="676" spans="2:13" x14ac:dyDescent="0.3">
      <c r="B676" s="223" t="s">
        <v>2468</v>
      </c>
      <c r="C676" s="224">
        <v>6</v>
      </c>
      <c r="D676" s="225">
        <v>11</v>
      </c>
      <c r="E676" s="226">
        <v>30012</v>
      </c>
      <c r="F676" s="227"/>
      <c r="G676" s="1" t="str">
        <f>IFERROR(IF(ventas_b_mes12[[#This Row],[CUIT]]="","-",VLOOKUP(ventas_b_mes12[[#This Row],[CUIT]],Lista_CUIT[#All],2,0)),"CUIT NO CARGADO")</f>
        <v>-</v>
      </c>
      <c r="H676" s="96">
        <f>ventas_b_mes12[[#This Row],[TOTAL]]/1.21</f>
        <v>6441.7355371900831</v>
      </c>
      <c r="I676" s="60">
        <f>ventas_b_mes12[[#This Row],[IMPORTE NETO]]*0.21</f>
        <v>1352.7644628099174</v>
      </c>
      <c r="J676" s="229"/>
      <c r="K676" s="229"/>
      <c r="L676" s="229">
        <v>7794.5</v>
      </c>
      <c r="M676" s="55"/>
    </row>
    <row r="677" spans="2:13" x14ac:dyDescent="0.3">
      <c r="B677" s="223" t="s">
        <v>2468</v>
      </c>
      <c r="C677" s="224">
        <v>6</v>
      </c>
      <c r="D677" s="225">
        <v>15</v>
      </c>
      <c r="E677" s="226">
        <v>7170</v>
      </c>
      <c r="F677" s="227"/>
      <c r="G677" s="1" t="str">
        <f>IFERROR(IF(ventas_b_mes12[[#This Row],[CUIT]]="","-",VLOOKUP(ventas_b_mes12[[#This Row],[CUIT]],Lista_CUIT[#All],2,0)),"CUIT NO CARGADO")</f>
        <v>-</v>
      </c>
      <c r="H677" s="96">
        <f>ventas_b_mes12[[#This Row],[TOTAL]]/1.21</f>
        <v>4545.454545454546</v>
      </c>
      <c r="I677" s="60">
        <f>ventas_b_mes12[[#This Row],[IMPORTE NETO]]*0.21</f>
        <v>954.54545454545462</v>
      </c>
      <c r="J677" s="229"/>
      <c r="K677" s="229"/>
      <c r="L677" s="229">
        <v>5500</v>
      </c>
      <c r="M677" s="55"/>
    </row>
    <row r="678" spans="2:13" x14ac:dyDescent="0.3">
      <c r="B678" s="223" t="s">
        <v>2468</v>
      </c>
      <c r="C678" s="224">
        <v>6</v>
      </c>
      <c r="D678" s="225">
        <v>10</v>
      </c>
      <c r="E678" s="226">
        <v>43778</v>
      </c>
      <c r="F678" s="227"/>
      <c r="G678" s="1" t="str">
        <f>IFERROR(IF(ventas_b_mes12[[#This Row],[CUIT]]="","-",VLOOKUP(ventas_b_mes12[[#This Row],[CUIT]],Lista_CUIT[#All],2,0)),"CUIT NO CARGADO")</f>
        <v>-</v>
      </c>
      <c r="H678" s="96">
        <f>ventas_b_mes12[[#This Row],[TOTAL]]/1.21</f>
        <v>1752.0661157024795</v>
      </c>
      <c r="I678" s="60">
        <f>ventas_b_mes12[[#This Row],[IMPORTE NETO]]*0.21</f>
        <v>367.93388429752065</v>
      </c>
      <c r="J678" s="229"/>
      <c r="K678" s="229"/>
      <c r="L678" s="229">
        <v>2120</v>
      </c>
      <c r="M678" s="55"/>
    </row>
    <row r="679" spans="2:13" x14ac:dyDescent="0.3">
      <c r="B679" s="223" t="s">
        <v>2468</v>
      </c>
      <c r="C679" s="224">
        <v>6</v>
      </c>
      <c r="D679" s="225">
        <v>12</v>
      </c>
      <c r="E679" s="226">
        <v>22418</v>
      </c>
      <c r="F679" s="227"/>
      <c r="G679" s="1" t="str">
        <f>IFERROR(IF(ventas_b_mes12[[#This Row],[CUIT]]="","-",VLOOKUP(ventas_b_mes12[[#This Row],[CUIT]],Lista_CUIT[#All],2,0)),"CUIT NO CARGADO")</f>
        <v>-</v>
      </c>
      <c r="H679" s="96">
        <f>ventas_b_mes12[[#This Row],[TOTAL]]/1.21</f>
        <v>7396.7107438016537</v>
      </c>
      <c r="I679" s="60">
        <f>ventas_b_mes12[[#This Row],[IMPORTE NETO]]*0.21</f>
        <v>1553.3092561983472</v>
      </c>
      <c r="J679" s="229"/>
      <c r="K679" s="229"/>
      <c r="L679" s="229">
        <v>8950.02</v>
      </c>
      <c r="M679" s="55"/>
    </row>
    <row r="680" spans="2:13" x14ac:dyDescent="0.3">
      <c r="B680" s="223" t="s">
        <v>2468</v>
      </c>
      <c r="C680" s="224">
        <v>6</v>
      </c>
      <c r="D680" s="225">
        <v>13</v>
      </c>
      <c r="E680" s="226">
        <v>26691</v>
      </c>
      <c r="F680" s="227"/>
      <c r="G680" s="1" t="str">
        <f>IFERROR(IF(ventas_b_mes12[[#This Row],[CUIT]]="","-",VLOOKUP(ventas_b_mes12[[#This Row],[CUIT]],Lista_CUIT[#All],2,0)),"CUIT NO CARGADO")</f>
        <v>-</v>
      </c>
      <c r="H680" s="96">
        <f>ventas_b_mes12[[#This Row],[TOTAL]]/1.21</f>
        <v>13573.958677685952</v>
      </c>
      <c r="I680" s="60">
        <f>ventas_b_mes12[[#This Row],[IMPORTE NETO]]*0.21</f>
        <v>2850.5313223140497</v>
      </c>
      <c r="J680" s="229"/>
      <c r="K680" s="229"/>
      <c r="L680" s="229">
        <v>16424.490000000002</v>
      </c>
      <c r="M680" s="55"/>
    </row>
    <row r="681" spans="2:13" x14ac:dyDescent="0.3">
      <c r="B681" s="223" t="s">
        <v>2468</v>
      </c>
      <c r="C681" s="224">
        <v>6</v>
      </c>
      <c r="D681" s="225">
        <v>12</v>
      </c>
      <c r="E681" s="226">
        <v>22443</v>
      </c>
      <c r="F681" s="227"/>
      <c r="G681" s="1" t="str">
        <f>IFERROR(IF(ventas_b_mes12[[#This Row],[CUIT]]="","-",VLOOKUP(ventas_b_mes12[[#This Row],[CUIT]],Lista_CUIT[#All],2,0)),"CUIT NO CARGADO")</f>
        <v>-</v>
      </c>
      <c r="H681" s="96">
        <f>ventas_b_mes12[[#This Row],[TOTAL]]/1.21</f>
        <v>4545.454545454546</v>
      </c>
      <c r="I681" s="60">
        <f>ventas_b_mes12[[#This Row],[IMPORTE NETO]]*0.21</f>
        <v>954.54545454545462</v>
      </c>
      <c r="J681" s="229"/>
      <c r="K681" s="229"/>
      <c r="L681" s="229">
        <v>5500</v>
      </c>
      <c r="M681" s="55"/>
    </row>
    <row r="682" spans="2:13" x14ac:dyDescent="0.3">
      <c r="B682" s="223" t="s">
        <v>2468</v>
      </c>
      <c r="C682" s="224">
        <v>6</v>
      </c>
      <c r="D682" s="225">
        <v>10</v>
      </c>
      <c r="E682" s="226">
        <v>43764</v>
      </c>
      <c r="F682" s="227"/>
      <c r="G682" s="1" t="str">
        <f>IFERROR(IF(ventas_b_mes12[[#This Row],[CUIT]]="","-",VLOOKUP(ventas_b_mes12[[#This Row],[CUIT]],Lista_CUIT[#All],2,0)),"CUIT NO CARGADO")</f>
        <v>-</v>
      </c>
      <c r="H682" s="96">
        <f>ventas_b_mes12[[#This Row],[TOTAL]]/1.21</f>
        <v>3305.8016528925623</v>
      </c>
      <c r="I682" s="60">
        <f>ventas_b_mes12[[#This Row],[IMPORTE NETO]]*0.21</f>
        <v>694.21834710743803</v>
      </c>
      <c r="J682" s="229"/>
      <c r="K682" s="229"/>
      <c r="L682" s="229">
        <v>4000.02</v>
      </c>
      <c r="M682" s="55"/>
    </row>
    <row r="683" spans="2:13" x14ac:dyDescent="0.3">
      <c r="B683" s="223" t="s">
        <v>2468</v>
      </c>
      <c r="C683" s="224">
        <v>6</v>
      </c>
      <c r="D683" s="225">
        <v>12</v>
      </c>
      <c r="E683" s="226">
        <v>22405</v>
      </c>
      <c r="F683" s="227"/>
      <c r="G683" s="1" t="str">
        <f>IFERROR(IF(ventas_b_mes12[[#This Row],[CUIT]]="","-",VLOOKUP(ventas_b_mes12[[#This Row],[CUIT]],Lista_CUIT[#All],2,0)),"CUIT NO CARGADO")</f>
        <v>-</v>
      </c>
      <c r="H683" s="96">
        <f>ventas_b_mes12[[#This Row],[TOTAL]]/1.21</f>
        <v>8826.446280991735</v>
      </c>
      <c r="I683" s="60">
        <f>ventas_b_mes12[[#This Row],[IMPORTE NETO]]*0.21</f>
        <v>1853.5537190082644</v>
      </c>
      <c r="J683" s="229"/>
      <c r="K683" s="229"/>
      <c r="L683" s="229">
        <v>10680</v>
      </c>
      <c r="M683" s="55"/>
    </row>
    <row r="684" spans="2:13" x14ac:dyDescent="0.3">
      <c r="B684" s="223" t="s">
        <v>2468</v>
      </c>
      <c r="C684" s="224">
        <v>6</v>
      </c>
      <c r="D684" s="225">
        <v>10</v>
      </c>
      <c r="E684" s="226">
        <v>43775</v>
      </c>
      <c r="F684" s="227"/>
      <c r="G684" s="1" t="str">
        <f>IFERROR(IF(ventas_b_mes12[[#This Row],[CUIT]]="","-",VLOOKUP(ventas_b_mes12[[#This Row],[CUIT]],Lista_CUIT[#All],2,0)),"CUIT NO CARGADO")</f>
        <v>-</v>
      </c>
      <c r="H684" s="96">
        <f>ventas_b_mes12[[#This Row],[TOTAL]]/1.21</f>
        <v>2376.8595041322315</v>
      </c>
      <c r="I684" s="60">
        <f>ventas_b_mes12[[#This Row],[IMPORTE NETO]]*0.21</f>
        <v>499.14049586776861</v>
      </c>
      <c r="J684" s="229"/>
      <c r="K684" s="229"/>
      <c r="L684" s="229">
        <v>2876</v>
      </c>
      <c r="M684" s="55"/>
    </row>
    <row r="685" spans="2:13" x14ac:dyDescent="0.3">
      <c r="B685" s="223" t="s">
        <v>2468</v>
      </c>
      <c r="C685" s="224">
        <v>6</v>
      </c>
      <c r="D685" s="225">
        <v>10</v>
      </c>
      <c r="E685" s="226">
        <v>43787</v>
      </c>
      <c r="F685" s="227"/>
      <c r="G685" s="1" t="str">
        <f>IFERROR(IF(ventas_b_mes12[[#This Row],[CUIT]]="","-",VLOOKUP(ventas_b_mes12[[#This Row],[CUIT]],Lista_CUIT[#All],2,0)),"CUIT NO CARGADO")</f>
        <v>-</v>
      </c>
      <c r="H685" s="96">
        <f>ventas_b_mes12[[#This Row],[TOTAL]]/1.21</f>
        <v>761.48760330578511</v>
      </c>
      <c r="I685" s="60">
        <f>ventas_b_mes12[[#This Row],[IMPORTE NETO]]*0.21</f>
        <v>159.91239669421486</v>
      </c>
      <c r="J685" s="229"/>
      <c r="K685" s="229"/>
      <c r="L685" s="229">
        <v>921.4</v>
      </c>
      <c r="M685" s="55"/>
    </row>
    <row r="686" spans="2:13" x14ac:dyDescent="0.3">
      <c r="B686" s="223" t="s">
        <v>2468</v>
      </c>
      <c r="C686" s="224">
        <v>6</v>
      </c>
      <c r="D686" s="225">
        <v>10</v>
      </c>
      <c r="E686" s="226">
        <v>43788</v>
      </c>
      <c r="F686" s="227"/>
      <c r="G686" s="1" t="str">
        <f>IFERROR(IF(ventas_b_mes12[[#This Row],[CUIT]]="","-",VLOOKUP(ventas_b_mes12[[#This Row],[CUIT]],Lista_CUIT[#All],2,0)),"CUIT NO CARGADO")</f>
        <v>-</v>
      </c>
      <c r="H686" s="96">
        <f>ventas_b_mes12[[#This Row],[TOTAL]]/1.21</f>
        <v>3637.1900826446281</v>
      </c>
      <c r="I686" s="60">
        <f>ventas_b_mes12[[#This Row],[IMPORTE NETO]]*0.21</f>
        <v>763.80991735537191</v>
      </c>
      <c r="J686" s="229"/>
      <c r="K686" s="229"/>
      <c r="L686" s="229">
        <v>4401</v>
      </c>
      <c r="M686" s="55"/>
    </row>
    <row r="687" spans="2:13" x14ac:dyDescent="0.3">
      <c r="B687" s="223" t="s">
        <v>2468</v>
      </c>
      <c r="C687" s="224">
        <v>6</v>
      </c>
      <c r="D687" s="225">
        <v>13</v>
      </c>
      <c r="E687" s="226">
        <v>26694</v>
      </c>
      <c r="F687" s="227"/>
      <c r="G687" s="1" t="str">
        <f>IFERROR(IF(ventas_b_mes12[[#This Row],[CUIT]]="","-",VLOOKUP(ventas_b_mes12[[#This Row],[CUIT]],Lista_CUIT[#All],2,0)),"CUIT NO CARGADO")</f>
        <v>-</v>
      </c>
      <c r="H687" s="96">
        <f>ventas_b_mes12[[#This Row],[TOTAL]]/1.21</f>
        <v>2206.6115702479337</v>
      </c>
      <c r="I687" s="60">
        <f>ventas_b_mes12[[#This Row],[IMPORTE NETO]]*0.21</f>
        <v>463.38842975206609</v>
      </c>
      <c r="J687" s="229"/>
      <c r="K687" s="229"/>
      <c r="L687" s="229">
        <v>2670</v>
      </c>
      <c r="M687" s="55"/>
    </row>
    <row r="688" spans="2:13" x14ac:dyDescent="0.3">
      <c r="B688" s="223" t="s">
        <v>2468</v>
      </c>
      <c r="C688" s="224">
        <v>6</v>
      </c>
      <c r="D688" s="225">
        <v>10</v>
      </c>
      <c r="E688" s="226">
        <v>43779</v>
      </c>
      <c r="F688" s="227"/>
      <c r="G688" s="1" t="str">
        <f>IFERROR(IF(ventas_b_mes12[[#This Row],[CUIT]]="","-",VLOOKUP(ventas_b_mes12[[#This Row],[CUIT]],Lista_CUIT[#All],2,0)),"CUIT NO CARGADO")</f>
        <v>-</v>
      </c>
      <c r="H688" s="96">
        <f>ventas_b_mes12[[#This Row],[TOTAL]]/1.21</f>
        <v>6148.7685950413224</v>
      </c>
      <c r="I688" s="60">
        <f>ventas_b_mes12[[#This Row],[IMPORTE NETO]]*0.21</f>
        <v>1291.2414049586778</v>
      </c>
      <c r="J688" s="229"/>
      <c r="K688" s="229"/>
      <c r="L688" s="229">
        <v>7440.01</v>
      </c>
      <c r="M688" s="55"/>
    </row>
    <row r="689" spans="2:13" x14ac:dyDescent="0.3">
      <c r="B689" s="223" t="s">
        <v>2468</v>
      </c>
      <c r="C689" s="224">
        <v>6</v>
      </c>
      <c r="D689" s="225">
        <v>12</v>
      </c>
      <c r="E689" s="226">
        <v>22425</v>
      </c>
      <c r="F689" s="227"/>
      <c r="G689" s="1" t="str">
        <f>IFERROR(IF(ventas_b_mes12[[#This Row],[CUIT]]="","-",VLOOKUP(ventas_b_mes12[[#This Row],[CUIT]],Lista_CUIT[#All],2,0)),"CUIT NO CARGADO")</f>
        <v>-</v>
      </c>
      <c r="H689" s="96">
        <f>ventas_b_mes12[[#This Row],[TOTAL]]/1.21</f>
        <v>4898.7603305785124</v>
      </c>
      <c r="I689" s="60">
        <f>ventas_b_mes12[[#This Row],[IMPORTE NETO]]*0.21</f>
        <v>1028.7396694214876</v>
      </c>
      <c r="J689" s="229"/>
      <c r="K689" s="229"/>
      <c r="L689" s="229">
        <v>5927.5</v>
      </c>
      <c r="M689" s="55"/>
    </row>
    <row r="690" spans="2:13" x14ac:dyDescent="0.3">
      <c r="B690" s="230" t="s">
        <v>2468</v>
      </c>
      <c r="C690" s="224">
        <v>6</v>
      </c>
      <c r="D690" s="231">
        <v>13</v>
      </c>
      <c r="E690" s="232">
        <v>26680</v>
      </c>
      <c r="F690" s="109"/>
      <c r="G690" s="234" t="str">
        <f>IFERROR(IF(ventas_b_mes12[[#This Row],[CUIT]]="","-",VLOOKUP(ventas_b_mes12[[#This Row],[CUIT]],Lista_CUIT[#All],2,0)),"CUIT NO CARGADO")</f>
        <v>-</v>
      </c>
      <c r="H690" s="96">
        <f>ventas_b_mes12[[#This Row],[TOTAL]]/1.21</f>
        <v>334.71074380165288</v>
      </c>
      <c r="I690" s="60">
        <f>ventas_b_mes12[[#This Row],[IMPORTE NETO]]*0.21</f>
        <v>70.289256198347104</v>
      </c>
      <c r="J690" s="237"/>
      <c r="K690" s="237"/>
      <c r="L690" s="237">
        <v>405</v>
      </c>
      <c r="M690" s="59"/>
    </row>
    <row r="691" spans="2:13" x14ac:dyDescent="0.3">
      <c r="B691" s="230" t="s">
        <v>2468</v>
      </c>
      <c r="C691" s="224">
        <v>6</v>
      </c>
      <c r="D691" s="231">
        <v>11</v>
      </c>
      <c r="E691" s="232">
        <v>30005</v>
      </c>
      <c r="F691" s="109"/>
      <c r="G691" s="234" t="str">
        <f>IFERROR(IF(ventas_b_mes12[[#This Row],[CUIT]]="","-",VLOOKUP(ventas_b_mes12[[#This Row],[CUIT]],Lista_CUIT[#All],2,0)),"CUIT NO CARGADO")</f>
        <v>-</v>
      </c>
      <c r="H691" s="96">
        <f>ventas_b_mes12[[#This Row],[TOTAL]]/1.21</f>
        <v>4545.454545454546</v>
      </c>
      <c r="I691" s="60">
        <f>ventas_b_mes12[[#This Row],[IMPORTE NETO]]*0.21</f>
        <v>954.54545454545462</v>
      </c>
      <c r="J691" s="237"/>
      <c r="K691" s="237"/>
      <c r="L691" s="237">
        <v>5500</v>
      </c>
      <c r="M691" s="59"/>
    </row>
    <row r="692" spans="2:13" x14ac:dyDescent="0.3">
      <c r="B692" s="230" t="s">
        <v>2468</v>
      </c>
      <c r="C692" s="224">
        <v>6</v>
      </c>
      <c r="D692" s="231">
        <v>13</v>
      </c>
      <c r="E692" s="232">
        <v>26688</v>
      </c>
      <c r="F692" s="109"/>
      <c r="G692" s="234" t="str">
        <f>IFERROR(IF(ventas_b_mes12[[#This Row],[CUIT]]="","-",VLOOKUP(ventas_b_mes12[[#This Row],[CUIT]],Lista_CUIT[#All],2,0)),"CUIT NO CARGADO")</f>
        <v>-</v>
      </c>
      <c r="H692" s="96">
        <f>ventas_b_mes12[[#This Row],[TOTAL]]/1.21</f>
        <v>5578.5123966942147</v>
      </c>
      <c r="I692" s="60">
        <f>ventas_b_mes12[[#This Row],[IMPORTE NETO]]*0.21</f>
        <v>1171.4876033057851</v>
      </c>
      <c r="J692" s="237"/>
      <c r="K692" s="237"/>
      <c r="L692" s="237">
        <v>6750</v>
      </c>
      <c r="M692" s="59"/>
    </row>
    <row r="693" spans="2:13" x14ac:dyDescent="0.3">
      <c r="B693" s="230" t="s">
        <v>2468</v>
      </c>
      <c r="C693" s="224">
        <v>6</v>
      </c>
      <c r="D693" s="231">
        <v>10</v>
      </c>
      <c r="E693" s="232">
        <v>43780</v>
      </c>
      <c r="F693" s="109"/>
      <c r="G693" s="234" t="str">
        <f>IFERROR(IF(ventas_b_mes12[[#This Row],[CUIT]]="","-",VLOOKUP(ventas_b_mes12[[#This Row],[CUIT]],Lista_CUIT[#All],2,0)),"CUIT NO CARGADO")</f>
        <v>-</v>
      </c>
      <c r="H693" s="96">
        <f>ventas_b_mes12[[#This Row],[TOTAL]]/1.21</f>
        <v>1735.5371900826447</v>
      </c>
      <c r="I693" s="60">
        <f>ventas_b_mes12[[#This Row],[IMPORTE NETO]]*0.21</f>
        <v>364.46280991735534</v>
      </c>
      <c r="J693" s="237"/>
      <c r="K693" s="237"/>
      <c r="L693" s="237">
        <v>2100</v>
      </c>
      <c r="M693" s="59"/>
    </row>
    <row r="694" spans="2:13" x14ac:dyDescent="0.3">
      <c r="B694" s="230" t="s">
        <v>2468</v>
      </c>
      <c r="C694" s="224">
        <v>6</v>
      </c>
      <c r="D694" s="231">
        <v>15</v>
      </c>
      <c r="E694" s="232">
        <v>7168</v>
      </c>
      <c r="F694" s="109"/>
      <c r="G694" s="234" t="str">
        <f>IFERROR(IF(ventas_b_mes12[[#This Row],[CUIT]]="","-",VLOOKUP(ventas_b_mes12[[#This Row],[CUIT]],Lista_CUIT[#All],2,0)),"CUIT NO CARGADO")</f>
        <v>-</v>
      </c>
      <c r="H694" s="96">
        <f>ventas_b_mes12[[#This Row],[TOTAL]]/1.21</f>
        <v>2066.1157024793388</v>
      </c>
      <c r="I694" s="60">
        <f>ventas_b_mes12[[#This Row],[IMPORTE NETO]]*0.21</f>
        <v>433.88429752066111</v>
      </c>
      <c r="J694" s="237"/>
      <c r="K694" s="237"/>
      <c r="L694" s="237">
        <v>2500</v>
      </c>
      <c r="M694" s="59"/>
    </row>
    <row r="695" spans="2:13" x14ac:dyDescent="0.3">
      <c r="B695" s="230" t="s">
        <v>2468</v>
      </c>
      <c r="C695" s="224">
        <v>6</v>
      </c>
      <c r="D695" s="231">
        <v>11</v>
      </c>
      <c r="E695" s="232">
        <v>30008</v>
      </c>
      <c r="F695" s="109"/>
      <c r="G695" s="234" t="str">
        <f>IFERROR(IF(ventas_b_mes12[[#This Row],[CUIT]]="","-",VLOOKUP(ventas_b_mes12[[#This Row],[CUIT]],Lista_CUIT[#All],2,0)),"CUIT NO CARGADO")</f>
        <v>-</v>
      </c>
      <c r="H695" s="96">
        <f>ventas_b_mes12[[#This Row],[TOTAL]]/1.21</f>
        <v>10094.628099173555</v>
      </c>
      <c r="I695" s="60">
        <f>ventas_b_mes12[[#This Row],[IMPORTE NETO]]*0.21</f>
        <v>2119.8719008264466</v>
      </c>
      <c r="J695" s="237"/>
      <c r="K695" s="237"/>
      <c r="L695" s="237">
        <v>12214.5</v>
      </c>
      <c r="M695" s="59"/>
    </row>
    <row r="696" spans="2:13" x14ac:dyDescent="0.3">
      <c r="B696" s="230" t="s">
        <v>2468</v>
      </c>
      <c r="C696" s="224">
        <v>6</v>
      </c>
      <c r="D696" s="231">
        <v>11</v>
      </c>
      <c r="E696" s="232">
        <v>30009</v>
      </c>
      <c r="F696" s="109"/>
      <c r="G696" s="234" t="str">
        <f>IFERROR(IF(ventas_b_mes12[[#This Row],[CUIT]]="","-",VLOOKUP(ventas_b_mes12[[#This Row],[CUIT]],Lista_CUIT[#All],2,0)),"CUIT NO CARGADO")</f>
        <v>-</v>
      </c>
      <c r="H696" s="96">
        <f>ventas_b_mes12[[#This Row],[TOTAL]]/1.21</f>
        <v>5950.4132231404965</v>
      </c>
      <c r="I696" s="60">
        <f>ventas_b_mes12[[#This Row],[IMPORTE NETO]]*0.21</f>
        <v>1249.5867768595042</v>
      </c>
      <c r="J696" s="237"/>
      <c r="K696" s="237"/>
      <c r="L696" s="237">
        <v>7200</v>
      </c>
      <c r="M696" s="59"/>
    </row>
    <row r="697" spans="2:13" x14ac:dyDescent="0.3">
      <c r="B697" s="223" t="s">
        <v>2468</v>
      </c>
      <c r="C697" s="224">
        <v>6</v>
      </c>
      <c r="D697" s="225">
        <v>13</v>
      </c>
      <c r="E697" s="226">
        <v>26687</v>
      </c>
      <c r="F697" s="109"/>
      <c r="G697" s="1" t="str">
        <f>IFERROR(IF(ventas_b_mes12[[#This Row],[CUIT]]="","-",VLOOKUP(ventas_b_mes12[[#This Row],[CUIT]],Lista_CUIT[#All],2,0)),"CUIT NO CARGADO")</f>
        <v>-</v>
      </c>
      <c r="H697" s="96">
        <f>ventas_b_mes12[[#This Row],[TOTAL]]/1.21</f>
        <v>5190.0826446280989</v>
      </c>
      <c r="I697" s="60">
        <f>ventas_b_mes12[[#This Row],[IMPORTE NETO]]*0.21</f>
        <v>1089.9173553719008</v>
      </c>
      <c r="J697" s="229"/>
      <c r="K697" s="229"/>
      <c r="L697" s="229">
        <v>6280</v>
      </c>
      <c r="M697" s="55"/>
    </row>
    <row r="698" spans="2:13" x14ac:dyDescent="0.3">
      <c r="B698" s="223" t="s">
        <v>2468</v>
      </c>
      <c r="C698" s="224">
        <v>6</v>
      </c>
      <c r="D698" s="225">
        <v>11</v>
      </c>
      <c r="E698" s="226">
        <v>30013</v>
      </c>
      <c r="F698" s="109"/>
      <c r="G698" s="1" t="str">
        <f>IFERROR(IF(ventas_b_mes12[[#This Row],[CUIT]]="","-",VLOOKUP(ventas_b_mes12[[#This Row],[CUIT]],Lista_CUIT[#All],2,0)),"CUIT NO CARGADO")</f>
        <v>-</v>
      </c>
      <c r="H698" s="96">
        <f>ventas_b_mes12[[#This Row],[TOTAL]]/1.21</f>
        <v>3396.6942148760331</v>
      </c>
      <c r="I698" s="60">
        <f>ventas_b_mes12[[#This Row],[IMPORTE NETO]]*0.21</f>
        <v>713.30578512396698</v>
      </c>
      <c r="J698" s="229"/>
      <c r="K698" s="229"/>
      <c r="L698" s="229">
        <v>4110</v>
      </c>
      <c r="M698" s="55"/>
    </row>
    <row r="699" spans="2:13" x14ac:dyDescent="0.3">
      <c r="B699" s="223" t="s">
        <v>2468</v>
      </c>
      <c r="C699" s="224">
        <v>6</v>
      </c>
      <c r="D699" s="225">
        <v>10</v>
      </c>
      <c r="E699" s="226">
        <v>43776</v>
      </c>
      <c r="F699" s="109"/>
      <c r="G699" s="1" t="str">
        <f>IFERROR(IF(ventas_b_mes12[[#This Row],[CUIT]]="","-",VLOOKUP(ventas_b_mes12[[#This Row],[CUIT]],Lista_CUIT[#All],2,0)),"CUIT NO CARGADO")</f>
        <v>-</v>
      </c>
      <c r="H699" s="96">
        <f>ventas_b_mes12[[#This Row],[TOTAL]]/1.21</f>
        <v>10603.314049586777</v>
      </c>
      <c r="I699" s="60">
        <f>ventas_b_mes12[[#This Row],[IMPORTE NETO]]*0.21</f>
        <v>2226.6959504132233</v>
      </c>
      <c r="J699" s="229"/>
      <c r="K699" s="229"/>
      <c r="L699" s="229">
        <v>12830.01</v>
      </c>
      <c r="M699" s="55"/>
    </row>
    <row r="700" spans="2:13" x14ac:dyDescent="0.3">
      <c r="B700" s="223" t="s">
        <v>2468</v>
      </c>
      <c r="C700" s="224">
        <v>6</v>
      </c>
      <c r="D700" s="225">
        <v>12</v>
      </c>
      <c r="E700" s="226">
        <v>22426</v>
      </c>
      <c r="F700" s="109"/>
      <c r="G700" s="1" t="str">
        <f>IFERROR(IF(ventas_b_mes12[[#This Row],[CUIT]]="","-",VLOOKUP(ventas_b_mes12[[#This Row],[CUIT]],Lista_CUIT[#All],2,0)),"CUIT NO CARGADO")</f>
        <v>-</v>
      </c>
      <c r="H700" s="96">
        <f>ventas_b_mes12[[#This Row],[TOTAL]]/1.21</f>
        <v>10971.909090909092</v>
      </c>
      <c r="I700" s="60">
        <f>ventas_b_mes12[[#This Row],[IMPORTE NETO]]*0.21</f>
        <v>2304.1009090909092</v>
      </c>
      <c r="J700" s="229"/>
      <c r="K700" s="229"/>
      <c r="L700" s="229">
        <v>13276.01</v>
      </c>
      <c r="M700" s="55"/>
    </row>
    <row r="701" spans="2:13" x14ac:dyDescent="0.3">
      <c r="B701" s="223" t="s">
        <v>2468</v>
      </c>
      <c r="C701" s="224">
        <v>6</v>
      </c>
      <c r="D701" s="225">
        <v>10</v>
      </c>
      <c r="E701" s="226">
        <v>43763</v>
      </c>
      <c r="F701" s="109"/>
      <c r="G701" s="1" t="str">
        <f>IFERROR(IF(ventas_b_mes12[[#This Row],[CUIT]]="","-",VLOOKUP(ventas_b_mes12[[#This Row],[CUIT]],Lista_CUIT[#All],2,0)),"CUIT NO CARGADO")</f>
        <v>-</v>
      </c>
      <c r="H701" s="96">
        <f>ventas_b_mes12[[#This Row],[TOTAL]]/1.21</f>
        <v>3847.9338842975208</v>
      </c>
      <c r="I701" s="60">
        <f>ventas_b_mes12[[#This Row],[IMPORTE NETO]]*0.21</f>
        <v>808.06611570247935</v>
      </c>
      <c r="J701" s="229"/>
      <c r="K701" s="229"/>
      <c r="L701" s="229">
        <v>4656</v>
      </c>
      <c r="M701" s="55"/>
    </row>
    <row r="702" spans="2:13" x14ac:dyDescent="0.3">
      <c r="B702" s="223" t="s">
        <v>2468</v>
      </c>
      <c r="C702" s="224">
        <v>6</v>
      </c>
      <c r="D702" s="225">
        <v>12</v>
      </c>
      <c r="E702" s="226">
        <v>22428</v>
      </c>
      <c r="F702" s="109"/>
      <c r="G702" s="1" t="str">
        <f>IFERROR(IF(ventas_b_mes12[[#This Row],[CUIT]]="","-",VLOOKUP(ventas_b_mes12[[#This Row],[CUIT]],Lista_CUIT[#All],2,0)),"CUIT NO CARGADO")</f>
        <v>-</v>
      </c>
      <c r="H702" s="96">
        <f>ventas_b_mes12[[#This Row],[TOTAL]]/1.21</f>
        <v>3688.0165289256202</v>
      </c>
      <c r="I702" s="60">
        <f>ventas_b_mes12[[#This Row],[IMPORTE NETO]]*0.21</f>
        <v>774.48347107438019</v>
      </c>
      <c r="J702" s="229"/>
      <c r="K702" s="229"/>
      <c r="L702" s="229">
        <v>4462.5</v>
      </c>
      <c r="M702" s="55"/>
    </row>
    <row r="703" spans="2:13" x14ac:dyDescent="0.3">
      <c r="B703" s="223" t="s">
        <v>2468</v>
      </c>
      <c r="C703" s="224">
        <v>6</v>
      </c>
      <c r="D703" s="225">
        <v>10</v>
      </c>
      <c r="E703" s="226">
        <v>43785</v>
      </c>
      <c r="F703" s="109"/>
      <c r="G703" s="1" t="str">
        <f>IFERROR(IF(ventas_b_mes12[[#This Row],[CUIT]]="","-",VLOOKUP(ventas_b_mes12[[#This Row],[CUIT]],Lista_CUIT[#All],2,0)),"CUIT NO CARGADO")</f>
        <v>-</v>
      </c>
      <c r="H703" s="96">
        <f>ventas_b_mes12[[#This Row],[TOTAL]]/1.21</f>
        <v>29808.18181818182</v>
      </c>
      <c r="I703" s="60">
        <f>ventas_b_mes12[[#This Row],[IMPORTE NETO]]*0.21</f>
        <v>6259.7181818181816</v>
      </c>
      <c r="J703" s="229"/>
      <c r="K703" s="229"/>
      <c r="L703" s="229">
        <v>36067.9</v>
      </c>
      <c r="M703" s="55"/>
    </row>
    <row r="704" spans="2:13" x14ac:dyDescent="0.3">
      <c r="B704" s="223" t="s">
        <v>2468</v>
      </c>
      <c r="C704" s="224">
        <v>6</v>
      </c>
      <c r="D704" s="225">
        <v>15</v>
      </c>
      <c r="E704" s="226">
        <v>7169</v>
      </c>
      <c r="F704" s="109"/>
      <c r="G704" s="1" t="str">
        <f>IFERROR(IF(ventas_b_mes12[[#This Row],[CUIT]]="","-",VLOOKUP(ventas_b_mes12[[#This Row],[CUIT]],Lista_CUIT[#All],2,0)),"CUIT NO CARGADO")</f>
        <v>-</v>
      </c>
      <c r="H704" s="96">
        <f>ventas_b_mes12[[#This Row],[TOTAL]]/1.21</f>
        <v>4958.6776859504134</v>
      </c>
      <c r="I704" s="60">
        <f>ventas_b_mes12[[#This Row],[IMPORTE NETO]]*0.21</f>
        <v>1041.3223140495868</v>
      </c>
      <c r="J704" s="229"/>
      <c r="K704" s="229"/>
      <c r="L704" s="229">
        <v>6000</v>
      </c>
      <c r="M704" s="55"/>
    </row>
    <row r="705" spans="2:13" x14ac:dyDescent="0.3">
      <c r="B705" s="223" t="s">
        <v>2468</v>
      </c>
      <c r="C705" s="224">
        <v>6</v>
      </c>
      <c r="D705" s="225">
        <v>10</v>
      </c>
      <c r="E705" s="226">
        <v>43786</v>
      </c>
      <c r="F705" s="109"/>
      <c r="G705" s="1" t="str">
        <f>IFERROR(IF(ventas_b_mes12[[#This Row],[CUIT]]="","-",VLOOKUP(ventas_b_mes12[[#This Row],[CUIT]],Lista_CUIT[#All],2,0)),"CUIT NO CARGADO")</f>
        <v>-</v>
      </c>
      <c r="H705" s="96">
        <f>ventas_b_mes12[[#This Row],[TOTAL]]/1.21</f>
        <v>36446.661157024791</v>
      </c>
      <c r="I705" s="60">
        <f>ventas_b_mes12[[#This Row],[IMPORTE NETO]]*0.21</f>
        <v>7653.7988429752058</v>
      </c>
      <c r="J705" s="229"/>
      <c r="K705" s="229"/>
      <c r="L705" s="229">
        <v>44100.46</v>
      </c>
      <c r="M705" s="55"/>
    </row>
    <row r="706" spans="2:13" x14ac:dyDescent="0.3">
      <c r="B706" s="223" t="s">
        <v>2468</v>
      </c>
      <c r="C706" s="224">
        <v>6</v>
      </c>
      <c r="D706" s="225">
        <v>10</v>
      </c>
      <c r="E706" s="226">
        <v>43781</v>
      </c>
      <c r="F706" s="109"/>
      <c r="G706" s="1" t="str">
        <f>IFERROR(IF(ventas_b_mes12[[#This Row],[CUIT]]="","-",VLOOKUP(ventas_b_mes12[[#This Row],[CUIT]],Lista_CUIT[#All],2,0)),"CUIT NO CARGADO")</f>
        <v>-</v>
      </c>
      <c r="H706" s="96">
        <f>ventas_b_mes12[[#This Row],[TOTAL]]/1.21</f>
        <v>31433.404958677685</v>
      </c>
      <c r="I706" s="60">
        <f>ventas_b_mes12[[#This Row],[IMPORTE NETO]]*0.21</f>
        <v>6601.0150413223137</v>
      </c>
      <c r="J706" s="229"/>
      <c r="K706" s="229"/>
      <c r="L706" s="229">
        <v>38034.42</v>
      </c>
      <c r="M706" s="55"/>
    </row>
    <row r="707" spans="2:13" x14ac:dyDescent="0.3">
      <c r="B707" s="223" t="s">
        <v>2468</v>
      </c>
      <c r="C707" s="224">
        <v>6</v>
      </c>
      <c r="D707" s="225">
        <v>12</v>
      </c>
      <c r="E707" s="226">
        <v>22421</v>
      </c>
      <c r="F707" s="109"/>
      <c r="G707" s="1" t="str">
        <f>IFERROR(IF(ventas_b_mes12[[#This Row],[CUIT]]="","-",VLOOKUP(ventas_b_mes12[[#This Row],[CUIT]],Lista_CUIT[#All],2,0)),"CUIT NO CARGADO")</f>
        <v>-</v>
      </c>
      <c r="H707" s="96">
        <f>ventas_b_mes12[[#This Row],[TOTAL]]/1.21</f>
        <v>4198.3471074380168</v>
      </c>
      <c r="I707" s="60">
        <f>ventas_b_mes12[[#This Row],[IMPORTE NETO]]*0.21</f>
        <v>881.65289256198355</v>
      </c>
      <c r="J707" s="229"/>
      <c r="K707" s="229"/>
      <c r="L707" s="229">
        <v>5080</v>
      </c>
      <c r="M707" s="55"/>
    </row>
    <row r="708" spans="2:13" x14ac:dyDescent="0.3">
      <c r="B708" s="223" t="s">
        <v>2468</v>
      </c>
      <c r="C708" s="224">
        <v>6</v>
      </c>
      <c r="D708" s="225">
        <v>12</v>
      </c>
      <c r="E708" s="226">
        <v>22420</v>
      </c>
      <c r="F708" s="109"/>
      <c r="G708" s="1" t="str">
        <f>IFERROR(IF(ventas_b_mes12[[#This Row],[CUIT]]="","-",VLOOKUP(ventas_b_mes12[[#This Row],[CUIT]],Lista_CUIT[#All],2,0)),"CUIT NO CARGADO")</f>
        <v>-</v>
      </c>
      <c r="H708" s="96">
        <f>ventas_b_mes12[[#This Row],[TOTAL]]/1.21</f>
        <v>1123.9669421487604</v>
      </c>
      <c r="I708" s="60">
        <f>ventas_b_mes12[[#This Row],[IMPORTE NETO]]*0.21</f>
        <v>236.03305785123968</v>
      </c>
      <c r="J708" s="229"/>
      <c r="K708" s="229"/>
      <c r="L708" s="229">
        <v>1360</v>
      </c>
      <c r="M708" s="55"/>
    </row>
    <row r="709" spans="2:13" x14ac:dyDescent="0.3">
      <c r="B709" s="223" t="s">
        <v>2468</v>
      </c>
      <c r="C709" s="224">
        <v>6</v>
      </c>
      <c r="D709" s="225">
        <v>12</v>
      </c>
      <c r="E709" s="226">
        <v>22417</v>
      </c>
      <c r="F709" s="109"/>
      <c r="G709" s="1" t="str">
        <f>IFERROR(IF(ventas_b_mes12[[#This Row],[CUIT]]="","-",VLOOKUP(ventas_b_mes12[[#This Row],[CUIT]],Lista_CUIT[#All],2,0)),"CUIT NO CARGADO")</f>
        <v>-</v>
      </c>
      <c r="H709" s="96">
        <f>ventas_b_mes12[[#This Row],[TOTAL]]/1.21</f>
        <v>4885.9504132231405</v>
      </c>
      <c r="I709" s="60">
        <f>ventas_b_mes12[[#This Row],[IMPORTE NETO]]*0.21</f>
        <v>1026.0495867768595</v>
      </c>
      <c r="J709" s="229"/>
      <c r="K709" s="229"/>
      <c r="L709" s="229">
        <v>5912</v>
      </c>
      <c r="M709" s="55"/>
    </row>
    <row r="710" spans="2:13" x14ac:dyDescent="0.3">
      <c r="B710" s="223" t="s">
        <v>2468</v>
      </c>
      <c r="C710" s="224">
        <v>6</v>
      </c>
      <c r="D710" s="225">
        <v>10</v>
      </c>
      <c r="E710" s="226">
        <v>43793</v>
      </c>
      <c r="F710" s="109"/>
      <c r="G710" s="1" t="str">
        <f>IFERROR(IF(ventas_b_mes12[[#This Row],[CUIT]]="","-",VLOOKUP(ventas_b_mes12[[#This Row],[CUIT]],Lista_CUIT[#All],2,0)),"CUIT NO CARGADO")</f>
        <v>-</v>
      </c>
      <c r="H710" s="96">
        <f>ventas_b_mes12[[#This Row],[TOTAL]]/1.21</f>
        <v>3338.8429752066118</v>
      </c>
      <c r="I710" s="60">
        <f>ventas_b_mes12[[#This Row],[IMPORTE NETO]]*0.21</f>
        <v>701.15702479338847</v>
      </c>
      <c r="J710" s="229"/>
      <c r="K710" s="229"/>
      <c r="L710" s="229">
        <v>4040</v>
      </c>
      <c r="M710" s="55"/>
    </row>
    <row r="711" spans="2:13" x14ac:dyDescent="0.3">
      <c r="B711" s="223" t="s">
        <v>2468</v>
      </c>
      <c r="C711" s="224">
        <v>6</v>
      </c>
      <c r="D711" s="225">
        <v>12</v>
      </c>
      <c r="E711" s="226">
        <v>22442</v>
      </c>
      <c r="F711" s="109"/>
      <c r="G711" s="1" t="str">
        <f>IFERROR(IF(ventas_b_mes12[[#This Row],[CUIT]]="","-",VLOOKUP(ventas_b_mes12[[#This Row],[CUIT]],Lista_CUIT[#All],2,0)),"CUIT NO CARGADO")</f>
        <v>-</v>
      </c>
      <c r="H711" s="96">
        <f>ventas_b_mes12[[#This Row],[TOTAL]]/1.21</f>
        <v>1229.7520661157025</v>
      </c>
      <c r="I711" s="60">
        <f>ventas_b_mes12[[#This Row],[IMPORTE NETO]]*0.21</f>
        <v>258.24793388429754</v>
      </c>
      <c r="J711" s="229"/>
      <c r="K711" s="229"/>
      <c r="L711" s="229">
        <v>1488</v>
      </c>
      <c r="M711" s="55"/>
    </row>
    <row r="712" spans="2:13" x14ac:dyDescent="0.3">
      <c r="B712" s="223" t="s">
        <v>2468</v>
      </c>
      <c r="C712" s="224">
        <v>6</v>
      </c>
      <c r="D712" s="225">
        <v>12</v>
      </c>
      <c r="E712" s="226">
        <v>22424</v>
      </c>
      <c r="F712" s="109"/>
      <c r="G712" s="1" t="str">
        <f>IFERROR(IF(ventas_b_mes12[[#This Row],[CUIT]]="","-",VLOOKUP(ventas_b_mes12[[#This Row],[CUIT]],Lista_CUIT[#All],2,0)),"CUIT NO CARGADO")</f>
        <v>-</v>
      </c>
      <c r="H712" s="96">
        <f>ventas_b_mes12[[#This Row],[TOTAL]]/1.21</f>
        <v>1388.4297520661157</v>
      </c>
      <c r="I712" s="60">
        <f>ventas_b_mes12[[#This Row],[IMPORTE NETO]]*0.21</f>
        <v>291.57024793388427</v>
      </c>
      <c r="J712" s="229"/>
      <c r="K712" s="229"/>
      <c r="L712" s="229">
        <v>1680</v>
      </c>
      <c r="M712" s="55"/>
    </row>
    <row r="713" spans="2:13" x14ac:dyDescent="0.3">
      <c r="B713" s="223" t="s">
        <v>2468</v>
      </c>
      <c r="C713" s="224">
        <v>6</v>
      </c>
      <c r="D713" s="225">
        <v>12</v>
      </c>
      <c r="E713" s="226">
        <v>22441</v>
      </c>
      <c r="F713" s="109"/>
      <c r="G713" s="1" t="str">
        <f>IFERROR(IF(ventas_b_mes12[[#This Row],[CUIT]]="","-",VLOOKUP(ventas_b_mes12[[#This Row],[CUIT]],Lista_CUIT[#All],2,0)),"CUIT NO CARGADO")</f>
        <v>-</v>
      </c>
      <c r="H713" s="96">
        <f>ventas_b_mes12[[#This Row],[TOTAL]]/1.21</f>
        <v>19022.743801652894</v>
      </c>
      <c r="I713" s="60">
        <f>ventas_b_mes12[[#This Row],[IMPORTE NETO]]*0.21</f>
        <v>3994.7761983471078</v>
      </c>
      <c r="J713" s="229"/>
      <c r="K713" s="229"/>
      <c r="L713" s="229">
        <v>23017.52</v>
      </c>
      <c r="M713" s="55"/>
    </row>
    <row r="714" spans="2:13" x14ac:dyDescent="0.3">
      <c r="B714" s="223" t="s">
        <v>2468</v>
      </c>
      <c r="C714" s="224">
        <v>6</v>
      </c>
      <c r="D714" s="225">
        <v>12</v>
      </c>
      <c r="E714" s="226">
        <v>22423</v>
      </c>
      <c r="F714" s="109"/>
      <c r="G714" s="1" t="str">
        <f>IFERROR(IF(ventas_b_mes12[[#This Row],[CUIT]]="","-",VLOOKUP(ventas_b_mes12[[#This Row],[CUIT]],Lista_CUIT[#All],2,0)),"CUIT NO CARGADO")</f>
        <v>-</v>
      </c>
      <c r="H714" s="96">
        <f>ventas_b_mes12[[#This Row],[TOTAL]]/1.21</f>
        <v>12264.462809917355</v>
      </c>
      <c r="I714" s="60">
        <f>ventas_b_mes12[[#This Row],[IMPORTE NETO]]*0.21</f>
        <v>2575.5371900826444</v>
      </c>
      <c r="J714" s="229"/>
      <c r="K714" s="229"/>
      <c r="L714" s="229">
        <v>14840</v>
      </c>
      <c r="M714" s="55"/>
    </row>
    <row r="715" spans="2:13" x14ac:dyDescent="0.3">
      <c r="B715" s="223" t="s">
        <v>2468</v>
      </c>
      <c r="C715" s="224">
        <v>6</v>
      </c>
      <c r="D715" s="225">
        <v>10</v>
      </c>
      <c r="E715" s="226">
        <v>43794</v>
      </c>
      <c r="F715" s="109"/>
      <c r="G715" s="1" t="str">
        <f>IFERROR(IF(ventas_b_mes12[[#This Row],[CUIT]]="","-",VLOOKUP(ventas_b_mes12[[#This Row],[CUIT]],Lista_CUIT[#All],2,0)),"CUIT NO CARGADO")</f>
        <v>-</v>
      </c>
      <c r="H715" s="96">
        <f>ventas_b_mes12[[#This Row],[TOTAL]]/1.21</f>
        <v>2809.9173553719011</v>
      </c>
      <c r="I715" s="60">
        <f>ventas_b_mes12[[#This Row],[IMPORTE NETO]]*0.21</f>
        <v>590.08264462809916</v>
      </c>
      <c r="J715" s="229"/>
      <c r="K715" s="229"/>
      <c r="L715" s="229">
        <v>3400</v>
      </c>
      <c r="M715" s="55"/>
    </row>
    <row r="716" spans="2:13" x14ac:dyDescent="0.3">
      <c r="B716" s="223" t="s">
        <v>2468</v>
      </c>
      <c r="C716" s="224">
        <v>6</v>
      </c>
      <c r="D716" s="225">
        <v>12</v>
      </c>
      <c r="E716" s="226">
        <v>22434</v>
      </c>
      <c r="F716" s="109"/>
      <c r="G716" s="1" t="str">
        <f>IFERROR(IF(ventas_b_mes12[[#This Row],[CUIT]]="","-",VLOOKUP(ventas_b_mes12[[#This Row],[CUIT]],Lista_CUIT[#All],2,0)),"CUIT NO CARGADO")</f>
        <v>-</v>
      </c>
      <c r="H716" s="96">
        <f>ventas_b_mes12[[#This Row],[TOTAL]]/1.21</f>
        <v>1735.5371900826447</v>
      </c>
      <c r="I716" s="60">
        <f>ventas_b_mes12[[#This Row],[IMPORTE NETO]]*0.21</f>
        <v>364.46280991735534</v>
      </c>
      <c r="J716" s="229"/>
      <c r="K716" s="229"/>
      <c r="L716" s="229">
        <v>2100</v>
      </c>
      <c r="M716" s="55"/>
    </row>
    <row r="717" spans="2:13" x14ac:dyDescent="0.3">
      <c r="B717" s="223" t="s">
        <v>2468</v>
      </c>
      <c r="C717" s="224">
        <v>6</v>
      </c>
      <c r="D717" s="225">
        <v>13</v>
      </c>
      <c r="E717" s="226">
        <v>26678</v>
      </c>
      <c r="F717" s="109"/>
      <c r="G717" s="1" t="str">
        <f>IFERROR(IF(ventas_b_mes12[[#This Row],[CUIT]]="","-",VLOOKUP(ventas_b_mes12[[#This Row],[CUIT]],Lista_CUIT[#All],2,0)),"CUIT NO CARGADO")</f>
        <v>-</v>
      </c>
      <c r="H717" s="96">
        <f>ventas_b_mes12[[#This Row],[TOTAL]]/1.21</f>
        <v>2148.7603305785124</v>
      </c>
      <c r="I717" s="60">
        <f>ventas_b_mes12[[#This Row],[IMPORTE NETO]]*0.21</f>
        <v>451.23966942148758</v>
      </c>
      <c r="J717" s="229"/>
      <c r="K717" s="229"/>
      <c r="L717" s="229">
        <v>2600</v>
      </c>
      <c r="M717" s="55"/>
    </row>
    <row r="718" spans="2:13" x14ac:dyDescent="0.3">
      <c r="B718" s="223" t="s">
        <v>2468</v>
      </c>
      <c r="C718" s="224">
        <v>6</v>
      </c>
      <c r="D718" s="225">
        <v>10</v>
      </c>
      <c r="E718" s="226">
        <v>43783</v>
      </c>
      <c r="F718" s="109"/>
      <c r="G718" s="1" t="str">
        <f>IFERROR(IF(ventas_b_mes12[[#This Row],[CUIT]]="","-",VLOOKUP(ventas_b_mes12[[#This Row],[CUIT]],Lista_CUIT[#All],2,0)),"CUIT NO CARGADO")</f>
        <v>-</v>
      </c>
      <c r="H718" s="96">
        <f>ventas_b_mes12[[#This Row],[TOTAL]]/1.21</f>
        <v>12396.694214876034</v>
      </c>
      <c r="I718" s="60">
        <f>ventas_b_mes12[[#This Row],[IMPORTE NETO]]*0.21</f>
        <v>2603.3057851239669</v>
      </c>
      <c r="J718" s="229"/>
      <c r="K718" s="229"/>
      <c r="L718" s="229">
        <v>15000</v>
      </c>
      <c r="M718" s="55"/>
    </row>
    <row r="719" spans="2:13" x14ac:dyDescent="0.3">
      <c r="B719" s="223" t="s">
        <v>2468</v>
      </c>
      <c r="C719" s="224">
        <v>6</v>
      </c>
      <c r="D719" s="225">
        <v>10</v>
      </c>
      <c r="E719" s="226">
        <v>43795</v>
      </c>
      <c r="F719" s="109"/>
      <c r="G719" s="1" t="str">
        <f>IFERROR(IF(ventas_b_mes12[[#This Row],[CUIT]]="","-",VLOOKUP(ventas_b_mes12[[#This Row],[CUIT]],Lista_CUIT[#All],2,0)),"CUIT NO CARGADO")</f>
        <v>-</v>
      </c>
      <c r="H719" s="96">
        <f>ventas_b_mes12[[#This Row],[TOTAL]]/1.21</f>
        <v>2409.090909090909</v>
      </c>
      <c r="I719" s="60">
        <f>ventas_b_mes12[[#This Row],[IMPORTE NETO]]*0.21</f>
        <v>505.90909090909088</v>
      </c>
      <c r="J719" s="229"/>
      <c r="K719" s="229"/>
      <c r="L719" s="229">
        <v>2915</v>
      </c>
      <c r="M719" s="55"/>
    </row>
    <row r="720" spans="2:13" x14ac:dyDescent="0.3">
      <c r="B720" s="223" t="s">
        <v>2468</v>
      </c>
      <c r="C720" s="224">
        <v>6</v>
      </c>
      <c r="D720" s="225">
        <v>12</v>
      </c>
      <c r="E720" s="226">
        <v>22427</v>
      </c>
      <c r="F720" s="109"/>
      <c r="G720" s="1" t="str">
        <f>IFERROR(IF(ventas_b_mes12[[#This Row],[CUIT]]="","-",VLOOKUP(ventas_b_mes12[[#This Row],[CUIT]],Lista_CUIT[#All],2,0)),"CUIT NO CARGADO")</f>
        <v>-</v>
      </c>
      <c r="H720" s="96">
        <f>ventas_b_mes12[[#This Row],[TOTAL]]/1.21</f>
        <v>4530.9917355371899</v>
      </c>
      <c r="I720" s="60">
        <f>ventas_b_mes12[[#This Row],[IMPORTE NETO]]*0.21</f>
        <v>951.50826446280985</v>
      </c>
      <c r="J720" s="229"/>
      <c r="K720" s="229"/>
      <c r="L720" s="229">
        <v>5482.5</v>
      </c>
      <c r="M720" s="55"/>
    </row>
    <row r="721" spans="2:13" x14ac:dyDescent="0.3">
      <c r="B721" s="223" t="s">
        <v>2468</v>
      </c>
      <c r="C721" s="224">
        <v>6</v>
      </c>
      <c r="D721" s="225">
        <v>10</v>
      </c>
      <c r="E721" s="226">
        <v>43765</v>
      </c>
      <c r="F721" s="109"/>
      <c r="G721" s="1" t="str">
        <f>IFERROR(IF(ventas_b_mes12[[#This Row],[CUIT]]="","-",VLOOKUP(ventas_b_mes12[[#This Row],[CUIT]],Lista_CUIT[#All],2,0)),"CUIT NO CARGADO")</f>
        <v>-</v>
      </c>
      <c r="H721" s="96">
        <f>ventas_b_mes12[[#This Row],[TOTAL]]/1.21</f>
        <v>20000.016528925622</v>
      </c>
      <c r="I721" s="60">
        <f>ventas_b_mes12[[#This Row],[IMPORTE NETO]]*0.21</f>
        <v>4200.0034710743803</v>
      </c>
      <c r="J721" s="229"/>
      <c r="K721" s="229"/>
      <c r="L721" s="229">
        <v>24200.02</v>
      </c>
      <c r="M721" s="55"/>
    </row>
    <row r="722" spans="2:13" x14ac:dyDescent="0.3">
      <c r="B722" s="223" t="s">
        <v>2468</v>
      </c>
      <c r="C722" s="224">
        <v>6</v>
      </c>
      <c r="D722" s="225">
        <v>12</v>
      </c>
      <c r="E722" s="226">
        <v>22416</v>
      </c>
      <c r="F722" s="109"/>
      <c r="G722" s="1" t="str">
        <f>IFERROR(IF(ventas_b_mes12[[#This Row],[CUIT]]="","-",VLOOKUP(ventas_b_mes12[[#This Row],[CUIT]],Lista_CUIT[#All],2,0)),"CUIT NO CARGADO")</f>
        <v>-</v>
      </c>
      <c r="H722" s="96">
        <f>ventas_b_mes12[[#This Row],[TOTAL]]/1.21</f>
        <v>7603.3223140495875</v>
      </c>
      <c r="I722" s="60">
        <f>ventas_b_mes12[[#This Row],[IMPORTE NETO]]*0.21</f>
        <v>1596.6976859504134</v>
      </c>
      <c r="J722" s="229"/>
      <c r="K722" s="229"/>
      <c r="L722" s="229">
        <v>9200.02</v>
      </c>
      <c r="M722" s="55"/>
    </row>
    <row r="723" spans="2:13" x14ac:dyDescent="0.3">
      <c r="B723" s="223" t="s">
        <v>2468</v>
      </c>
      <c r="C723" s="224">
        <v>6</v>
      </c>
      <c r="D723" s="225">
        <v>10</v>
      </c>
      <c r="E723" s="226">
        <v>43791</v>
      </c>
      <c r="F723" s="109"/>
      <c r="G723" s="1" t="str">
        <f>IFERROR(IF(ventas_b_mes12[[#This Row],[CUIT]]="","-",VLOOKUP(ventas_b_mes12[[#This Row],[CUIT]],Lista_CUIT[#All],2,0)),"CUIT NO CARGADO")</f>
        <v>-</v>
      </c>
      <c r="H723" s="96">
        <f>ventas_b_mes12[[#This Row],[TOTAL]]/1.21</f>
        <v>12661.157024793389</v>
      </c>
      <c r="I723" s="60">
        <f>ventas_b_mes12[[#This Row],[IMPORTE NETO]]*0.21</f>
        <v>2658.8429752066118</v>
      </c>
      <c r="J723" s="229"/>
      <c r="K723" s="229"/>
      <c r="L723" s="229">
        <v>15320</v>
      </c>
      <c r="M723" s="55"/>
    </row>
    <row r="724" spans="2:13" x14ac:dyDescent="0.3">
      <c r="B724" s="223" t="s">
        <v>2468</v>
      </c>
      <c r="C724" s="224">
        <v>6</v>
      </c>
      <c r="D724" s="225">
        <v>13</v>
      </c>
      <c r="E724" s="226">
        <v>26700</v>
      </c>
      <c r="F724" s="109"/>
      <c r="G724" s="1" t="str">
        <f>IFERROR(IF(ventas_b_mes12[[#This Row],[CUIT]]="","-",VLOOKUP(ventas_b_mes12[[#This Row],[CUIT]],Lista_CUIT[#All],2,0)),"CUIT NO CARGADO")</f>
        <v>-</v>
      </c>
      <c r="H724" s="96">
        <f>ventas_b_mes12[[#This Row],[TOTAL]]/1.21</f>
        <v>3016.5289256198348</v>
      </c>
      <c r="I724" s="60">
        <f>ventas_b_mes12[[#This Row],[IMPORTE NETO]]*0.21</f>
        <v>633.47107438016531</v>
      </c>
      <c r="J724" s="229"/>
      <c r="K724" s="229"/>
      <c r="L724" s="229">
        <v>3650</v>
      </c>
      <c r="M724" s="55"/>
    </row>
    <row r="725" spans="2:13" x14ac:dyDescent="0.3">
      <c r="B725" s="223" t="s">
        <v>2468</v>
      </c>
      <c r="C725" s="224">
        <v>6</v>
      </c>
      <c r="D725" s="225">
        <v>11</v>
      </c>
      <c r="E725" s="226">
        <v>30010</v>
      </c>
      <c r="F725" s="109"/>
      <c r="G725" s="1" t="str">
        <f>IFERROR(IF(ventas_b_mes12[[#This Row],[CUIT]]="","-",VLOOKUP(ventas_b_mes12[[#This Row],[CUIT]],Lista_CUIT[#All],2,0)),"CUIT NO CARGADO")</f>
        <v>-</v>
      </c>
      <c r="H725" s="96">
        <f>ventas_b_mes12[[#This Row],[TOTAL]]/1.21</f>
        <v>8832.6528925619841</v>
      </c>
      <c r="I725" s="60">
        <f>ventas_b_mes12[[#This Row],[IMPORTE NETO]]*0.21</f>
        <v>1854.8571074380166</v>
      </c>
      <c r="J725" s="229"/>
      <c r="K725" s="229"/>
      <c r="L725" s="229">
        <v>10687.51</v>
      </c>
      <c r="M725" s="55"/>
    </row>
    <row r="726" spans="2:13" x14ac:dyDescent="0.3">
      <c r="B726" s="223" t="s">
        <v>2468</v>
      </c>
      <c r="C726" s="224">
        <v>6</v>
      </c>
      <c r="D726" s="225">
        <v>10</v>
      </c>
      <c r="E726" s="226">
        <v>43790</v>
      </c>
      <c r="F726" s="109"/>
      <c r="G726" s="1" t="str">
        <f>IFERROR(IF(ventas_b_mes12[[#This Row],[CUIT]]="","-",VLOOKUP(ventas_b_mes12[[#This Row],[CUIT]],Lista_CUIT[#All],2,0)),"CUIT NO CARGADO")</f>
        <v>-</v>
      </c>
      <c r="H726" s="96">
        <f>ventas_b_mes12[[#This Row],[TOTAL]]/1.21</f>
        <v>6834.8677685950415</v>
      </c>
      <c r="I726" s="60">
        <f>ventas_b_mes12[[#This Row],[IMPORTE NETO]]*0.21</f>
        <v>1435.3222314049588</v>
      </c>
      <c r="J726" s="229"/>
      <c r="K726" s="229"/>
      <c r="L726" s="229">
        <v>8270.19</v>
      </c>
      <c r="M726" s="55"/>
    </row>
    <row r="727" spans="2:13" x14ac:dyDescent="0.3">
      <c r="B727" s="223" t="s">
        <v>2468</v>
      </c>
      <c r="C727" s="224">
        <v>6</v>
      </c>
      <c r="D727" s="225">
        <v>10</v>
      </c>
      <c r="E727" s="226">
        <v>43782</v>
      </c>
      <c r="F727" s="109"/>
      <c r="G727" s="1" t="str">
        <f>IFERROR(IF(ventas_b_mes12[[#This Row],[CUIT]]="","-",VLOOKUP(ventas_b_mes12[[#This Row],[CUIT]],Lista_CUIT[#All],2,0)),"CUIT NO CARGADO")</f>
        <v>-</v>
      </c>
      <c r="H727" s="96">
        <f>ventas_b_mes12[[#This Row],[TOTAL]]/1.21</f>
        <v>3259.504132231405</v>
      </c>
      <c r="I727" s="60">
        <f>ventas_b_mes12[[#This Row],[IMPORTE NETO]]*0.21</f>
        <v>684.49586776859508</v>
      </c>
      <c r="J727" s="229"/>
      <c r="K727" s="229"/>
      <c r="L727" s="229">
        <v>3944</v>
      </c>
      <c r="M727" s="55"/>
    </row>
    <row r="728" spans="2:13" x14ac:dyDescent="0.3">
      <c r="B728" s="223" t="s">
        <v>2468</v>
      </c>
      <c r="C728" s="224">
        <v>6</v>
      </c>
      <c r="D728" s="225">
        <v>11</v>
      </c>
      <c r="E728" s="226">
        <v>30015</v>
      </c>
      <c r="F728" s="109"/>
      <c r="G728" s="1" t="str">
        <f>IFERROR(IF(ventas_b_mes12[[#This Row],[CUIT]]="","-",VLOOKUP(ventas_b_mes12[[#This Row],[CUIT]],Lista_CUIT[#All],2,0)),"CUIT NO CARGADO")</f>
        <v>-</v>
      </c>
      <c r="H728" s="96">
        <f>ventas_b_mes12[[#This Row],[TOTAL]]/1.21</f>
        <v>2809.9173553719011</v>
      </c>
      <c r="I728" s="60">
        <f>ventas_b_mes12[[#This Row],[IMPORTE NETO]]*0.21</f>
        <v>590.08264462809916</v>
      </c>
      <c r="J728" s="229"/>
      <c r="K728" s="229"/>
      <c r="L728" s="229">
        <v>3400</v>
      </c>
      <c r="M728" s="55"/>
    </row>
    <row r="729" spans="2:13" x14ac:dyDescent="0.3">
      <c r="B729" s="223" t="s">
        <v>2468</v>
      </c>
      <c r="C729" s="224">
        <v>6</v>
      </c>
      <c r="D729" s="225">
        <v>13</v>
      </c>
      <c r="E729" s="226">
        <v>26681</v>
      </c>
      <c r="F729" s="109"/>
      <c r="G729" s="1" t="str">
        <f>IFERROR(IF(ventas_b_mes12[[#This Row],[CUIT]]="","-",VLOOKUP(ventas_b_mes12[[#This Row],[CUIT]],Lista_CUIT[#All],2,0)),"CUIT NO CARGADO")</f>
        <v>-</v>
      </c>
      <c r="H729" s="96">
        <f>ventas_b_mes12[[#This Row],[TOTAL]]/1.21</f>
        <v>4958.6776859504134</v>
      </c>
      <c r="I729" s="60">
        <f>ventas_b_mes12[[#This Row],[IMPORTE NETO]]*0.21</f>
        <v>1041.3223140495868</v>
      </c>
      <c r="J729" s="229"/>
      <c r="K729" s="229"/>
      <c r="L729" s="229">
        <v>6000</v>
      </c>
      <c r="M729" s="55"/>
    </row>
    <row r="730" spans="2:13" x14ac:dyDescent="0.3">
      <c r="B730" s="223" t="s">
        <v>2468</v>
      </c>
      <c r="C730" s="224">
        <v>6</v>
      </c>
      <c r="D730" s="225">
        <v>12</v>
      </c>
      <c r="E730" s="226">
        <v>22415</v>
      </c>
      <c r="F730" s="109"/>
      <c r="G730" s="1" t="str">
        <f>IFERROR(IF(ventas_b_mes12[[#This Row],[CUIT]]="","-",VLOOKUP(ventas_b_mes12[[#This Row],[CUIT]],Lista_CUIT[#All],2,0)),"CUIT NO CARGADO")</f>
        <v>-</v>
      </c>
      <c r="H730" s="96">
        <f>ventas_b_mes12[[#This Row],[TOTAL]]/1.21</f>
        <v>5917.3636363636369</v>
      </c>
      <c r="I730" s="60">
        <f>ventas_b_mes12[[#This Row],[IMPORTE NETO]]*0.21</f>
        <v>1242.6463636363637</v>
      </c>
      <c r="J730" s="229"/>
      <c r="K730" s="229"/>
      <c r="L730" s="229">
        <v>7160.01</v>
      </c>
      <c r="M730" s="55"/>
    </row>
    <row r="731" spans="2:13" x14ac:dyDescent="0.3">
      <c r="B731" s="223" t="s">
        <v>2468</v>
      </c>
      <c r="C731" s="224">
        <v>6</v>
      </c>
      <c r="D731" s="225">
        <v>12</v>
      </c>
      <c r="E731" s="226">
        <v>22414</v>
      </c>
      <c r="F731" s="109"/>
      <c r="G731" s="1" t="str">
        <f>IFERROR(IF(ventas_b_mes12[[#This Row],[CUIT]]="","-",VLOOKUP(ventas_b_mes12[[#This Row],[CUIT]],Lista_CUIT[#All],2,0)),"CUIT NO CARGADO")</f>
        <v>-</v>
      </c>
      <c r="H731" s="96">
        <f>ventas_b_mes12[[#This Row],[TOTAL]]/1.21</f>
        <v>6942.1487603305786</v>
      </c>
      <c r="I731" s="60">
        <f>ventas_b_mes12[[#This Row],[IMPORTE NETO]]*0.21</f>
        <v>1457.8512396694214</v>
      </c>
      <c r="J731" s="229"/>
      <c r="K731" s="229"/>
      <c r="L731" s="229">
        <v>8400</v>
      </c>
      <c r="M731" s="55"/>
    </row>
    <row r="732" spans="2:13" x14ac:dyDescent="0.3">
      <c r="B732" s="223" t="s">
        <v>2468</v>
      </c>
      <c r="C732" s="224">
        <v>6</v>
      </c>
      <c r="D732" s="225">
        <v>12</v>
      </c>
      <c r="E732" s="226">
        <v>22433</v>
      </c>
      <c r="F732" s="109"/>
      <c r="G732" s="1" t="str">
        <f>IFERROR(IF(ventas_b_mes12[[#This Row],[CUIT]]="","-",VLOOKUP(ventas_b_mes12[[#This Row],[CUIT]],Lista_CUIT[#All],2,0)),"CUIT NO CARGADO")</f>
        <v>-</v>
      </c>
      <c r="H732" s="96">
        <f>ventas_b_mes12[[#This Row],[TOTAL]]/1.21</f>
        <v>6462.8099173553719</v>
      </c>
      <c r="I732" s="60">
        <f>ventas_b_mes12[[#This Row],[IMPORTE NETO]]*0.21</f>
        <v>1357.1900826446281</v>
      </c>
      <c r="J732" s="229"/>
      <c r="K732" s="229"/>
      <c r="L732" s="229">
        <v>7820</v>
      </c>
      <c r="M732" s="55"/>
    </row>
    <row r="733" spans="2:13" x14ac:dyDescent="0.3">
      <c r="B733" s="223" t="s">
        <v>2468</v>
      </c>
      <c r="C733" s="224">
        <v>6</v>
      </c>
      <c r="D733" s="225">
        <v>13</v>
      </c>
      <c r="E733" s="226">
        <v>26683</v>
      </c>
      <c r="F733" s="109"/>
      <c r="G733" s="1" t="str">
        <f>IFERROR(IF(ventas_b_mes12[[#This Row],[CUIT]]="","-",VLOOKUP(ventas_b_mes12[[#This Row],[CUIT]],Lista_CUIT[#All],2,0)),"CUIT NO CARGADO")</f>
        <v>-</v>
      </c>
      <c r="H733" s="96">
        <f>ventas_b_mes12[[#This Row],[TOTAL]]/1.21</f>
        <v>2851.2396694214876</v>
      </c>
      <c r="I733" s="60">
        <f>ventas_b_mes12[[#This Row],[IMPORTE NETO]]*0.21</f>
        <v>598.76033057851237</v>
      </c>
      <c r="J733" s="229"/>
      <c r="K733" s="229"/>
      <c r="L733" s="229">
        <v>3450</v>
      </c>
      <c r="M733" s="55"/>
    </row>
    <row r="734" spans="2:13" x14ac:dyDescent="0.3">
      <c r="B734" s="223" t="s">
        <v>2468</v>
      </c>
      <c r="C734" s="224">
        <v>6</v>
      </c>
      <c r="D734" s="225">
        <v>12</v>
      </c>
      <c r="E734" s="226">
        <v>22409</v>
      </c>
      <c r="F734" s="109"/>
      <c r="G734" s="1" t="str">
        <f>IFERROR(IF(ventas_b_mes12[[#This Row],[CUIT]]="","-",VLOOKUP(ventas_b_mes12[[#This Row],[CUIT]],Lista_CUIT[#All],2,0)),"CUIT NO CARGADO")</f>
        <v>-</v>
      </c>
      <c r="H734" s="96">
        <f>ventas_b_mes12[[#This Row],[TOTAL]]/1.21</f>
        <v>1239.6694214876034</v>
      </c>
      <c r="I734" s="60">
        <f>ventas_b_mes12[[#This Row],[IMPORTE NETO]]*0.21</f>
        <v>260.3305785123967</v>
      </c>
      <c r="J734" s="229"/>
      <c r="K734" s="229"/>
      <c r="L734" s="229">
        <v>1500</v>
      </c>
      <c r="M734" s="55"/>
    </row>
    <row r="735" spans="2:13" x14ac:dyDescent="0.3">
      <c r="B735" s="223" t="s">
        <v>2468</v>
      </c>
      <c r="C735" s="224">
        <v>6</v>
      </c>
      <c r="D735" s="225">
        <v>12</v>
      </c>
      <c r="E735" s="226">
        <v>22408</v>
      </c>
      <c r="F735" s="109"/>
      <c r="G735" s="1" t="str">
        <f>IFERROR(IF(ventas_b_mes12[[#This Row],[CUIT]]="","-",VLOOKUP(ventas_b_mes12[[#This Row],[CUIT]],Lista_CUIT[#All],2,0)),"CUIT NO CARGADO")</f>
        <v>-</v>
      </c>
      <c r="H735" s="96">
        <f>ventas_b_mes12[[#This Row],[TOTAL]]/1.21</f>
        <v>2479.3388429752067</v>
      </c>
      <c r="I735" s="60">
        <f>ventas_b_mes12[[#This Row],[IMPORTE NETO]]*0.21</f>
        <v>520.6611570247934</v>
      </c>
      <c r="J735" s="229"/>
      <c r="K735" s="229"/>
      <c r="L735" s="229">
        <v>3000</v>
      </c>
      <c r="M735" s="55"/>
    </row>
    <row r="736" spans="2:13" x14ac:dyDescent="0.3">
      <c r="B736" s="223" t="s">
        <v>2468</v>
      </c>
      <c r="C736" s="224">
        <v>6</v>
      </c>
      <c r="D736" s="225">
        <v>15</v>
      </c>
      <c r="E736" s="226">
        <v>7164</v>
      </c>
      <c r="F736" s="109"/>
      <c r="G736" s="1" t="str">
        <f>IFERROR(IF(ventas_b_mes12[[#This Row],[CUIT]]="","-",VLOOKUP(ventas_b_mes12[[#This Row],[CUIT]],Lista_CUIT[#All],2,0)),"CUIT NO CARGADO")</f>
        <v>-</v>
      </c>
      <c r="H736" s="96">
        <f>ventas_b_mes12[[#This Row],[TOTAL]]/1.21</f>
        <v>5438.4214876033056</v>
      </c>
      <c r="I736" s="60">
        <f>ventas_b_mes12[[#This Row],[IMPORTE NETO]]*0.21</f>
        <v>1142.0685123966941</v>
      </c>
      <c r="J736" s="229"/>
      <c r="K736" s="229"/>
      <c r="L736" s="229">
        <v>6580.49</v>
      </c>
      <c r="M736" s="55"/>
    </row>
    <row r="737" spans="2:13" x14ac:dyDescent="0.3">
      <c r="B737" s="223" t="s">
        <v>2468</v>
      </c>
      <c r="C737" s="224">
        <v>6</v>
      </c>
      <c r="D737" s="225">
        <v>12</v>
      </c>
      <c r="E737" s="226">
        <v>22412</v>
      </c>
      <c r="F737" s="109"/>
      <c r="G737" s="1" t="str">
        <f>IFERROR(IF(ventas_b_mes12[[#This Row],[CUIT]]="","-",VLOOKUP(ventas_b_mes12[[#This Row],[CUIT]],Lista_CUIT[#All],2,0)),"CUIT NO CARGADO")</f>
        <v>-</v>
      </c>
      <c r="H737" s="96">
        <f>ventas_b_mes12[[#This Row],[TOTAL]]/1.21</f>
        <v>4476.0413223140495</v>
      </c>
      <c r="I737" s="60">
        <f>ventas_b_mes12[[#This Row],[IMPORTE NETO]]*0.21</f>
        <v>939.9686776859503</v>
      </c>
      <c r="J737" s="229"/>
      <c r="K737" s="229"/>
      <c r="L737" s="229">
        <v>5416.01</v>
      </c>
      <c r="M737" s="55"/>
    </row>
    <row r="738" spans="2:13" x14ac:dyDescent="0.3">
      <c r="B738" s="223" t="s">
        <v>2468</v>
      </c>
      <c r="C738" s="224">
        <v>6</v>
      </c>
      <c r="D738" s="225">
        <v>12</v>
      </c>
      <c r="E738" s="226">
        <v>22413</v>
      </c>
      <c r="F738" s="109"/>
      <c r="G738" s="1" t="str">
        <f>IFERROR(IF(ventas_b_mes12[[#This Row],[CUIT]]="","-",VLOOKUP(ventas_b_mes12[[#This Row],[CUIT]],Lista_CUIT[#All],2,0)),"CUIT NO CARGADO")</f>
        <v>-</v>
      </c>
      <c r="H738" s="96">
        <f>ventas_b_mes12[[#This Row],[TOTAL]]/1.21</f>
        <v>3391.7355371900826</v>
      </c>
      <c r="I738" s="60">
        <f>ventas_b_mes12[[#This Row],[IMPORTE NETO]]*0.21</f>
        <v>712.26446280991729</v>
      </c>
      <c r="J738" s="229"/>
      <c r="K738" s="229"/>
      <c r="L738" s="229">
        <v>4104</v>
      </c>
      <c r="M738" s="55"/>
    </row>
    <row r="739" spans="2:13" x14ac:dyDescent="0.3">
      <c r="B739" s="223" t="s">
        <v>2468</v>
      </c>
      <c r="C739" s="224">
        <v>6</v>
      </c>
      <c r="D739" s="225">
        <v>11</v>
      </c>
      <c r="E739" s="226">
        <v>30006</v>
      </c>
      <c r="F739" s="109"/>
      <c r="G739" s="1" t="str">
        <f>IFERROR(IF(ventas_b_mes12[[#This Row],[CUIT]]="","-",VLOOKUP(ventas_b_mes12[[#This Row],[CUIT]],Lista_CUIT[#All],2,0)),"CUIT NO CARGADO")</f>
        <v>-</v>
      </c>
      <c r="H739" s="96">
        <f>ventas_b_mes12[[#This Row],[TOTAL]]/1.21</f>
        <v>4545.454545454546</v>
      </c>
      <c r="I739" s="60">
        <f>ventas_b_mes12[[#This Row],[IMPORTE NETO]]*0.21</f>
        <v>954.54545454545462</v>
      </c>
      <c r="J739" s="229"/>
      <c r="K739" s="229"/>
      <c r="L739" s="229">
        <v>5500</v>
      </c>
      <c r="M739" s="55"/>
    </row>
    <row r="740" spans="2:13" x14ac:dyDescent="0.3">
      <c r="B740" s="223" t="s">
        <v>2468</v>
      </c>
      <c r="C740" s="224">
        <v>6</v>
      </c>
      <c r="D740" s="225">
        <v>12</v>
      </c>
      <c r="E740" s="226">
        <v>22430</v>
      </c>
      <c r="F740" s="109"/>
      <c r="G740" s="1" t="str">
        <f>IFERROR(IF(ventas_b_mes12[[#This Row],[CUIT]]="","-",VLOOKUP(ventas_b_mes12[[#This Row],[CUIT]],Lista_CUIT[#All],2,0)),"CUIT NO CARGADO")</f>
        <v>-</v>
      </c>
      <c r="H740" s="96">
        <f>ventas_b_mes12[[#This Row],[TOTAL]]/1.21</f>
        <v>3847.9338842975208</v>
      </c>
      <c r="I740" s="60">
        <f>ventas_b_mes12[[#This Row],[IMPORTE NETO]]*0.21</f>
        <v>808.06611570247935</v>
      </c>
      <c r="J740" s="229"/>
      <c r="K740" s="229"/>
      <c r="L740" s="229">
        <v>4656</v>
      </c>
      <c r="M740" s="55"/>
    </row>
    <row r="741" spans="2:13" x14ac:dyDescent="0.3">
      <c r="B741" s="223" t="s">
        <v>2468</v>
      </c>
      <c r="C741" s="224">
        <v>6</v>
      </c>
      <c r="D741" s="225">
        <v>12</v>
      </c>
      <c r="E741" s="226">
        <v>22432</v>
      </c>
      <c r="F741" s="109"/>
      <c r="G741" s="1" t="str">
        <f>IFERROR(IF(ventas_b_mes12[[#This Row],[CUIT]]="","-",VLOOKUP(ventas_b_mes12[[#This Row],[CUIT]],Lista_CUIT[#All],2,0)),"CUIT NO CARGADO")</f>
        <v>-</v>
      </c>
      <c r="H741" s="96">
        <f>ventas_b_mes12[[#This Row],[TOTAL]]/1.21</f>
        <v>4473.1487603305786</v>
      </c>
      <c r="I741" s="60">
        <f>ventas_b_mes12[[#This Row],[IMPORTE NETO]]*0.21</f>
        <v>939.36123966942148</v>
      </c>
      <c r="J741" s="229"/>
      <c r="K741" s="229"/>
      <c r="L741" s="229">
        <v>5412.51</v>
      </c>
      <c r="M741" s="55"/>
    </row>
    <row r="742" spans="2:13" x14ac:dyDescent="0.3">
      <c r="B742" s="223" t="s">
        <v>2468</v>
      </c>
      <c r="C742" s="224">
        <v>6</v>
      </c>
      <c r="D742" s="225">
        <v>12</v>
      </c>
      <c r="E742" s="226">
        <v>22431</v>
      </c>
      <c r="F742" s="109"/>
      <c r="G742" s="1" t="str">
        <f>IFERROR(IF(ventas_b_mes12[[#This Row],[CUIT]]="","-",VLOOKUP(ventas_b_mes12[[#This Row],[CUIT]],Lista_CUIT[#All],2,0)),"CUIT NO CARGADO")</f>
        <v>-</v>
      </c>
      <c r="H742" s="96">
        <f>ventas_b_mes12[[#This Row],[TOTAL]]/1.21</f>
        <v>4090.909090909091</v>
      </c>
      <c r="I742" s="60">
        <f>ventas_b_mes12[[#This Row],[IMPORTE NETO]]*0.21</f>
        <v>859.09090909090912</v>
      </c>
      <c r="J742" s="229"/>
      <c r="K742" s="229"/>
      <c r="L742" s="229">
        <v>4950</v>
      </c>
      <c r="M742" s="55"/>
    </row>
    <row r="743" spans="2:13" x14ac:dyDescent="0.3">
      <c r="B743" s="223" t="s">
        <v>2469</v>
      </c>
      <c r="C743" s="224">
        <v>6</v>
      </c>
      <c r="D743" s="225">
        <v>11</v>
      </c>
      <c r="E743" s="226">
        <v>30021</v>
      </c>
      <c r="F743" s="109"/>
      <c r="G743" s="1" t="str">
        <f>IFERROR(IF(ventas_b_mes12[[#This Row],[CUIT]]="","-",VLOOKUP(ventas_b_mes12[[#This Row],[CUIT]],Lista_CUIT[#All],2,0)),"CUIT NO CARGADO")</f>
        <v>-</v>
      </c>
      <c r="H743" s="96">
        <f>ventas_b_mes12[[#This Row],[TOTAL]]/1.21</f>
        <v>2776.8760330578511</v>
      </c>
      <c r="I743" s="60">
        <f>ventas_b_mes12[[#This Row],[IMPORTE NETO]]*0.21</f>
        <v>583.14396694214872</v>
      </c>
      <c r="J743" s="229"/>
      <c r="K743" s="229"/>
      <c r="L743" s="229">
        <v>3360.02</v>
      </c>
      <c r="M743" s="55"/>
    </row>
    <row r="744" spans="2:13" x14ac:dyDescent="0.3">
      <c r="B744" s="223" t="s">
        <v>2469</v>
      </c>
      <c r="C744" s="224">
        <v>6</v>
      </c>
      <c r="D744" s="225">
        <v>12</v>
      </c>
      <c r="E744" s="226">
        <v>22449</v>
      </c>
      <c r="F744" s="109"/>
      <c r="G744" s="1" t="str">
        <f>IFERROR(IF(ventas_b_mes12[[#This Row],[CUIT]]="","-",VLOOKUP(ventas_b_mes12[[#This Row],[CUIT]],Lista_CUIT[#All],2,0)),"CUIT NO CARGADO")</f>
        <v>-</v>
      </c>
      <c r="H744" s="96">
        <f>ventas_b_mes12[[#This Row],[TOTAL]]/1.21</f>
        <v>18181.818181818184</v>
      </c>
      <c r="I744" s="60">
        <f>ventas_b_mes12[[#This Row],[IMPORTE NETO]]*0.21</f>
        <v>3818.1818181818185</v>
      </c>
      <c r="J744" s="229"/>
      <c r="K744" s="229"/>
      <c r="L744" s="229">
        <v>22000</v>
      </c>
      <c r="M744" s="55"/>
    </row>
    <row r="745" spans="2:13" x14ac:dyDescent="0.3">
      <c r="B745" s="223" t="s">
        <v>2469</v>
      </c>
      <c r="C745" s="224">
        <v>6</v>
      </c>
      <c r="D745" s="225">
        <v>12</v>
      </c>
      <c r="E745" s="226">
        <v>22447</v>
      </c>
      <c r="F745" s="109"/>
      <c r="G745" s="1" t="str">
        <f>IFERROR(IF(ventas_b_mes12[[#This Row],[CUIT]]="","-",VLOOKUP(ventas_b_mes12[[#This Row],[CUIT]],Lista_CUIT[#All],2,0)),"CUIT NO CARGADO")</f>
        <v>-</v>
      </c>
      <c r="H745" s="96">
        <f>ventas_b_mes12[[#This Row],[TOTAL]]/1.21</f>
        <v>2525.6198347107438</v>
      </c>
      <c r="I745" s="60">
        <f>ventas_b_mes12[[#This Row],[IMPORTE NETO]]*0.21</f>
        <v>530.38016528925618</v>
      </c>
      <c r="J745" s="229"/>
      <c r="K745" s="229"/>
      <c r="L745" s="229">
        <v>3056</v>
      </c>
      <c r="M745" s="55"/>
    </row>
    <row r="746" spans="2:13" x14ac:dyDescent="0.3">
      <c r="B746" s="223" t="s">
        <v>2469</v>
      </c>
      <c r="C746" s="224">
        <v>6</v>
      </c>
      <c r="D746" s="225">
        <v>13</v>
      </c>
      <c r="E746" s="226">
        <v>26702</v>
      </c>
      <c r="F746" s="109"/>
      <c r="G746" s="1" t="str">
        <f>IFERROR(IF(ventas_b_mes12[[#This Row],[CUIT]]="","-",VLOOKUP(ventas_b_mes12[[#This Row],[CUIT]],Lista_CUIT[#All],2,0)),"CUIT NO CARGADO")</f>
        <v>-</v>
      </c>
      <c r="H746" s="96">
        <f>ventas_b_mes12[[#This Row],[TOTAL]]/1.21</f>
        <v>4958.6776859504134</v>
      </c>
      <c r="I746" s="60">
        <f>ventas_b_mes12[[#This Row],[IMPORTE NETO]]*0.21</f>
        <v>1041.3223140495868</v>
      </c>
      <c r="J746" s="229"/>
      <c r="K746" s="229"/>
      <c r="L746" s="229">
        <v>6000</v>
      </c>
      <c r="M746" s="55"/>
    </row>
    <row r="747" spans="2:13" x14ac:dyDescent="0.3">
      <c r="B747" s="223" t="s">
        <v>2469</v>
      </c>
      <c r="C747" s="224">
        <v>6</v>
      </c>
      <c r="D747" s="225">
        <v>11</v>
      </c>
      <c r="E747" s="226">
        <v>30022</v>
      </c>
      <c r="F747" s="109"/>
      <c r="G747" s="1" t="str">
        <f>IFERROR(IF(ventas_b_mes12[[#This Row],[CUIT]]="","-",VLOOKUP(ventas_b_mes12[[#This Row],[CUIT]],Lista_CUIT[#All],2,0)),"CUIT NO CARGADO")</f>
        <v>-</v>
      </c>
      <c r="H747" s="96">
        <f>ventas_b_mes12[[#This Row],[TOTAL]]/1.21</f>
        <v>7165.2892561983472</v>
      </c>
      <c r="I747" s="60">
        <f>ventas_b_mes12[[#This Row],[IMPORTE NETO]]*0.21</f>
        <v>1504.7107438016528</v>
      </c>
      <c r="J747" s="229"/>
      <c r="K747" s="229"/>
      <c r="L747" s="229">
        <v>8670</v>
      </c>
      <c r="M747" s="55"/>
    </row>
    <row r="748" spans="2:13" x14ac:dyDescent="0.3">
      <c r="B748" s="223" t="s">
        <v>2469</v>
      </c>
      <c r="C748" s="224">
        <v>6</v>
      </c>
      <c r="D748" s="225">
        <v>13</v>
      </c>
      <c r="E748" s="226">
        <v>26712</v>
      </c>
      <c r="F748" s="109"/>
      <c r="G748" s="1" t="str">
        <f>IFERROR(IF(ventas_b_mes12[[#This Row],[CUIT]]="","-",VLOOKUP(ventas_b_mes12[[#This Row],[CUIT]],Lista_CUIT[#All],2,0)),"CUIT NO CARGADO")</f>
        <v>-</v>
      </c>
      <c r="H748" s="96">
        <f>ventas_b_mes12[[#This Row],[TOTAL]]/1.21</f>
        <v>2066.1239669421489</v>
      </c>
      <c r="I748" s="60">
        <f>ventas_b_mes12[[#This Row],[IMPORTE NETO]]*0.21</f>
        <v>433.88603305785125</v>
      </c>
      <c r="J748" s="229"/>
      <c r="K748" s="229"/>
      <c r="L748" s="229">
        <v>2500.0100000000002</v>
      </c>
      <c r="M748" s="55"/>
    </row>
    <row r="749" spans="2:13" x14ac:dyDescent="0.3">
      <c r="B749" s="223" t="s">
        <v>2469</v>
      </c>
      <c r="C749" s="224">
        <v>6</v>
      </c>
      <c r="D749" s="225">
        <v>13</v>
      </c>
      <c r="E749" s="226">
        <v>26718</v>
      </c>
      <c r="F749" s="109"/>
      <c r="G749" s="1" t="str">
        <f>IFERROR(IF(ventas_b_mes12[[#This Row],[CUIT]]="","-",VLOOKUP(ventas_b_mes12[[#This Row],[CUIT]],Lista_CUIT[#All],2,0)),"CUIT NO CARGADO")</f>
        <v>-</v>
      </c>
      <c r="H749" s="96">
        <f>ventas_b_mes12[[#This Row],[TOTAL]]/1.21</f>
        <v>958.67768595041321</v>
      </c>
      <c r="I749" s="60">
        <f>ventas_b_mes12[[#This Row],[IMPORTE NETO]]*0.21</f>
        <v>201.32231404958677</v>
      </c>
      <c r="J749" s="229"/>
      <c r="K749" s="229"/>
      <c r="L749" s="229">
        <v>1160</v>
      </c>
      <c r="M749" s="55"/>
    </row>
    <row r="750" spans="2:13" x14ac:dyDescent="0.3">
      <c r="B750" s="223" t="s">
        <v>2469</v>
      </c>
      <c r="C750" s="224">
        <v>6</v>
      </c>
      <c r="D750" s="225">
        <v>15</v>
      </c>
      <c r="E750" s="226">
        <v>7176</v>
      </c>
      <c r="F750" s="109"/>
      <c r="G750" s="1" t="str">
        <f>IFERROR(IF(ventas_b_mes12[[#This Row],[CUIT]]="","-",VLOOKUP(ventas_b_mes12[[#This Row],[CUIT]],Lista_CUIT[#All],2,0)),"CUIT NO CARGADO")</f>
        <v>-</v>
      </c>
      <c r="H750" s="96">
        <f>ventas_b_mes12[[#This Row],[TOTAL]]/1.21</f>
        <v>3223.1404958677685</v>
      </c>
      <c r="I750" s="60">
        <f>ventas_b_mes12[[#This Row],[IMPORTE NETO]]*0.21</f>
        <v>676.85950413223134</v>
      </c>
      <c r="J750" s="229"/>
      <c r="K750" s="229"/>
      <c r="L750" s="229">
        <v>3900</v>
      </c>
      <c r="M750" s="55"/>
    </row>
    <row r="751" spans="2:13" x14ac:dyDescent="0.3">
      <c r="B751" s="223" t="s">
        <v>2469</v>
      </c>
      <c r="C751" s="224">
        <v>6</v>
      </c>
      <c r="D751" s="225">
        <v>12</v>
      </c>
      <c r="E751" s="226">
        <v>22463</v>
      </c>
      <c r="F751" s="109"/>
      <c r="G751" s="1" t="str">
        <f>IFERROR(IF(ventas_b_mes12[[#This Row],[CUIT]]="","-",VLOOKUP(ventas_b_mes12[[#This Row],[CUIT]],Lista_CUIT[#All],2,0)),"CUIT NO CARGADO")</f>
        <v>-</v>
      </c>
      <c r="H751" s="96">
        <f>ventas_b_mes12[[#This Row],[TOTAL]]/1.21</f>
        <v>12958.685950413224</v>
      </c>
      <c r="I751" s="60">
        <f>ventas_b_mes12[[#This Row],[IMPORTE NETO]]*0.21</f>
        <v>2721.3240495867772</v>
      </c>
      <c r="J751" s="229"/>
      <c r="K751" s="229"/>
      <c r="L751" s="229">
        <v>15680.01</v>
      </c>
      <c r="M751" s="55"/>
    </row>
    <row r="752" spans="2:13" x14ac:dyDescent="0.3">
      <c r="B752" s="223" t="s">
        <v>2469</v>
      </c>
      <c r="C752" s="224">
        <v>6</v>
      </c>
      <c r="D752" s="225">
        <v>11</v>
      </c>
      <c r="E752" s="226">
        <v>30029</v>
      </c>
      <c r="F752" s="109"/>
      <c r="G752" s="1" t="str">
        <f>IFERROR(IF(ventas_b_mes12[[#This Row],[CUIT]]="","-",VLOOKUP(ventas_b_mes12[[#This Row],[CUIT]],Lista_CUIT[#All],2,0)),"CUIT NO CARGADO")</f>
        <v>-</v>
      </c>
      <c r="H752" s="96">
        <f>ventas_b_mes12[[#This Row],[TOTAL]]/1.21</f>
        <v>3016.5289256198348</v>
      </c>
      <c r="I752" s="60">
        <f>ventas_b_mes12[[#This Row],[IMPORTE NETO]]*0.21</f>
        <v>633.47107438016531</v>
      </c>
      <c r="J752" s="229"/>
      <c r="K752" s="229"/>
      <c r="L752" s="229">
        <v>3650</v>
      </c>
      <c r="M752" s="55"/>
    </row>
    <row r="753" spans="2:13" x14ac:dyDescent="0.3">
      <c r="B753" s="223" t="s">
        <v>2469</v>
      </c>
      <c r="C753" s="224">
        <v>6</v>
      </c>
      <c r="D753" s="225">
        <v>13</v>
      </c>
      <c r="E753" s="226">
        <v>26701</v>
      </c>
      <c r="F753" s="109"/>
      <c r="G753" s="1" t="str">
        <f>IFERROR(IF(ventas_b_mes12[[#This Row],[CUIT]]="","-",VLOOKUP(ventas_b_mes12[[#This Row],[CUIT]],Lista_CUIT[#All],2,0)),"CUIT NO CARGADO")</f>
        <v>-</v>
      </c>
      <c r="H753" s="96">
        <f>ventas_b_mes12[[#This Row],[TOTAL]]/1.21</f>
        <v>2652.8925619834713</v>
      </c>
      <c r="I753" s="60">
        <f>ventas_b_mes12[[#This Row],[IMPORTE NETO]]*0.21</f>
        <v>557.10743801652893</v>
      </c>
      <c r="J753" s="229"/>
      <c r="K753" s="229"/>
      <c r="L753" s="229">
        <v>3210</v>
      </c>
      <c r="M753" s="55"/>
    </row>
    <row r="754" spans="2:13" x14ac:dyDescent="0.3">
      <c r="B754" s="223" t="s">
        <v>2469</v>
      </c>
      <c r="C754" s="224">
        <v>6</v>
      </c>
      <c r="D754" s="225">
        <v>12</v>
      </c>
      <c r="E754" s="226">
        <v>22446</v>
      </c>
      <c r="F754" s="109"/>
      <c r="G754" s="1" t="str">
        <f>IFERROR(IF(ventas_b_mes12[[#This Row],[CUIT]]="","-",VLOOKUP(ventas_b_mes12[[#This Row],[CUIT]],Lista_CUIT[#All],2,0)),"CUIT NO CARGADO")</f>
        <v>-</v>
      </c>
      <c r="H754" s="96">
        <f>ventas_b_mes12[[#This Row],[TOTAL]]/1.21</f>
        <v>9157.0247933884293</v>
      </c>
      <c r="I754" s="60">
        <f>ventas_b_mes12[[#This Row],[IMPORTE NETO]]*0.21</f>
        <v>1922.97520661157</v>
      </c>
      <c r="J754" s="229"/>
      <c r="K754" s="229"/>
      <c r="L754" s="229">
        <v>11080</v>
      </c>
      <c r="M754" s="55"/>
    </row>
    <row r="755" spans="2:13" x14ac:dyDescent="0.3">
      <c r="B755" s="223" t="s">
        <v>2469</v>
      </c>
      <c r="C755" s="224">
        <v>6</v>
      </c>
      <c r="D755" s="225">
        <v>12</v>
      </c>
      <c r="E755" s="226">
        <v>22448</v>
      </c>
      <c r="F755" s="109"/>
      <c r="G755" s="1" t="str">
        <f>IFERROR(IF(ventas_b_mes12[[#This Row],[CUIT]]="","-",VLOOKUP(ventas_b_mes12[[#This Row],[CUIT]],Lista_CUIT[#All],2,0)),"CUIT NO CARGADO")</f>
        <v>-</v>
      </c>
      <c r="H755" s="96">
        <f>ventas_b_mes12[[#This Row],[TOTAL]]/1.21</f>
        <v>1930.611570247934</v>
      </c>
      <c r="I755" s="60">
        <f>ventas_b_mes12[[#This Row],[IMPORTE NETO]]*0.21</f>
        <v>405.42842975206611</v>
      </c>
      <c r="J755" s="229"/>
      <c r="K755" s="229"/>
      <c r="L755" s="229">
        <v>2336.04</v>
      </c>
      <c r="M755" s="55"/>
    </row>
    <row r="756" spans="2:13" x14ac:dyDescent="0.3">
      <c r="B756" s="223" t="s">
        <v>2469</v>
      </c>
      <c r="C756" s="224">
        <v>6</v>
      </c>
      <c r="D756" s="225">
        <v>13</v>
      </c>
      <c r="E756" s="226">
        <v>26705</v>
      </c>
      <c r="F756" s="109"/>
      <c r="G756" s="1" t="str">
        <f>IFERROR(IF(ventas_b_mes12[[#This Row],[CUIT]]="","-",VLOOKUP(ventas_b_mes12[[#This Row],[CUIT]],Lista_CUIT[#All],2,0)),"CUIT NO CARGADO")</f>
        <v>-</v>
      </c>
      <c r="H756" s="96">
        <f>ventas_b_mes12[[#This Row],[TOTAL]]/1.21</f>
        <v>4566.1157024793392</v>
      </c>
      <c r="I756" s="60">
        <f>ventas_b_mes12[[#This Row],[IMPORTE NETO]]*0.21</f>
        <v>958.88429752066122</v>
      </c>
      <c r="J756" s="229"/>
      <c r="K756" s="229"/>
      <c r="L756" s="229">
        <v>5525</v>
      </c>
      <c r="M756" s="55"/>
    </row>
    <row r="757" spans="2:13" x14ac:dyDescent="0.3">
      <c r="B757" s="223" t="s">
        <v>2469</v>
      </c>
      <c r="C757" s="224">
        <v>6</v>
      </c>
      <c r="D757" s="225">
        <v>13</v>
      </c>
      <c r="E757" s="226">
        <v>26704</v>
      </c>
      <c r="F757" s="109"/>
      <c r="G757" s="1" t="str">
        <f>IFERROR(IF(ventas_b_mes12[[#This Row],[CUIT]]="","-",VLOOKUP(ventas_b_mes12[[#This Row],[CUIT]],Lista_CUIT[#All],2,0)),"CUIT NO CARGADO")</f>
        <v>-</v>
      </c>
      <c r="H757" s="96">
        <f>ventas_b_mes12[[#This Row],[TOTAL]]/1.21</f>
        <v>18423.14049586777</v>
      </c>
      <c r="I757" s="60">
        <f>ventas_b_mes12[[#This Row],[IMPORTE NETO]]*0.21</f>
        <v>3868.8595041322315</v>
      </c>
      <c r="J757" s="229"/>
      <c r="K757" s="229"/>
      <c r="L757" s="229">
        <v>22292</v>
      </c>
      <c r="M757" s="55"/>
    </row>
    <row r="758" spans="2:13" x14ac:dyDescent="0.3">
      <c r="B758" s="223" t="s">
        <v>2469</v>
      </c>
      <c r="C758" s="224">
        <v>6</v>
      </c>
      <c r="D758" s="225">
        <v>12</v>
      </c>
      <c r="E758" s="226">
        <v>22460</v>
      </c>
      <c r="F758" s="109"/>
      <c r="G758" s="1" t="str">
        <f>IFERROR(IF(ventas_b_mes12[[#This Row],[CUIT]]="","-",VLOOKUP(ventas_b_mes12[[#This Row],[CUIT]],Lista_CUIT[#All],2,0)),"CUIT NO CARGADO")</f>
        <v>-</v>
      </c>
      <c r="H758" s="96">
        <f>ventas_b_mes12[[#This Row],[TOTAL]]/1.21</f>
        <v>2727.2727272727275</v>
      </c>
      <c r="I758" s="60">
        <f>ventas_b_mes12[[#This Row],[IMPORTE NETO]]*0.21</f>
        <v>572.72727272727275</v>
      </c>
      <c r="J758" s="229"/>
      <c r="K758" s="229"/>
      <c r="L758" s="229">
        <v>3300</v>
      </c>
      <c r="M758" s="55"/>
    </row>
    <row r="759" spans="2:13" x14ac:dyDescent="0.3">
      <c r="B759" s="223" t="s">
        <v>2469</v>
      </c>
      <c r="C759" s="224">
        <v>6</v>
      </c>
      <c r="D759" s="225">
        <v>12</v>
      </c>
      <c r="E759" s="226">
        <v>22454</v>
      </c>
      <c r="F759" s="109"/>
      <c r="G759" s="1" t="str">
        <f>IFERROR(IF(ventas_b_mes12[[#This Row],[CUIT]]="","-",VLOOKUP(ventas_b_mes12[[#This Row],[CUIT]],Lista_CUIT[#All],2,0)),"CUIT NO CARGADO")</f>
        <v>-</v>
      </c>
      <c r="H759" s="96">
        <f>ventas_b_mes12[[#This Row],[TOTAL]]/1.21</f>
        <v>1844.6280991735537</v>
      </c>
      <c r="I759" s="60">
        <f>ventas_b_mes12[[#This Row],[IMPORTE NETO]]*0.21</f>
        <v>387.37190082644628</v>
      </c>
      <c r="J759" s="229"/>
      <c r="K759" s="229"/>
      <c r="L759" s="229">
        <v>2232</v>
      </c>
      <c r="M759" s="55"/>
    </row>
    <row r="760" spans="2:13" x14ac:dyDescent="0.3">
      <c r="B760" s="223" t="s">
        <v>2469</v>
      </c>
      <c r="C760" s="224">
        <v>6</v>
      </c>
      <c r="D760" s="225">
        <v>11</v>
      </c>
      <c r="E760" s="226">
        <v>30024</v>
      </c>
      <c r="F760" s="109"/>
      <c r="G760" s="1" t="str">
        <f>IFERROR(IF(ventas_b_mes12[[#This Row],[CUIT]]="","-",VLOOKUP(ventas_b_mes12[[#This Row],[CUIT]],Lista_CUIT[#All],2,0)),"CUIT NO CARGADO")</f>
        <v>-</v>
      </c>
      <c r="H760" s="96">
        <f>ventas_b_mes12[[#This Row],[TOTAL]]/1.21</f>
        <v>6487.6033057851246</v>
      </c>
      <c r="I760" s="60">
        <f>ventas_b_mes12[[#This Row],[IMPORTE NETO]]*0.21</f>
        <v>1362.3966942148761</v>
      </c>
      <c r="J760" s="229"/>
      <c r="K760" s="229"/>
      <c r="L760" s="229">
        <v>7850</v>
      </c>
      <c r="M760" s="55"/>
    </row>
    <row r="761" spans="2:13" x14ac:dyDescent="0.3">
      <c r="B761" s="223" t="s">
        <v>2469</v>
      </c>
      <c r="C761" s="224">
        <v>6</v>
      </c>
      <c r="D761" s="225">
        <v>12</v>
      </c>
      <c r="E761" s="226">
        <v>22453</v>
      </c>
      <c r="F761" s="109"/>
      <c r="G761" s="1" t="str">
        <f>IFERROR(IF(ventas_b_mes12[[#This Row],[CUIT]]="","-",VLOOKUP(ventas_b_mes12[[#This Row],[CUIT]],Lista_CUIT[#All],2,0)),"CUIT NO CARGADO")</f>
        <v>-</v>
      </c>
      <c r="H761" s="96">
        <f>ventas_b_mes12[[#This Row],[TOTAL]]/1.21</f>
        <v>6954.545454545455</v>
      </c>
      <c r="I761" s="60">
        <f>ventas_b_mes12[[#This Row],[IMPORTE NETO]]*0.21</f>
        <v>1460.4545454545455</v>
      </c>
      <c r="J761" s="229"/>
      <c r="K761" s="229"/>
      <c r="L761" s="229">
        <v>8415</v>
      </c>
      <c r="M761" s="55"/>
    </row>
    <row r="762" spans="2:13" x14ac:dyDescent="0.3">
      <c r="B762" s="223" t="s">
        <v>2469</v>
      </c>
      <c r="C762" s="224">
        <v>6</v>
      </c>
      <c r="D762" s="225">
        <v>12</v>
      </c>
      <c r="E762" s="226">
        <v>22464</v>
      </c>
      <c r="F762" s="109"/>
      <c r="G762" s="1" t="str">
        <f>IFERROR(IF(ventas_b_mes12[[#This Row],[CUIT]]="","-",VLOOKUP(ventas_b_mes12[[#This Row],[CUIT]],Lista_CUIT[#All],2,0)),"CUIT NO CARGADO")</f>
        <v>-</v>
      </c>
      <c r="H762" s="96">
        <f>ventas_b_mes12[[#This Row],[TOTAL]]/1.21</f>
        <v>4958.6776859504134</v>
      </c>
      <c r="I762" s="60">
        <f>ventas_b_mes12[[#This Row],[IMPORTE NETO]]*0.21</f>
        <v>1041.3223140495868</v>
      </c>
      <c r="J762" s="229"/>
      <c r="K762" s="229"/>
      <c r="L762" s="229">
        <v>6000</v>
      </c>
      <c r="M762" s="55"/>
    </row>
    <row r="763" spans="2:13" x14ac:dyDescent="0.3">
      <c r="B763" s="223" t="s">
        <v>2469</v>
      </c>
      <c r="C763" s="224">
        <v>6</v>
      </c>
      <c r="D763" s="225">
        <v>13</v>
      </c>
      <c r="E763" s="226">
        <v>26716</v>
      </c>
      <c r="F763" s="109"/>
      <c r="G763" s="1" t="str">
        <f>IFERROR(IF(ventas_b_mes12[[#This Row],[CUIT]]="","-",VLOOKUP(ventas_b_mes12[[#This Row],[CUIT]],Lista_CUIT[#All],2,0)),"CUIT NO CARGADO")</f>
        <v>-</v>
      </c>
      <c r="H763" s="96">
        <f>ventas_b_mes12[[#This Row],[TOTAL]]/1.21</f>
        <v>3413.2231404958679</v>
      </c>
      <c r="I763" s="60">
        <f>ventas_b_mes12[[#This Row],[IMPORTE NETO]]*0.21</f>
        <v>716.77685950413229</v>
      </c>
      <c r="J763" s="229"/>
      <c r="K763" s="229"/>
      <c r="L763" s="229">
        <v>4130</v>
      </c>
      <c r="M763" s="55"/>
    </row>
    <row r="764" spans="2:13" x14ac:dyDescent="0.3">
      <c r="B764" s="223" t="s">
        <v>2469</v>
      </c>
      <c r="C764" s="224">
        <v>6</v>
      </c>
      <c r="D764" s="225">
        <v>11</v>
      </c>
      <c r="E764" s="226">
        <v>30031</v>
      </c>
      <c r="F764" s="109"/>
      <c r="G764" s="1" t="str">
        <f>IFERROR(IF(ventas_b_mes12[[#This Row],[CUIT]]="","-",VLOOKUP(ventas_b_mes12[[#This Row],[CUIT]],Lista_CUIT[#All],2,0)),"CUIT NO CARGADO")</f>
        <v>-</v>
      </c>
      <c r="H764" s="96">
        <f>ventas_b_mes12[[#This Row],[TOTAL]]/1.21</f>
        <v>5462.8016528925618</v>
      </c>
      <c r="I764" s="60">
        <f>ventas_b_mes12[[#This Row],[IMPORTE NETO]]*0.21</f>
        <v>1147.1883471074379</v>
      </c>
      <c r="J764" s="229"/>
      <c r="K764" s="229"/>
      <c r="L764" s="229">
        <v>6609.99</v>
      </c>
      <c r="M764" s="55"/>
    </row>
    <row r="765" spans="2:13" x14ac:dyDescent="0.3">
      <c r="B765" s="223" t="s">
        <v>2469</v>
      </c>
      <c r="C765" s="224">
        <v>6</v>
      </c>
      <c r="D765" s="225">
        <v>11</v>
      </c>
      <c r="E765" s="226">
        <v>30032</v>
      </c>
      <c r="F765" s="109"/>
      <c r="G765" s="1" t="str">
        <f>IFERROR(IF(ventas_b_mes12[[#This Row],[CUIT]]="","-",VLOOKUP(ventas_b_mes12[[#This Row],[CUIT]],Lista_CUIT[#All],2,0)),"CUIT NO CARGADO")</f>
        <v>-</v>
      </c>
      <c r="H765" s="96">
        <f>ventas_b_mes12[[#This Row],[TOTAL]]/1.21</f>
        <v>4783.8842975206617</v>
      </c>
      <c r="I765" s="60">
        <f>ventas_b_mes12[[#This Row],[IMPORTE NETO]]*0.21</f>
        <v>1004.6157024793389</v>
      </c>
      <c r="J765" s="229"/>
      <c r="K765" s="229"/>
      <c r="L765" s="229">
        <v>5788.5</v>
      </c>
      <c r="M765" s="55"/>
    </row>
    <row r="766" spans="2:13" x14ac:dyDescent="0.3">
      <c r="B766" s="223" t="s">
        <v>2469</v>
      </c>
      <c r="C766" s="224">
        <v>6</v>
      </c>
      <c r="D766" s="225">
        <v>11</v>
      </c>
      <c r="E766" s="226">
        <v>30033</v>
      </c>
      <c r="F766" s="109"/>
      <c r="G766" s="1" t="str">
        <f>IFERROR(IF(ventas_b_mes12[[#This Row],[CUIT]]="","-",VLOOKUP(ventas_b_mes12[[#This Row],[CUIT]],Lista_CUIT[#All],2,0)),"CUIT NO CARGADO")</f>
        <v>-</v>
      </c>
      <c r="H766" s="96">
        <f>ventas_b_mes12[[#This Row],[TOTAL]]/1.21</f>
        <v>2950.413223140496</v>
      </c>
      <c r="I766" s="60">
        <f>ventas_b_mes12[[#This Row],[IMPORTE NETO]]*0.21</f>
        <v>619.5867768595042</v>
      </c>
      <c r="J766" s="229"/>
      <c r="K766" s="229"/>
      <c r="L766" s="229">
        <v>3570</v>
      </c>
      <c r="M766" s="55"/>
    </row>
    <row r="767" spans="2:13" x14ac:dyDescent="0.3">
      <c r="B767" s="223" t="s">
        <v>2469</v>
      </c>
      <c r="C767" s="224">
        <v>6</v>
      </c>
      <c r="D767" s="225">
        <v>15</v>
      </c>
      <c r="E767" s="226">
        <v>7172</v>
      </c>
      <c r="F767" s="109"/>
      <c r="G767" s="1" t="str">
        <f>IFERROR(IF(ventas_b_mes12[[#This Row],[CUIT]]="","-",VLOOKUP(ventas_b_mes12[[#This Row],[CUIT]],Lista_CUIT[#All],2,0)),"CUIT NO CARGADO")</f>
        <v>-</v>
      </c>
      <c r="H767" s="96">
        <f>ventas_b_mes12[[#This Row],[TOTAL]]/1.21</f>
        <v>4545.454545454546</v>
      </c>
      <c r="I767" s="60">
        <f>ventas_b_mes12[[#This Row],[IMPORTE NETO]]*0.21</f>
        <v>954.54545454545462</v>
      </c>
      <c r="J767" s="229"/>
      <c r="K767" s="229"/>
      <c r="L767" s="229">
        <v>5500</v>
      </c>
      <c r="M767" s="55"/>
    </row>
    <row r="768" spans="2:13" x14ac:dyDescent="0.3">
      <c r="B768" s="223" t="s">
        <v>2469</v>
      </c>
      <c r="C768" s="224">
        <v>6</v>
      </c>
      <c r="D768" s="225">
        <v>12</v>
      </c>
      <c r="E768" s="226">
        <v>22445</v>
      </c>
      <c r="F768" s="109"/>
      <c r="G768" s="1" t="str">
        <f>IFERROR(IF(ventas_b_mes12[[#This Row],[CUIT]]="","-",VLOOKUP(ventas_b_mes12[[#This Row],[CUIT]],Lista_CUIT[#All],2,0)),"CUIT NO CARGADO")</f>
        <v>-</v>
      </c>
      <c r="H768" s="96">
        <f>ventas_b_mes12[[#This Row],[TOTAL]]/1.21</f>
        <v>9008.2561983471078</v>
      </c>
      <c r="I768" s="60">
        <f>ventas_b_mes12[[#This Row],[IMPORTE NETO]]*0.21</f>
        <v>1891.7338016528925</v>
      </c>
      <c r="J768" s="229"/>
      <c r="K768" s="229"/>
      <c r="L768" s="229">
        <v>10899.99</v>
      </c>
      <c r="M768" s="55"/>
    </row>
    <row r="769" spans="2:13" x14ac:dyDescent="0.3">
      <c r="B769" s="223" t="s">
        <v>2469</v>
      </c>
      <c r="C769" s="224">
        <v>6</v>
      </c>
      <c r="D769" s="225">
        <v>10</v>
      </c>
      <c r="E769" s="226">
        <v>43808</v>
      </c>
      <c r="F769" s="109"/>
      <c r="G769" s="1" t="str">
        <f>IFERROR(IF(ventas_b_mes12[[#This Row],[CUIT]]="","-",VLOOKUP(ventas_b_mes12[[#This Row],[CUIT]],Lista_CUIT[#All],2,0)),"CUIT NO CARGADO")</f>
        <v>-</v>
      </c>
      <c r="H769" s="96">
        <f>ventas_b_mes12[[#This Row],[TOTAL]]/1.21</f>
        <v>7522.727272727273</v>
      </c>
      <c r="I769" s="60">
        <f>ventas_b_mes12[[#This Row],[IMPORTE NETO]]*0.21</f>
        <v>1579.7727272727273</v>
      </c>
      <c r="J769" s="229"/>
      <c r="K769" s="229"/>
      <c r="L769" s="229">
        <v>9102.5</v>
      </c>
      <c r="M769" s="55"/>
    </row>
    <row r="770" spans="2:13" x14ac:dyDescent="0.3">
      <c r="B770" s="223" t="s">
        <v>2469</v>
      </c>
      <c r="C770" s="224">
        <v>6</v>
      </c>
      <c r="D770" s="225">
        <v>15</v>
      </c>
      <c r="E770" s="226">
        <v>7189</v>
      </c>
      <c r="F770" s="109"/>
      <c r="G770" s="1" t="str">
        <f>IFERROR(IF(ventas_b_mes12[[#This Row],[CUIT]]="","-",VLOOKUP(ventas_b_mes12[[#This Row],[CUIT]],Lista_CUIT[#All],2,0)),"CUIT NO CARGADO")</f>
        <v>-</v>
      </c>
      <c r="H770" s="96">
        <f>ventas_b_mes12[[#This Row],[TOTAL]]/1.21</f>
        <v>27206.636363636364</v>
      </c>
      <c r="I770" s="60">
        <f>ventas_b_mes12[[#This Row],[IMPORTE NETO]]*0.21</f>
        <v>5713.3936363636358</v>
      </c>
      <c r="J770" s="229"/>
      <c r="K770" s="229"/>
      <c r="L770" s="229">
        <v>32920.03</v>
      </c>
      <c r="M770" s="55"/>
    </row>
    <row r="771" spans="2:13" x14ac:dyDescent="0.3">
      <c r="B771" s="223" t="s">
        <v>2469</v>
      </c>
      <c r="C771" s="224">
        <v>6</v>
      </c>
      <c r="D771" s="225">
        <v>15</v>
      </c>
      <c r="E771" s="226">
        <v>7186</v>
      </c>
      <c r="F771" s="109"/>
      <c r="G771" s="1" t="str">
        <f>IFERROR(IF(ventas_b_mes12[[#This Row],[CUIT]]="","-",VLOOKUP(ventas_b_mes12[[#This Row],[CUIT]],Lista_CUIT[#All],2,0)),"CUIT NO CARGADO")</f>
        <v>-</v>
      </c>
      <c r="H771" s="96">
        <f>ventas_b_mes12[[#This Row],[TOTAL]]/1.21</f>
        <v>17735.115702479339</v>
      </c>
      <c r="I771" s="60">
        <f>ventas_b_mes12[[#This Row],[IMPORTE NETO]]*0.21</f>
        <v>3724.374297520661</v>
      </c>
      <c r="J771" s="229"/>
      <c r="K771" s="229"/>
      <c r="L771" s="229">
        <v>21459.49</v>
      </c>
      <c r="M771" s="55"/>
    </row>
    <row r="772" spans="2:13" x14ac:dyDescent="0.3">
      <c r="B772" s="223" t="s">
        <v>2469</v>
      </c>
      <c r="C772" s="224">
        <v>6</v>
      </c>
      <c r="D772" s="225">
        <v>15</v>
      </c>
      <c r="E772" s="226">
        <v>7187</v>
      </c>
      <c r="F772" s="109"/>
      <c r="G772" s="1" t="str">
        <f>IFERROR(IF(ventas_b_mes12[[#This Row],[CUIT]]="","-",VLOOKUP(ventas_b_mes12[[#This Row],[CUIT]],Lista_CUIT[#All],2,0)),"CUIT NO CARGADO")</f>
        <v>-</v>
      </c>
      <c r="H772" s="96">
        <f>ventas_b_mes12[[#This Row],[TOTAL]]/1.21</f>
        <v>5996.6942148760336</v>
      </c>
      <c r="I772" s="60">
        <f>ventas_b_mes12[[#This Row],[IMPORTE NETO]]*0.21</f>
        <v>1259.3057851239671</v>
      </c>
      <c r="J772" s="229"/>
      <c r="K772" s="229"/>
      <c r="L772" s="229">
        <v>7256</v>
      </c>
      <c r="M772" s="55"/>
    </row>
    <row r="773" spans="2:13" x14ac:dyDescent="0.3">
      <c r="B773" s="223" t="s">
        <v>2469</v>
      </c>
      <c r="C773" s="224">
        <v>6</v>
      </c>
      <c r="D773" s="225">
        <v>13</v>
      </c>
      <c r="E773" s="226">
        <v>26717</v>
      </c>
      <c r="F773" s="109"/>
      <c r="G773" s="1" t="str">
        <f>IFERROR(IF(ventas_b_mes12[[#This Row],[CUIT]]="","-",VLOOKUP(ventas_b_mes12[[#This Row],[CUIT]],Lista_CUIT[#All],2,0)),"CUIT NO CARGADO")</f>
        <v>-</v>
      </c>
      <c r="H773" s="96">
        <f>ventas_b_mes12[[#This Row],[TOTAL]]/1.21</f>
        <v>2603.3057851239669</v>
      </c>
      <c r="I773" s="60">
        <f>ventas_b_mes12[[#This Row],[IMPORTE NETO]]*0.21</f>
        <v>546.69421487603302</v>
      </c>
      <c r="J773" s="229"/>
      <c r="K773" s="229"/>
      <c r="L773" s="229">
        <v>3150</v>
      </c>
      <c r="M773" s="55"/>
    </row>
    <row r="774" spans="2:13" x14ac:dyDescent="0.3">
      <c r="B774" s="223" t="s">
        <v>2469</v>
      </c>
      <c r="C774" s="224">
        <v>6</v>
      </c>
      <c r="D774" s="225">
        <v>15</v>
      </c>
      <c r="E774" s="226">
        <v>7185</v>
      </c>
      <c r="F774" s="109"/>
      <c r="G774" s="1" t="str">
        <f>IFERROR(IF(ventas_b_mes12[[#This Row],[CUIT]]="","-",VLOOKUP(ventas_b_mes12[[#This Row],[CUIT]],Lista_CUIT[#All],2,0)),"CUIT NO CARGADO")</f>
        <v>-</v>
      </c>
      <c r="H774" s="96">
        <f>ventas_b_mes12[[#This Row],[TOTAL]]/1.21</f>
        <v>6743.8016528925618</v>
      </c>
      <c r="I774" s="60">
        <f>ventas_b_mes12[[#This Row],[IMPORTE NETO]]*0.21</f>
        <v>1416.1983471074379</v>
      </c>
      <c r="J774" s="229"/>
      <c r="K774" s="229"/>
      <c r="L774" s="229">
        <v>8160</v>
      </c>
      <c r="M774" s="55"/>
    </row>
    <row r="775" spans="2:13" x14ac:dyDescent="0.3">
      <c r="B775" s="223" t="s">
        <v>2469</v>
      </c>
      <c r="C775" s="224">
        <v>6</v>
      </c>
      <c r="D775" s="225">
        <v>15</v>
      </c>
      <c r="E775" s="226">
        <v>7188</v>
      </c>
      <c r="F775" s="109"/>
      <c r="G775" s="1" t="str">
        <f>IFERROR(IF(ventas_b_mes12[[#This Row],[CUIT]]="","-",VLOOKUP(ventas_b_mes12[[#This Row],[CUIT]],Lista_CUIT[#All],2,0)),"CUIT NO CARGADO")</f>
        <v>-</v>
      </c>
      <c r="H775" s="96">
        <f>ventas_b_mes12[[#This Row],[TOTAL]]/1.21</f>
        <v>8634.7107438016537</v>
      </c>
      <c r="I775" s="60">
        <f>ventas_b_mes12[[#This Row],[IMPORTE NETO]]*0.21</f>
        <v>1813.2892561983472</v>
      </c>
      <c r="J775" s="229"/>
      <c r="K775" s="229"/>
      <c r="L775" s="229">
        <v>10448</v>
      </c>
      <c r="M775" s="55"/>
    </row>
    <row r="776" spans="2:13" x14ac:dyDescent="0.3">
      <c r="B776" s="223" t="s">
        <v>2469</v>
      </c>
      <c r="C776" s="224">
        <v>6</v>
      </c>
      <c r="D776" s="225">
        <v>12</v>
      </c>
      <c r="E776" s="226">
        <v>22457</v>
      </c>
      <c r="F776" s="109"/>
      <c r="G776" s="1" t="str">
        <f>IFERROR(IF(ventas_b_mes12[[#This Row],[CUIT]]="","-",VLOOKUP(ventas_b_mes12[[#This Row],[CUIT]],Lista_CUIT[#All],2,0)),"CUIT NO CARGADO")</f>
        <v>-</v>
      </c>
      <c r="H776" s="96">
        <f>ventas_b_mes12[[#This Row],[TOTAL]]/1.21</f>
        <v>4958.6776859504134</v>
      </c>
      <c r="I776" s="60">
        <f>ventas_b_mes12[[#This Row],[IMPORTE NETO]]*0.21</f>
        <v>1041.3223140495868</v>
      </c>
      <c r="J776" s="229"/>
      <c r="K776" s="229"/>
      <c r="L776" s="229">
        <v>6000</v>
      </c>
      <c r="M776" s="55"/>
    </row>
    <row r="777" spans="2:13" x14ac:dyDescent="0.3">
      <c r="B777" s="223" t="s">
        <v>2469</v>
      </c>
      <c r="C777" s="224">
        <v>6</v>
      </c>
      <c r="D777" s="225">
        <v>11</v>
      </c>
      <c r="E777" s="226">
        <v>30018</v>
      </c>
      <c r="F777" s="109"/>
      <c r="G777" s="1" t="str">
        <f>IFERROR(IF(ventas_b_mes12[[#This Row],[CUIT]]="","-",VLOOKUP(ventas_b_mes12[[#This Row],[CUIT]],Lista_CUIT[#All],2,0)),"CUIT NO CARGADO")</f>
        <v>-</v>
      </c>
      <c r="H777" s="96">
        <f>ventas_b_mes12[[#This Row],[TOTAL]]/1.21</f>
        <v>8047.9338842975212</v>
      </c>
      <c r="I777" s="60">
        <f>ventas_b_mes12[[#This Row],[IMPORTE NETO]]*0.21</f>
        <v>1690.0661157024795</v>
      </c>
      <c r="J777" s="229"/>
      <c r="K777" s="229"/>
      <c r="L777" s="229">
        <v>9738</v>
      </c>
      <c r="M777" s="55"/>
    </row>
    <row r="778" spans="2:13" x14ac:dyDescent="0.3">
      <c r="B778" s="223" t="s">
        <v>2469</v>
      </c>
      <c r="C778" s="224">
        <v>6</v>
      </c>
      <c r="D778" s="225">
        <v>10</v>
      </c>
      <c r="E778" s="226">
        <v>43798</v>
      </c>
      <c r="F778" s="109"/>
      <c r="G778" s="1" t="str">
        <f>IFERROR(IF(ventas_b_mes12[[#This Row],[CUIT]]="","-",VLOOKUP(ventas_b_mes12[[#This Row],[CUIT]],Lista_CUIT[#All],2,0)),"CUIT NO CARGADO")</f>
        <v>-</v>
      </c>
      <c r="H778" s="96">
        <f>ventas_b_mes12[[#This Row],[TOTAL]]/1.21</f>
        <v>4669.4132231404956</v>
      </c>
      <c r="I778" s="60">
        <f>ventas_b_mes12[[#This Row],[IMPORTE NETO]]*0.21</f>
        <v>980.57677685950398</v>
      </c>
      <c r="J778" s="229"/>
      <c r="K778" s="229"/>
      <c r="L778" s="229">
        <v>5649.99</v>
      </c>
      <c r="M778" s="55"/>
    </row>
    <row r="779" spans="2:13" x14ac:dyDescent="0.3">
      <c r="B779" s="223" t="s">
        <v>2469</v>
      </c>
      <c r="C779" s="224">
        <v>6</v>
      </c>
      <c r="D779" s="225">
        <v>10</v>
      </c>
      <c r="E779" s="226">
        <v>43810</v>
      </c>
      <c r="F779" s="109"/>
      <c r="G779" s="1" t="str">
        <f>IFERROR(IF(ventas_b_mes12[[#This Row],[CUIT]]="","-",VLOOKUP(ventas_b_mes12[[#This Row],[CUIT]],Lista_CUIT[#All],2,0)),"CUIT NO CARGADO")</f>
        <v>-</v>
      </c>
      <c r="H779" s="96">
        <f>ventas_b_mes12[[#This Row],[TOTAL]]/1.21</f>
        <v>15455.454545454544</v>
      </c>
      <c r="I779" s="60">
        <f>ventas_b_mes12[[#This Row],[IMPORTE NETO]]*0.21</f>
        <v>3245.645454545454</v>
      </c>
      <c r="J779" s="229"/>
      <c r="K779" s="229"/>
      <c r="L779" s="229">
        <v>18701.099999999999</v>
      </c>
      <c r="M779" s="55"/>
    </row>
    <row r="780" spans="2:13" x14ac:dyDescent="0.3">
      <c r="B780" s="223" t="s">
        <v>2469</v>
      </c>
      <c r="C780" s="224">
        <v>6</v>
      </c>
      <c r="D780" s="225">
        <v>12</v>
      </c>
      <c r="E780" s="226">
        <v>22459</v>
      </c>
      <c r="F780" s="109"/>
      <c r="G780" s="1" t="str">
        <f>IFERROR(IF(ventas_b_mes12[[#This Row],[CUIT]]="","-",VLOOKUP(ventas_b_mes12[[#This Row],[CUIT]],Lista_CUIT[#All],2,0)),"CUIT NO CARGADO")</f>
        <v>-</v>
      </c>
      <c r="H780" s="96">
        <f>ventas_b_mes12[[#This Row],[TOTAL]]/1.21</f>
        <v>9897.9338842975212</v>
      </c>
      <c r="I780" s="60">
        <f>ventas_b_mes12[[#This Row],[IMPORTE NETO]]*0.21</f>
        <v>2078.5661157024792</v>
      </c>
      <c r="J780" s="229"/>
      <c r="K780" s="229"/>
      <c r="L780" s="229">
        <v>11976.5</v>
      </c>
      <c r="M780" s="55"/>
    </row>
    <row r="781" spans="2:13" x14ac:dyDescent="0.3">
      <c r="B781" s="223" t="s">
        <v>2469</v>
      </c>
      <c r="C781" s="224">
        <v>6</v>
      </c>
      <c r="D781" s="225">
        <v>15</v>
      </c>
      <c r="E781" s="226">
        <v>7183</v>
      </c>
      <c r="F781" s="109"/>
      <c r="G781" s="1" t="str">
        <f>IFERROR(IF(ventas_b_mes12[[#This Row],[CUIT]]="","-",VLOOKUP(ventas_b_mes12[[#This Row],[CUIT]],Lista_CUIT[#All],2,0)),"CUIT NO CARGADO")</f>
        <v>-</v>
      </c>
      <c r="H781" s="96">
        <f>ventas_b_mes12[[#This Row],[TOTAL]]/1.21</f>
        <v>6181.818181818182</v>
      </c>
      <c r="I781" s="60">
        <f>ventas_b_mes12[[#This Row],[IMPORTE NETO]]*0.21</f>
        <v>1298.1818181818182</v>
      </c>
      <c r="J781" s="229"/>
      <c r="K781" s="229"/>
      <c r="L781" s="229">
        <v>7480</v>
      </c>
      <c r="M781" s="55"/>
    </row>
    <row r="782" spans="2:13" x14ac:dyDescent="0.3">
      <c r="B782" s="223" t="s">
        <v>2469</v>
      </c>
      <c r="C782" s="224">
        <v>6</v>
      </c>
      <c r="D782" s="225">
        <v>15</v>
      </c>
      <c r="E782" s="226">
        <v>7182</v>
      </c>
      <c r="F782" s="109"/>
      <c r="G782" s="1" t="str">
        <f>IFERROR(IF(ventas_b_mes12[[#This Row],[CUIT]]="","-",VLOOKUP(ventas_b_mes12[[#This Row],[CUIT]],Lista_CUIT[#All],2,0)),"CUIT NO CARGADO")</f>
        <v>-</v>
      </c>
      <c r="H782" s="96">
        <f>ventas_b_mes12[[#This Row],[TOTAL]]/1.21</f>
        <v>4580.1652892561988</v>
      </c>
      <c r="I782" s="60">
        <f>ventas_b_mes12[[#This Row],[IMPORTE NETO]]*0.21</f>
        <v>961.83471074380168</v>
      </c>
      <c r="J782" s="229"/>
      <c r="K782" s="229"/>
      <c r="L782" s="229">
        <v>5542</v>
      </c>
      <c r="M782" s="55"/>
    </row>
    <row r="783" spans="2:13" x14ac:dyDescent="0.3">
      <c r="B783" s="223" t="s">
        <v>2469</v>
      </c>
      <c r="C783" s="224">
        <v>6</v>
      </c>
      <c r="D783" s="225">
        <v>15</v>
      </c>
      <c r="E783" s="226">
        <v>7184</v>
      </c>
      <c r="F783" s="109"/>
      <c r="G783" s="1" t="str">
        <f>IFERROR(IF(ventas_b_mes12[[#This Row],[CUIT]]="","-",VLOOKUP(ventas_b_mes12[[#This Row],[CUIT]],Lista_CUIT[#All],2,0)),"CUIT NO CARGADO")</f>
        <v>-</v>
      </c>
      <c r="H783" s="96">
        <f>ventas_b_mes12[[#This Row],[TOTAL]]/1.21</f>
        <v>6281.818181818182</v>
      </c>
      <c r="I783" s="60">
        <f>ventas_b_mes12[[#This Row],[IMPORTE NETO]]*0.21</f>
        <v>1319.1818181818182</v>
      </c>
      <c r="J783" s="229"/>
      <c r="K783" s="229"/>
      <c r="L783" s="229">
        <v>7601</v>
      </c>
      <c r="M783" s="55"/>
    </row>
    <row r="784" spans="2:13" x14ac:dyDescent="0.3">
      <c r="B784" s="223" t="s">
        <v>2469</v>
      </c>
      <c r="C784" s="224">
        <v>6</v>
      </c>
      <c r="D784" s="225">
        <v>12</v>
      </c>
      <c r="E784" s="226">
        <v>22455</v>
      </c>
      <c r="F784" s="109"/>
      <c r="G784" s="1" t="str">
        <f>IFERROR(IF(ventas_b_mes12[[#This Row],[CUIT]]="","-",VLOOKUP(ventas_b_mes12[[#This Row],[CUIT]],Lista_CUIT[#All],2,0)),"CUIT NO CARGADO")</f>
        <v>-</v>
      </c>
      <c r="H784" s="96">
        <f>ventas_b_mes12[[#This Row],[TOTAL]]/1.21</f>
        <v>4545.454545454546</v>
      </c>
      <c r="I784" s="60">
        <f>ventas_b_mes12[[#This Row],[IMPORTE NETO]]*0.21</f>
        <v>954.54545454545462</v>
      </c>
      <c r="J784" s="229"/>
      <c r="K784" s="229"/>
      <c r="L784" s="229">
        <v>5500</v>
      </c>
      <c r="M784" s="55"/>
    </row>
    <row r="785" spans="2:13" x14ac:dyDescent="0.3">
      <c r="B785" s="223" t="s">
        <v>2469</v>
      </c>
      <c r="C785" s="224">
        <v>6</v>
      </c>
      <c r="D785" s="225">
        <v>10</v>
      </c>
      <c r="E785" s="226">
        <v>43806</v>
      </c>
      <c r="F785" s="109"/>
      <c r="G785" s="1" t="str">
        <f>IFERROR(IF(ventas_b_mes12[[#This Row],[CUIT]]="","-",VLOOKUP(ventas_b_mes12[[#This Row],[CUIT]],Lista_CUIT[#All],2,0)),"CUIT NO CARGADO")</f>
        <v>-</v>
      </c>
      <c r="H785" s="96">
        <f>ventas_b_mes12[[#This Row],[TOTAL]]/1.21</f>
        <v>3223.1404958677685</v>
      </c>
      <c r="I785" s="60">
        <f>ventas_b_mes12[[#This Row],[IMPORTE NETO]]*0.21</f>
        <v>676.85950413223134</v>
      </c>
      <c r="J785" s="229"/>
      <c r="K785" s="229"/>
      <c r="L785" s="229">
        <v>3900</v>
      </c>
      <c r="M785" s="55"/>
    </row>
    <row r="786" spans="2:13" x14ac:dyDescent="0.3">
      <c r="B786" s="223" t="s">
        <v>2469</v>
      </c>
      <c r="C786" s="224">
        <v>6</v>
      </c>
      <c r="D786" s="225">
        <v>10</v>
      </c>
      <c r="E786" s="226">
        <v>43807</v>
      </c>
      <c r="F786" s="109"/>
      <c r="G786" s="1" t="str">
        <f>IFERROR(IF(ventas_b_mes12[[#This Row],[CUIT]]="","-",VLOOKUP(ventas_b_mes12[[#This Row],[CUIT]],Lista_CUIT[#All],2,0)),"CUIT NO CARGADO")</f>
        <v>-</v>
      </c>
      <c r="H786" s="96">
        <f>ventas_b_mes12[[#This Row],[TOTAL]]/1.21</f>
        <v>1776.8595041322315</v>
      </c>
      <c r="I786" s="60">
        <f>ventas_b_mes12[[#This Row],[IMPORTE NETO]]*0.21</f>
        <v>373.14049586776861</v>
      </c>
      <c r="J786" s="229"/>
      <c r="K786" s="229"/>
      <c r="L786" s="229">
        <v>2150</v>
      </c>
      <c r="M786" s="55"/>
    </row>
    <row r="787" spans="2:13" x14ac:dyDescent="0.3">
      <c r="B787" s="223" t="s">
        <v>2469</v>
      </c>
      <c r="C787" s="224">
        <v>6</v>
      </c>
      <c r="D787" s="225">
        <v>15</v>
      </c>
      <c r="E787" s="226">
        <v>7181</v>
      </c>
      <c r="F787" s="109"/>
      <c r="G787" s="1" t="str">
        <f>IFERROR(IF(ventas_b_mes12[[#This Row],[CUIT]]="","-",VLOOKUP(ventas_b_mes12[[#This Row],[CUIT]],Lista_CUIT[#All],2,0)),"CUIT NO CARGADO")</f>
        <v>-</v>
      </c>
      <c r="H787" s="96">
        <f>ventas_b_mes12[[#This Row],[TOTAL]]/1.21</f>
        <v>3966.958677685951</v>
      </c>
      <c r="I787" s="60">
        <f>ventas_b_mes12[[#This Row],[IMPORTE NETO]]*0.21</f>
        <v>833.06132231404968</v>
      </c>
      <c r="J787" s="229"/>
      <c r="K787" s="229"/>
      <c r="L787" s="229">
        <v>4800.0200000000004</v>
      </c>
      <c r="M787" s="55"/>
    </row>
    <row r="788" spans="2:13" x14ac:dyDescent="0.3">
      <c r="B788" s="223" t="s">
        <v>2469</v>
      </c>
      <c r="C788" s="224">
        <v>6</v>
      </c>
      <c r="D788" s="225">
        <v>13</v>
      </c>
      <c r="E788" s="226">
        <v>26706</v>
      </c>
      <c r="F788" s="109"/>
      <c r="G788" s="1" t="str">
        <f>IFERROR(IF(ventas_b_mes12[[#This Row],[CUIT]]="","-",VLOOKUP(ventas_b_mes12[[#This Row],[CUIT]],Lista_CUIT[#All],2,0)),"CUIT NO CARGADO")</f>
        <v>-</v>
      </c>
      <c r="H788" s="96">
        <f>ventas_b_mes12[[#This Row],[TOTAL]]/1.21</f>
        <v>2950.413223140496</v>
      </c>
      <c r="I788" s="60">
        <f>ventas_b_mes12[[#This Row],[IMPORTE NETO]]*0.21</f>
        <v>619.5867768595042</v>
      </c>
      <c r="J788" s="229"/>
      <c r="K788" s="229"/>
      <c r="L788" s="229">
        <v>3570</v>
      </c>
      <c r="M788" s="55"/>
    </row>
    <row r="789" spans="2:13" x14ac:dyDescent="0.3">
      <c r="B789" s="223" t="s">
        <v>2469</v>
      </c>
      <c r="C789" s="224">
        <v>6</v>
      </c>
      <c r="D789" s="225">
        <v>12</v>
      </c>
      <c r="E789" s="226">
        <v>22451</v>
      </c>
      <c r="F789" s="109"/>
      <c r="G789" s="1" t="str">
        <f>IFERROR(IF(ventas_b_mes12[[#This Row],[CUIT]]="","-",VLOOKUP(ventas_b_mes12[[#This Row],[CUIT]],Lista_CUIT[#All],2,0)),"CUIT NO CARGADO")</f>
        <v>-</v>
      </c>
      <c r="H789" s="96">
        <f>ventas_b_mes12[[#This Row],[TOTAL]]/1.21</f>
        <v>7008.2644628099179</v>
      </c>
      <c r="I789" s="60">
        <f>ventas_b_mes12[[#This Row],[IMPORTE NETO]]*0.21</f>
        <v>1471.7355371900826</v>
      </c>
      <c r="J789" s="229"/>
      <c r="K789" s="229"/>
      <c r="L789" s="229">
        <v>8480</v>
      </c>
      <c r="M789" s="55"/>
    </row>
    <row r="790" spans="2:13" x14ac:dyDescent="0.3">
      <c r="B790" s="223" t="s">
        <v>2469</v>
      </c>
      <c r="C790" s="224">
        <v>6</v>
      </c>
      <c r="D790" s="225">
        <v>11</v>
      </c>
      <c r="E790" s="226">
        <v>30017</v>
      </c>
      <c r="F790" s="109"/>
      <c r="G790" s="1" t="str">
        <f>IFERROR(IF(ventas_b_mes12[[#This Row],[CUIT]]="","-",VLOOKUP(ventas_b_mes12[[#This Row],[CUIT]],Lista_CUIT[#All],2,0)),"CUIT NO CARGADO")</f>
        <v>-</v>
      </c>
      <c r="H790" s="96">
        <f>ventas_b_mes12[[#This Row],[TOTAL]]/1.21</f>
        <v>8690.0991735537191</v>
      </c>
      <c r="I790" s="60">
        <f>ventas_b_mes12[[#This Row],[IMPORTE NETO]]*0.21</f>
        <v>1824.9208264462809</v>
      </c>
      <c r="J790" s="229"/>
      <c r="K790" s="229"/>
      <c r="L790" s="229">
        <v>10515.02</v>
      </c>
      <c r="M790" s="55"/>
    </row>
    <row r="791" spans="2:13" x14ac:dyDescent="0.3">
      <c r="B791" s="223" t="s">
        <v>2469</v>
      </c>
      <c r="C791" s="224">
        <v>6</v>
      </c>
      <c r="D791" s="225">
        <v>11</v>
      </c>
      <c r="E791" s="226">
        <v>30020</v>
      </c>
      <c r="F791" s="109"/>
      <c r="G791" s="1" t="str">
        <f>IFERROR(IF(ventas_b_mes12[[#This Row],[CUIT]]="","-",VLOOKUP(ventas_b_mes12[[#This Row],[CUIT]],Lista_CUIT[#All],2,0)),"CUIT NO CARGADO")</f>
        <v>-</v>
      </c>
      <c r="H791" s="96">
        <f>ventas_b_mes12[[#This Row],[TOTAL]]/1.21</f>
        <v>669.42148760330576</v>
      </c>
      <c r="I791" s="60">
        <f>ventas_b_mes12[[#This Row],[IMPORTE NETO]]*0.21</f>
        <v>140.57851239669421</v>
      </c>
      <c r="J791" s="229"/>
      <c r="K791" s="229"/>
      <c r="L791" s="229">
        <v>810</v>
      </c>
      <c r="M791" s="55"/>
    </row>
    <row r="792" spans="2:13" x14ac:dyDescent="0.3">
      <c r="B792" s="223" t="s">
        <v>2469</v>
      </c>
      <c r="C792" s="224">
        <v>6</v>
      </c>
      <c r="D792" s="225">
        <v>11</v>
      </c>
      <c r="E792" s="226">
        <v>30019</v>
      </c>
      <c r="F792" s="109"/>
      <c r="G792" s="1" t="str">
        <f>IFERROR(IF(ventas_b_mes12[[#This Row],[CUIT]]="","-",VLOOKUP(ventas_b_mes12[[#This Row],[CUIT]],Lista_CUIT[#All],2,0)),"CUIT NO CARGADO")</f>
        <v>-</v>
      </c>
      <c r="H792" s="96">
        <f>ventas_b_mes12[[#This Row],[TOTAL]]/1.21</f>
        <v>16066.123966942148</v>
      </c>
      <c r="I792" s="60">
        <f>ventas_b_mes12[[#This Row],[IMPORTE NETO]]*0.21</f>
        <v>3373.8860330578509</v>
      </c>
      <c r="J792" s="229"/>
      <c r="K792" s="229"/>
      <c r="L792" s="229">
        <v>19440.009999999998</v>
      </c>
      <c r="M792" s="55"/>
    </row>
    <row r="793" spans="2:13" x14ac:dyDescent="0.3">
      <c r="B793" s="223" t="s">
        <v>2469</v>
      </c>
      <c r="C793" s="224">
        <v>6</v>
      </c>
      <c r="D793" s="225">
        <v>12</v>
      </c>
      <c r="E793" s="226">
        <v>22462</v>
      </c>
      <c r="F793" s="109"/>
      <c r="G793" s="1" t="str">
        <f>IFERROR(IF(ventas_b_mes12[[#This Row],[CUIT]]="","-",VLOOKUP(ventas_b_mes12[[#This Row],[CUIT]],Lista_CUIT[#All],2,0)),"CUIT NO CARGADO")</f>
        <v>-</v>
      </c>
      <c r="H793" s="96">
        <f>ventas_b_mes12[[#This Row],[TOTAL]]/1.21</f>
        <v>3847.9338842975208</v>
      </c>
      <c r="I793" s="60">
        <f>ventas_b_mes12[[#This Row],[IMPORTE NETO]]*0.21</f>
        <v>808.06611570247935</v>
      </c>
      <c r="J793" s="229"/>
      <c r="K793" s="229"/>
      <c r="L793" s="229">
        <v>4656</v>
      </c>
      <c r="M793" s="55"/>
    </row>
    <row r="794" spans="2:13" x14ac:dyDescent="0.3">
      <c r="B794" s="223" t="s">
        <v>2469</v>
      </c>
      <c r="C794" s="224">
        <v>6</v>
      </c>
      <c r="D794" s="225">
        <v>11</v>
      </c>
      <c r="E794" s="226">
        <v>30030</v>
      </c>
      <c r="F794" s="109"/>
      <c r="G794" s="1" t="str">
        <f>IFERROR(IF(ventas_b_mes12[[#This Row],[CUIT]]="","-",VLOOKUP(ventas_b_mes12[[#This Row],[CUIT]],Lista_CUIT[#All],2,0)),"CUIT NO CARGADO")</f>
        <v>-</v>
      </c>
      <c r="H794" s="96">
        <f>ventas_b_mes12[[#This Row],[TOTAL]]/1.21</f>
        <v>2628.0991735537191</v>
      </c>
      <c r="I794" s="60">
        <f>ventas_b_mes12[[#This Row],[IMPORTE NETO]]*0.21</f>
        <v>551.90082644628103</v>
      </c>
      <c r="J794" s="229"/>
      <c r="K794" s="229"/>
      <c r="L794" s="229">
        <v>3180</v>
      </c>
      <c r="M794" s="55"/>
    </row>
    <row r="795" spans="2:13" x14ac:dyDescent="0.3">
      <c r="B795" s="223" t="s">
        <v>2469</v>
      </c>
      <c r="C795" s="224">
        <v>6</v>
      </c>
      <c r="D795" s="225">
        <v>13</v>
      </c>
      <c r="E795" s="226">
        <v>26719</v>
      </c>
      <c r="F795" s="109"/>
      <c r="G795" s="1" t="str">
        <f>IFERROR(IF(ventas_b_mes12[[#This Row],[CUIT]]="","-",VLOOKUP(ventas_b_mes12[[#This Row],[CUIT]],Lista_CUIT[#All],2,0)),"CUIT NO CARGADO")</f>
        <v>-</v>
      </c>
      <c r="H795" s="96">
        <f>ventas_b_mes12[[#This Row],[TOTAL]]/1.21</f>
        <v>9185.9504132231414</v>
      </c>
      <c r="I795" s="60">
        <f>ventas_b_mes12[[#This Row],[IMPORTE NETO]]*0.21</f>
        <v>1929.0495867768595</v>
      </c>
      <c r="J795" s="229"/>
      <c r="K795" s="229"/>
      <c r="L795" s="229">
        <v>11115</v>
      </c>
      <c r="M795" s="55"/>
    </row>
    <row r="796" spans="2:13" x14ac:dyDescent="0.3">
      <c r="B796" s="223" t="s">
        <v>2469</v>
      </c>
      <c r="C796" s="224">
        <v>6</v>
      </c>
      <c r="D796" s="225">
        <v>13</v>
      </c>
      <c r="E796" s="226">
        <v>26722</v>
      </c>
      <c r="F796" s="109"/>
      <c r="G796" s="1" t="str">
        <f>IFERROR(IF(ventas_b_mes12[[#This Row],[CUIT]]="","-",VLOOKUP(ventas_b_mes12[[#This Row],[CUIT]],Lista_CUIT[#All],2,0)),"CUIT NO CARGADO")</f>
        <v>-</v>
      </c>
      <c r="H796" s="96">
        <f>ventas_b_mes12[[#This Row],[TOTAL]]/1.21</f>
        <v>4818.181818181818</v>
      </c>
      <c r="I796" s="60">
        <f>ventas_b_mes12[[#This Row],[IMPORTE NETO]]*0.21</f>
        <v>1011.8181818181818</v>
      </c>
      <c r="J796" s="229"/>
      <c r="K796" s="229"/>
      <c r="L796" s="229">
        <v>5830</v>
      </c>
      <c r="M796" s="55"/>
    </row>
    <row r="797" spans="2:13" x14ac:dyDescent="0.3">
      <c r="B797" s="223" t="s">
        <v>2469</v>
      </c>
      <c r="C797" s="224">
        <v>6</v>
      </c>
      <c r="D797" s="225">
        <v>13</v>
      </c>
      <c r="E797" s="226">
        <v>26709</v>
      </c>
      <c r="F797" s="109"/>
      <c r="G797" s="1" t="str">
        <f>IFERROR(IF(ventas_b_mes12[[#This Row],[CUIT]]="","-",VLOOKUP(ventas_b_mes12[[#This Row],[CUIT]],Lista_CUIT[#All],2,0)),"CUIT NO CARGADO")</f>
        <v>-</v>
      </c>
      <c r="H797" s="96">
        <f>ventas_b_mes12[[#This Row],[TOTAL]]/1.21</f>
        <v>1299.595041322314</v>
      </c>
      <c r="I797" s="60">
        <f>ventas_b_mes12[[#This Row],[IMPORTE NETO]]*0.21</f>
        <v>272.91495867768595</v>
      </c>
      <c r="J797" s="229"/>
      <c r="K797" s="229"/>
      <c r="L797" s="229">
        <v>1572.51</v>
      </c>
      <c r="M797" s="55"/>
    </row>
    <row r="798" spans="2:13" x14ac:dyDescent="0.3">
      <c r="B798" s="223" t="s">
        <v>2469</v>
      </c>
      <c r="C798" s="224">
        <v>6</v>
      </c>
      <c r="D798" s="225">
        <v>15</v>
      </c>
      <c r="E798" s="226">
        <v>7179</v>
      </c>
      <c r="F798" s="109"/>
      <c r="G798" s="1" t="str">
        <f>IFERROR(IF(ventas_b_mes12[[#This Row],[CUIT]]="","-",VLOOKUP(ventas_b_mes12[[#This Row],[CUIT]],Lista_CUIT[#All],2,0)),"CUIT NO CARGADO")</f>
        <v>-</v>
      </c>
      <c r="H798" s="96">
        <f>ventas_b_mes12[[#This Row],[TOTAL]]/1.21</f>
        <v>2826.4462809917354</v>
      </c>
      <c r="I798" s="60">
        <f>ventas_b_mes12[[#This Row],[IMPORTE NETO]]*0.21</f>
        <v>593.55371900826447</v>
      </c>
      <c r="J798" s="229"/>
      <c r="K798" s="229"/>
      <c r="L798" s="229">
        <v>3420</v>
      </c>
      <c r="M798" s="55"/>
    </row>
    <row r="799" spans="2:13" x14ac:dyDescent="0.3">
      <c r="B799" s="223" t="s">
        <v>2469</v>
      </c>
      <c r="C799" s="224">
        <v>6</v>
      </c>
      <c r="D799" s="225">
        <v>15</v>
      </c>
      <c r="E799" s="226">
        <v>7180</v>
      </c>
      <c r="F799" s="109"/>
      <c r="G799" s="1" t="str">
        <f>IFERROR(IF(ventas_b_mes12[[#This Row],[CUIT]]="","-",VLOOKUP(ventas_b_mes12[[#This Row],[CUIT]],Lista_CUIT[#All],2,0)),"CUIT NO CARGADO")</f>
        <v>-</v>
      </c>
      <c r="H799" s="96">
        <f>ventas_b_mes12[[#This Row],[TOTAL]]/1.21</f>
        <v>2148.7603305785124</v>
      </c>
      <c r="I799" s="60">
        <f>ventas_b_mes12[[#This Row],[IMPORTE NETO]]*0.21</f>
        <v>451.23966942148758</v>
      </c>
      <c r="J799" s="229"/>
      <c r="K799" s="229"/>
      <c r="L799" s="229">
        <v>2600</v>
      </c>
      <c r="M799" s="55"/>
    </row>
    <row r="800" spans="2:13" x14ac:dyDescent="0.3">
      <c r="B800" s="223" t="s">
        <v>2469</v>
      </c>
      <c r="C800" s="224">
        <v>6</v>
      </c>
      <c r="D800" s="225">
        <v>15</v>
      </c>
      <c r="E800" s="226">
        <v>7178</v>
      </c>
      <c r="F800" s="109"/>
      <c r="G800" s="1" t="str">
        <f>IFERROR(IF(ventas_b_mes12[[#This Row],[CUIT]]="","-",VLOOKUP(ventas_b_mes12[[#This Row],[CUIT]],Lista_CUIT[#All],2,0)),"CUIT NO CARGADO")</f>
        <v>-</v>
      </c>
      <c r="H800" s="96">
        <f>ventas_b_mes12[[#This Row],[TOTAL]]/1.21</f>
        <v>1363.6363636363637</v>
      </c>
      <c r="I800" s="60">
        <f>ventas_b_mes12[[#This Row],[IMPORTE NETO]]*0.21</f>
        <v>286.36363636363637</v>
      </c>
      <c r="J800" s="229"/>
      <c r="K800" s="229"/>
      <c r="L800" s="229">
        <v>1650</v>
      </c>
      <c r="M800" s="55"/>
    </row>
    <row r="801" spans="2:13" x14ac:dyDescent="0.3">
      <c r="B801" s="223" t="s">
        <v>2469</v>
      </c>
      <c r="C801" s="224">
        <v>6</v>
      </c>
      <c r="D801" s="225">
        <v>11</v>
      </c>
      <c r="E801" s="226">
        <v>30028</v>
      </c>
      <c r="F801" s="109"/>
      <c r="G801" s="1" t="str">
        <f>IFERROR(IF(ventas_b_mes12[[#This Row],[CUIT]]="","-",VLOOKUP(ventas_b_mes12[[#This Row],[CUIT]],Lista_CUIT[#All],2,0)),"CUIT NO CARGADO")</f>
        <v>-</v>
      </c>
      <c r="H801" s="96">
        <f>ventas_b_mes12[[#This Row],[TOTAL]]/1.21</f>
        <v>1440.0743801652893</v>
      </c>
      <c r="I801" s="60">
        <f>ventas_b_mes12[[#This Row],[IMPORTE NETO]]*0.21</f>
        <v>302.41561983471075</v>
      </c>
      <c r="J801" s="229"/>
      <c r="K801" s="229"/>
      <c r="L801" s="229">
        <v>1742.49</v>
      </c>
      <c r="M801" s="55"/>
    </row>
    <row r="802" spans="2:13" x14ac:dyDescent="0.3">
      <c r="B802" s="223" t="s">
        <v>2469</v>
      </c>
      <c r="C802" s="224">
        <v>6</v>
      </c>
      <c r="D802" s="225">
        <v>12</v>
      </c>
      <c r="E802" s="226">
        <v>22461</v>
      </c>
      <c r="F802" s="109"/>
      <c r="G802" s="1" t="str">
        <f>IFERROR(IF(ventas_b_mes12[[#This Row],[CUIT]]="","-",VLOOKUP(ventas_b_mes12[[#This Row],[CUIT]],Lista_CUIT[#All],2,0)),"CUIT NO CARGADO")</f>
        <v>-</v>
      </c>
      <c r="H802" s="96">
        <f>ventas_b_mes12[[#This Row],[TOTAL]]/1.21</f>
        <v>3590.0826446280994</v>
      </c>
      <c r="I802" s="60">
        <f>ventas_b_mes12[[#This Row],[IMPORTE NETO]]*0.21</f>
        <v>753.91735537190084</v>
      </c>
      <c r="J802" s="229"/>
      <c r="K802" s="229"/>
      <c r="L802" s="229">
        <v>4344</v>
      </c>
      <c r="M802" s="55"/>
    </row>
    <row r="803" spans="2:13" x14ac:dyDescent="0.3">
      <c r="B803" s="223" t="s">
        <v>2469</v>
      </c>
      <c r="C803" s="224">
        <v>6</v>
      </c>
      <c r="D803" s="225">
        <v>10</v>
      </c>
      <c r="E803" s="226">
        <v>43811</v>
      </c>
      <c r="F803" s="109"/>
      <c r="G803" s="1" t="str">
        <f>IFERROR(IF(ventas_b_mes12[[#This Row],[CUIT]]="","-",VLOOKUP(ventas_b_mes12[[#This Row],[CUIT]],Lista_CUIT[#All],2,0)),"CUIT NO CARGADO")</f>
        <v>-</v>
      </c>
      <c r="H803" s="96">
        <f>ventas_b_mes12[[#This Row],[TOTAL]]/1.21</f>
        <v>8231.4049586776855</v>
      </c>
      <c r="I803" s="60">
        <f>ventas_b_mes12[[#This Row],[IMPORTE NETO]]*0.21</f>
        <v>1728.5950413223138</v>
      </c>
      <c r="J803" s="229"/>
      <c r="K803" s="229"/>
      <c r="L803" s="229">
        <v>9960</v>
      </c>
      <c r="M803" s="55"/>
    </row>
    <row r="804" spans="2:13" x14ac:dyDescent="0.3">
      <c r="B804" s="223" t="s">
        <v>2469</v>
      </c>
      <c r="C804" s="224">
        <v>6</v>
      </c>
      <c r="D804" s="225">
        <v>12</v>
      </c>
      <c r="E804" s="226">
        <v>22465</v>
      </c>
      <c r="F804" s="109"/>
      <c r="G804" s="1" t="str">
        <f>IFERROR(IF(ventas_b_mes12[[#This Row],[CUIT]]="","-",VLOOKUP(ventas_b_mes12[[#This Row],[CUIT]],Lista_CUIT[#All],2,0)),"CUIT NO CARGADO")</f>
        <v>-</v>
      </c>
      <c r="H804" s="96">
        <f>ventas_b_mes12[[#This Row],[TOTAL]]/1.21</f>
        <v>8046.2809917355371</v>
      </c>
      <c r="I804" s="60">
        <f>ventas_b_mes12[[#This Row],[IMPORTE NETO]]*0.21</f>
        <v>1689.7190082644627</v>
      </c>
      <c r="J804" s="229"/>
      <c r="K804" s="229"/>
      <c r="L804" s="229">
        <v>9736</v>
      </c>
      <c r="M804" s="55"/>
    </row>
    <row r="805" spans="2:13" x14ac:dyDescent="0.3">
      <c r="B805" s="223" t="s">
        <v>2469</v>
      </c>
      <c r="C805" s="224">
        <v>6</v>
      </c>
      <c r="D805" s="225">
        <v>13</v>
      </c>
      <c r="E805" s="226">
        <v>26720</v>
      </c>
      <c r="F805" s="109"/>
      <c r="G805" s="1" t="str">
        <f>IFERROR(IF(ventas_b_mes12[[#This Row],[CUIT]]="","-",VLOOKUP(ventas_b_mes12[[#This Row],[CUIT]],Lista_CUIT[#All],2,0)),"CUIT NO CARGADO")</f>
        <v>-</v>
      </c>
      <c r="H805" s="96">
        <f>ventas_b_mes12[[#This Row],[TOTAL]]/1.21</f>
        <v>2438.0165289256197</v>
      </c>
      <c r="I805" s="60">
        <f>ventas_b_mes12[[#This Row],[IMPORTE NETO]]*0.21</f>
        <v>511.98347107438013</v>
      </c>
      <c r="J805" s="229"/>
      <c r="K805" s="229"/>
      <c r="L805" s="229">
        <v>2950</v>
      </c>
      <c r="M805" s="55"/>
    </row>
    <row r="806" spans="2:13" x14ac:dyDescent="0.3">
      <c r="B806" s="223" t="s">
        <v>2469</v>
      </c>
      <c r="C806" s="224">
        <v>6</v>
      </c>
      <c r="D806" s="225">
        <v>13</v>
      </c>
      <c r="E806" s="226">
        <v>26715</v>
      </c>
      <c r="F806" s="109"/>
      <c r="G806" s="1" t="str">
        <f>IFERROR(IF(ventas_b_mes12[[#This Row],[CUIT]]="","-",VLOOKUP(ventas_b_mes12[[#This Row],[CUIT]],Lista_CUIT[#All],2,0)),"CUIT NO CARGADO")</f>
        <v>-</v>
      </c>
      <c r="H806" s="96">
        <f>ventas_b_mes12[[#This Row],[TOTAL]]/1.21</f>
        <v>9223.1404958677685</v>
      </c>
      <c r="I806" s="60">
        <f>ventas_b_mes12[[#This Row],[IMPORTE NETO]]*0.21</f>
        <v>1936.8595041322312</v>
      </c>
      <c r="J806" s="229"/>
      <c r="K806" s="229"/>
      <c r="L806" s="229">
        <v>11160</v>
      </c>
      <c r="M806" s="55"/>
    </row>
    <row r="807" spans="2:13" x14ac:dyDescent="0.3">
      <c r="B807" s="223" t="s">
        <v>2469</v>
      </c>
      <c r="C807" s="224">
        <v>6</v>
      </c>
      <c r="D807" s="225">
        <v>13</v>
      </c>
      <c r="E807" s="226">
        <v>26713</v>
      </c>
      <c r="F807" s="109"/>
      <c r="G807" s="1" t="str">
        <f>IFERROR(IF(ventas_b_mes12[[#This Row],[CUIT]]="","-",VLOOKUP(ventas_b_mes12[[#This Row],[CUIT]],Lista_CUIT[#All],2,0)),"CUIT NO CARGADO")</f>
        <v>-</v>
      </c>
      <c r="H807" s="96">
        <f>ventas_b_mes12[[#This Row],[TOTAL]]/1.21</f>
        <v>1582.6446280991736</v>
      </c>
      <c r="I807" s="60">
        <f>ventas_b_mes12[[#This Row],[IMPORTE NETO]]*0.21</f>
        <v>332.35537190082647</v>
      </c>
      <c r="J807" s="229"/>
      <c r="K807" s="229"/>
      <c r="L807" s="229">
        <v>1915</v>
      </c>
      <c r="M807" s="55"/>
    </row>
    <row r="808" spans="2:13" x14ac:dyDescent="0.3">
      <c r="B808" s="223" t="s">
        <v>2469</v>
      </c>
      <c r="C808" s="224">
        <v>6</v>
      </c>
      <c r="D808" s="225">
        <v>12</v>
      </c>
      <c r="E808" s="226">
        <v>22458</v>
      </c>
      <c r="F808" s="109"/>
      <c r="G808" s="1" t="str">
        <f>IFERROR(IF(ventas_b_mes12[[#This Row],[CUIT]]="","-",VLOOKUP(ventas_b_mes12[[#This Row],[CUIT]],Lista_CUIT[#All],2,0)),"CUIT NO CARGADO")</f>
        <v>-</v>
      </c>
      <c r="H808" s="96">
        <f>ventas_b_mes12[[#This Row],[TOTAL]]/1.21</f>
        <v>4545.454545454546</v>
      </c>
      <c r="I808" s="60">
        <f>ventas_b_mes12[[#This Row],[IMPORTE NETO]]*0.21</f>
        <v>954.54545454545462</v>
      </c>
      <c r="J808" s="229"/>
      <c r="K808" s="229"/>
      <c r="L808" s="229">
        <v>5500</v>
      </c>
      <c r="M808" s="55"/>
    </row>
    <row r="809" spans="2:13" x14ac:dyDescent="0.3">
      <c r="B809" s="223" t="s">
        <v>2469</v>
      </c>
      <c r="C809" s="224">
        <v>6</v>
      </c>
      <c r="D809" s="225">
        <v>11</v>
      </c>
      <c r="E809" s="226">
        <v>30027</v>
      </c>
      <c r="F809" s="109"/>
      <c r="G809" s="1" t="str">
        <f>IFERROR(IF(ventas_b_mes12[[#This Row],[CUIT]]="","-",VLOOKUP(ventas_b_mes12[[#This Row],[CUIT]],Lista_CUIT[#All],2,0)),"CUIT NO CARGADO")</f>
        <v>-</v>
      </c>
      <c r="H809" s="96">
        <f>ventas_b_mes12[[#This Row],[TOTAL]]/1.21</f>
        <v>2950.413223140496</v>
      </c>
      <c r="I809" s="60">
        <f>ventas_b_mes12[[#This Row],[IMPORTE NETO]]*0.21</f>
        <v>619.5867768595042</v>
      </c>
      <c r="J809" s="229"/>
      <c r="K809" s="229"/>
      <c r="L809" s="229">
        <v>3570</v>
      </c>
      <c r="M809" s="55"/>
    </row>
    <row r="810" spans="2:13" x14ac:dyDescent="0.3">
      <c r="B810" s="223" t="s">
        <v>2469</v>
      </c>
      <c r="C810" s="224">
        <v>6</v>
      </c>
      <c r="D810" s="225">
        <v>13</v>
      </c>
      <c r="E810" s="226">
        <v>26714</v>
      </c>
      <c r="F810" s="109"/>
      <c r="G810" s="1" t="str">
        <f>IFERROR(IF(ventas_b_mes12[[#This Row],[CUIT]]="","-",VLOOKUP(ventas_b_mes12[[#This Row],[CUIT]],Lista_CUIT[#All],2,0)),"CUIT NO CARGADO")</f>
        <v>-</v>
      </c>
      <c r="H810" s="96">
        <f>ventas_b_mes12[[#This Row],[TOTAL]]/1.21</f>
        <v>9125.2066115702473</v>
      </c>
      <c r="I810" s="60">
        <f>ventas_b_mes12[[#This Row],[IMPORTE NETO]]*0.21</f>
        <v>1916.2933884297518</v>
      </c>
      <c r="J810" s="229"/>
      <c r="K810" s="229"/>
      <c r="L810" s="229">
        <v>11041.5</v>
      </c>
      <c r="M810" s="55"/>
    </row>
    <row r="811" spans="2:13" x14ac:dyDescent="0.3">
      <c r="B811" s="223" t="s">
        <v>2469</v>
      </c>
      <c r="C811" s="224">
        <v>6</v>
      </c>
      <c r="D811" s="225">
        <v>10</v>
      </c>
      <c r="E811" s="226">
        <v>43803</v>
      </c>
      <c r="F811" s="109"/>
      <c r="G811" s="1" t="str">
        <f>IFERROR(IF(ventas_b_mes12[[#This Row],[CUIT]]="","-",VLOOKUP(ventas_b_mes12[[#This Row],[CUIT]],Lista_CUIT[#All],2,0)),"CUIT NO CARGADO")</f>
        <v>-</v>
      </c>
      <c r="H811" s="96">
        <f>ventas_b_mes12[[#This Row],[TOTAL]]/1.21</f>
        <v>33128.925619834714</v>
      </c>
      <c r="I811" s="60">
        <f>ventas_b_mes12[[#This Row],[IMPORTE NETO]]*0.21</f>
        <v>6957.0743801652898</v>
      </c>
      <c r="J811" s="229"/>
      <c r="K811" s="229"/>
      <c r="L811" s="229">
        <v>40086</v>
      </c>
      <c r="M811" s="55"/>
    </row>
    <row r="812" spans="2:13" x14ac:dyDescent="0.3">
      <c r="B812" s="223" t="s">
        <v>2469</v>
      </c>
      <c r="C812" s="224">
        <v>6</v>
      </c>
      <c r="D812" s="225">
        <v>10</v>
      </c>
      <c r="E812" s="226">
        <v>43802</v>
      </c>
      <c r="F812" s="109"/>
      <c r="G812" s="1" t="str">
        <f>IFERROR(IF(ventas_b_mes12[[#This Row],[CUIT]]="","-",VLOOKUP(ventas_b_mes12[[#This Row],[CUIT]],Lista_CUIT[#All],2,0)),"CUIT NO CARGADO")</f>
        <v>-</v>
      </c>
      <c r="H812" s="96">
        <f>ventas_b_mes12[[#This Row],[TOTAL]]/1.21</f>
        <v>21900</v>
      </c>
      <c r="I812" s="60">
        <f>ventas_b_mes12[[#This Row],[IMPORTE NETO]]*0.21</f>
        <v>4599</v>
      </c>
      <c r="J812" s="229"/>
      <c r="K812" s="229"/>
      <c r="L812" s="229">
        <v>26499</v>
      </c>
      <c r="M812" s="55"/>
    </row>
    <row r="813" spans="2:13" x14ac:dyDescent="0.3">
      <c r="B813" s="223" t="s">
        <v>2469</v>
      </c>
      <c r="C813" s="224">
        <v>6</v>
      </c>
      <c r="D813" s="225">
        <v>10</v>
      </c>
      <c r="E813" s="226">
        <v>43805</v>
      </c>
      <c r="F813" s="109"/>
      <c r="G813" s="1" t="str">
        <f>IFERROR(IF(ventas_b_mes12[[#This Row],[CUIT]]="","-",VLOOKUP(ventas_b_mes12[[#This Row],[CUIT]],Lista_CUIT[#All],2,0)),"CUIT NO CARGADO")</f>
        <v>-</v>
      </c>
      <c r="H813" s="96">
        <f>ventas_b_mes12[[#This Row],[TOTAL]]/1.21</f>
        <v>33520.661157024791</v>
      </c>
      <c r="I813" s="60">
        <f>ventas_b_mes12[[#This Row],[IMPORTE NETO]]*0.21</f>
        <v>7039.3388429752058</v>
      </c>
      <c r="J813" s="229"/>
      <c r="K813" s="229"/>
      <c r="L813" s="229">
        <v>40560</v>
      </c>
      <c r="M813" s="55"/>
    </row>
    <row r="814" spans="2:13" x14ac:dyDescent="0.3">
      <c r="B814" s="223" t="s">
        <v>2469</v>
      </c>
      <c r="C814" s="224">
        <v>6</v>
      </c>
      <c r="D814" s="225">
        <v>13</v>
      </c>
      <c r="E814" s="226">
        <v>26708</v>
      </c>
      <c r="F814" s="109"/>
      <c r="G814" s="1" t="str">
        <f>IFERROR(IF(ventas_b_mes12[[#This Row],[CUIT]]="","-",VLOOKUP(ventas_b_mes12[[#This Row],[CUIT]],Lista_CUIT[#All],2,0)),"CUIT NO CARGADO")</f>
        <v>-</v>
      </c>
      <c r="H814" s="96">
        <f>ventas_b_mes12[[#This Row],[TOTAL]]/1.21</f>
        <v>1720.6611570247935</v>
      </c>
      <c r="I814" s="60">
        <f>ventas_b_mes12[[#This Row],[IMPORTE NETO]]*0.21</f>
        <v>361.3388429752066</v>
      </c>
      <c r="J814" s="229"/>
      <c r="K814" s="229"/>
      <c r="L814" s="229">
        <v>2082</v>
      </c>
      <c r="M814" s="55"/>
    </row>
    <row r="815" spans="2:13" x14ac:dyDescent="0.3">
      <c r="B815" s="223" t="s">
        <v>2469</v>
      </c>
      <c r="C815" s="224">
        <v>6</v>
      </c>
      <c r="D815" s="225">
        <v>15</v>
      </c>
      <c r="E815" s="226">
        <v>7175</v>
      </c>
      <c r="F815" s="109"/>
      <c r="G815" s="1" t="str">
        <f>IFERROR(IF(ventas_b_mes12[[#This Row],[CUIT]]="","-",VLOOKUP(ventas_b_mes12[[#This Row],[CUIT]],Lista_CUIT[#All],2,0)),"CUIT NO CARGADO")</f>
        <v>-</v>
      </c>
      <c r="H815" s="96">
        <f>ventas_b_mes12[[#This Row],[TOTAL]]/1.21</f>
        <v>4545.454545454546</v>
      </c>
      <c r="I815" s="60">
        <f>ventas_b_mes12[[#This Row],[IMPORTE NETO]]*0.21</f>
        <v>954.54545454545462</v>
      </c>
      <c r="J815" s="229"/>
      <c r="K815" s="229"/>
      <c r="L815" s="229">
        <v>5500</v>
      </c>
      <c r="M815" s="55"/>
    </row>
    <row r="816" spans="2:13" x14ac:dyDescent="0.3">
      <c r="B816" s="223" t="s">
        <v>2469</v>
      </c>
      <c r="C816" s="224">
        <v>6</v>
      </c>
      <c r="D816" s="225">
        <v>12</v>
      </c>
      <c r="E816" s="226">
        <v>22467</v>
      </c>
      <c r="F816" s="109"/>
      <c r="G816" s="1" t="str">
        <f>IFERROR(IF(ventas_b_mes12[[#This Row],[CUIT]]="","-",VLOOKUP(ventas_b_mes12[[#This Row],[CUIT]],Lista_CUIT[#All],2,0)),"CUIT NO CARGADO")</f>
        <v>-</v>
      </c>
      <c r="H816" s="96">
        <f>ventas_b_mes12[[#This Row],[TOTAL]]/1.21</f>
        <v>4545.454545454546</v>
      </c>
      <c r="I816" s="60">
        <f>ventas_b_mes12[[#This Row],[IMPORTE NETO]]*0.21</f>
        <v>954.54545454545462</v>
      </c>
      <c r="J816" s="229"/>
      <c r="K816" s="229"/>
      <c r="L816" s="229">
        <v>5500</v>
      </c>
      <c r="M816" s="55"/>
    </row>
    <row r="817" spans="2:13" x14ac:dyDescent="0.3">
      <c r="B817" s="223" t="s">
        <v>2469</v>
      </c>
      <c r="C817" s="224">
        <v>6</v>
      </c>
      <c r="D817" s="225">
        <v>11</v>
      </c>
      <c r="E817" s="226">
        <v>30025</v>
      </c>
      <c r="F817" s="109"/>
      <c r="G817" s="1" t="str">
        <f>IFERROR(IF(ventas_b_mes12[[#This Row],[CUIT]]="","-",VLOOKUP(ventas_b_mes12[[#This Row],[CUIT]],Lista_CUIT[#All],2,0)),"CUIT NO CARGADO")</f>
        <v>-</v>
      </c>
      <c r="H817" s="96">
        <f>ventas_b_mes12[[#This Row],[TOTAL]]/1.21</f>
        <v>2644.6280991735539</v>
      </c>
      <c r="I817" s="60">
        <f>ventas_b_mes12[[#This Row],[IMPORTE NETO]]*0.21</f>
        <v>555.37190082644634</v>
      </c>
      <c r="J817" s="229"/>
      <c r="K817" s="229"/>
      <c r="L817" s="229">
        <v>3200</v>
      </c>
      <c r="M817" s="55"/>
    </row>
    <row r="818" spans="2:13" x14ac:dyDescent="0.3">
      <c r="B818" s="223" t="s">
        <v>2469</v>
      </c>
      <c r="C818" s="224">
        <v>6</v>
      </c>
      <c r="D818" s="225">
        <v>15</v>
      </c>
      <c r="E818" s="226">
        <v>7190</v>
      </c>
      <c r="F818" s="109"/>
      <c r="G818" s="1" t="str">
        <f>IFERROR(IF(ventas_b_mes12[[#This Row],[CUIT]]="","-",VLOOKUP(ventas_b_mes12[[#This Row],[CUIT]],Lista_CUIT[#All],2,0)),"CUIT NO CARGADO")</f>
        <v>-</v>
      </c>
      <c r="H818" s="96">
        <f>ventas_b_mes12[[#This Row],[TOTAL]]/1.21</f>
        <v>4958.6776859504134</v>
      </c>
      <c r="I818" s="60">
        <f>ventas_b_mes12[[#This Row],[IMPORTE NETO]]*0.21</f>
        <v>1041.3223140495868</v>
      </c>
      <c r="J818" s="229"/>
      <c r="K818" s="229"/>
      <c r="L818" s="229">
        <v>6000</v>
      </c>
      <c r="M818" s="55"/>
    </row>
    <row r="819" spans="2:13" x14ac:dyDescent="0.3">
      <c r="B819" s="223" t="s">
        <v>2469</v>
      </c>
      <c r="C819" s="224">
        <v>6</v>
      </c>
      <c r="D819" s="225">
        <v>12</v>
      </c>
      <c r="E819" s="226">
        <v>22456</v>
      </c>
      <c r="F819" s="109"/>
      <c r="G819" s="1" t="str">
        <f>IFERROR(IF(ventas_b_mes12[[#This Row],[CUIT]]="","-",VLOOKUP(ventas_b_mes12[[#This Row],[CUIT]],Lista_CUIT[#All],2,0)),"CUIT NO CARGADO")</f>
        <v>-</v>
      </c>
      <c r="H819" s="96">
        <f>ventas_b_mes12[[#This Row],[TOTAL]]/1.21</f>
        <v>4545.454545454546</v>
      </c>
      <c r="I819" s="60">
        <f>ventas_b_mes12[[#This Row],[IMPORTE NETO]]*0.21</f>
        <v>954.54545454545462</v>
      </c>
      <c r="J819" s="229"/>
      <c r="K819" s="229"/>
      <c r="L819" s="229">
        <v>5500</v>
      </c>
      <c r="M819" s="55"/>
    </row>
    <row r="820" spans="2:13" x14ac:dyDescent="0.3">
      <c r="B820" s="223" t="s">
        <v>2469</v>
      </c>
      <c r="C820" s="224">
        <v>6</v>
      </c>
      <c r="D820" s="225">
        <v>10</v>
      </c>
      <c r="E820" s="226">
        <v>43804</v>
      </c>
      <c r="F820" s="109"/>
      <c r="G820" s="1" t="str">
        <f>IFERROR(IF(ventas_b_mes12[[#This Row],[CUIT]]="","-",VLOOKUP(ventas_b_mes12[[#This Row],[CUIT]],Lista_CUIT[#All],2,0)),"CUIT NO CARGADO")</f>
        <v>-</v>
      </c>
      <c r="H820" s="96">
        <f>ventas_b_mes12[[#This Row],[TOTAL]]/1.21</f>
        <v>5500.8264462809921</v>
      </c>
      <c r="I820" s="60">
        <f>ventas_b_mes12[[#This Row],[IMPORTE NETO]]*0.21</f>
        <v>1155.1735537190084</v>
      </c>
      <c r="J820" s="229"/>
      <c r="K820" s="229"/>
      <c r="L820" s="229">
        <v>6656</v>
      </c>
      <c r="M820" s="55"/>
    </row>
    <row r="821" spans="2:13" x14ac:dyDescent="0.3">
      <c r="B821" s="223" t="s">
        <v>2469</v>
      </c>
      <c r="C821" s="224">
        <v>6</v>
      </c>
      <c r="D821" s="225">
        <v>12</v>
      </c>
      <c r="E821" s="226">
        <v>22452</v>
      </c>
      <c r="F821" s="109"/>
      <c r="G821" s="1" t="str">
        <f>IFERROR(IF(ventas_b_mes12[[#This Row],[CUIT]]="","-",VLOOKUP(ventas_b_mes12[[#This Row],[CUIT]],Lista_CUIT[#All],2,0)),"CUIT NO CARGADO")</f>
        <v>-</v>
      </c>
      <c r="H821" s="96">
        <f>ventas_b_mes12[[#This Row],[TOTAL]]/1.21</f>
        <v>4545.454545454546</v>
      </c>
      <c r="I821" s="60">
        <f>ventas_b_mes12[[#This Row],[IMPORTE NETO]]*0.21</f>
        <v>954.54545454545462</v>
      </c>
      <c r="J821" s="229"/>
      <c r="K821" s="229"/>
      <c r="L821" s="229">
        <v>5500</v>
      </c>
      <c r="M821" s="55"/>
    </row>
    <row r="822" spans="2:13" x14ac:dyDescent="0.3">
      <c r="B822" s="223" t="s">
        <v>2469</v>
      </c>
      <c r="C822" s="224">
        <v>6</v>
      </c>
      <c r="D822" s="225">
        <v>10</v>
      </c>
      <c r="E822" s="226">
        <v>43800</v>
      </c>
      <c r="F822" s="109"/>
      <c r="G822" s="1" t="str">
        <f>IFERROR(IF(ventas_b_mes12[[#This Row],[CUIT]]="","-",VLOOKUP(ventas_b_mes12[[#This Row],[CUIT]],Lista_CUIT[#All],2,0)),"CUIT NO CARGADO")</f>
        <v>-</v>
      </c>
      <c r="H822" s="96">
        <f>ventas_b_mes12[[#This Row],[TOTAL]]/1.21</f>
        <v>8480.1652892561979</v>
      </c>
      <c r="I822" s="60">
        <f>ventas_b_mes12[[#This Row],[IMPORTE NETO]]*0.21</f>
        <v>1780.8347107438015</v>
      </c>
      <c r="J822" s="229"/>
      <c r="K822" s="229"/>
      <c r="L822" s="229">
        <v>10261</v>
      </c>
      <c r="M822" s="55"/>
    </row>
    <row r="823" spans="2:13" x14ac:dyDescent="0.3">
      <c r="B823" s="223" t="s">
        <v>2469</v>
      </c>
      <c r="C823" s="224">
        <v>6</v>
      </c>
      <c r="D823" s="225">
        <v>12</v>
      </c>
      <c r="E823" s="226">
        <v>22466</v>
      </c>
      <c r="F823" s="109"/>
      <c r="G823" s="1" t="str">
        <f>IFERROR(IF(ventas_b_mes12[[#This Row],[CUIT]]="","-",VLOOKUP(ventas_b_mes12[[#This Row],[CUIT]],Lista_CUIT[#All],2,0)),"CUIT NO CARGADO")</f>
        <v>-</v>
      </c>
      <c r="H823" s="96">
        <f>ventas_b_mes12[[#This Row],[TOTAL]]/1.21</f>
        <v>1495.8677685950413</v>
      </c>
      <c r="I823" s="60">
        <f>ventas_b_mes12[[#This Row],[IMPORTE NETO]]*0.21</f>
        <v>314.13223140495865</v>
      </c>
      <c r="J823" s="229"/>
      <c r="K823" s="229"/>
      <c r="L823" s="229">
        <v>1810</v>
      </c>
      <c r="M823" s="55"/>
    </row>
    <row r="824" spans="2:13" x14ac:dyDescent="0.3">
      <c r="B824" s="223" t="s">
        <v>2469</v>
      </c>
      <c r="C824" s="224">
        <v>6</v>
      </c>
      <c r="D824" s="225">
        <v>15</v>
      </c>
      <c r="E824" s="226">
        <v>7174</v>
      </c>
      <c r="F824" s="109"/>
      <c r="G824" s="1" t="str">
        <f>IFERROR(IF(ventas_b_mes12[[#This Row],[CUIT]]="","-",VLOOKUP(ventas_b_mes12[[#This Row],[CUIT]],Lista_CUIT[#All],2,0)),"CUIT NO CARGADO")</f>
        <v>-</v>
      </c>
      <c r="H824" s="96">
        <f>ventas_b_mes12[[#This Row],[TOTAL]]/1.21</f>
        <v>4958.6776859504134</v>
      </c>
      <c r="I824" s="60">
        <f>ventas_b_mes12[[#This Row],[IMPORTE NETO]]*0.21</f>
        <v>1041.3223140495868</v>
      </c>
      <c r="J824" s="229"/>
      <c r="K824" s="229"/>
      <c r="L824" s="229">
        <v>6000</v>
      </c>
      <c r="M824" s="55"/>
    </row>
    <row r="825" spans="2:13" x14ac:dyDescent="0.3">
      <c r="B825" s="223" t="s">
        <v>2469</v>
      </c>
      <c r="C825" s="224">
        <v>6</v>
      </c>
      <c r="D825" s="225">
        <v>12</v>
      </c>
      <c r="E825" s="226">
        <v>22444</v>
      </c>
      <c r="F825" s="109"/>
      <c r="G825" s="1" t="str">
        <f>IFERROR(IF(ventas_b_mes12[[#This Row],[CUIT]]="","-",VLOOKUP(ventas_b_mes12[[#This Row],[CUIT]],Lista_CUIT[#All],2,0)),"CUIT NO CARGADO")</f>
        <v>-</v>
      </c>
      <c r="H825" s="96">
        <f>ventas_b_mes12[[#This Row],[TOTAL]]/1.21</f>
        <v>4545.454545454546</v>
      </c>
      <c r="I825" s="60">
        <f>ventas_b_mes12[[#This Row],[IMPORTE NETO]]*0.21</f>
        <v>954.54545454545462</v>
      </c>
      <c r="J825" s="229"/>
      <c r="K825" s="229"/>
      <c r="L825" s="229">
        <v>5500</v>
      </c>
      <c r="M825" s="55"/>
    </row>
    <row r="826" spans="2:13" x14ac:dyDescent="0.3">
      <c r="B826" s="223" t="s">
        <v>2469</v>
      </c>
      <c r="C826" s="224">
        <v>6</v>
      </c>
      <c r="D826" s="225">
        <v>13</v>
      </c>
      <c r="E826" s="226">
        <v>26710</v>
      </c>
      <c r="F826" s="109"/>
      <c r="G826" s="1" t="str">
        <f>IFERROR(IF(ventas_b_mes12[[#This Row],[CUIT]]="","-",VLOOKUP(ventas_b_mes12[[#This Row],[CUIT]],Lista_CUIT[#All],2,0)),"CUIT NO CARGADO")</f>
        <v>-</v>
      </c>
      <c r="H826" s="96">
        <f>ventas_b_mes12[[#This Row],[TOTAL]]/1.21</f>
        <v>3413.231404958678</v>
      </c>
      <c r="I826" s="60">
        <f>ventas_b_mes12[[#This Row],[IMPORTE NETO]]*0.21</f>
        <v>716.77859504132232</v>
      </c>
      <c r="J826" s="229"/>
      <c r="K826" s="229"/>
      <c r="L826" s="229">
        <v>4130.01</v>
      </c>
      <c r="M826" s="55"/>
    </row>
    <row r="827" spans="2:13" x14ac:dyDescent="0.3">
      <c r="B827" s="223" t="s">
        <v>2469</v>
      </c>
      <c r="C827" s="224">
        <v>6</v>
      </c>
      <c r="D827" s="225">
        <v>13</v>
      </c>
      <c r="E827" s="226">
        <v>26711</v>
      </c>
      <c r="F827" s="109"/>
      <c r="G827" s="1" t="str">
        <f>IFERROR(IF(ventas_b_mes12[[#This Row],[CUIT]]="","-",VLOOKUP(ventas_b_mes12[[#This Row],[CUIT]],Lista_CUIT[#All],2,0)),"CUIT NO CARGADO")</f>
        <v>-</v>
      </c>
      <c r="H827" s="96">
        <f>ventas_b_mes12[[#This Row],[TOTAL]]/1.21</f>
        <v>25161.173553719011</v>
      </c>
      <c r="I827" s="60">
        <f>ventas_b_mes12[[#This Row],[IMPORTE NETO]]*0.21</f>
        <v>5283.8464462809925</v>
      </c>
      <c r="J827" s="229"/>
      <c r="K827" s="229"/>
      <c r="L827" s="229">
        <v>30445.02</v>
      </c>
      <c r="M827" s="55"/>
    </row>
    <row r="828" spans="2:13" x14ac:dyDescent="0.3">
      <c r="B828" s="223" t="s">
        <v>2469</v>
      </c>
      <c r="C828" s="224">
        <v>6</v>
      </c>
      <c r="D828" s="225">
        <v>10</v>
      </c>
      <c r="E828" s="226">
        <v>43801</v>
      </c>
      <c r="F828" s="109"/>
      <c r="G828" s="1" t="str">
        <f>IFERROR(IF(ventas_b_mes12[[#This Row],[CUIT]]="","-",VLOOKUP(ventas_b_mes12[[#This Row],[CUIT]],Lista_CUIT[#All],2,0)),"CUIT NO CARGADO")</f>
        <v>-</v>
      </c>
      <c r="H828" s="96">
        <f>ventas_b_mes12[[#This Row],[TOTAL]]/1.21</f>
        <v>6971.0743801652898</v>
      </c>
      <c r="I828" s="60">
        <f>ventas_b_mes12[[#This Row],[IMPORTE NETO]]*0.21</f>
        <v>1463.9256198347107</v>
      </c>
      <c r="J828" s="229"/>
      <c r="K828" s="229"/>
      <c r="L828" s="229">
        <v>8435</v>
      </c>
      <c r="M828" s="55"/>
    </row>
    <row r="829" spans="2:13" x14ac:dyDescent="0.3">
      <c r="B829" s="223" t="s">
        <v>2469</v>
      </c>
      <c r="C829" s="224">
        <v>6</v>
      </c>
      <c r="D829" s="225">
        <v>13</v>
      </c>
      <c r="E829" s="226">
        <v>26707</v>
      </c>
      <c r="F829" s="109"/>
      <c r="G829" s="1" t="str">
        <f>IFERROR(IF(ventas_b_mes12[[#This Row],[CUIT]]="","-",VLOOKUP(ventas_b_mes12[[#This Row],[CUIT]],Lista_CUIT[#All],2,0)),"CUIT NO CARGADO")</f>
        <v>-</v>
      </c>
      <c r="H829" s="96">
        <f>ventas_b_mes12[[#This Row],[TOTAL]]/1.21</f>
        <v>1404.9586776859505</v>
      </c>
      <c r="I829" s="60">
        <f>ventas_b_mes12[[#This Row],[IMPORTE NETO]]*0.21</f>
        <v>295.04132231404958</v>
      </c>
      <c r="J829" s="229"/>
      <c r="K829" s="229"/>
      <c r="L829" s="229">
        <v>1700</v>
      </c>
      <c r="M829" s="55"/>
    </row>
    <row r="830" spans="2:13" x14ac:dyDescent="0.3">
      <c r="B830" s="223" t="s">
        <v>2469</v>
      </c>
      <c r="C830" s="224">
        <v>6</v>
      </c>
      <c r="D830" s="225">
        <v>11</v>
      </c>
      <c r="E830" s="226">
        <v>30023</v>
      </c>
      <c r="F830" s="109"/>
      <c r="G830" s="1" t="str">
        <f>IFERROR(IF(ventas_b_mes12[[#This Row],[CUIT]]="","-",VLOOKUP(ventas_b_mes12[[#This Row],[CUIT]],Lista_CUIT[#All],2,0)),"CUIT NO CARGADO")</f>
        <v>-</v>
      </c>
      <c r="H830" s="96">
        <f>ventas_b_mes12[[#This Row],[TOTAL]]/1.21</f>
        <v>1500.8264462809918</v>
      </c>
      <c r="I830" s="60">
        <f>ventas_b_mes12[[#This Row],[IMPORTE NETO]]*0.21</f>
        <v>315.17355371900828</v>
      </c>
      <c r="J830" s="229"/>
      <c r="K830" s="229"/>
      <c r="L830" s="229">
        <v>1816</v>
      </c>
      <c r="M830" s="55"/>
    </row>
    <row r="831" spans="2:13" x14ac:dyDescent="0.3">
      <c r="B831" s="223" t="s">
        <v>2469</v>
      </c>
      <c r="C831" s="224">
        <v>6</v>
      </c>
      <c r="D831" s="225">
        <v>13</v>
      </c>
      <c r="E831" s="226">
        <v>26703</v>
      </c>
      <c r="F831" s="109"/>
      <c r="G831" s="1" t="str">
        <f>IFERROR(IF(ventas_b_mes12[[#This Row],[CUIT]]="","-",VLOOKUP(ventas_b_mes12[[#This Row],[CUIT]],Lista_CUIT[#All],2,0)),"CUIT NO CARGADO")</f>
        <v>-</v>
      </c>
      <c r="H831" s="96">
        <f>ventas_b_mes12[[#This Row],[TOTAL]]/1.21</f>
        <v>4958.6776859504134</v>
      </c>
      <c r="I831" s="60">
        <f>ventas_b_mes12[[#This Row],[IMPORTE NETO]]*0.21</f>
        <v>1041.3223140495868</v>
      </c>
      <c r="J831" s="229"/>
      <c r="K831" s="229"/>
      <c r="L831" s="229">
        <v>6000</v>
      </c>
      <c r="M831" s="55"/>
    </row>
    <row r="832" spans="2:13" x14ac:dyDescent="0.3">
      <c r="B832" s="223" t="s">
        <v>2469</v>
      </c>
      <c r="C832" s="224">
        <v>6</v>
      </c>
      <c r="D832" s="225">
        <v>11</v>
      </c>
      <c r="E832" s="226">
        <v>30026</v>
      </c>
      <c r="F832" s="109"/>
      <c r="G832" s="1" t="str">
        <f>IFERROR(IF(ventas_b_mes12[[#This Row],[CUIT]]="","-",VLOOKUP(ventas_b_mes12[[#This Row],[CUIT]],Lista_CUIT[#All],2,0)),"CUIT NO CARGADO")</f>
        <v>-</v>
      </c>
      <c r="H832" s="96">
        <f>ventas_b_mes12[[#This Row],[TOTAL]]/1.21</f>
        <v>6115.7355371900831</v>
      </c>
      <c r="I832" s="60">
        <f>ventas_b_mes12[[#This Row],[IMPORTE NETO]]*0.21</f>
        <v>1284.3044628099174</v>
      </c>
      <c r="J832" s="229"/>
      <c r="K832" s="229"/>
      <c r="L832" s="229">
        <v>7400.04</v>
      </c>
      <c r="M832" s="55"/>
    </row>
    <row r="833" spans="2:13" x14ac:dyDescent="0.3">
      <c r="B833" s="223" t="s">
        <v>2469</v>
      </c>
      <c r="C833" s="224">
        <v>6</v>
      </c>
      <c r="D833" s="225">
        <v>10</v>
      </c>
      <c r="E833" s="226">
        <v>43809</v>
      </c>
      <c r="F833" s="109"/>
      <c r="G833" s="1" t="str">
        <f>IFERROR(IF(ventas_b_mes12[[#This Row],[CUIT]]="","-",VLOOKUP(ventas_b_mes12[[#This Row],[CUIT]],Lista_CUIT[#All],2,0)),"CUIT NO CARGADO")</f>
        <v>-</v>
      </c>
      <c r="H833" s="96">
        <f>ventas_b_mes12[[#This Row],[TOTAL]]/1.21</f>
        <v>15537.520661157027</v>
      </c>
      <c r="I833" s="60">
        <f>ventas_b_mes12[[#This Row],[IMPORTE NETO]]*0.21</f>
        <v>3262.8793388429754</v>
      </c>
      <c r="J833" s="229"/>
      <c r="K833" s="229"/>
      <c r="L833" s="229">
        <v>18800.400000000001</v>
      </c>
      <c r="M833" s="55"/>
    </row>
    <row r="834" spans="2:13" x14ac:dyDescent="0.3">
      <c r="B834" s="223" t="s">
        <v>2469</v>
      </c>
      <c r="C834" s="224">
        <v>6</v>
      </c>
      <c r="D834" s="225">
        <v>15</v>
      </c>
      <c r="E834" s="226">
        <v>7173</v>
      </c>
      <c r="F834" s="109"/>
      <c r="G834" s="1" t="str">
        <f>IFERROR(IF(ventas_b_mes12[[#This Row],[CUIT]]="","-",VLOOKUP(ventas_b_mes12[[#This Row],[CUIT]],Lista_CUIT[#All],2,0)),"CUIT NO CARGADO")</f>
        <v>-</v>
      </c>
      <c r="H834" s="96">
        <f>ventas_b_mes12[[#This Row],[TOTAL]]/1.21</f>
        <v>4958.6776859504134</v>
      </c>
      <c r="I834" s="60">
        <f>ventas_b_mes12[[#This Row],[IMPORTE NETO]]*0.21</f>
        <v>1041.3223140495868</v>
      </c>
      <c r="J834" s="229"/>
      <c r="K834" s="229"/>
      <c r="L834" s="229">
        <v>6000</v>
      </c>
      <c r="M834" s="55"/>
    </row>
    <row r="835" spans="2:13" x14ac:dyDescent="0.3">
      <c r="B835" s="223" t="s">
        <v>2469</v>
      </c>
      <c r="C835" s="224">
        <v>6</v>
      </c>
      <c r="D835" s="225">
        <v>15</v>
      </c>
      <c r="E835" s="226">
        <v>7177</v>
      </c>
      <c r="F835" s="109"/>
      <c r="G835" s="1" t="str">
        <f>IFERROR(IF(ventas_b_mes12[[#This Row],[CUIT]]="","-",VLOOKUP(ventas_b_mes12[[#This Row],[CUIT]],Lista_CUIT[#All],2,0)),"CUIT NO CARGADO")</f>
        <v>-</v>
      </c>
      <c r="H835" s="96">
        <f>ventas_b_mes12[[#This Row],[TOTAL]]/1.21</f>
        <v>2142.1487603305786</v>
      </c>
      <c r="I835" s="60">
        <f>ventas_b_mes12[[#This Row],[IMPORTE NETO]]*0.21</f>
        <v>449.85123966942149</v>
      </c>
      <c r="J835" s="229"/>
      <c r="K835" s="229"/>
      <c r="L835" s="229">
        <v>2592</v>
      </c>
      <c r="M835" s="55"/>
    </row>
    <row r="836" spans="2:13" x14ac:dyDescent="0.3">
      <c r="B836" s="223" t="s">
        <v>2469</v>
      </c>
      <c r="C836" s="224">
        <v>6</v>
      </c>
      <c r="D836" s="225">
        <v>10</v>
      </c>
      <c r="E836" s="226">
        <v>43799</v>
      </c>
      <c r="F836" s="109"/>
      <c r="G836" s="1" t="str">
        <f>IFERROR(IF(ventas_b_mes12[[#This Row],[CUIT]]="","-",VLOOKUP(ventas_b_mes12[[#This Row],[CUIT]],Lista_CUIT[#All],2,0)),"CUIT NO CARGADO")</f>
        <v>-</v>
      </c>
      <c r="H836" s="96">
        <f>ventas_b_mes12[[#This Row],[TOTAL]]/1.21</f>
        <v>18796.694214876035</v>
      </c>
      <c r="I836" s="60">
        <f>ventas_b_mes12[[#This Row],[IMPORTE NETO]]*0.21</f>
        <v>3947.3057851239673</v>
      </c>
      <c r="J836" s="229"/>
      <c r="K836" s="229"/>
      <c r="L836" s="229">
        <v>22744</v>
      </c>
      <c r="M836" s="55"/>
    </row>
    <row r="837" spans="2:13" x14ac:dyDescent="0.3">
      <c r="B837" s="223" t="s">
        <v>2469</v>
      </c>
      <c r="C837" s="224">
        <v>6</v>
      </c>
      <c r="D837" s="225">
        <v>13</v>
      </c>
      <c r="E837" s="226">
        <v>26721</v>
      </c>
      <c r="F837" s="109"/>
      <c r="G837" s="1" t="str">
        <f>IFERROR(IF(ventas_b_mes12[[#This Row],[CUIT]]="","-",VLOOKUP(ventas_b_mes12[[#This Row],[CUIT]],Lista_CUIT[#All],2,0)),"CUIT NO CARGADO")</f>
        <v>-</v>
      </c>
      <c r="H837" s="96">
        <f>ventas_b_mes12[[#This Row],[TOTAL]]/1.21</f>
        <v>4950.4132231404956</v>
      </c>
      <c r="I837" s="60">
        <f>ventas_b_mes12[[#This Row],[IMPORTE NETO]]*0.21</f>
        <v>1039.586776859504</v>
      </c>
      <c r="J837" s="229"/>
      <c r="K837" s="229"/>
      <c r="L837" s="229">
        <v>5990</v>
      </c>
      <c r="M837" s="55"/>
    </row>
    <row r="838" spans="2:13" x14ac:dyDescent="0.3">
      <c r="B838" s="223" t="s">
        <v>2469</v>
      </c>
      <c r="C838" s="224">
        <v>6</v>
      </c>
      <c r="D838" s="225">
        <v>12</v>
      </c>
      <c r="E838" s="226">
        <v>22450</v>
      </c>
      <c r="F838" s="109"/>
      <c r="G838" s="1" t="str">
        <f>IFERROR(IF(ventas_b_mes12[[#This Row],[CUIT]]="","-",VLOOKUP(ventas_b_mes12[[#This Row],[CUIT]],Lista_CUIT[#All],2,0)),"CUIT NO CARGADO")</f>
        <v>-</v>
      </c>
      <c r="H838" s="96">
        <f>ventas_b_mes12[[#This Row],[TOTAL]]/1.21</f>
        <v>4338.8429752066113</v>
      </c>
      <c r="I838" s="60">
        <f>ventas_b_mes12[[#This Row],[IMPORTE NETO]]*0.21</f>
        <v>911.15702479338836</v>
      </c>
      <c r="J838" s="229"/>
      <c r="K838" s="229"/>
      <c r="L838" s="229">
        <v>5250</v>
      </c>
      <c r="M838" s="55"/>
    </row>
    <row r="839" spans="2:13" x14ac:dyDescent="0.3">
      <c r="B839" s="223" t="s">
        <v>2470</v>
      </c>
      <c r="C839" s="224">
        <v>6</v>
      </c>
      <c r="D839" s="225">
        <v>11</v>
      </c>
      <c r="E839" s="226">
        <v>30037</v>
      </c>
      <c r="F839" s="109"/>
      <c r="G839" s="1" t="str">
        <f>IFERROR(IF(ventas_b_mes12[[#This Row],[CUIT]]="","-",VLOOKUP(ventas_b_mes12[[#This Row],[CUIT]],Lista_CUIT[#All],2,0)),"CUIT NO CARGADO")</f>
        <v>-</v>
      </c>
      <c r="H839" s="96">
        <f>ventas_b_mes12[[#This Row],[TOTAL]]/1.21</f>
        <v>2831.0000000000005</v>
      </c>
      <c r="I839" s="60">
        <f>ventas_b_mes12[[#This Row],[IMPORTE NETO]]*0.21</f>
        <v>594.5100000000001</v>
      </c>
      <c r="J839" s="229"/>
      <c r="K839" s="229"/>
      <c r="L839" s="229">
        <v>3425.51</v>
      </c>
      <c r="M839" s="55"/>
    </row>
    <row r="840" spans="2:13" x14ac:dyDescent="0.3">
      <c r="B840" s="223" t="s">
        <v>2470</v>
      </c>
      <c r="C840" s="224">
        <v>6</v>
      </c>
      <c r="D840" s="225">
        <v>11</v>
      </c>
      <c r="E840" s="226">
        <v>30036</v>
      </c>
      <c r="F840" s="109"/>
      <c r="G840" s="1" t="str">
        <f>IFERROR(IF(ventas_b_mes12[[#This Row],[CUIT]]="","-",VLOOKUP(ventas_b_mes12[[#This Row],[CUIT]],Lista_CUIT[#All],2,0)),"CUIT NO CARGADO")</f>
        <v>-</v>
      </c>
      <c r="H840" s="96">
        <f>ventas_b_mes12[[#This Row],[TOTAL]]/1.21</f>
        <v>2869.4214876033056</v>
      </c>
      <c r="I840" s="60">
        <f>ventas_b_mes12[[#This Row],[IMPORTE NETO]]*0.21</f>
        <v>602.57851239669412</v>
      </c>
      <c r="J840" s="229"/>
      <c r="K840" s="229"/>
      <c r="L840" s="229">
        <v>3472</v>
      </c>
      <c r="M840" s="55"/>
    </row>
    <row r="841" spans="2:13" x14ac:dyDescent="0.3">
      <c r="B841" s="223" t="s">
        <v>2470</v>
      </c>
      <c r="C841" s="224">
        <v>6</v>
      </c>
      <c r="D841" s="225">
        <v>11</v>
      </c>
      <c r="E841" s="226">
        <v>30040</v>
      </c>
      <c r="F841" s="109"/>
      <c r="G841" s="1" t="str">
        <f>IFERROR(IF(ventas_b_mes12[[#This Row],[CUIT]]="","-",VLOOKUP(ventas_b_mes12[[#This Row],[CUIT]],Lista_CUIT[#All],2,0)),"CUIT NO CARGADO")</f>
        <v>-</v>
      </c>
      <c r="H841" s="96">
        <f>ventas_b_mes12[[#This Row],[TOTAL]]/1.21</f>
        <v>387</v>
      </c>
      <c r="I841" s="60">
        <f>ventas_b_mes12[[#This Row],[IMPORTE NETO]]*0.21</f>
        <v>81.27</v>
      </c>
      <c r="J841" s="229"/>
      <c r="K841" s="229"/>
      <c r="L841" s="229">
        <v>468.27</v>
      </c>
      <c r="M841" s="55"/>
    </row>
    <row r="842" spans="2:13" x14ac:dyDescent="0.3">
      <c r="B842" s="223" t="s">
        <v>2470</v>
      </c>
      <c r="C842" s="224">
        <v>6</v>
      </c>
      <c r="D842" s="225">
        <v>11</v>
      </c>
      <c r="E842" s="226">
        <v>30038</v>
      </c>
      <c r="F842" s="109"/>
      <c r="G842" s="1" t="str">
        <f>IFERROR(IF(ventas_b_mes12[[#This Row],[CUIT]]="","-",VLOOKUP(ventas_b_mes12[[#This Row],[CUIT]],Lista_CUIT[#All],2,0)),"CUIT NO CARGADO")</f>
        <v>-</v>
      </c>
      <c r="H842" s="96">
        <f>ventas_b_mes12[[#This Row],[TOTAL]]/1.21</f>
        <v>3644.6280991735539</v>
      </c>
      <c r="I842" s="60">
        <f>ventas_b_mes12[[#This Row],[IMPORTE NETO]]*0.21</f>
        <v>765.37190082644634</v>
      </c>
      <c r="J842" s="229"/>
      <c r="K842" s="229"/>
      <c r="L842" s="229">
        <v>4410</v>
      </c>
      <c r="M842" s="55"/>
    </row>
    <row r="843" spans="2:13" x14ac:dyDescent="0.3">
      <c r="B843" s="223" t="s">
        <v>2470</v>
      </c>
      <c r="C843" s="224">
        <v>6</v>
      </c>
      <c r="D843" s="225">
        <v>13</v>
      </c>
      <c r="E843" s="226">
        <v>26723</v>
      </c>
      <c r="F843" s="109"/>
      <c r="G843" s="1" t="str">
        <f>IFERROR(IF(ventas_b_mes12[[#This Row],[CUIT]]="","-",VLOOKUP(ventas_b_mes12[[#This Row],[CUIT]],Lista_CUIT[#All],2,0)),"CUIT NO CARGADO")</f>
        <v>-</v>
      </c>
      <c r="H843" s="96">
        <f>ventas_b_mes12[[#This Row],[TOTAL]]/1.21</f>
        <v>4958.6776859504134</v>
      </c>
      <c r="I843" s="60">
        <f>ventas_b_mes12[[#This Row],[IMPORTE NETO]]*0.21</f>
        <v>1041.3223140495868</v>
      </c>
      <c r="J843" s="229"/>
      <c r="K843" s="229"/>
      <c r="L843" s="229">
        <v>6000</v>
      </c>
      <c r="M843" s="55"/>
    </row>
    <row r="844" spans="2:13" x14ac:dyDescent="0.3">
      <c r="B844" s="223" t="s">
        <v>2470</v>
      </c>
      <c r="C844" s="224">
        <v>6</v>
      </c>
      <c r="D844" s="225">
        <v>13</v>
      </c>
      <c r="E844" s="226">
        <v>26724</v>
      </c>
      <c r="F844" s="109"/>
      <c r="G844" s="1" t="str">
        <f>IFERROR(IF(ventas_b_mes12[[#This Row],[CUIT]]="","-",VLOOKUP(ventas_b_mes12[[#This Row],[CUIT]],Lista_CUIT[#All],2,0)),"CUIT NO CARGADO")</f>
        <v>-</v>
      </c>
      <c r="H844" s="96">
        <f>ventas_b_mes12[[#This Row],[TOTAL]]/1.21</f>
        <v>2148.7603305785124</v>
      </c>
      <c r="I844" s="60">
        <f>ventas_b_mes12[[#This Row],[IMPORTE NETO]]*0.21</f>
        <v>451.23966942148758</v>
      </c>
      <c r="J844" s="229"/>
      <c r="K844" s="229"/>
      <c r="L844" s="229">
        <v>2600</v>
      </c>
      <c r="M844" s="55"/>
    </row>
    <row r="845" spans="2:13" x14ac:dyDescent="0.3">
      <c r="B845" s="223" t="s">
        <v>2470</v>
      </c>
      <c r="C845" s="224">
        <v>6</v>
      </c>
      <c r="D845" s="225">
        <v>11</v>
      </c>
      <c r="E845" s="226">
        <v>30039</v>
      </c>
      <c r="F845" s="109"/>
      <c r="G845" s="1" t="str">
        <f>IFERROR(IF(ventas_b_mes12[[#This Row],[CUIT]]="","-",VLOOKUP(ventas_b_mes12[[#This Row],[CUIT]],Lista_CUIT[#All],2,0)),"CUIT NO CARGADO")</f>
        <v>-</v>
      </c>
      <c r="H845" s="96">
        <f>ventas_b_mes12[[#This Row],[TOTAL]]/1.21</f>
        <v>6600.5371900826449</v>
      </c>
      <c r="I845" s="60">
        <f>ventas_b_mes12[[#This Row],[IMPORTE NETO]]*0.21</f>
        <v>1386.1128099173554</v>
      </c>
      <c r="J845" s="229"/>
      <c r="K845" s="229"/>
      <c r="L845" s="229">
        <v>7986.65</v>
      </c>
      <c r="M845" s="55"/>
    </row>
    <row r="846" spans="2:13" x14ac:dyDescent="0.3">
      <c r="B846" s="223" t="s">
        <v>2470</v>
      </c>
      <c r="C846" s="224">
        <v>6</v>
      </c>
      <c r="D846" s="225">
        <v>13</v>
      </c>
      <c r="E846" s="226">
        <v>26725</v>
      </c>
      <c r="F846" s="109"/>
      <c r="G846" s="1" t="str">
        <f>IFERROR(IF(ventas_b_mes12[[#This Row],[CUIT]]="","-",VLOOKUP(ventas_b_mes12[[#This Row],[CUIT]],Lista_CUIT[#All],2,0)),"CUIT NO CARGADO")</f>
        <v>-</v>
      </c>
      <c r="H846" s="96">
        <f>ventas_b_mes12[[#This Row],[TOTAL]]/1.21</f>
        <v>11834.694214876034</v>
      </c>
      <c r="I846" s="60">
        <f>ventas_b_mes12[[#This Row],[IMPORTE NETO]]*0.21</f>
        <v>2485.2857851239669</v>
      </c>
      <c r="J846" s="229"/>
      <c r="K846" s="229"/>
      <c r="L846" s="229">
        <v>14319.98</v>
      </c>
      <c r="M846" s="55"/>
    </row>
    <row r="847" spans="2:13" x14ac:dyDescent="0.3">
      <c r="B847" s="223" t="s">
        <v>2470</v>
      </c>
      <c r="C847" s="224">
        <v>6</v>
      </c>
      <c r="D847" s="225">
        <v>13</v>
      </c>
      <c r="E847" s="226">
        <v>26726</v>
      </c>
      <c r="F847" s="109"/>
      <c r="G847" s="1" t="str">
        <f>IFERROR(IF(ventas_b_mes12[[#This Row],[CUIT]]="","-",VLOOKUP(ventas_b_mes12[[#This Row],[CUIT]],Lista_CUIT[#All],2,0)),"CUIT NO CARGADO")</f>
        <v>-</v>
      </c>
      <c r="H847" s="96">
        <f>ventas_b_mes12[[#This Row],[TOTAL]]/1.21</f>
        <v>14314.04958677686</v>
      </c>
      <c r="I847" s="60">
        <f>ventas_b_mes12[[#This Row],[IMPORTE NETO]]*0.21</f>
        <v>3005.9504132231405</v>
      </c>
      <c r="J847" s="229"/>
      <c r="K847" s="229"/>
      <c r="L847" s="229">
        <v>17320</v>
      </c>
      <c r="M847" s="55"/>
    </row>
    <row r="848" spans="2:13" x14ac:dyDescent="0.3">
      <c r="B848" s="223" t="s">
        <v>2470</v>
      </c>
      <c r="C848" s="224">
        <v>6</v>
      </c>
      <c r="D848" s="225">
        <v>13</v>
      </c>
      <c r="E848" s="226">
        <v>26728</v>
      </c>
      <c r="F848" s="109"/>
      <c r="G848" s="1" t="str">
        <f>IFERROR(IF(ventas_b_mes12[[#This Row],[CUIT]]="","-",VLOOKUP(ventas_b_mes12[[#This Row],[CUIT]],Lista_CUIT[#All],2,0)),"CUIT NO CARGADO")</f>
        <v>-</v>
      </c>
      <c r="H848" s="96">
        <f>ventas_b_mes12[[#This Row],[TOTAL]]/1.21</f>
        <v>18677.677685950413</v>
      </c>
      <c r="I848" s="60">
        <f>ventas_b_mes12[[#This Row],[IMPORTE NETO]]*0.21</f>
        <v>3922.3123140495868</v>
      </c>
      <c r="J848" s="229"/>
      <c r="K848" s="229"/>
      <c r="L848" s="229">
        <v>22599.99</v>
      </c>
      <c r="M848" s="55"/>
    </row>
    <row r="849" spans="2:13" x14ac:dyDescent="0.3">
      <c r="B849" s="223" t="s">
        <v>2470</v>
      </c>
      <c r="C849" s="224">
        <v>6</v>
      </c>
      <c r="D849" s="225">
        <v>11</v>
      </c>
      <c r="E849" s="226">
        <v>30050</v>
      </c>
      <c r="F849" s="109"/>
      <c r="G849" s="1" t="str">
        <f>IFERROR(IF(ventas_b_mes12[[#This Row],[CUIT]]="","-",VLOOKUP(ventas_b_mes12[[#This Row],[CUIT]],Lista_CUIT[#All],2,0)),"CUIT NO CARGADO")</f>
        <v>-</v>
      </c>
      <c r="H849" s="96">
        <f>ventas_b_mes12[[#This Row],[TOTAL]]/1.21</f>
        <v>2247.9338842975208</v>
      </c>
      <c r="I849" s="60">
        <f>ventas_b_mes12[[#This Row],[IMPORTE NETO]]*0.21</f>
        <v>472.06611570247935</v>
      </c>
      <c r="J849" s="229"/>
      <c r="K849" s="229"/>
      <c r="L849" s="229">
        <v>2720</v>
      </c>
      <c r="M849" s="55"/>
    </row>
    <row r="850" spans="2:13" x14ac:dyDescent="0.3">
      <c r="B850" s="223" t="s">
        <v>2470</v>
      </c>
      <c r="C850" s="224">
        <v>6</v>
      </c>
      <c r="D850" s="225">
        <v>11</v>
      </c>
      <c r="E850" s="226">
        <v>30047</v>
      </c>
      <c r="F850" s="109"/>
      <c r="G850" s="1" t="str">
        <f>IFERROR(IF(ventas_b_mes12[[#This Row],[CUIT]]="","-",VLOOKUP(ventas_b_mes12[[#This Row],[CUIT]],Lista_CUIT[#All],2,0)),"CUIT NO CARGADO")</f>
        <v>-</v>
      </c>
      <c r="H850" s="96">
        <f>ventas_b_mes12[[#This Row],[TOTAL]]/1.21</f>
        <v>20909.099173553717</v>
      </c>
      <c r="I850" s="60">
        <f>ventas_b_mes12[[#This Row],[IMPORTE NETO]]*0.21</f>
        <v>4390.9108264462802</v>
      </c>
      <c r="J850" s="229"/>
      <c r="K850" s="229"/>
      <c r="L850" s="229">
        <v>25300.01</v>
      </c>
      <c r="M850" s="55"/>
    </row>
    <row r="851" spans="2:13" x14ac:dyDescent="0.3">
      <c r="B851" s="223" t="s">
        <v>2470</v>
      </c>
      <c r="C851" s="224">
        <v>6</v>
      </c>
      <c r="D851" s="225">
        <v>10</v>
      </c>
      <c r="E851" s="226">
        <v>43818</v>
      </c>
      <c r="F851" s="109"/>
      <c r="G851" s="1" t="str">
        <f>IFERROR(IF(ventas_b_mes12[[#This Row],[CUIT]]="","-",VLOOKUP(ventas_b_mes12[[#This Row],[CUIT]],Lista_CUIT[#All],2,0)),"CUIT NO CARGADO")</f>
        <v>-</v>
      </c>
      <c r="H851" s="96">
        <f>ventas_b_mes12[[#This Row],[TOTAL]]/1.21</f>
        <v>1264.4628099173553</v>
      </c>
      <c r="I851" s="60">
        <f>ventas_b_mes12[[#This Row],[IMPORTE NETO]]*0.21</f>
        <v>265.5371900826446</v>
      </c>
      <c r="J851" s="229"/>
      <c r="K851" s="229"/>
      <c r="L851" s="229">
        <v>1530</v>
      </c>
      <c r="M851" s="55"/>
    </row>
    <row r="852" spans="2:13" x14ac:dyDescent="0.3">
      <c r="B852" s="223" t="s">
        <v>2470</v>
      </c>
      <c r="C852" s="224">
        <v>6</v>
      </c>
      <c r="D852" s="225">
        <v>10</v>
      </c>
      <c r="E852" s="226">
        <v>43819</v>
      </c>
      <c r="F852" s="109"/>
      <c r="G852" s="1" t="str">
        <f>IFERROR(IF(ventas_b_mes12[[#This Row],[CUIT]]="","-",VLOOKUP(ventas_b_mes12[[#This Row],[CUIT]],Lista_CUIT[#All],2,0)),"CUIT NO CARGADO")</f>
        <v>-</v>
      </c>
      <c r="H852" s="96">
        <f>ventas_b_mes12[[#This Row],[TOTAL]]/1.21</f>
        <v>22828.933884297519</v>
      </c>
      <c r="I852" s="60">
        <f>ventas_b_mes12[[#This Row],[IMPORTE NETO]]*0.21</f>
        <v>4794.076115702479</v>
      </c>
      <c r="J852" s="229"/>
      <c r="K852" s="229"/>
      <c r="L852" s="229">
        <v>27623.01</v>
      </c>
      <c r="M852" s="55"/>
    </row>
    <row r="853" spans="2:13" x14ac:dyDescent="0.3">
      <c r="B853" s="223" t="s">
        <v>2470</v>
      </c>
      <c r="C853" s="224">
        <v>6</v>
      </c>
      <c r="D853" s="225">
        <v>12</v>
      </c>
      <c r="E853" s="226">
        <v>22469</v>
      </c>
      <c r="F853" s="109"/>
      <c r="G853" s="1" t="str">
        <f>IFERROR(IF(ventas_b_mes12[[#This Row],[CUIT]]="","-",VLOOKUP(ventas_b_mes12[[#This Row],[CUIT]],Lista_CUIT[#All],2,0)),"CUIT NO CARGADO")</f>
        <v>-</v>
      </c>
      <c r="H853" s="96">
        <f>ventas_b_mes12[[#This Row],[TOTAL]]/1.21</f>
        <v>4545.454545454546</v>
      </c>
      <c r="I853" s="60">
        <f>ventas_b_mes12[[#This Row],[IMPORTE NETO]]*0.21</f>
        <v>954.54545454545462</v>
      </c>
      <c r="J853" s="229"/>
      <c r="K853" s="229"/>
      <c r="L853" s="229">
        <v>5500</v>
      </c>
      <c r="M853" s="55"/>
    </row>
    <row r="854" spans="2:13" x14ac:dyDescent="0.3">
      <c r="B854" s="223" t="s">
        <v>2470</v>
      </c>
      <c r="C854" s="224">
        <v>6</v>
      </c>
      <c r="D854" s="225">
        <v>11</v>
      </c>
      <c r="E854" s="226">
        <v>30042</v>
      </c>
      <c r="F854" s="109"/>
      <c r="G854" s="1" t="str">
        <f>IFERROR(IF(ventas_b_mes12[[#This Row],[CUIT]]="","-",VLOOKUP(ventas_b_mes12[[#This Row],[CUIT]],Lista_CUIT[#All],2,0)),"CUIT NO CARGADO")</f>
        <v>-</v>
      </c>
      <c r="H854" s="96">
        <f>ventas_b_mes12[[#This Row],[TOTAL]]/1.21</f>
        <v>2423.5537190082646</v>
      </c>
      <c r="I854" s="60">
        <f>ventas_b_mes12[[#This Row],[IMPORTE NETO]]*0.21</f>
        <v>508.94628099173553</v>
      </c>
      <c r="J854" s="229"/>
      <c r="K854" s="229"/>
      <c r="L854" s="229">
        <v>2932.5</v>
      </c>
      <c r="M854" s="55"/>
    </row>
    <row r="855" spans="2:13" x14ac:dyDescent="0.3">
      <c r="B855" s="223" t="s">
        <v>2470</v>
      </c>
      <c r="C855" s="224">
        <v>6</v>
      </c>
      <c r="D855" s="225">
        <v>11</v>
      </c>
      <c r="E855" s="226">
        <v>30044</v>
      </c>
      <c r="F855" s="109"/>
      <c r="G855" s="1" t="str">
        <f>IFERROR(IF(ventas_b_mes12[[#This Row],[CUIT]]="","-",VLOOKUP(ventas_b_mes12[[#This Row],[CUIT]],Lista_CUIT[#All],2,0)),"CUIT NO CARGADO")</f>
        <v>-</v>
      </c>
      <c r="H855" s="96">
        <f>ventas_b_mes12[[#This Row],[TOTAL]]/1.21</f>
        <v>1679.7520661157025</v>
      </c>
      <c r="I855" s="60">
        <f>ventas_b_mes12[[#This Row],[IMPORTE NETO]]*0.21</f>
        <v>352.74793388429754</v>
      </c>
      <c r="J855" s="229"/>
      <c r="K855" s="229"/>
      <c r="L855" s="229">
        <v>2032.5</v>
      </c>
      <c r="M855" s="55"/>
    </row>
    <row r="856" spans="2:13" x14ac:dyDescent="0.3">
      <c r="B856" s="223" t="s">
        <v>2470</v>
      </c>
      <c r="C856" s="224">
        <v>6</v>
      </c>
      <c r="D856" s="225">
        <v>11</v>
      </c>
      <c r="E856" s="226">
        <v>30043</v>
      </c>
      <c r="F856" s="109"/>
      <c r="G856" s="1" t="str">
        <f>IFERROR(IF(ventas_b_mes12[[#This Row],[CUIT]]="","-",VLOOKUP(ventas_b_mes12[[#This Row],[CUIT]],Lista_CUIT[#All],2,0)),"CUIT NO CARGADO")</f>
        <v>-</v>
      </c>
      <c r="H856" s="96">
        <f>ventas_b_mes12[[#This Row],[TOTAL]]/1.21</f>
        <v>3301.6528925619837</v>
      </c>
      <c r="I856" s="60">
        <f>ventas_b_mes12[[#This Row],[IMPORTE NETO]]*0.21</f>
        <v>693.34710743801656</v>
      </c>
      <c r="J856" s="229"/>
      <c r="K856" s="229"/>
      <c r="L856" s="229">
        <v>3995</v>
      </c>
      <c r="M856" s="55"/>
    </row>
    <row r="857" spans="2:13" x14ac:dyDescent="0.3">
      <c r="B857" s="223" t="s">
        <v>2470</v>
      </c>
      <c r="C857" s="224">
        <v>6</v>
      </c>
      <c r="D857" s="225">
        <v>10</v>
      </c>
      <c r="E857" s="226">
        <v>43815</v>
      </c>
      <c r="F857" s="109"/>
      <c r="G857" s="1" t="str">
        <f>IFERROR(IF(ventas_b_mes12[[#This Row],[CUIT]]="","-",VLOOKUP(ventas_b_mes12[[#This Row],[CUIT]],Lista_CUIT[#All],2,0)),"CUIT NO CARGADO")</f>
        <v>-</v>
      </c>
      <c r="H857" s="96">
        <f>ventas_b_mes12[[#This Row],[TOTAL]]/1.21</f>
        <v>4958.6776859504134</v>
      </c>
      <c r="I857" s="60">
        <f>ventas_b_mes12[[#This Row],[IMPORTE NETO]]*0.21</f>
        <v>1041.3223140495868</v>
      </c>
      <c r="J857" s="229"/>
      <c r="K857" s="229"/>
      <c r="L857" s="229">
        <v>6000</v>
      </c>
      <c r="M857" s="55"/>
    </row>
    <row r="858" spans="2:13" x14ac:dyDescent="0.3">
      <c r="B858" s="223" t="s">
        <v>2470</v>
      </c>
      <c r="C858" s="224">
        <v>6</v>
      </c>
      <c r="D858" s="225">
        <v>11</v>
      </c>
      <c r="E858" s="226">
        <v>30035</v>
      </c>
      <c r="F858" s="109"/>
      <c r="G858" s="1" t="str">
        <f>IFERROR(IF(ventas_b_mes12[[#This Row],[CUIT]]="","-",VLOOKUP(ventas_b_mes12[[#This Row],[CUIT]],Lista_CUIT[#All],2,0)),"CUIT NO CARGADO")</f>
        <v>-</v>
      </c>
      <c r="H858" s="96">
        <f>ventas_b_mes12[[#This Row],[TOTAL]]/1.21</f>
        <v>4591.7355371900831</v>
      </c>
      <c r="I858" s="60">
        <f>ventas_b_mes12[[#This Row],[IMPORTE NETO]]*0.21</f>
        <v>964.2644628099174</v>
      </c>
      <c r="J858" s="229"/>
      <c r="K858" s="229"/>
      <c r="L858" s="229">
        <v>5556</v>
      </c>
      <c r="M858" s="55"/>
    </row>
    <row r="859" spans="2:13" x14ac:dyDescent="0.3">
      <c r="B859" s="223" t="s">
        <v>2470</v>
      </c>
      <c r="C859" s="224">
        <v>6</v>
      </c>
      <c r="D859" s="225">
        <v>10</v>
      </c>
      <c r="E859" s="226">
        <v>43816</v>
      </c>
      <c r="F859" s="109"/>
      <c r="G859" s="1" t="str">
        <f>IFERROR(IF(ventas_b_mes12[[#This Row],[CUIT]]="","-",VLOOKUP(ventas_b_mes12[[#This Row],[CUIT]],Lista_CUIT[#All],2,0)),"CUIT NO CARGADO")</f>
        <v>-</v>
      </c>
      <c r="H859" s="96">
        <f>ventas_b_mes12[[#This Row],[TOTAL]]/1.21</f>
        <v>5675.6280991735539</v>
      </c>
      <c r="I859" s="60">
        <f>ventas_b_mes12[[#This Row],[IMPORTE NETO]]*0.21</f>
        <v>1191.8819008264463</v>
      </c>
      <c r="J859" s="229"/>
      <c r="K859" s="229"/>
      <c r="L859" s="229">
        <v>6867.51</v>
      </c>
      <c r="M859" s="55"/>
    </row>
    <row r="860" spans="2:13" x14ac:dyDescent="0.3">
      <c r="B860" s="223" t="s">
        <v>2470</v>
      </c>
      <c r="C860" s="224">
        <v>6</v>
      </c>
      <c r="D860" s="225">
        <v>11</v>
      </c>
      <c r="E860" s="226">
        <v>30046</v>
      </c>
      <c r="F860" s="109"/>
      <c r="G860" s="1" t="str">
        <f>IFERROR(IF(ventas_b_mes12[[#This Row],[CUIT]]="","-",VLOOKUP(ventas_b_mes12[[#This Row],[CUIT]],Lista_CUIT[#All],2,0)),"CUIT NO CARGADO")</f>
        <v>-</v>
      </c>
      <c r="H860" s="96">
        <f>ventas_b_mes12[[#This Row],[TOTAL]]/1.21</f>
        <v>4545.454545454546</v>
      </c>
      <c r="I860" s="60">
        <f>ventas_b_mes12[[#This Row],[IMPORTE NETO]]*0.21</f>
        <v>954.54545454545462</v>
      </c>
      <c r="J860" s="229"/>
      <c r="K860" s="229"/>
      <c r="L860" s="229">
        <v>5500</v>
      </c>
      <c r="M860" s="55"/>
    </row>
    <row r="861" spans="2:13" x14ac:dyDescent="0.3">
      <c r="B861" s="223" t="s">
        <v>2470</v>
      </c>
      <c r="C861" s="37">
        <v>6</v>
      </c>
      <c r="D861" s="225">
        <v>11</v>
      </c>
      <c r="E861" s="226">
        <v>30048</v>
      </c>
      <c r="F861" s="109"/>
      <c r="G861" s="1" t="str">
        <f>IFERROR(IF(ventas_b_mes12[[#This Row],[CUIT]]="","-",VLOOKUP(ventas_b_mes12[[#This Row],[CUIT]],Lista_CUIT[#All],2,0)),"CUIT NO CARGADO")</f>
        <v>-</v>
      </c>
      <c r="H861" s="96">
        <f>ventas_b_mes12[[#This Row],[TOTAL]]/1.21</f>
        <v>6909.090909090909</v>
      </c>
      <c r="I861" s="60">
        <f>ventas_b_mes12[[#This Row],[IMPORTE NETO]]*0.21</f>
        <v>1450.9090909090908</v>
      </c>
      <c r="J861" s="229"/>
      <c r="K861" s="229"/>
      <c r="L861" s="229">
        <v>8360</v>
      </c>
      <c r="M861" s="55"/>
    </row>
    <row r="862" spans="2:13" x14ac:dyDescent="0.3">
      <c r="B862" s="223" t="s">
        <v>2470</v>
      </c>
      <c r="C862" s="37">
        <v>6</v>
      </c>
      <c r="D862" s="225">
        <v>12</v>
      </c>
      <c r="E862" s="226">
        <v>22468</v>
      </c>
      <c r="F862" s="109"/>
      <c r="G862" s="1" t="str">
        <f>IFERROR(IF(ventas_b_mes12[[#This Row],[CUIT]]="","-",VLOOKUP(ventas_b_mes12[[#This Row],[CUIT]],Lista_CUIT[#All],2,0)),"CUIT NO CARGADO")</f>
        <v>-</v>
      </c>
      <c r="H862" s="96">
        <f>ventas_b_mes12[[#This Row],[TOTAL]]/1.21</f>
        <v>4545.454545454546</v>
      </c>
      <c r="I862" s="60">
        <f>ventas_b_mes12[[#This Row],[IMPORTE NETO]]*0.21</f>
        <v>954.54545454545462</v>
      </c>
      <c r="J862" s="229"/>
      <c r="K862" s="229"/>
      <c r="L862" s="229">
        <v>5500</v>
      </c>
      <c r="M862" s="55"/>
    </row>
    <row r="863" spans="2:13" x14ac:dyDescent="0.3">
      <c r="B863" s="223" t="s">
        <v>2470</v>
      </c>
      <c r="C863" s="37">
        <v>6</v>
      </c>
      <c r="D863" s="225">
        <v>11</v>
      </c>
      <c r="E863" s="226">
        <v>30049</v>
      </c>
      <c r="F863" s="109"/>
      <c r="G863" s="1" t="str">
        <f>IFERROR(IF(ventas_b_mes12[[#This Row],[CUIT]]="","-",VLOOKUP(ventas_b_mes12[[#This Row],[CUIT]],Lista_CUIT[#All],2,0)),"CUIT NO CARGADO")</f>
        <v>-</v>
      </c>
      <c r="H863" s="96">
        <f>ventas_b_mes12[[#This Row],[TOTAL]]/1.21</f>
        <v>4088.4297520661157</v>
      </c>
      <c r="I863" s="60">
        <f>ventas_b_mes12[[#This Row],[IMPORTE NETO]]*0.21</f>
        <v>858.57024793388427</v>
      </c>
      <c r="J863" s="229"/>
      <c r="K863" s="229"/>
      <c r="L863" s="229">
        <v>4947</v>
      </c>
      <c r="M863" s="55"/>
    </row>
    <row r="864" spans="2:13" x14ac:dyDescent="0.3">
      <c r="B864" s="223" t="s">
        <v>2470</v>
      </c>
      <c r="C864" s="37">
        <v>6</v>
      </c>
      <c r="D864" s="225">
        <v>10</v>
      </c>
      <c r="E864" s="226">
        <v>43814</v>
      </c>
      <c r="F864" s="109"/>
      <c r="G864" s="1" t="str">
        <f>IFERROR(IF(ventas_b_mes12[[#This Row],[CUIT]]="","-",VLOOKUP(ventas_b_mes12[[#This Row],[CUIT]],Lista_CUIT[#All],2,0)),"CUIT NO CARGADO")</f>
        <v>-</v>
      </c>
      <c r="H864" s="96">
        <f>ventas_b_mes12[[#This Row],[TOTAL]]/1.21</f>
        <v>4958.6776859504134</v>
      </c>
      <c r="I864" s="60">
        <f>ventas_b_mes12[[#This Row],[IMPORTE NETO]]*0.21</f>
        <v>1041.3223140495868</v>
      </c>
      <c r="J864" s="229"/>
      <c r="K864" s="229"/>
      <c r="L864" s="229">
        <v>6000</v>
      </c>
      <c r="M864" s="55"/>
    </row>
    <row r="865" spans="2:13" x14ac:dyDescent="0.3">
      <c r="B865" s="223" t="s">
        <v>2470</v>
      </c>
      <c r="C865" s="37">
        <v>6</v>
      </c>
      <c r="D865" s="225">
        <v>12</v>
      </c>
      <c r="E865" s="226">
        <v>22470</v>
      </c>
      <c r="F865" s="109"/>
      <c r="G865" s="1" t="str">
        <f>IFERROR(IF(ventas_b_mes12[[#This Row],[CUIT]]="","-",VLOOKUP(ventas_b_mes12[[#This Row],[CUIT]],Lista_CUIT[#All],2,0)),"CUIT NO CARGADO")</f>
        <v>-</v>
      </c>
      <c r="H865" s="96">
        <f>ventas_b_mes12[[#This Row],[TOTAL]]/1.21</f>
        <v>5814.0578512396696</v>
      </c>
      <c r="I865" s="60">
        <f>ventas_b_mes12[[#This Row],[IMPORTE NETO]]*0.21</f>
        <v>1220.9521487603306</v>
      </c>
      <c r="J865" s="229"/>
      <c r="K865" s="229"/>
      <c r="L865" s="229">
        <v>7035.01</v>
      </c>
      <c r="M865" s="55"/>
    </row>
    <row r="866" spans="2:13" x14ac:dyDescent="0.3">
      <c r="B866" s="223" t="s">
        <v>2470</v>
      </c>
      <c r="C866" s="37">
        <v>6</v>
      </c>
      <c r="D866" s="225">
        <v>12</v>
      </c>
      <c r="E866" s="226">
        <v>22471</v>
      </c>
      <c r="F866" s="109"/>
      <c r="G866" s="1" t="str">
        <f>IFERROR(IF(ventas_b_mes12[[#This Row],[CUIT]]="","-",VLOOKUP(ventas_b_mes12[[#This Row],[CUIT]],Lista_CUIT[#All],2,0)),"CUIT NO CARGADO")</f>
        <v>-</v>
      </c>
      <c r="H866" s="96">
        <f>ventas_b_mes12[[#This Row],[TOTAL]]/1.21</f>
        <v>3074.3801652892562</v>
      </c>
      <c r="I866" s="60">
        <f>ventas_b_mes12[[#This Row],[IMPORTE NETO]]*0.21</f>
        <v>645.61983471074382</v>
      </c>
      <c r="J866" s="229"/>
      <c r="K866" s="229"/>
      <c r="L866" s="229">
        <v>3720</v>
      </c>
      <c r="M866" s="55"/>
    </row>
    <row r="867" spans="2:13" x14ac:dyDescent="0.3">
      <c r="B867" s="223" t="s">
        <v>2470</v>
      </c>
      <c r="C867" s="37">
        <v>6</v>
      </c>
      <c r="D867" s="225">
        <v>15</v>
      </c>
      <c r="E867" s="226">
        <v>7192</v>
      </c>
      <c r="F867" s="109"/>
      <c r="G867" s="1" t="str">
        <f>IFERROR(IF(ventas_b_mes12[[#This Row],[CUIT]]="","-",VLOOKUP(ventas_b_mes12[[#This Row],[CUIT]],Lista_CUIT[#All],2,0)),"CUIT NO CARGADO")</f>
        <v>-</v>
      </c>
      <c r="H867" s="96">
        <f>ventas_b_mes12[[#This Row],[TOTAL]]/1.21</f>
        <v>13897.545454545454</v>
      </c>
      <c r="I867" s="60">
        <f>ventas_b_mes12[[#This Row],[IMPORTE NETO]]*0.21</f>
        <v>2918.4845454545452</v>
      </c>
      <c r="J867" s="229"/>
      <c r="K867" s="229"/>
      <c r="L867" s="229">
        <v>16816.03</v>
      </c>
      <c r="M867" s="55"/>
    </row>
    <row r="868" spans="2:13" x14ac:dyDescent="0.3">
      <c r="B868" s="223" t="s">
        <v>2470</v>
      </c>
      <c r="C868" s="37">
        <v>6</v>
      </c>
      <c r="D868" s="225">
        <v>10</v>
      </c>
      <c r="E868" s="226">
        <v>43817</v>
      </c>
      <c r="F868" s="109"/>
      <c r="G868" s="1" t="str">
        <f>IFERROR(IF(ventas_b_mes12[[#This Row],[CUIT]]="","-",VLOOKUP(ventas_b_mes12[[#This Row],[CUIT]],Lista_CUIT[#All],2,0)),"CUIT NO CARGADO")</f>
        <v>-</v>
      </c>
      <c r="H868" s="96">
        <f>ventas_b_mes12[[#This Row],[TOTAL]]/1.21</f>
        <v>4176.8595041322315</v>
      </c>
      <c r="I868" s="60">
        <f>ventas_b_mes12[[#This Row],[IMPORTE NETO]]*0.21</f>
        <v>877.14049586776855</v>
      </c>
      <c r="J868" s="229"/>
      <c r="K868" s="229"/>
      <c r="L868" s="229">
        <v>5054</v>
      </c>
      <c r="M868" s="55"/>
    </row>
    <row r="869" spans="2:13" x14ac:dyDescent="0.3">
      <c r="B869" s="223" t="s">
        <v>2470</v>
      </c>
      <c r="C869" s="37">
        <v>6</v>
      </c>
      <c r="D869" s="225">
        <v>12</v>
      </c>
      <c r="E869" s="226">
        <v>22472</v>
      </c>
      <c r="F869" s="109"/>
      <c r="G869" s="1" t="str">
        <f>IFERROR(IF(ventas_b_mes12[[#This Row],[CUIT]]="","-",VLOOKUP(ventas_b_mes12[[#This Row],[CUIT]],Lista_CUIT[#All],2,0)),"CUIT NO CARGADO")</f>
        <v>-</v>
      </c>
      <c r="H869" s="96">
        <f>ventas_b_mes12[[#This Row],[TOTAL]]/1.21</f>
        <v>1434.7107438016528</v>
      </c>
      <c r="I869" s="60">
        <f>ventas_b_mes12[[#This Row],[IMPORTE NETO]]*0.21</f>
        <v>301.28925619834706</v>
      </c>
      <c r="J869" s="229"/>
      <c r="K869" s="229"/>
      <c r="L869" s="229">
        <v>1736</v>
      </c>
      <c r="M869" s="55"/>
    </row>
    <row r="870" spans="2:13" x14ac:dyDescent="0.3">
      <c r="B870" s="223" t="s">
        <v>2470</v>
      </c>
      <c r="C870" s="37">
        <v>6</v>
      </c>
      <c r="D870" s="225">
        <v>11</v>
      </c>
      <c r="E870" s="226">
        <v>30034</v>
      </c>
      <c r="F870" s="109"/>
      <c r="G870" s="1" t="str">
        <f>IFERROR(IF(ventas_b_mes12[[#This Row],[CUIT]]="","-",VLOOKUP(ventas_b_mes12[[#This Row],[CUIT]],Lista_CUIT[#All],2,0)),"CUIT NO CARGADO")</f>
        <v>-</v>
      </c>
      <c r="H870" s="96">
        <f>ventas_b_mes12[[#This Row],[TOTAL]]/1.21</f>
        <v>5487.6033057851246</v>
      </c>
      <c r="I870" s="60">
        <f>ventas_b_mes12[[#This Row],[IMPORTE NETO]]*0.21</f>
        <v>1152.3966942148761</v>
      </c>
      <c r="J870" s="229"/>
      <c r="K870" s="229"/>
      <c r="L870" s="229">
        <v>6640</v>
      </c>
      <c r="M870" s="55"/>
    </row>
    <row r="871" spans="2:13" x14ac:dyDescent="0.3">
      <c r="B871" s="223" t="s">
        <v>2470</v>
      </c>
      <c r="C871" s="37">
        <v>6</v>
      </c>
      <c r="D871" s="225">
        <v>13</v>
      </c>
      <c r="E871" s="226">
        <v>26727</v>
      </c>
      <c r="F871" s="109"/>
      <c r="G871" s="1" t="str">
        <f>IFERROR(IF(ventas_b_mes12[[#This Row],[CUIT]]="","-",VLOOKUP(ventas_b_mes12[[#This Row],[CUIT]],Lista_CUIT[#All],2,0)),"CUIT NO CARGADO")</f>
        <v>-</v>
      </c>
      <c r="H871" s="96">
        <f>ventas_b_mes12[[#This Row],[TOTAL]]/1.21</f>
        <v>13454.545454545454</v>
      </c>
      <c r="I871" s="60">
        <f>ventas_b_mes12[[#This Row],[IMPORTE NETO]]*0.21</f>
        <v>2825.454545454545</v>
      </c>
      <c r="J871" s="229"/>
      <c r="K871" s="229"/>
      <c r="L871" s="229">
        <v>16280</v>
      </c>
      <c r="M871" s="55"/>
    </row>
    <row r="872" spans="2:13" x14ac:dyDescent="0.3">
      <c r="B872" s="223" t="s">
        <v>2470</v>
      </c>
      <c r="C872" s="37">
        <v>6</v>
      </c>
      <c r="D872" s="225">
        <v>11</v>
      </c>
      <c r="E872" s="226">
        <v>30045</v>
      </c>
      <c r="F872" s="109"/>
      <c r="G872" s="1" t="str">
        <f>IFERROR(IF(ventas_b_mes12[[#This Row],[CUIT]]="","-",VLOOKUP(ventas_b_mes12[[#This Row],[CUIT]],Lista_CUIT[#All],2,0)),"CUIT NO CARGADO")</f>
        <v>-</v>
      </c>
      <c r="H872" s="96">
        <f>ventas_b_mes12[[#This Row],[TOTAL]]/1.21</f>
        <v>3925.6198347107438</v>
      </c>
      <c r="I872" s="60">
        <f>ventas_b_mes12[[#This Row],[IMPORTE NETO]]*0.21</f>
        <v>824.38016528925618</v>
      </c>
      <c r="J872" s="229"/>
      <c r="K872" s="229"/>
      <c r="L872" s="229">
        <v>4750</v>
      </c>
      <c r="M872" s="55"/>
    </row>
    <row r="873" spans="2:13" x14ac:dyDescent="0.3">
      <c r="B873" s="223" t="s">
        <v>2470</v>
      </c>
      <c r="C873" s="37">
        <v>6</v>
      </c>
      <c r="D873" s="225">
        <v>11</v>
      </c>
      <c r="E873" s="226">
        <v>30041</v>
      </c>
      <c r="F873" s="109"/>
      <c r="G873" s="1" t="str">
        <f>IFERROR(IF(ventas_b_mes12[[#This Row],[CUIT]]="","-",VLOOKUP(ventas_b_mes12[[#This Row],[CUIT]],Lista_CUIT[#All],2,0)),"CUIT NO CARGADO")</f>
        <v>-</v>
      </c>
      <c r="H873" s="96">
        <f>ventas_b_mes12[[#This Row],[TOTAL]]/1.21</f>
        <v>3442.1487603305786</v>
      </c>
      <c r="I873" s="60">
        <f>ventas_b_mes12[[#This Row],[IMPORTE NETO]]*0.21</f>
        <v>722.85123966942149</v>
      </c>
      <c r="J873" s="229"/>
      <c r="K873" s="229"/>
      <c r="L873" s="229">
        <v>4165</v>
      </c>
      <c r="M873" s="55"/>
    </row>
    <row r="874" spans="2:13" x14ac:dyDescent="0.3">
      <c r="B874" s="223" t="s">
        <v>2470</v>
      </c>
      <c r="C874" s="37">
        <v>6</v>
      </c>
      <c r="D874" s="225">
        <v>10</v>
      </c>
      <c r="E874" s="226">
        <v>43812</v>
      </c>
      <c r="F874" s="109"/>
      <c r="G874" s="1" t="str">
        <f>IFERROR(IF(ventas_b_mes12[[#This Row],[CUIT]]="","-",VLOOKUP(ventas_b_mes12[[#This Row],[CUIT]],Lista_CUIT[#All],2,0)),"CUIT NO CARGADO")</f>
        <v>-</v>
      </c>
      <c r="H874" s="96">
        <f>ventas_b_mes12[[#This Row],[TOTAL]]/1.21</f>
        <v>2454.5454545454545</v>
      </c>
      <c r="I874" s="60">
        <f>ventas_b_mes12[[#This Row],[IMPORTE NETO]]*0.21</f>
        <v>515.45454545454538</v>
      </c>
      <c r="J874" s="229"/>
      <c r="K874" s="229"/>
      <c r="L874" s="229">
        <v>2970</v>
      </c>
      <c r="M874" s="55"/>
    </row>
    <row r="875" spans="2:13" x14ac:dyDescent="0.3">
      <c r="B875" s="223" t="s">
        <v>2470</v>
      </c>
      <c r="C875" s="37">
        <v>6</v>
      </c>
      <c r="D875" s="225">
        <v>10</v>
      </c>
      <c r="E875" s="226">
        <v>43813</v>
      </c>
      <c r="F875" s="109"/>
      <c r="G875" s="1" t="str">
        <f>IFERROR(IF(ventas_b_mes12[[#This Row],[CUIT]]="","-",VLOOKUP(ventas_b_mes12[[#This Row],[CUIT]],Lista_CUIT[#All],2,0)),"CUIT NO CARGADO")</f>
        <v>-</v>
      </c>
      <c r="H875" s="96">
        <f>ventas_b_mes12[[#This Row],[TOTAL]]/1.21</f>
        <v>3719.0082644628101</v>
      </c>
      <c r="I875" s="60">
        <f>ventas_b_mes12[[#This Row],[IMPORTE NETO]]*0.21</f>
        <v>780.99173553719004</v>
      </c>
      <c r="J875" s="229"/>
      <c r="K875" s="229"/>
      <c r="L875" s="229">
        <v>4500</v>
      </c>
      <c r="M875" s="55"/>
    </row>
    <row r="876" spans="2:13" x14ac:dyDescent="0.3">
      <c r="B876" s="223" t="s">
        <v>2470</v>
      </c>
      <c r="C876" s="37">
        <v>6</v>
      </c>
      <c r="D876" s="225">
        <v>15</v>
      </c>
      <c r="E876" s="226">
        <v>7191</v>
      </c>
      <c r="F876" s="109"/>
      <c r="G876" s="1" t="str">
        <f>IFERROR(IF(ventas_b_mes12[[#This Row],[CUIT]]="","-",VLOOKUP(ventas_b_mes12[[#This Row],[CUIT]],Lista_CUIT[#All],2,0)),"CUIT NO CARGADO")</f>
        <v>-</v>
      </c>
      <c r="H876" s="96">
        <f>ventas_b_mes12[[#This Row],[TOTAL]]/1.21</f>
        <v>6012.3966942148763</v>
      </c>
      <c r="I876" s="60">
        <f>ventas_b_mes12[[#This Row],[IMPORTE NETO]]*0.21</f>
        <v>1262.6033057851239</v>
      </c>
      <c r="J876" s="229"/>
      <c r="K876" s="229"/>
      <c r="L876" s="229">
        <v>7275</v>
      </c>
      <c r="M876" s="55"/>
    </row>
    <row r="877" spans="2:13" x14ac:dyDescent="0.3">
      <c r="B877" s="223" t="s">
        <v>2471</v>
      </c>
      <c r="C877" s="37">
        <v>6</v>
      </c>
      <c r="D877" s="225">
        <v>13</v>
      </c>
      <c r="E877" s="226">
        <v>26729</v>
      </c>
      <c r="F877" s="109"/>
      <c r="G877" s="1" t="str">
        <f>IFERROR(IF(ventas_b_mes12[[#This Row],[CUIT]]="","-",VLOOKUP(ventas_b_mes12[[#This Row],[CUIT]],Lista_CUIT[#All],2,0)),"CUIT NO CARGADO")</f>
        <v>-</v>
      </c>
      <c r="H877" s="96">
        <f>ventas_b_mes12[[#This Row],[TOTAL]]/1.21</f>
        <v>2879.7355371900826</v>
      </c>
      <c r="I877" s="60">
        <f>ventas_b_mes12[[#This Row],[IMPORTE NETO]]*0.21</f>
        <v>604.74446280991731</v>
      </c>
      <c r="J877" s="229"/>
      <c r="K877" s="229"/>
      <c r="L877" s="229">
        <v>3484.48</v>
      </c>
      <c r="M877" s="55"/>
    </row>
    <row r="878" spans="2:13" x14ac:dyDescent="0.3">
      <c r="B878" s="223" t="s">
        <v>2471</v>
      </c>
      <c r="C878" s="37">
        <v>6</v>
      </c>
      <c r="D878" s="225">
        <v>10</v>
      </c>
      <c r="E878" s="226">
        <v>43828</v>
      </c>
      <c r="F878" s="109"/>
      <c r="G878" s="1" t="str">
        <f>IFERROR(IF(ventas_b_mes12[[#This Row],[CUIT]]="","-",VLOOKUP(ventas_b_mes12[[#This Row],[CUIT]],Lista_CUIT[#All],2,0)),"CUIT NO CARGADO")</f>
        <v>-</v>
      </c>
      <c r="H878" s="96">
        <f>ventas_b_mes12[[#This Row],[TOTAL]]/1.21</f>
        <v>3923.5537190082646</v>
      </c>
      <c r="I878" s="60">
        <f>ventas_b_mes12[[#This Row],[IMPORTE NETO]]*0.21</f>
        <v>823.94628099173553</v>
      </c>
      <c r="J878" s="229"/>
      <c r="K878" s="229"/>
      <c r="L878" s="229">
        <v>4747.5</v>
      </c>
      <c r="M878" s="55"/>
    </row>
    <row r="879" spans="2:13" x14ac:dyDescent="0.3">
      <c r="B879" s="223" t="s">
        <v>2471</v>
      </c>
      <c r="C879" s="37">
        <v>6</v>
      </c>
      <c r="D879" s="225">
        <v>11</v>
      </c>
      <c r="E879" s="226">
        <v>30057</v>
      </c>
      <c r="F879" s="109"/>
      <c r="G879" s="1" t="str">
        <f>IFERROR(IF(ventas_b_mes12[[#This Row],[CUIT]]="","-",VLOOKUP(ventas_b_mes12[[#This Row],[CUIT]],Lista_CUIT[#All],2,0)),"CUIT NO CARGADO")</f>
        <v>-</v>
      </c>
      <c r="H879" s="96">
        <f>ventas_b_mes12[[#This Row],[TOTAL]]/1.21</f>
        <v>3305.7851239669421</v>
      </c>
      <c r="I879" s="60">
        <f>ventas_b_mes12[[#This Row],[IMPORTE NETO]]*0.21</f>
        <v>694.21487603305786</v>
      </c>
      <c r="J879" s="229"/>
      <c r="K879" s="229"/>
      <c r="L879" s="229">
        <v>4000</v>
      </c>
      <c r="M879" s="55"/>
    </row>
    <row r="880" spans="2:13" x14ac:dyDescent="0.3">
      <c r="B880" s="223" t="s">
        <v>2471</v>
      </c>
      <c r="C880" s="37">
        <v>6</v>
      </c>
      <c r="D880" s="225">
        <v>12</v>
      </c>
      <c r="E880" s="226">
        <v>22498</v>
      </c>
      <c r="F880" s="109"/>
      <c r="G880" s="1" t="str">
        <f>IFERROR(IF(ventas_b_mes12[[#This Row],[CUIT]]="","-",VLOOKUP(ventas_b_mes12[[#This Row],[CUIT]],Lista_CUIT[#All],2,0)),"CUIT NO CARGADO")</f>
        <v>-</v>
      </c>
      <c r="H880" s="96">
        <f>ventas_b_mes12[[#This Row],[TOTAL]]/1.21</f>
        <v>2016.5289256198348</v>
      </c>
      <c r="I880" s="60">
        <f>ventas_b_mes12[[#This Row],[IMPORTE NETO]]*0.21</f>
        <v>423.47107438016531</v>
      </c>
      <c r="J880" s="229"/>
      <c r="K880" s="229"/>
      <c r="L880" s="229">
        <v>2440</v>
      </c>
      <c r="M880" s="55"/>
    </row>
    <row r="881" spans="2:13" x14ac:dyDescent="0.3">
      <c r="B881" s="223" t="s">
        <v>2471</v>
      </c>
      <c r="C881" s="37">
        <v>6</v>
      </c>
      <c r="D881" s="225">
        <v>10</v>
      </c>
      <c r="E881" s="226">
        <v>43842</v>
      </c>
      <c r="F881" s="109"/>
      <c r="G881" s="1" t="str">
        <f>IFERROR(IF(ventas_b_mes12[[#This Row],[CUIT]]="","-",VLOOKUP(ventas_b_mes12[[#This Row],[CUIT]],Lista_CUIT[#All],2,0)),"CUIT NO CARGADO")</f>
        <v>-</v>
      </c>
      <c r="H881" s="96">
        <f>ventas_b_mes12[[#This Row],[TOTAL]]/1.21</f>
        <v>3657.0247933884298</v>
      </c>
      <c r="I881" s="60">
        <f>ventas_b_mes12[[#This Row],[IMPORTE NETO]]*0.21</f>
        <v>767.97520661157023</v>
      </c>
      <c r="J881" s="229"/>
      <c r="K881" s="229"/>
      <c r="L881" s="229">
        <v>4425</v>
      </c>
      <c r="M881" s="55"/>
    </row>
    <row r="882" spans="2:13" x14ac:dyDescent="0.3">
      <c r="B882" s="223" t="s">
        <v>2471</v>
      </c>
      <c r="C882" s="37">
        <v>6</v>
      </c>
      <c r="D882" s="225">
        <v>12</v>
      </c>
      <c r="E882" s="226">
        <v>22475</v>
      </c>
      <c r="F882" s="109"/>
      <c r="G882" s="1" t="str">
        <f>IFERROR(IF(ventas_b_mes12[[#This Row],[CUIT]]="","-",VLOOKUP(ventas_b_mes12[[#This Row],[CUIT]],Lista_CUIT[#All],2,0)),"CUIT NO CARGADO")</f>
        <v>-</v>
      </c>
      <c r="H882" s="96">
        <f>ventas_b_mes12[[#This Row],[TOTAL]]/1.21</f>
        <v>6452.8925619834708</v>
      </c>
      <c r="I882" s="60">
        <f>ventas_b_mes12[[#This Row],[IMPORTE NETO]]*0.21</f>
        <v>1355.1074380165289</v>
      </c>
      <c r="J882" s="229"/>
      <c r="K882" s="229"/>
      <c r="L882" s="229">
        <v>7808</v>
      </c>
      <c r="M882" s="55"/>
    </row>
    <row r="883" spans="2:13" x14ac:dyDescent="0.3">
      <c r="B883" s="223" t="s">
        <v>2471</v>
      </c>
      <c r="C883" s="37">
        <v>6</v>
      </c>
      <c r="D883" s="225">
        <v>10</v>
      </c>
      <c r="E883" s="226">
        <v>43837</v>
      </c>
      <c r="F883" s="109"/>
      <c r="G883" s="1" t="str">
        <f>IFERROR(IF(ventas_b_mes12[[#This Row],[CUIT]]="","-",VLOOKUP(ventas_b_mes12[[#This Row],[CUIT]],Lista_CUIT[#All],2,0)),"CUIT NO CARGADO")</f>
        <v>-</v>
      </c>
      <c r="H883" s="96">
        <f>ventas_b_mes12[[#This Row],[TOTAL]]/1.21</f>
        <v>3842.9752066115702</v>
      </c>
      <c r="I883" s="60">
        <f>ventas_b_mes12[[#This Row],[IMPORTE NETO]]*0.21</f>
        <v>807.02479338842977</v>
      </c>
      <c r="J883" s="229"/>
      <c r="K883" s="229"/>
      <c r="L883" s="229">
        <v>4650</v>
      </c>
      <c r="M883" s="55"/>
    </row>
    <row r="884" spans="2:13" x14ac:dyDescent="0.3">
      <c r="B884" s="223" t="s">
        <v>2471</v>
      </c>
      <c r="C884" s="37">
        <v>6</v>
      </c>
      <c r="D884" s="225">
        <v>12</v>
      </c>
      <c r="E884" s="226">
        <v>22489</v>
      </c>
      <c r="F884" s="109"/>
      <c r="G884" s="1" t="str">
        <f>IFERROR(IF(ventas_b_mes12[[#This Row],[CUIT]]="","-",VLOOKUP(ventas_b_mes12[[#This Row],[CUIT]],Lista_CUIT[#All],2,0)),"CUIT NO CARGADO")</f>
        <v>-</v>
      </c>
      <c r="H884" s="96">
        <f>ventas_b_mes12[[#This Row],[TOTAL]]/1.21</f>
        <v>4545.454545454546</v>
      </c>
      <c r="I884" s="60">
        <f>ventas_b_mes12[[#This Row],[IMPORTE NETO]]*0.21</f>
        <v>954.54545454545462</v>
      </c>
      <c r="J884" s="229"/>
      <c r="K884" s="229"/>
      <c r="L884" s="229">
        <v>5500</v>
      </c>
      <c r="M884" s="55"/>
    </row>
    <row r="885" spans="2:13" x14ac:dyDescent="0.3">
      <c r="B885" s="223" t="s">
        <v>2471</v>
      </c>
      <c r="C885" s="37">
        <v>6</v>
      </c>
      <c r="D885" s="225">
        <v>15</v>
      </c>
      <c r="E885" s="226">
        <v>7201</v>
      </c>
      <c r="F885" s="109"/>
      <c r="G885" s="1" t="str">
        <f>IFERROR(IF(ventas_b_mes12[[#This Row],[CUIT]]="","-",VLOOKUP(ventas_b_mes12[[#This Row],[CUIT]],Lista_CUIT[#All],2,0)),"CUIT NO CARGADO")</f>
        <v>-</v>
      </c>
      <c r="H885" s="96">
        <f>ventas_b_mes12[[#This Row],[TOTAL]]/1.21</f>
        <v>4545.454545454546</v>
      </c>
      <c r="I885" s="60">
        <f>ventas_b_mes12[[#This Row],[IMPORTE NETO]]*0.21</f>
        <v>954.54545454545462</v>
      </c>
      <c r="J885" s="229"/>
      <c r="K885" s="229"/>
      <c r="L885" s="229">
        <v>5500</v>
      </c>
      <c r="M885" s="55"/>
    </row>
    <row r="886" spans="2:13" x14ac:dyDescent="0.3">
      <c r="B886" s="223" t="s">
        <v>2471</v>
      </c>
      <c r="C886" s="37">
        <v>6</v>
      </c>
      <c r="D886" s="225">
        <v>12</v>
      </c>
      <c r="E886" s="226">
        <v>22497</v>
      </c>
      <c r="F886" s="109"/>
      <c r="G886" s="1" t="str">
        <f>IFERROR(IF(ventas_b_mes12[[#This Row],[CUIT]]="","-",VLOOKUP(ventas_b_mes12[[#This Row],[CUIT]],Lista_CUIT[#All],2,0)),"CUIT NO CARGADO")</f>
        <v>-</v>
      </c>
      <c r="H886" s="96">
        <f>ventas_b_mes12[[#This Row],[TOTAL]]/1.21</f>
        <v>3900.8264462809921</v>
      </c>
      <c r="I886" s="60">
        <f>ventas_b_mes12[[#This Row],[IMPORTE NETO]]*0.21</f>
        <v>819.17355371900828</v>
      </c>
      <c r="J886" s="229"/>
      <c r="K886" s="229"/>
      <c r="L886" s="229">
        <v>4720</v>
      </c>
      <c r="M886" s="55"/>
    </row>
    <row r="887" spans="2:13" x14ac:dyDescent="0.3">
      <c r="B887" s="223" t="s">
        <v>2471</v>
      </c>
      <c r="C887" s="37">
        <v>6</v>
      </c>
      <c r="D887" s="225">
        <v>10</v>
      </c>
      <c r="E887" s="226">
        <v>43827</v>
      </c>
      <c r="F887" s="109"/>
      <c r="G887" s="1" t="str">
        <f>IFERROR(IF(ventas_b_mes12[[#This Row],[CUIT]]="","-",VLOOKUP(ventas_b_mes12[[#This Row],[CUIT]],Lista_CUIT[#All],2,0)),"CUIT NO CARGADO")</f>
        <v>-</v>
      </c>
      <c r="H887" s="96">
        <f>ventas_b_mes12[[#This Row],[TOTAL]]/1.21</f>
        <v>4958.6776859504134</v>
      </c>
      <c r="I887" s="60">
        <f>ventas_b_mes12[[#This Row],[IMPORTE NETO]]*0.21</f>
        <v>1041.3223140495868</v>
      </c>
      <c r="J887" s="229"/>
      <c r="K887" s="229"/>
      <c r="L887" s="229">
        <v>6000</v>
      </c>
      <c r="M887" s="55"/>
    </row>
    <row r="888" spans="2:13" x14ac:dyDescent="0.3">
      <c r="B888" s="223" t="s">
        <v>2471</v>
      </c>
      <c r="C888" s="37">
        <v>6</v>
      </c>
      <c r="D888" s="225">
        <v>12</v>
      </c>
      <c r="E888" s="226">
        <v>22490</v>
      </c>
      <c r="F888" s="109"/>
      <c r="G888" s="1" t="str">
        <f>IFERROR(IF(ventas_b_mes12[[#This Row],[CUIT]]="","-",VLOOKUP(ventas_b_mes12[[#This Row],[CUIT]],Lista_CUIT[#All],2,0)),"CUIT NO CARGADO")</f>
        <v>-</v>
      </c>
      <c r="H888" s="96">
        <f>ventas_b_mes12[[#This Row],[TOTAL]]/1.21</f>
        <v>4958.6776859504134</v>
      </c>
      <c r="I888" s="60">
        <f>ventas_b_mes12[[#This Row],[IMPORTE NETO]]*0.21</f>
        <v>1041.3223140495868</v>
      </c>
      <c r="J888" s="229"/>
      <c r="K888" s="229"/>
      <c r="L888" s="229">
        <v>6000</v>
      </c>
      <c r="M888" s="55"/>
    </row>
    <row r="889" spans="2:13" x14ac:dyDescent="0.3">
      <c r="B889" s="223" t="s">
        <v>2471</v>
      </c>
      <c r="C889" s="37">
        <v>6</v>
      </c>
      <c r="D889" s="225">
        <v>13</v>
      </c>
      <c r="E889" s="226">
        <v>26736</v>
      </c>
      <c r="F889" s="109"/>
      <c r="G889" s="1" t="str">
        <f>IFERROR(IF(ventas_b_mes12[[#This Row],[CUIT]]="","-",VLOOKUP(ventas_b_mes12[[#This Row],[CUIT]],Lista_CUIT[#All],2,0)),"CUIT NO CARGADO")</f>
        <v>-</v>
      </c>
      <c r="H889" s="96">
        <f>ventas_b_mes12[[#This Row],[TOTAL]]/1.21</f>
        <v>3057.8429752066113</v>
      </c>
      <c r="I889" s="60">
        <f>ventas_b_mes12[[#This Row],[IMPORTE NETO]]*0.21</f>
        <v>642.14702479338837</v>
      </c>
      <c r="J889" s="229"/>
      <c r="K889" s="229"/>
      <c r="L889" s="229">
        <v>3699.99</v>
      </c>
      <c r="M889" s="55"/>
    </row>
    <row r="890" spans="2:13" x14ac:dyDescent="0.3">
      <c r="B890" s="223" t="s">
        <v>2471</v>
      </c>
      <c r="C890" s="37">
        <v>6</v>
      </c>
      <c r="D890" s="225">
        <v>10</v>
      </c>
      <c r="E890" s="226">
        <v>43823</v>
      </c>
      <c r="F890" s="109"/>
      <c r="G890" s="1" t="str">
        <f>IFERROR(IF(ventas_b_mes12[[#This Row],[CUIT]]="","-",VLOOKUP(ventas_b_mes12[[#This Row],[CUIT]],Lista_CUIT[#All],2,0)),"CUIT NO CARGADO")</f>
        <v>-</v>
      </c>
      <c r="H890" s="96">
        <f>ventas_b_mes12[[#This Row],[TOTAL]]/1.21</f>
        <v>5711.0743801652889</v>
      </c>
      <c r="I890" s="60">
        <f>ventas_b_mes12[[#This Row],[IMPORTE NETO]]*0.21</f>
        <v>1199.3256198347106</v>
      </c>
      <c r="J890" s="229"/>
      <c r="K890" s="229"/>
      <c r="L890" s="229">
        <v>6910.4</v>
      </c>
      <c r="M890" s="55"/>
    </row>
    <row r="891" spans="2:13" x14ac:dyDescent="0.3">
      <c r="B891" s="223" t="s">
        <v>2471</v>
      </c>
      <c r="C891" s="37">
        <v>6</v>
      </c>
      <c r="D891" s="225">
        <v>13</v>
      </c>
      <c r="E891" s="226">
        <v>26743</v>
      </c>
      <c r="F891" s="109"/>
      <c r="G891" s="1" t="str">
        <f>IFERROR(IF(ventas_b_mes12[[#This Row],[CUIT]]="","-",VLOOKUP(ventas_b_mes12[[#This Row],[CUIT]],Lista_CUIT[#All],2,0)),"CUIT NO CARGADO")</f>
        <v>-</v>
      </c>
      <c r="H891" s="96">
        <f>ventas_b_mes12[[#This Row],[TOTAL]]/1.21</f>
        <v>12323.991735537191</v>
      </c>
      <c r="I891" s="60">
        <f>ventas_b_mes12[[#This Row],[IMPORTE NETO]]*0.21</f>
        <v>2588.0382644628098</v>
      </c>
      <c r="J891" s="229"/>
      <c r="K891" s="229"/>
      <c r="L891" s="229">
        <v>14912.03</v>
      </c>
      <c r="M891" s="55"/>
    </row>
    <row r="892" spans="2:13" x14ac:dyDescent="0.3">
      <c r="B892" s="223" t="s">
        <v>2471</v>
      </c>
      <c r="C892" s="37">
        <v>6</v>
      </c>
      <c r="D892" s="225">
        <v>15</v>
      </c>
      <c r="E892" s="226">
        <v>7207</v>
      </c>
      <c r="F892" s="109"/>
      <c r="G892" s="1" t="str">
        <f>IFERROR(IF(ventas_b_mes12[[#This Row],[CUIT]]="","-",VLOOKUP(ventas_b_mes12[[#This Row],[CUIT]],Lista_CUIT[#All],2,0)),"CUIT NO CARGADO")</f>
        <v>-</v>
      </c>
      <c r="H892" s="96">
        <f>ventas_b_mes12[[#This Row],[TOTAL]]/1.21</f>
        <v>4958.6776859504134</v>
      </c>
      <c r="I892" s="60">
        <f>ventas_b_mes12[[#This Row],[IMPORTE NETO]]*0.21</f>
        <v>1041.3223140495868</v>
      </c>
      <c r="J892" s="229"/>
      <c r="K892" s="229"/>
      <c r="L892" s="229">
        <v>6000</v>
      </c>
      <c r="M892" s="55"/>
    </row>
    <row r="893" spans="2:13" x14ac:dyDescent="0.3">
      <c r="B893" s="223" t="s">
        <v>2471</v>
      </c>
      <c r="C893" s="37">
        <v>6</v>
      </c>
      <c r="D893" s="225">
        <v>10</v>
      </c>
      <c r="E893" s="226">
        <v>43836</v>
      </c>
      <c r="F893" s="109"/>
      <c r="G893" s="1" t="str">
        <f>IFERROR(IF(ventas_b_mes12[[#This Row],[CUIT]]="","-",VLOOKUP(ventas_b_mes12[[#This Row],[CUIT]],Lista_CUIT[#All],2,0)),"CUIT NO CARGADO")</f>
        <v>-</v>
      </c>
      <c r="H893" s="96">
        <f>ventas_b_mes12[[#This Row],[TOTAL]]/1.21</f>
        <v>2066.1157024793388</v>
      </c>
      <c r="I893" s="60">
        <f>ventas_b_mes12[[#This Row],[IMPORTE NETO]]*0.21</f>
        <v>433.88429752066111</v>
      </c>
      <c r="J893" s="229"/>
      <c r="K893" s="229"/>
      <c r="L893" s="229">
        <v>2500</v>
      </c>
      <c r="M893" s="55"/>
    </row>
    <row r="894" spans="2:13" x14ac:dyDescent="0.3">
      <c r="B894" s="223" t="s">
        <v>2471</v>
      </c>
      <c r="C894" s="37">
        <v>6</v>
      </c>
      <c r="D894" s="225">
        <v>11</v>
      </c>
      <c r="E894" s="226">
        <v>30065</v>
      </c>
      <c r="F894" s="109"/>
      <c r="G894" s="1" t="str">
        <f>IFERROR(IF(ventas_b_mes12[[#This Row],[CUIT]]="","-",VLOOKUP(ventas_b_mes12[[#This Row],[CUIT]],Lista_CUIT[#All],2,0)),"CUIT NO CARGADO")</f>
        <v>-</v>
      </c>
      <c r="H894" s="96">
        <f>ventas_b_mes12[[#This Row],[TOTAL]]/1.21</f>
        <v>2479.3388429752067</v>
      </c>
      <c r="I894" s="60">
        <f>ventas_b_mes12[[#This Row],[IMPORTE NETO]]*0.21</f>
        <v>520.6611570247934</v>
      </c>
      <c r="J894" s="229"/>
      <c r="K894" s="229"/>
      <c r="L894" s="229">
        <v>3000</v>
      </c>
      <c r="M894" s="55"/>
    </row>
    <row r="895" spans="2:13" x14ac:dyDescent="0.3">
      <c r="B895" s="223" t="s">
        <v>2471</v>
      </c>
      <c r="C895" s="37">
        <v>6</v>
      </c>
      <c r="D895" s="225">
        <v>12</v>
      </c>
      <c r="E895" s="226">
        <v>22499</v>
      </c>
      <c r="F895" s="109"/>
      <c r="G895" s="1" t="str">
        <f>IFERROR(IF(ventas_b_mes12[[#This Row],[CUIT]]="","-",VLOOKUP(ventas_b_mes12[[#This Row],[CUIT]],Lista_CUIT[#All],2,0)),"CUIT NO CARGADO")</f>
        <v>-</v>
      </c>
      <c r="H895" s="96">
        <f>ventas_b_mes12[[#This Row],[TOTAL]]/1.21</f>
        <v>4545.454545454546</v>
      </c>
      <c r="I895" s="60">
        <f>ventas_b_mes12[[#This Row],[IMPORTE NETO]]*0.21</f>
        <v>954.54545454545462</v>
      </c>
      <c r="J895" s="229"/>
      <c r="K895" s="229"/>
      <c r="L895" s="229">
        <v>5500</v>
      </c>
      <c r="M895" s="55"/>
    </row>
    <row r="896" spans="2:13" x14ac:dyDescent="0.3">
      <c r="B896" s="223" t="s">
        <v>2471</v>
      </c>
      <c r="C896" s="37">
        <v>6</v>
      </c>
      <c r="D896" s="225">
        <v>13</v>
      </c>
      <c r="E896" s="226">
        <v>26735</v>
      </c>
      <c r="F896" s="109"/>
      <c r="G896" s="1" t="str">
        <f>IFERROR(IF(ventas_b_mes12[[#This Row],[CUIT]]="","-",VLOOKUP(ventas_b_mes12[[#This Row],[CUIT]],Lista_CUIT[#All],2,0)),"CUIT NO CARGADO")</f>
        <v>-</v>
      </c>
      <c r="H896" s="96">
        <f>ventas_b_mes12[[#This Row],[TOTAL]]/1.21</f>
        <v>3477.2727272727275</v>
      </c>
      <c r="I896" s="60">
        <f>ventas_b_mes12[[#This Row],[IMPORTE NETO]]*0.21</f>
        <v>730.22727272727275</v>
      </c>
      <c r="J896" s="229"/>
      <c r="K896" s="229"/>
      <c r="L896" s="229">
        <v>4207.5</v>
      </c>
      <c r="M896" s="55"/>
    </row>
    <row r="897" spans="2:13" x14ac:dyDescent="0.3">
      <c r="B897" s="223" t="s">
        <v>2471</v>
      </c>
      <c r="C897" s="37">
        <v>6</v>
      </c>
      <c r="D897" s="225">
        <v>10</v>
      </c>
      <c r="E897" s="226">
        <v>43839</v>
      </c>
      <c r="F897" s="109"/>
      <c r="G897" s="1" t="str">
        <f>IFERROR(IF(ventas_b_mes12[[#This Row],[CUIT]]="","-",VLOOKUP(ventas_b_mes12[[#This Row],[CUIT]],Lista_CUIT[#All],2,0)),"CUIT NO CARGADO")</f>
        <v>-</v>
      </c>
      <c r="H897" s="96">
        <f>ventas_b_mes12[[#This Row],[TOTAL]]/1.21</f>
        <v>2892.5619834710747</v>
      </c>
      <c r="I897" s="60">
        <f>ventas_b_mes12[[#This Row],[IMPORTE NETO]]*0.21</f>
        <v>607.43801652892569</v>
      </c>
      <c r="J897" s="229"/>
      <c r="K897" s="229"/>
      <c r="L897" s="229">
        <v>3500</v>
      </c>
      <c r="M897" s="55"/>
    </row>
    <row r="898" spans="2:13" x14ac:dyDescent="0.3">
      <c r="B898" s="223" t="s">
        <v>2471</v>
      </c>
      <c r="C898" s="37">
        <v>6</v>
      </c>
      <c r="D898" s="225">
        <v>12</v>
      </c>
      <c r="E898" s="226">
        <v>22501</v>
      </c>
      <c r="F898" s="109"/>
      <c r="G898" s="1" t="str">
        <f>IFERROR(IF(ventas_b_mes12[[#This Row],[CUIT]]="","-",VLOOKUP(ventas_b_mes12[[#This Row],[CUIT]],Lista_CUIT[#All],2,0)),"CUIT NO CARGADO")</f>
        <v>-</v>
      </c>
      <c r="H898" s="96">
        <f>ventas_b_mes12[[#This Row],[TOTAL]]/1.21</f>
        <v>3842.9752066115702</v>
      </c>
      <c r="I898" s="60">
        <f>ventas_b_mes12[[#This Row],[IMPORTE NETO]]*0.21</f>
        <v>807.02479338842977</v>
      </c>
      <c r="J898" s="229"/>
      <c r="K898" s="229"/>
      <c r="L898" s="229">
        <v>4650</v>
      </c>
      <c r="M898" s="55"/>
    </row>
    <row r="899" spans="2:13" x14ac:dyDescent="0.3">
      <c r="B899" s="223" t="s">
        <v>2471</v>
      </c>
      <c r="C899" s="37">
        <v>6</v>
      </c>
      <c r="D899" s="225">
        <v>12</v>
      </c>
      <c r="E899" s="226">
        <v>22488</v>
      </c>
      <c r="F899" s="109"/>
      <c r="G899" s="1" t="str">
        <f>IFERROR(IF(ventas_b_mes12[[#This Row],[CUIT]]="","-",VLOOKUP(ventas_b_mes12[[#This Row],[CUIT]],Lista_CUIT[#All],2,0)),"CUIT NO CARGADO")</f>
        <v>-</v>
      </c>
      <c r="H899" s="96">
        <f>ventas_b_mes12[[#This Row],[TOTAL]]/1.21</f>
        <v>4958.6776859504134</v>
      </c>
      <c r="I899" s="60">
        <f>ventas_b_mes12[[#This Row],[IMPORTE NETO]]*0.21</f>
        <v>1041.3223140495868</v>
      </c>
      <c r="J899" s="229"/>
      <c r="K899" s="229"/>
      <c r="L899" s="229">
        <v>6000</v>
      </c>
      <c r="M899" s="55"/>
    </row>
    <row r="900" spans="2:13" x14ac:dyDescent="0.3">
      <c r="B900" s="223" t="s">
        <v>2471</v>
      </c>
      <c r="C900" s="37">
        <v>6</v>
      </c>
      <c r="D900" s="225">
        <v>10</v>
      </c>
      <c r="E900" s="226">
        <v>43832</v>
      </c>
      <c r="F900" s="109"/>
      <c r="G900" s="1" t="str">
        <f>IFERROR(IF(ventas_b_mes12[[#This Row],[CUIT]]="","-",VLOOKUP(ventas_b_mes12[[#This Row],[CUIT]],Lista_CUIT[#All],2,0)),"CUIT NO CARGADO")</f>
        <v>-</v>
      </c>
      <c r="H900" s="96">
        <f>ventas_b_mes12[[#This Row],[TOTAL]]/1.21</f>
        <v>4413.2231404958675</v>
      </c>
      <c r="I900" s="60">
        <f>ventas_b_mes12[[#This Row],[IMPORTE NETO]]*0.21</f>
        <v>926.77685950413218</v>
      </c>
      <c r="J900" s="229"/>
      <c r="K900" s="229"/>
      <c r="L900" s="229">
        <v>5340</v>
      </c>
      <c r="M900" s="55"/>
    </row>
    <row r="901" spans="2:13" x14ac:dyDescent="0.3">
      <c r="B901" s="223" t="s">
        <v>2471</v>
      </c>
      <c r="C901" s="37">
        <v>6</v>
      </c>
      <c r="D901" s="225">
        <v>11</v>
      </c>
      <c r="E901" s="226">
        <v>30053</v>
      </c>
      <c r="F901" s="109"/>
      <c r="G901" s="1" t="str">
        <f>IFERROR(IF(ventas_b_mes12[[#This Row],[CUIT]]="","-",VLOOKUP(ventas_b_mes12[[#This Row],[CUIT]],Lista_CUIT[#All],2,0)),"CUIT NO CARGADO")</f>
        <v>-</v>
      </c>
      <c r="H901" s="96">
        <f>ventas_b_mes12[[#This Row],[TOTAL]]/1.21</f>
        <v>6074.3801652892562</v>
      </c>
      <c r="I901" s="60">
        <f>ventas_b_mes12[[#This Row],[IMPORTE NETO]]*0.21</f>
        <v>1275.6198347107438</v>
      </c>
      <c r="J901" s="229"/>
      <c r="K901" s="229"/>
      <c r="L901" s="229">
        <v>7350</v>
      </c>
      <c r="M901" s="55"/>
    </row>
    <row r="902" spans="2:13" x14ac:dyDescent="0.3">
      <c r="B902" s="223" t="s">
        <v>2471</v>
      </c>
      <c r="C902" s="37">
        <v>6</v>
      </c>
      <c r="D902" s="225">
        <v>11</v>
      </c>
      <c r="E902" s="226">
        <v>30067</v>
      </c>
      <c r="F902" s="109"/>
      <c r="G902" s="1" t="str">
        <f>IFERROR(IF(ventas_b_mes12[[#This Row],[CUIT]]="","-",VLOOKUP(ventas_b_mes12[[#This Row],[CUIT]],Lista_CUIT[#All],2,0)),"CUIT NO CARGADO")</f>
        <v>-</v>
      </c>
      <c r="H902" s="96">
        <f>ventas_b_mes12[[#This Row],[TOTAL]]/1.21</f>
        <v>1735.5371900826447</v>
      </c>
      <c r="I902" s="60">
        <f>ventas_b_mes12[[#This Row],[IMPORTE NETO]]*0.21</f>
        <v>364.46280991735534</v>
      </c>
      <c r="J902" s="229"/>
      <c r="K902" s="229"/>
      <c r="L902" s="229">
        <v>2100</v>
      </c>
      <c r="M902" s="55"/>
    </row>
    <row r="903" spans="2:13" x14ac:dyDescent="0.3">
      <c r="B903" s="223" t="s">
        <v>2471</v>
      </c>
      <c r="C903" s="37">
        <v>6</v>
      </c>
      <c r="D903" s="225">
        <v>10</v>
      </c>
      <c r="E903" s="226">
        <v>43840</v>
      </c>
      <c r="F903" s="109"/>
      <c r="G903" s="1" t="str">
        <f>IFERROR(IF(ventas_b_mes12[[#This Row],[CUIT]]="","-",VLOOKUP(ventas_b_mes12[[#This Row],[CUIT]],Lista_CUIT[#All],2,0)),"CUIT NO CARGADO")</f>
        <v>-</v>
      </c>
      <c r="H903" s="96">
        <f>ventas_b_mes12[[#This Row],[TOTAL]]/1.21</f>
        <v>8575.2148760330583</v>
      </c>
      <c r="I903" s="60">
        <f>ventas_b_mes12[[#This Row],[IMPORTE NETO]]*0.21</f>
        <v>1800.7951239669421</v>
      </c>
      <c r="J903" s="229"/>
      <c r="K903" s="229"/>
      <c r="L903" s="229">
        <v>10376.01</v>
      </c>
      <c r="M903" s="55"/>
    </row>
    <row r="904" spans="2:13" x14ac:dyDescent="0.3">
      <c r="B904" s="223" t="s">
        <v>2471</v>
      </c>
      <c r="C904" s="37">
        <v>6</v>
      </c>
      <c r="D904" s="225">
        <v>15</v>
      </c>
      <c r="E904" s="226">
        <v>7200</v>
      </c>
      <c r="F904" s="109"/>
      <c r="G904" s="1" t="str">
        <f>IFERROR(IF(ventas_b_mes12[[#This Row],[CUIT]]="","-",VLOOKUP(ventas_b_mes12[[#This Row],[CUIT]],Lista_CUIT[#All],2,0)),"CUIT NO CARGADO")</f>
        <v>-</v>
      </c>
      <c r="H904" s="96">
        <f>ventas_b_mes12[[#This Row],[TOTAL]]/1.21</f>
        <v>2281.0082644628101</v>
      </c>
      <c r="I904" s="60">
        <f>ventas_b_mes12[[#This Row],[IMPORTE NETO]]*0.21</f>
        <v>479.01173553719008</v>
      </c>
      <c r="J904" s="229"/>
      <c r="K904" s="229"/>
      <c r="L904" s="229">
        <v>2760.02</v>
      </c>
      <c r="M904" s="55"/>
    </row>
    <row r="905" spans="2:13" x14ac:dyDescent="0.3">
      <c r="B905" s="223" t="s">
        <v>2471</v>
      </c>
      <c r="C905" s="37">
        <v>6</v>
      </c>
      <c r="D905" s="225">
        <v>11</v>
      </c>
      <c r="E905" s="226">
        <v>30060</v>
      </c>
      <c r="F905" s="109"/>
      <c r="G905" s="1" t="str">
        <f>IFERROR(IF(ventas_b_mes12[[#This Row],[CUIT]]="","-",VLOOKUP(ventas_b_mes12[[#This Row],[CUIT]],Lista_CUIT[#All],2,0)),"CUIT NO CARGADO")</f>
        <v>-</v>
      </c>
      <c r="H905" s="96">
        <f>ventas_b_mes12[[#This Row],[TOTAL]]/1.21</f>
        <v>7487.6033057851246</v>
      </c>
      <c r="I905" s="60">
        <f>ventas_b_mes12[[#This Row],[IMPORTE NETO]]*0.21</f>
        <v>1572.3966942148761</v>
      </c>
      <c r="J905" s="229"/>
      <c r="K905" s="229"/>
      <c r="L905" s="229">
        <v>9060</v>
      </c>
      <c r="M905" s="55"/>
    </row>
    <row r="906" spans="2:13" x14ac:dyDescent="0.3">
      <c r="B906" s="223" t="s">
        <v>2471</v>
      </c>
      <c r="C906" s="37">
        <v>6</v>
      </c>
      <c r="D906" s="225">
        <v>12</v>
      </c>
      <c r="E906" s="226">
        <v>22491</v>
      </c>
      <c r="F906" s="109"/>
      <c r="G906" s="1" t="str">
        <f>IFERROR(IF(ventas_b_mes12[[#This Row],[CUIT]]="","-",VLOOKUP(ventas_b_mes12[[#This Row],[CUIT]],Lista_CUIT[#All],2,0)),"CUIT NO CARGADO")</f>
        <v>-</v>
      </c>
      <c r="H906" s="96">
        <f>ventas_b_mes12[[#This Row],[TOTAL]]/1.21</f>
        <v>4545.454545454546</v>
      </c>
      <c r="I906" s="60">
        <f>ventas_b_mes12[[#This Row],[IMPORTE NETO]]*0.21</f>
        <v>954.54545454545462</v>
      </c>
      <c r="J906" s="229"/>
      <c r="K906" s="229"/>
      <c r="L906" s="229">
        <v>5500</v>
      </c>
      <c r="M906" s="55"/>
    </row>
    <row r="907" spans="2:13" x14ac:dyDescent="0.3">
      <c r="B907" s="223" t="s">
        <v>2471</v>
      </c>
      <c r="C907" s="37">
        <v>6</v>
      </c>
      <c r="D907" s="225">
        <v>12</v>
      </c>
      <c r="E907" s="226">
        <v>22474</v>
      </c>
      <c r="F907" s="109"/>
      <c r="G907" s="1" t="str">
        <f>IFERROR(IF(ventas_b_mes12[[#This Row],[CUIT]]="","-",VLOOKUP(ventas_b_mes12[[#This Row],[CUIT]],Lista_CUIT[#All],2,0)),"CUIT NO CARGADO")</f>
        <v>-</v>
      </c>
      <c r="H907" s="96">
        <f>ventas_b_mes12[[#This Row],[TOTAL]]/1.21</f>
        <v>3925.6198347107438</v>
      </c>
      <c r="I907" s="60">
        <f>ventas_b_mes12[[#This Row],[IMPORTE NETO]]*0.21</f>
        <v>824.38016528925618</v>
      </c>
      <c r="J907" s="229"/>
      <c r="K907" s="229"/>
      <c r="L907" s="229">
        <v>4750</v>
      </c>
      <c r="M907" s="55"/>
    </row>
    <row r="908" spans="2:13" x14ac:dyDescent="0.3">
      <c r="B908" s="223" t="s">
        <v>2471</v>
      </c>
      <c r="C908" s="37">
        <v>6</v>
      </c>
      <c r="D908" s="225">
        <v>10</v>
      </c>
      <c r="E908" s="226">
        <v>43834</v>
      </c>
      <c r="F908" s="109"/>
      <c r="G908" s="1" t="str">
        <f>IFERROR(IF(ventas_b_mes12[[#This Row],[CUIT]]="","-",VLOOKUP(ventas_b_mes12[[#This Row],[CUIT]],Lista_CUIT[#All],2,0)),"CUIT NO CARGADO")</f>
        <v>-</v>
      </c>
      <c r="H908" s="96">
        <f>ventas_b_mes12[[#This Row],[TOTAL]]/1.21</f>
        <v>4741.7355371900831</v>
      </c>
      <c r="I908" s="60">
        <f>ventas_b_mes12[[#This Row],[IMPORTE NETO]]*0.21</f>
        <v>995.7644628099174</v>
      </c>
      <c r="J908" s="229"/>
      <c r="K908" s="229"/>
      <c r="L908" s="229">
        <v>5737.5</v>
      </c>
      <c r="M908" s="55"/>
    </row>
    <row r="909" spans="2:13" x14ac:dyDescent="0.3">
      <c r="B909" s="223" t="s">
        <v>2471</v>
      </c>
      <c r="C909" s="37">
        <v>6</v>
      </c>
      <c r="D909" s="225">
        <v>10</v>
      </c>
      <c r="E909" s="226">
        <v>43824</v>
      </c>
      <c r="F909" s="109"/>
      <c r="G909" s="1" t="str">
        <f>IFERROR(IF(ventas_b_mes12[[#This Row],[CUIT]]="","-",VLOOKUP(ventas_b_mes12[[#This Row],[CUIT]],Lista_CUIT[#All],2,0)),"CUIT NO CARGADO")</f>
        <v>-</v>
      </c>
      <c r="H909" s="96">
        <f>ventas_b_mes12[[#This Row],[TOTAL]]/1.21</f>
        <v>6223.1404958677685</v>
      </c>
      <c r="I909" s="60">
        <f>ventas_b_mes12[[#This Row],[IMPORTE NETO]]*0.21</f>
        <v>1306.8595041322315</v>
      </c>
      <c r="J909" s="229"/>
      <c r="K909" s="229"/>
      <c r="L909" s="229">
        <v>7530</v>
      </c>
      <c r="M909" s="55"/>
    </row>
    <row r="910" spans="2:13" x14ac:dyDescent="0.3">
      <c r="B910" s="223" t="s">
        <v>2471</v>
      </c>
      <c r="C910" s="37">
        <v>6</v>
      </c>
      <c r="D910" s="225">
        <v>13</v>
      </c>
      <c r="E910" s="226">
        <v>26734</v>
      </c>
      <c r="F910" s="109"/>
      <c r="G910" s="1" t="str">
        <f>IFERROR(IF(ventas_b_mes12[[#This Row],[CUIT]]="","-",VLOOKUP(ventas_b_mes12[[#This Row],[CUIT]],Lista_CUIT[#All],2,0)),"CUIT NO CARGADO")</f>
        <v>-</v>
      </c>
      <c r="H910" s="96">
        <f>ventas_b_mes12[[#This Row],[TOTAL]]/1.21</f>
        <v>1570.2479338842975</v>
      </c>
      <c r="I910" s="60">
        <f>ventas_b_mes12[[#This Row],[IMPORTE NETO]]*0.21</f>
        <v>329.75206611570246</v>
      </c>
      <c r="J910" s="229"/>
      <c r="K910" s="229"/>
      <c r="L910" s="229">
        <v>1900</v>
      </c>
      <c r="M910" s="55"/>
    </row>
    <row r="911" spans="2:13" x14ac:dyDescent="0.3">
      <c r="B911" s="223" t="s">
        <v>2471</v>
      </c>
      <c r="C911" s="37">
        <v>6</v>
      </c>
      <c r="D911" s="225">
        <v>13</v>
      </c>
      <c r="E911" s="226">
        <v>26732</v>
      </c>
      <c r="F911" s="109"/>
      <c r="G911" s="1" t="str">
        <f>IFERROR(IF(ventas_b_mes12[[#This Row],[CUIT]]="","-",VLOOKUP(ventas_b_mes12[[#This Row],[CUIT]],Lista_CUIT[#All],2,0)),"CUIT NO CARGADO")</f>
        <v>-</v>
      </c>
      <c r="H911" s="96">
        <f>ventas_b_mes12[[#This Row],[TOTAL]]/1.21</f>
        <v>4958.6776859504134</v>
      </c>
      <c r="I911" s="60">
        <f>ventas_b_mes12[[#This Row],[IMPORTE NETO]]*0.21</f>
        <v>1041.3223140495868</v>
      </c>
      <c r="J911" s="229"/>
      <c r="K911" s="229"/>
      <c r="L911" s="229">
        <v>6000</v>
      </c>
      <c r="M911" s="55"/>
    </row>
    <row r="912" spans="2:13" x14ac:dyDescent="0.3">
      <c r="B912" s="223" t="s">
        <v>2471</v>
      </c>
      <c r="C912" s="37">
        <v>6</v>
      </c>
      <c r="D912" s="225">
        <v>12</v>
      </c>
      <c r="E912" s="226">
        <v>22481</v>
      </c>
      <c r="F912" s="109"/>
      <c r="G912" s="1" t="str">
        <f>IFERROR(IF(ventas_b_mes12[[#This Row],[CUIT]]="","-",VLOOKUP(ventas_b_mes12[[#This Row],[CUIT]],Lista_CUIT[#All],2,0)),"CUIT NO CARGADO")</f>
        <v>-</v>
      </c>
      <c r="H912" s="96">
        <f>ventas_b_mes12[[#This Row],[TOTAL]]/1.21</f>
        <v>3942.1487603305786</v>
      </c>
      <c r="I912" s="60">
        <f>ventas_b_mes12[[#This Row],[IMPORTE NETO]]*0.21</f>
        <v>827.85123966942149</v>
      </c>
      <c r="J912" s="229"/>
      <c r="K912" s="229"/>
      <c r="L912" s="229">
        <v>4770</v>
      </c>
      <c r="M912" s="55"/>
    </row>
    <row r="913" spans="2:13" x14ac:dyDescent="0.3">
      <c r="B913" s="223" t="s">
        <v>2471</v>
      </c>
      <c r="C913" s="37">
        <v>6</v>
      </c>
      <c r="D913" s="225">
        <v>12</v>
      </c>
      <c r="E913" s="226">
        <v>22492</v>
      </c>
      <c r="F913" s="109"/>
      <c r="G913" s="1" t="str">
        <f>IFERROR(IF(ventas_b_mes12[[#This Row],[CUIT]]="","-",VLOOKUP(ventas_b_mes12[[#This Row],[CUIT]],Lista_CUIT[#All],2,0)),"CUIT NO CARGADO")</f>
        <v>-</v>
      </c>
      <c r="H913" s="96">
        <f>ventas_b_mes12[[#This Row],[TOTAL]]/1.21</f>
        <v>4545.454545454546</v>
      </c>
      <c r="I913" s="60">
        <f>ventas_b_mes12[[#This Row],[IMPORTE NETO]]*0.21</f>
        <v>954.54545454545462</v>
      </c>
      <c r="J913" s="229"/>
      <c r="K913" s="229"/>
      <c r="L913" s="229">
        <v>5500</v>
      </c>
      <c r="M913" s="55"/>
    </row>
    <row r="914" spans="2:13" x14ac:dyDescent="0.3">
      <c r="B914" s="223" t="s">
        <v>2471</v>
      </c>
      <c r="C914" s="37">
        <v>6</v>
      </c>
      <c r="D914" s="225">
        <v>11</v>
      </c>
      <c r="E914" s="226">
        <v>30064</v>
      </c>
      <c r="F914" s="109"/>
      <c r="G914" s="1" t="str">
        <f>IFERROR(IF(ventas_b_mes12[[#This Row],[CUIT]]="","-",VLOOKUP(ventas_b_mes12[[#This Row],[CUIT]],Lista_CUIT[#All],2,0)),"CUIT NO CARGADO")</f>
        <v>-</v>
      </c>
      <c r="H914" s="96">
        <f>ventas_b_mes12[[#This Row],[TOTAL]]/1.21</f>
        <v>15176.851239669424</v>
      </c>
      <c r="I914" s="60">
        <f>ventas_b_mes12[[#This Row],[IMPORTE NETO]]*0.21</f>
        <v>3187.1387603305789</v>
      </c>
      <c r="J914" s="229"/>
      <c r="K914" s="229"/>
      <c r="L914" s="229">
        <v>18363.990000000002</v>
      </c>
      <c r="M914" s="55"/>
    </row>
    <row r="915" spans="2:13" x14ac:dyDescent="0.3">
      <c r="B915" s="223" t="s">
        <v>2471</v>
      </c>
      <c r="C915" s="37">
        <v>6</v>
      </c>
      <c r="D915" s="225">
        <v>12</v>
      </c>
      <c r="E915" s="226">
        <v>22487</v>
      </c>
      <c r="F915" s="109"/>
      <c r="G915" s="1" t="str">
        <f>IFERROR(IF(ventas_b_mes12[[#This Row],[CUIT]]="","-",VLOOKUP(ventas_b_mes12[[#This Row],[CUIT]],Lista_CUIT[#All],2,0)),"CUIT NO CARGADO")</f>
        <v>-</v>
      </c>
      <c r="H915" s="96">
        <f>ventas_b_mes12[[#This Row],[TOTAL]]/1.21</f>
        <v>4958.6776859504134</v>
      </c>
      <c r="I915" s="60">
        <f>ventas_b_mes12[[#This Row],[IMPORTE NETO]]*0.21</f>
        <v>1041.3223140495868</v>
      </c>
      <c r="J915" s="229"/>
      <c r="K915" s="229"/>
      <c r="L915" s="229">
        <v>6000</v>
      </c>
      <c r="M915" s="55"/>
    </row>
    <row r="916" spans="2:13" x14ac:dyDescent="0.3">
      <c r="B916" s="223" t="s">
        <v>2471</v>
      </c>
      <c r="C916" s="37">
        <v>6</v>
      </c>
      <c r="D916" s="225">
        <v>12</v>
      </c>
      <c r="E916" s="226">
        <v>22480</v>
      </c>
      <c r="F916" s="109"/>
      <c r="G916" s="1" t="str">
        <f>IFERROR(IF(ventas_b_mes12[[#This Row],[CUIT]]="","-",VLOOKUP(ventas_b_mes12[[#This Row],[CUIT]],Lista_CUIT[#All],2,0)),"CUIT NO CARGADO")</f>
        <v>-</v>
      </c>
      <c r="H916" s="96">
        <f>ventas_b_mes12[[#This Row],[TOTAL]]/1.21</f>
        <v>11814.884297520663</v>
      </c>
      <c r="I916" s="60">
        <f>ventas_b_mes12[[#This Row],[IMPORTE NETO]]*0.21</f>
        <v>2481.125702479339</v>
      </c>
      <c r="J916" s="229"/>
      <c r="K916" s="229"/>
      <c r="L916" s="229">
        <v>14296.01</v>
      </c>
      <c r="M916" s="55"/>
    </row>
    <row r="917" spans="2:13" x14ac:dyDescent="0.3">
      <c r="B917" s="223" t="s">
        <v>2471</v>
      </c>
      <c r="C917" s="37">
        <v>6</v>
      </c>
      <c r="D917" s="225">
        <v>11</v>
      </c>
      <c r="E917" s="226">
        <v>30059</v>
      </c>
      <c r="F917" s="109"/>
      <c r="G917" s="1" t="str">
        <f>IFERROR(IF(ventas_b_mes12[[#This Row],[CUIT]]="","-",VLOOKUP(ventas_b_mes12[[#This Row],[CUIT]],Lista_CUIT[#All],2,0)),"CUIT NO CARGADO")</f>
        <v>-</v>
      </c>
      <c r="H917" s="96">
        <f>ventas_b_mes12[[#This Row],[TOTAL]]/1.21</f>
        <v>4545.454545454546</v>
      </c>
      <c r="I917" s="60">
        <f>ventas_b_mes12[[#This Row],[IMPORTE NETO]]*0.21</f>
        <v>954.54545454545462</v>
      </c>
      <c r="J917" s="229"/>
      <c r="K917" s="229"/>
      <c r="L917" s="229">
        <v>5500</v>
      </c>
      <c r="M917" s="55"/>
    </row>
    <row r="918" spans="2:13" x14ac:dyDescent="0.3">
      <c r="B918" s="223" t="s">
        <v>2471</v>
      </c>
      <c r="C918" s="37">
        <v>6</v>
      </c>
      <c r="D918" s="225">
        <v>13</v>
      </c>
      <c r="E918" s="226">
        <v>26742</v>
      </c>
      <c r="F918" s="109"/>
      <c r="G918" s="1" t="str">
        <f>IFERROR(IF(ventas_b_mes12[[#This Row],[CUIT]]="","-",VLOOKUP(ventas_b_mes12[[#This Row],[CUIT]],Lista_CUIT[#All],2,0)),"CUIT NO CARGADO")</f>
        <v>-</v>
      </c>
      <c r="H918" s="96">
        <f>ventas_b_mes12[[#This Row],[TOTAL]]/1.21</f>
        <v>1198.3471074380166</v>
      </c>
      <c r="I918" s="60">
        <f>ventas_b_mes12[[#This Row],[IMPORTE NETO]]*0.21</f>
        <v>251.65289256198346</v>
      </c>
      <c r="J918" s="229"/>
      <c r="K918" s="229"/>
      <c r="L918" s="229">
        <v>1450</v>
      </c>
      <c r="M918" s="55"/>
    </row>
    <row r="919" spans="2:13" x14ac:dyDescent="0.3">
      <c r="B919" s="223" t="s">
        <v>2471</v>
      </c>
      <c r="C919" s="37">
        <v>6</v>
      </c>
      <c r="D919" s="225">
        <v>12</v>
      </c>
      <c r="E919" s="226">
        <v>22496</v>
      </c>
      <c r="F919" s="109"/>
      <c r="G919" s="1" t="str">
        <f>IFERROR(IF(ventas_b_mes12[[#This Row],[CUIT]]="","-",VLOOKUP(ventas_b_mes12[[#This Row],[CUIT]],Lista_CUIT[#All],2,0)),"CUIT NO CARGADO")</f>
        <v>-</v>
      </c>
      <c r="H919" s="96">
        <f>ventas_b_mes12[[#This Row],[TOTAL]]/1.21</f>
        <v>991.73553719008271</v>
      </c>
      <c r="I919" s="60">
        <f>ventas_b_mes12[[#This Row],[IMPORTE NETO]]*0.21</f>
        <v>208.26446280991735</v>
      </c>
      <c r="J919" s="229"/>
      <c r="K919" s="229"/>
      <c r="L919" s="229">
        <v>1200</v>
      </c>
      <c r="M919" s="55"/>
    </row>
    <row r="920" spans="2:13" x14ac:dyDescent="0.3">
      <c r="B920" s="223" t="s">
        <v>2471</v>
      </c>
      <c r="C920" s="37">
        <v>6</v>
      </c>
      <c r="D920" s="225">
        <v>10</v>
      </c>
      <c r="E920" s="226">
        <v>43838</v>
      </c>
      <c r="F920" s="109"/>
      <c r="G920" s="1" t="str">
        <f>IFERROR(IF(ventas_b_mes12[[#This Row],[CUIT]]="","-",VLOOKUP(ventas_b_mes12[[#This Row],[CUIT]],Lista_CUIT[#All],2,0)),"CUIT NO CARGADO")</f>
        <v>-</v>
      </c>
      <c r="H920" s="96">
        <f>ventas_b_mes12[[#This Row],[TOTAL]]/1.21</f>
        <v>2066.1157024793388</v>
      </c>
      <c r="I920" s="60">
        <f>ventas_b_mes12[[#This Row],[IMPORTE NETO]]*0.21</f>
        <v>433.88429752066111</v>
      </c>
      <c r="J920" s="229"/>
      <c r="K920" s="229"/>
      <c r="L920" s="229">
        <v>2500</v>
      </c>
      <c r="M920" s="55"/>
    </row>
    <row r="921" spans="2:13" x14ac:dyDescent="0.3">
      <c r="B921" s="223" t="s">
        <v>2471</v>
      </c>
      <c r="C921" s="37">
        <v>6</v>
      </c>
      <c r="D921" s="225">
        <v>15</v>
      </c>
      <c r="E921" s="226">
        <v>7195</v>
      </c>
      <c r="F921" s="109"/>
      <c r="G921" s="1" t="str">
        <f>IFERROR(IF(ventas_b_mes12[[#This Row],[CUIT]]="","-",VLOOKUP(ventas_b_mes12[[#This Row],[CUIT]],Lista_CUIT[#All],2,0)),"CUIT NO CARGADO")</f>
        <v>-</v>
      </c>
      <c r="H921" s="96">
        <f>ventas_b_mes12[[#This Row],[TOTAL]]/1.21</f>
        <v>10330.603305785125</v>
      </c>
      <c r="I921" s="60">
        <f>ventas_b_mes12[[#This Row],[IMPORTE NETO]]*0.21</f>
        <v>2169.4266942148761</v>
      </c>
      <c r="J921" s="229"/>
      <c r="K921" s="229"/>
      <c r="L921" s="229">
        <v>12500.03</v>
      </c>
      <c r="M921" s="55"/>
    </row>
    <row r="922" spans="2:13" x14ac:dyDescent="0.3">
      <c r="B922" s="223" t="s">
        <v>2471</v>
      </c>
      <c r="C922" s="37">
        <v>6</v>
      </c>
      <c r="D922" s="225">
        <v>10</v>
      </c>
      <c r="E922" s="226">
        <v>43822</v>
      </c>
      <c r="F922" s="109"/>
      <c r="G922" s="1" t="str">
        <f>IFERROR(IF(ventas_b_mes12[[#This Row],[CUIT]]="","-",VLOOKUP(ventas_b_mes12[[#This Row],[CUIT]],Lista_CUIT[#All],2,0)),"CUIT NO CARGADO")</f>
        <v>-</v>
      </c>
      <c r="H922" s="96">
        <f>ventas_b_mes12[[#This Row],[TOTAL]]/1.21</f>
        <v>15400.826446280993</v>
      </c>
      <c r="I922" s="60">
        <f>ventas_b_mes12[[#This Row],[IMPORTE NETO]]*0.21</f>
        <v>3234.1735537190084</v>
      </c>
      <c r="J922" s="229"/>
      <c r="K922" s="229"/>
      <c r="L922" s="229">
        <v>18635</v>
      </c>
      <c r="M922" s="55"/>
    </row>
    <row r="923" spans="2:13" x14ac:dyDescent="0.3">
      <c r="B923" s="223" t="s">
        <v>2471</v>
      </c>
      <c r="C923" s="37">
        <v>6</v>
      </c>
      <c r="D923" s="225">
        <v>10</v>
      </c>
      <c r="E923" s="226">
        <v>43833</v>
      </c>
      <c r="F923" s="109"/>
      <c r="G923" s="1" t="str">
        <f>IFERROR(IF(ventas_b_mes12[[#This Row],[CUIT]]="","-",VLOOKUP(ventas_b_mes12[[#This Row],[CUIT]],Lista_CUIT[#All],2,0)),"CUIT NO CARGADO")</f>
        <v>-</v>
      </c>
      <c r="H923" s="96">
        <f>ventas_b_mes12[[#This Row],[TOTAL]]/1.21</f>
        <v>11396.694214876034</v>
      </c>
      <c r="I923" s="60">
        <f>ventas_b_mes12[[#This Row],[IMPORTE NETO]]*0.21</f>
        <v>2393.3057851239669</v>
      </c>
      <c r="J923" s="229"/>
      <c r="K923" s="229"/>
      <c r="L923" s="229">
        <v>13790</v>
      </c>
      <c r="M923" s="55"/>
    </row>
    <row r="924" spans="2:13" x14ac:dyDescent="0.3">
      <c r="B924" s="223" t="s">
        <v>2471</v>
      </c>
      <c r="C924" s="37">
        <v>6</v>
      </c>
      <c r="D924" s="225">
        <v>10</v>
      </c>
      <c r="E924" s="226">
        <v>43826</v>
      </c>
      <c r="F924" s="109"/>
      <c r="G924" s="1" t="str">
        <f>IFERROR(IF(ventas_b_mes12[[#This Row],[CUIT]]="","-",VLOOKUP(ventas_b_mes12[[#This Row],[CUIT]],Lista_CUIT[#All],2,0)),"CUIT NO CARGADO")</f>
        <v>-</v>
      </c>
      <c r="H924" s="96">
        <f>ventas_b_mes12[[#This Row],[TOTAL]]/1.21</f>
        <v>3239.6776859504134</v>
      </c>
      <c r="I924" s="60">
        <f>ventas_b_mes12[[#This Row],[IMPORTE NETO]]*0.21</f>
        <v>680.33231404958678</v>
      </c>
      <c r="J924" s="229"/>
      <c r="K924" s="229"/>
      <c r="L924" s="229">
        <v>3920.01</v>
      </c>
      <c r="M924" s="55"/>
    </row>
    <row r="925" spans="2:13" x14ac:dyDescent="0.3">
      <c r="B925" s="223" t="s">
        <v>2471</v>
      </c>
      <c r="C925" s="37">
        <v>6</v>
      </c>
      <c r="D925" s="225">
        <v>11</v>
      </c>
      <c r="E925" s="226">
        <v>30054</v>
      </c>
      <c r="F925" s="109"/>
      <c r="G925" s="1" t="str">
        <f>IFERROR(IF(ventas_b_mes12[[#This Row],[CUIT]]="","-",VLOOKUP(ventas_b_mes12[[#This Row],[CUIT]],Lista_CUIT[#All],2,0)),"CUIT NO CARGADO")</f>
        <v>-</v>
      </c>
      <c r="H925" s="96">
        <f>ventas_b_mes12[[#This Row],[TOTAL]]/1.21</f>
        <v>5223.1404958677685</v>
      </c>
      <c r="I925" s="60">
        <f>ventas_b_mes12[[#This Row],[IMPORTE NETO]]*0.21</f>
        <v>1096.8595041322315</v>
      </c>
      <c r="J925" s="229"/>
      <c r="K925" s="229"/>
      <c r="L925" s="229">
        <v>6320</v>
      </c>
      <c r="M925" s="55"/>
    </row>
    <row r="926" spans="2:13" x14ac:dyDescent="0.3">
      <c r="B926" s="223" t="s">
        <v>2471</v>
      </c>
      <c r="C926" s="37">
        <v>6</v>
      </c>
      <c r="D926" s="225">
        <v>11</v>
      </c>
      <c r="E926" s="226">
        <v>30069</v>
      </c>
      <c r="F926" s="109"/>
      <c r="G926" s="1" t="str">
        <f>IFERROR(IF(ventas_b_mes12[[#This Row],[CUIT]]="","-",VLOOKUP(ventas_b_mes12[[#This Row],[CUIT]],Lista_CUIT[#All],2,0)),"CUIT NO CARGADO")</f>
        <v>-</v>
      </c>
      <c r="H926" s="96">
        <f>ventas_b_mes12[[#This Row],[TOTAL]]/1.21</f>
        <v>2809.9173553719011</v>
      </c>
      <c r="I926" s="60">
        <f>ventas_b_mes12[[#This Row],[IMPORTE NETO]]*0.21</f>
        <v>590.08264462809916</v>
      </c>
      <c r="J926" s="229"/>
      <c r="K926" s="229"/>
      <c r="L926" s="229">
        <v>3400</v>
      </c>
      <c r="M926" s="55"/>
    </row>
    <row r="927" spans="2:13" x14ac:dyDescent="0.3">
      <c r="B927" s="223" t="s">
        <v>2471</v>
      </c>
      <c r="C927" s="37">
        <v>6</v>
      </c>
      <c r="D927" s="225">
        <v>12</v>
      </c>
      <c r="E927" s="226">
        <v>22486</v>
      </c>
      <c r="F927" s="109"/>
      <c r="G927" s="1" t="str">
        <f>IFERROR(IF(ventas_b_mes12[[#This Row],[CUIT]]="","-",VLOOKUP(ventas_b_mes12[[#This Row],[CUIT]],Lista_CUIT[#All],2,0)),"CUIT NO CARGADO")</f>
        <v>-</v>
      </c>
      <c r="H927" s="96">
        <f>ventas_b_mes12[[#This Row],[TOTAL]]/1.21</f>
        <v>4958.6776859504134</v>
      </c>
      <c r="I927" s="60">
        <f>ventas_b_mes12[[#This Row],[IMPORTE NETO]]*0.21</f>
        <v>1041.3223140495868</v>
      </c>
      <c r="J927" s="229"/>
      <c r="K927" s="229"/>
      <c r="L927" s="229">
        <v>6000</v>
      </c>
      <c r="M927" s="55"/>
    </row>
    <row r="928" spans="2:13" x14ac:dyDescent="0.3">
      <c r="B928" s="223" t="s">
        <v>2471</v>
      </c>
      <c r="C928" s="37">
        <v>6</v>
      </c>
      <c r="D928" s="225">
        <v>12</v>
      </c>
      <c r="E928" s="226">
        <v>22479</v>
      </c>
      <c r="F928" s="109"/>
      <c r="G928" s="1" t="str">
        <f>IFERROR(IF(ventas_b_mes12[[#This Row],[CUIT]]="","-",VLOOKUP(ventas_b_mes12[[#This Row],[CUIT]],Lista_CUIT[#All],2,0)),"CUIT NO CARGADO")</f>
        <v>-</v>
      </c>
      <c r="H928" s="96">
        <f>ventas_b_mes12[[#This Row],[TOTAL]]/1.21</f>
        <v>6320.6942148760336</v>
      </c>
      <c r="I928" s="60">
        <f>ventas_b_mes12[[#This Row],[IMPORTE NETO]]*0.21</f>
        <v>1327.3457851239671</v>
      </c>
      <c r="J928" s="229"/>
      <c r="K928" s="229"/>
      <c r="L928" s="229">
        <v>7648.04</v>
      </c>
      <c r="M928" s="55"/>
    </row>
    <row r="929" spans="2:13" x14ac:dyDescent="0.3">
      <c r="B929" s="223" t="s">
        <v>2471</v>
      </c>
      <c r="C929" s="37">
        <v>6</v>
      </c>
      <c r="D929" s="225">
        <v>10</v>
      </c>
      <c r="E929" s="226">
        <v>43843</v>
      </c>
      <c r="F929" s="227"/>
      <c r="G929" s="1" t="str">
        <f>IFERROR(IF(ventas_b_mes12[[#This Row],[CUIT]]="","-",VLOOKUP(ventas_b_mes12[[#This Row],[CUIT]],Lista_CUIT[#All],2,0)),"CUIT NO CARGADO")</f>
        <v>-</v>
      </c>
      <c r="H929" s="96">
        <f>ventas_b_mes12[[#This Row],[TOTAL]]/1.21</f>
        <v>2799.1735537190084</v>
      </c>
      <c r="I929" s="60">
        <f>ventas_b_mes12[[#This Row],[IMPORTE NETO]]*0.21</f>
        <v>587.82644628099172</v>
      </c>
      <c r="J929" s="229"/>
      <c r="K929" s="229"/>
      <c r="L929" s="229">
        <v>3387</v>
      </c>
      <c r="M929" s="55"/>
    </row>
    <row r="930" spans="2:13" x14ac:dyDescent="0.3">
      <c r="B930" s="223" t="s">
        <v>2471</v>
      </c>
      <c r="C930" s="37">
        <v>6</v>
      </c>
      <c r="D930" s="225">
        <v>12</v>
      </c>
      <c r="E930" s="226">
        <v>22495</v>
      </c>
      <c r="F930" s="227"/>
      <c r="G930" s="1" t="str">
        <f>IFERROR(IF(ventas_b_mes12[[#This Row],[CUIT]]="","-",VLOOKUP(ventas_b_mes12[[#This Row],[CUIT]],Lista_CUIT[#All],2,0)),"CUIT NO CARGADO")</f>
        <v>-</v>
      </c>
      <c r="H930" s="96">
        <f>ventas_b_mes12[[#This Row],[TOTAL]]/1.21</f>
        <v>4363.636363636364</v>
      </c>
      <c r="I930" s="60">
        <f>ventas_b_mes12[[#This Row],[IMPORTE NETO]]*0.21</f>
        <v>916.36363636363637</v>
      </c>
      <c r="J930" s="229"/>
      <c r="K930" s="229"/>
      <c r="L930" s="229">
        <v>5280</v>
      </c>
      <c r="M930" s="55"/>
    </row>
    <row r="931" spans="2:13" x14ac:dyDescent="0.3">
      <c r="B931" s="223" t="s">
        <v>2471</v>
      </c>
      <c r="C931" s="37">
        <v>6</v>
      </c>
      <c r="D931" s="225">
        <v>15</v>
      </c>
      <c r="E931" s="226">
        <v>7198</v>
      </c>
      <c r="F931" s="227"/>
      <c r="G931" s="1" t="str">
        <f>IFERROR(IF(ventas_b_mes12[[#This Row],[CUIT]]="","-",VLOOKUP(ventas_b_mes12[[#This Row],[CUIT]],Lista_CUIT[#All],2,0)),"CUIT NO CARGADO")</f>
        <v>-</v>
      </c>
      <c r="H931" s="96">
        <f>ventas_b_mes12[[#This Row],[TOTAL]]/1.21</f>
        <v>2438.0165289256197</v>
      </c>
      <c r="I931" s="60">
        <f>ventas_b_mes12[[#This Row],[IMPORTE NETO]]*0.21</f>
        <v>511.98347107438013</v>
      </c>
      <c r="J931" s="229"/>
      <c r="K931" s="229"/>
      <c r="L931" s="229">
        <v>2950</v>
      </c>
      <c r="M931" s="55"/>
    </row>
    <row r="932" spans="2:13" x14ac:dyDescent="0.3">
      <c r="B932" s="223" t="s">
        <v>2471</v>
      </c>
      <c r="C932" s="37">
        <v>6</v>
      </c>
      <c r="D932" s="225">
        <v>15</v>
      </c>
      <c r="E932" s="226">
        <v>7203</v>
      </c>
      <c r="F932" s="227"/>
      <c r="G932" s="1" t="str">
        <f>IFERROR(IF(ventas_b_mes12[[#This Row],[CUIT]]="","-",VLOOKUP(ventas_b_mes12[[#This Row],[CUIT]],Lista_CUIT[#All],2,0)),"CUIT NO CARGADO")</f>
        <v>-</v>
      </c>
      <c r="H932" s="96">
        <f>ventas_b_mes12[[#This Row],[TOTAL]]/1.21</f>
        <v>6694.2148760330583</v>
      </c>
      <c r="I932" s="60">
        <f>ventas_b_mes12[[#This Row],[IMPORTE NETO]]*0.21</f>
        <v>1405.7851239669421</v>
      </c>
      <c r="J932" s="229"/>
      <c r="K932" s="229"/>
      <c r="L932" s="229">
        <v>8100</v>
      </c>
      <c r="M932" s="55"/>
    </row>
    <row r="933" spans="2:13" x14ac:dyDescent="0.3">
      <c r="B933" s="223" t="s">
        <v>2471</v>
      </c>
      <c r="C933" s="37">
        <v>6</v>
      </c>
      <c r="D933" s="225">
        <v>13</v>
      </c>
      <c r="E933" s="226">
        <v>26740</v>
      </c>
      <c r="F933" s="227"/>
      <c r="G933" s="1" t="str">
        <f>IFERROR(IF(ventas_b_mes12[[#This Row],[CUIT]]="","-",VLOOKUP(ventas_b_mes12[[#This Row],[CUIT]],Lista_CUIT[#All],2,0)),"CUIT NO CARGADO")</f>
        <v>-</v>
      </c>
      <c r="H933" s="96">
        <f>ventas_b_mes12[[#This Row],[TOTAL]]/1.21</f>
        <v>735.53719008264466</v>
      </c>
      <c r="I933" s="60">
        <f>ventas_b_mes12[[#This Row],[IMPORTE NETO]]*0.21</f>
        <v>154.46280991735537</v>
      </c>
      <c r="J933" s="229"/>
      <c r="K933" s="229"/>
      <c r="L933" s="229">
        <v>890</v>
      </c>
      <c r="M933" s="55"/>
    </row>
    <row r="934" spans="2:13" x14ac:dyDescent="0.3">
      <c r="B934" s="223" t="s">
        <v>2471</v>
      </c>
      <c r="C934" s="37">
        <v>6</v>
      </c>
      <c r="D934" s="225">
        <v>10</v>
      </c>
      <c r="E934" s="226">
        <v>43820</v>
      </c>
      <c r="F934" s="227"/>
      <c r="G934" s="1" t="str">
        <f>IFERROR(IF(ventas_b_mes12[[#This Row],[CUIT]]="","-",VLOOKUP(ventas_b_mes12[[#This Row],[CUIT]],Lista_CUIT[#All],2,0)),"CUIT NO CARGADO")</f>
        <v>-</v>
      </c>
      <c r="H934" s="96">
        <f>ventas_b_mes12[[#This Row],[TOTAL]]/1.21</f>
        <v>29131.32231404959</v>
      </c>
      <c r="I934" s="60">
        <f>ventas_b_mes12[[#This Row],[IMPORTE NETO]]*0.21</f>
        <v>6117.577685950414</v>
      </c>
      <c r="J934" s="229"/>
      <c r="K934" s="229"/>
      <c r="L934" s="229">
        <v>35248.9</v>
      </c>
      <c r="M934" s="55"/>
    </row>
    <row r="935" spans="2:13" x14ac:dyDescent="0.3">
      <c r="B935" s="223" t="s">
        <v>2471</v>
      </c>
      <c r="C935" s="37">
        <v>6</v>
      </c>
      <c r="D935" s="225">
        <v>11</v>
      </c>
      <c r="E935" s="226">
        <v>30056</v>
      </c>
      <c r="F935" s="227"/>
      <c r="G935" s="1" t="str">
        <f>IFERROR(IF(ventas_b_mes12[[#This Row],[CUIT]]="","-",VLOOKUP(ventas_b_mes12[[#This Row],[CUIT]],Lista_CUIT[#All],2,0)),"CUIT NO CARGADO")</f>
        <v>-</v>
      </c>
      <c r="H935" s="96">
        <f>ventas_b_mes12[[#This Row],[TOTAL]]/1.21</f>
        <v>929.75206611570252</v>
      </c>
      <c r="I935" s="60">
        <f>ventas_b_mes12[[#This Row],[IMPORTE NETO]]*0.21</f>
        <v>195.24793388429751</v>
      </c>
      <c r="J935" s="229"/>
      <c r="K935" s="229"/>
      <c r="L935" s="229">
        <v>1125</v>
      </c>
      <c r="M935" s="55"/>
    </row>
    <row r="936" spans="2:13" x14ac:dyDescent="0.3">
      <c r="B936" s="223" t="s">
        <v>2471</v>
      </c>
      <c r="C936" s="37">
        <v>6</v>
      </c>
      <c r="D936" s="225">
        <v>10</v>
      </c>
      <c r="E936" s="226">
        <v>43821</v>
      </c>
      <c r="F936" s="227"/>
      <c r="G936" s="1" t="str">
        <f>IFERROR(IF(ventas_b_mes12[[#This Row],[CUIT]]="","-",VLOOKUP(ventas_b_mes12[[#This Row],[CUIT]],Lista_CUIT[#All],2,0)),"CUIT NO CARGADO")</f>
        <v>-</v>
      </c>
      <c r="H936" s="96">
        <f>ventas_b_mes12[[#This Row],[TOTAL]]/1.21</f>
        <v>7433.6942148760336</v>
      </c>
      <c r="I936" s="60">
        <f>ventas_b_mes12[[#This Row],[IMPORTE NETO]]*0.21</f>
        <v>1561.0757851239671</v>
      </c>
      <c r="J936" s="229"/>
      <c r="K936" s="229"/>
      <c r="L936" s="229">
        <v>8994.77</v>
      </c>
      <c r="M936" s="55"/>
    </row>
    <row r="937" spans="2:13" x14ac:dyDescent="0.3">
      <c r="B937" s="223" t="s">
        <v>2471</v>
      </c>
      <c r="C937" s="37">
        <v>6</v>
      </c>
      <c r="D937" s="225">
        <v>13</v>
      </c>
      <c r="E937" s="226">
        <v>26741</v>
      </c>
      <c r="F937" s="227"/>
      <c r="G937" s="1" t="str">
        <f>IFERROR(IF(ventas_b_mes12[[#This Row],[CUIT]]="","-",VLOOKUP(ventas_b_mes12[[#This Row],[CUIT]],Lista_CUIT[#All],2,0)),"CUIT NO CARGADO")</f>
        <v>-</v>
      </c>
      <c r="H937" s="96">
        <f>ventas_b_mes12[[#This Row],[TOTAL]]/1.21</f>
        <v>4958.6776859504134</v>
      </c>
      <c r="I937" s="60">
        <f>ventas_b_mes12[[#This Row],[IMPORTE NETO]]*0.21</f>
        <v>1041.3223140495868</v>
      </c>
      <c r="J937" s="229"/>
      <c r="K937" s="229"/>
      <c r="L937" s="229">
        <v>6000</v>
      </c>
      <c r="M937" s="55"/>
    </row>
    <row r="938" spans="2:13" x14ac:dyDescent="0.3">
      <c r="B938" s="223" t="s">
        <v>2471</v>
      </c>
      <c r="C938" s="37">
        <v>6</v>
      </c>
      <c r="D938" s="225">
        <v>15</v>
      </c>
      <c r="E938" s="226">
        <v>7196</v>
      </c>
      <c r="F938" s="227"/>
      <c r="G938" s="1" t="str">
        <f>IFERROR(IF(ventas_b_mes12[[#This Row],[CUIT]]="","-",VLOOKUP(ventas_b_mes12[[#This Row],[CUIT]],Lista_CUIT[#All],2,0)),"CUIT NO CARGADO")</f>
        <v>-</v>
      </c>
      <c r="H938" s="96">
        <f>ventas_b_mes12[[#This Row],[TOTAL]]/1.21</f>
        <v>227.27272727272728</v>
      </c>
      <c r="I938" s="60">
        <f>ventas_b_mes12[[#This Row],[IMPORTE NETO]]*0.21</f>
        <v>47.727272727272727</v>
      </c>
      <c r="J938" s="229"/>
      <c r="K938" s="229"/>
      <c r="L938" s="229">
        <v>275</v>
      </c>
      <c r="M938" s="55"/>
    </row>
    <row r="939" spans="2:13" x14ac:dyDescent="0.3">
      <c r="B939" s="223" t="s">
        <v>2471</v>
      </c>
      <c r="C939" s="37">
        <v>6</v>
      </c>
      <c r="D939" s="225">
        <v>12</v>
      </c>
      <c r="E939" s="226">
        <v>22473</v>
      </c>
      <c r="F939" s="227"/>
      <c r="G939" s="1" t="str">
        <f>IFERROR(IF(ventas_b_mes12[[#This Row],[CUIT]]="","-",VLOOKUP(ventas_b_mes12[[#This Row],[CUIT]],Lista_CUIT[#All],2,0)),"CUIT NO CARGADO")</f>
        <v>-</v>
      </c>
      <c r="H939" s="96">
        <f>ventas_b_mes12[[#This Row],[TOTAL]]/1.21</f>
        <v>5074.3801652892562</v>
      </c>
      <c r="I939" s="60">
        <f>ventas_b_mes12[[#This Row],[IMPORTE NETO]]*0.21</f>
        <v>1065.6198347107438</v>
      </c>
      <c r="J939" s="229"/>
      <c r="K939" s="229"/>
      <c r="L939" s="229">
        <v>6140</v>
      </c>
      <c r="M939" s="55"/>
    </row>
    <row r="940" spans="2:13" x14ac:dyDescent="0.3">
      <c r="B940" s="223" t="s">
        <v>2471</v>
      </c>
      <c r="C940" s="37">
        <v>6</v>
      </c>
      <c r="D940" s="225">
        <v>12</v>
      </c>
      <c r="E940" s="226">
        <v>22500</v>
      </c>
      <c r="F940" s="227"/>
      <c r="G940" s="1" t="str">
        <f>IFERROR(IF(ventas_b_mes12[[#This Row],[CUIT]]="","-",VLOOKUP(ventas_b_mes12[[#This Row],[CUIT]],Lista_CUIT[#All],2,0)),"CUIT NO CARGADO")</f>
        <v>-</v>
      </c>
      <c r="H940" s="96">
        <f>ventas_b_mes12[[#This Row],[TOTAL]]/1.21</f>
        <v>4958.6776859504134</v>
      </c>
      <c r="I940" s="60">
        <f>ventas_b_mes12[[#This Row],[IMPORTE NETO]]*0.21</f>
        <v>1041.3223140495868</v>
      </c>
      <c r="J940" s="229"/>
      <c r="K940" s="229"/>
      <c r="L940" s="229">
        <v>6000</v>
      </c>
      <c r="M940" s="55"/>
    </row>
    <row r="941" spans="2:13" x14ac:dyDescent="0.3">
      <c r="B941" s="223" t="s">
        <v>2471</v>
      </c>
      <c r="C941" s="37">
        <v>6</v>
      </c>
      <c r="D941" s="225">
        <v>11</v>
      </c>
      <c r="E941" s="226">
        <v>30066</v>
      </c>
      <c r="F941" s="227"/>
      <c r="G941" s="1" t="str">
        <f>IFERROR(IF(ventas_b_mes12[[#This Row],[CUIT]]="","-",VLOOKUP(ventas_b_mes12[[#This Row],[CUIT]],Lista_CUIT[#All],2,0)),"CUIT NO CARGADO")</f>
        <v>-</v>
      </c>
      <c r="H941" s="96">
        <f>ventas_b_mes12[[#This Row],[TOTAL]]/1.21</f>
        <v>9857.8595041322315</v>
      </c>
      <c r="I941" s="60">
        <f>ventas_b_mes12[[#This Row],[IMPORTE NETO]]*0.21</f>
        <v>2070.1504958677683</v>
      </c>
      <c r="J941" s="229"/>
      <c r="K941" s="229"/>
      <c r="L941" s="229">
        <v>11928.01</v>
      </c>
      <c r="M941" s="55"/>
    </row>
    <row r="942" spans="2:13" x14ac:dyDescent="0.3">
      <c r="B942" s="223" t="s">
        <v>2471</v>
      </c>
      <c r="C942" s="37">
        <v>6</v>
      </c>
      <c r="D942" s="225">
        <v>12</v>
      </c>
      <c r="E942" s="226">
        <v>22483</v>
      </c>
      <c r="F942" s="227"/>
      <c r="G942" s="1" t="str">
        <f>IFERROR(IF(ventas_b_mes12[[#This Row],[CUIT]]="","-",VLOOKUP(ventas_b_mes12[[#This Row],[CUIT]],Lista_CUIT[#All],2,0)),"CUIT NO CARGADO")</f>
        <v>-</v>
      </c>
      <c r="H942" s="96">
        <f>ventas_b_mes12[[#This Row],[TOTAL]]/1.21</f>
        <v>1896.6942148760331</v>
      </c>
      <c r="I942" s="60">
        <f>ventas_b_mes12[[#This Row],[IMPORTE NETO]]*0.21</f>
        <v>398.30578512396693</v>
      </c>
      <c r="J942" s="229"/>
      <c r="K942" s="229"/>
      <c r="L942" s="229">
        <v>2295</v>
      </c>
      <c r="M942" s="55"/>
    </row>
    <row r="943" spans="2:13" x14ac:dyDescent="0.3">
      <c r="B943" s="223" t="s">
        <v>2471</v>
      </c>
      <c r="C943" s="37">
        <v>6</v>
      </c>
      <c r="D943" s="225">
        <v>15</v>
      </c>
      <c r="E943" s="226">
        <v>7199</v>
      </c>
      <c r="F943" s="227"/>
      <c r="G943" s="1" t="str">
        <f>IFERROR(IF(ventas_b_mes12[[#This Row],[CUIT]]="","-",VLOOKUP(ventas_b_mes12[[#This Row],[CUIT]],Lista_CUIT[#All],2,0)),"CUIT NO CARGADO")</f>
        <v>-</v>
      </c>
      <c r="H943" s="96">
        <f>ventas_b_mes12[[#This Row],[TOTAL]]/1.21</f>
        <v>11114.04958677686</v>
      </c>
      <c r="I943" s="60">
        <f>ventas_b_mes12[[#This Row],[IMPORTE NETO]]*0.21</f>
        <v>2333.9504132231405</v>
      </c>
      <c r="J943" s="229"/>
      <c r="K943" s="229"/>
      <c r="L943" s="229">
        <v>13448</v>
      </c>
      <c r="M943" s="55"/>
    </row>
    <row r="944" spans="2:13" x14ac:dyDescent="0.3">
      <c r="B944" s="223" t="s">
        <v>2471</v>
      </c>
      <c r="C944" s="37">
        <v>6</v>
      </c>
      <c r="D944" s="225">
        <v>12</v>
      </c>
      <c r="E944" s="226">
        <v>22493</v>
      </c>
      <c r="F944" s="227"/>
      <c r="G944" s="1" t="str">
        <f>IFERROR(IF(ventas_b_mes12[[#This Row],[CUIT]]="","-",VLOOKUP(ventas_b_mes12[[#This Row],[CUIT]],Lista_CUIT[#All],2,0)),"CUIT NO CARGADO")</f>
        <v>-</v>
      </c>
      <c r="H944" s="96">
        <f>ventas_b_mes12[[#This Row],[TOTAL]]/1.21</f>
        <v>4958.6776859504134</v>
      </c>
      <c r="I944" s="60">
        <f>ventas_b_mes12[[#This Row],[IMPORTE NETO]]*0.21</f>
        <v>1041.3223140495868</v>
      </c>
      <c r="J944" s="229"/>
      <c r="K944" s="229"/>
      <c r="L944" s="229">
        <v>6000</v>
      </c>
      <c r="M944" s="55"/>
    </row>
    <row r="945" spans="2:13" x14ac:dyDescent="0.3">
      <c r="B945" s="223" t="s">
        <v>2471</v>
      </c>
      <c r="C945" s="37">
        <v>6</v>
      </c>
      <c r="D945" s="225">
        <v>15</v>
      </c>
      <c r="E945" s="226">
        <v>7197</v>
      </c>
      <c r="F945" s="227"/>
      <c r="G945" s="1" t="str">
        <f>IFERROR(IF(ventas_b_mes12[[#This Row],[CUIT]]="","-",VLOOKUP(ventas_b_mes12[[#This Row],[CUIT]],Lista_CUIT[#All],2,0)),"CUIT NO CARGADO")</f>
        <v>-</v>
      </c>
      <c r="H945" s="96">
        <f>ventas_b_mes12[[#This Row],[TOTAL]]/1.21</f>
        <v>6932.2314049586776</v>
      </c>
      <c r="I945" s="60">
        <f>ventas_b_mes12[[#This Row],[IMPORTE NETO]]*0.21</f>
        <v>1455.7685950413222</v>
      </c>
      <c r="J945" s="229"/>
      <c r="K945" s="229"/>
      <c r="L945" s="229">
        <v>8388</v>
      </c>
      <c r="M945" s="55"/>
    </row>
    <row r="946" spans="2:13" x14ac:dyDescent="0.3">
      <c r="B946" s="223" t="s">
        <v>2471</v>
      </c>
      <c r="C946" s="37">
        <v>6</v>
      </c>
      <c r="D946" s="225">
        <v>11</v>
      </c>
      <c r="E946" s="226">
        <v>30063</v>
      </c>
      <c r="F946" s="227"/>
      <c r="G946" s="1" t="str">
        <f>IFERROR(IF(ventas_b_mes12[[#This Row],[CUIT]]="","-",VLOOKUP(ventas_b_mes12[[#This Row],[CUIT]],Lista_CUIT[#All],2,0)),"CUIT NO CARGADO")</f>
        <v>-</v>
      </c>
      <c r="H946" s="96">
        <f>ventas_b_mes12[[#This Row],[TOTAL]]/1.21</f>
        <v>1699.2892561983469</v>
      </c>
      <c r="I946" s="60">
        <f>ventas_b_mes12[[#This Row],[IMPORTE NETO]]*0.21</f>
        <v>356.85074380165287</v>
      </c>
      <c r="J946" s="229"/>
      <c r="K946" s="229"/>
      <c r="L946" s="229">
        <v>2056.14</v>
      </c>
      <c r="M946" s="55"/>
    </row>
    <row r="947" spans="2:13" x14ac:dyDescent="0.3">
      <c r="B947" s="223" t="s">
        <v>2471</v>
      </c>
      <c r="C947" s="37">
        <v>6</v>
      </c>
      <c r="D947" s="225">
        <v>11</v>
      </c>
      <c r="E947" s="226">
        <v>30070</v>
      </c>
      <c r="F947" s="227"/>
      <c r="G947" s="1" t="str">
        <f>IFERROR(IF(ventas_b_mes12[[#This Row],[CUIT]]="","-",VLOOKUP(ventas_b_mes12[[#This Row],[CUIT]],Lista_CUIT[#All],2,0)),"CUIT NO CARGADO")</f>
        <v>-</v>
      </c>
      <c r="H947" s="96">
        <f>ventas_b_mes12[[#This Row],[TOTAL]]/1.21</f>
        <v>5467.7685950413224</v>
      </c>
      <c r="I947" s="60">
        <f>ventas_b_mes12[[#This Row],[IMPORTE NETO]]*0.21</f>
        <v>1148.2314049586776</v>
      </c>
      <c r="J947" s="229"/>
      <c r="K947" s="229"/>
      <c r="L947" s="229">
        <v>6616</v>
      </c>
      <c r="M947" s="55"/>
    </row>
    <row r="948" spans="2:13" x14ac:dyDescent="0.3">
      <c r="B948" s="223" t="s">
        <v>2471</v>
      </c>
      <c r="C948" s="37">
        <v>6</v>
      </c>
      <c r="D948" s="225">
        <v>11</v>
      </c>
      <c r="E948" s="226">
        <v>30055</v>
      </c>
      <c r="F948" s="227"/>
      <c r="G948" s="1" t="str">
        <f>IFERROR(IF(ventas_b_mes12[[#This Row],[CUIT]]="","-",VLOOKUP(ventas_b_mes12[[#This Row],[CUIT]],Lista_CUIT[#All],2,0)),"CUIT NO CARGADO")</f>
        <v>-</v>
      </c>
      <c r="H948" s="96">
        <f>ventas_b_mes12[[#This Row],[TOTAL]]/1.21</f>
        <v>4958.6776859504134</v>
      </c>
      <c r="I948" s="60">
        <f>ventas_b_mes12[[#This Row],[IMPORTE NETO]]*0.21</f>
        <v>1041.3223140495868</v>
      </c>
      <c r="J948" s="229"/>
      <c r="K948" s="229"/>
      <c r="L948" s="229">
        <v>6000</v>
      </c>
      <c r="M948" s="55"/>
    </row>
    <row r="949" spans="2:13" x14ac:dyDescent="0.3">
      <c r="B949" s="223" t="s">
        <v>2471</v>
      </c>
      <c r="C949" s="37">
        <v>6</v>
      </c>
      <c r="D949" s="225">
        <v>11</v>
      </c>
      <c r="E949" s="226">
        <v>30061</v>
      </c>
      <c r="F949" s="227"/>
      <c r="G949" s="1" t="str">
        <f>IFERROR(IF(ventas_b_mes12[[#This Row],[CUIT]]="","-",VLOOKUP(ventas_b_mes12[[#This Row],[CUIT]],Lista_CUIT[#All],2,0)),"CUIT NO CARGADO")</f>
        <v>-</v>
      </c>
      <c r="H949" s="96">
        <f>ventas_b_mes12[[#This Row],[TOTAL]]/1.21</f>
        <v>4214.8760330578516</v>
      </c>
      <c r="I949" s="60">
        <f>ventas_b_mes12[[#This Row],[IMPORTE NETO]]*0.21</f>
        <v>885.12396694214885</v>
      </c>
      <c r="J949" s="229"/>
      <c r="K949" s="229"/>
      <c r="L949" s="229">
        <v>5100</v>
      </c>
      <c r="M949" s="55"/>
    </row>
    <row r="950" spans="2:13" x14ac:dyDescent="0.3">
      <c r="B950" s="223" t="s">
        <v>2471</v>
      </c>
      <c r="C950" s="37">
        <v>6</v>
      </c>
      <c r="D950" s="225">
        <v>15</v>
      </c>
      <c r="E950" s="226">
        <v>7194</v>
      </c>
      <c r="F950" s="227"/>
      <c r="G950" s="1" t="str">
        <f>IFERROR(IF(ventas_b_mes12[[#This Row],[CUIT]]="","-",VLOOKUP(ventas_b_mes12[[#This Row],[CUIT]],Lista_CUIT[#All],2,0)),"CUIT NO CARGADO")</f>
        <v>-</v>
      </c>
      <c r="H950" s="96">
        <f>ventas_b_mes12[[#This Row],[TOTAL]]/1.21</f>
        <v>11405</v>
      </c>
      <c r="I950" s="60">
        <f>ventas_b_mes12[[#This Row],[IMPORTE NETO]]*0.21</f>
        <v>2395.0499999999997</v>
      </c>
      <c r="J950" s="229"/>
      <c r="K950" s="229"/>
      <c r="L950" s="229">
        <v>13800.05</v>
      </c>
      <c r="M950" s="55"/>
    </row>
    <row r="951" spans="2:13" x14ac:dyDescent="0.3">
      <c r="B951" s="223" t="s">
        <v>2471</v>
      </c>
      <c r="C951" s="37">
        <v>6</v>
      </c>
      <c r="D951" s="225">
        <v>10</v>
      </c>
      <c r="E951" s="226">
        <v>43829</v>
      </c>
      <c r="F951" s="227"/>
      <c r="G951" s="1" t="str">
        <f>IFERROR(IF(ventas_b_mes12[[#This Row],[CUIT]]="","-",VLOOKUP(ventas_b_mes12[[#This Row],[CUIT]],Lista_CUIT[#All],2,0)),"CUIT NO CARGADO")</f>
        <v>-</v>
      </c>
      <c r="H951" s="96">
        <f>ventas_b_mes12[[#This Row],[TOTAL]]/1.21</f>
        <v>26446.280991735537</v>
      </c>
      <c r="I951" s="60">
        <f>ventas_b_mes12[[#This Row],[IMPORTE NETO]]*0.21</f>
        <v>5553.7190082644629</v>
      </c>
      <c r="J951" s="229"/>
      <c r="K951" s="229"/>
      <c r="L951" s="229">
        <v>32000</v>
      </c>
      <c r="M951" s="55"/>
    </row>
    <row r="952" spans="2:13" x14ac:dyDescent="0.3">
      <c r="B952" s="223" t="s">
        <v>2471</v>
      </c>
      <c r="C952" s="37">
        <v>6</v>
      </c>
      <c r="D952" s="225">
        <v>10</v>
      </c>
      <c r="E952" s="226">
        <v>43825</v>
      </c>
      <c r="F952" s="227"/>
      <c r="G952" s="1" t="str">
        <f>IFERROR(IF(ventas_b_mes12[[#This Row],[CUIT]]="","-",VLOOKUP(ventas_b_mes12[[#This Row],[CUIT]],Lista_CUIT[#All],2,0)),"CUIT NO CARGADO")</f>
        <v>-</v>
      </c>
      <c r="H952" s="96">
        <f>ventas_b_mes12[[#This Row],[TOTAL]]/1.21</f>
        <v>4958.6776859504134</v>
      </c>
      <c r="I952" s="60">
        <f>ventas_b_mes12[[#This Row],[IMPORTE NETO]]*0.21</f>
        <v>1041.3223140495868</v>
      </c>
      <c r="J952" s="229"/>
      <c r="K952" s="229"/>
      <c r="L952" s="229">
        <v>6000</v>
      </c>
      <c r="M952" s="55"/>
    </row>
    <row r="953" spans="2:13" x14ac:dyDescent="0.3">
      <c r="B953" s="223" t="s">
        <v>2471</v>
      </c>
      <c r="C953" s="37">
        <v>6</v>
      </c>
      <c r="D953" s="225">
        <v>10</v>
      </c>
      <c r="E953" s="226">
        <v>43835</v>
      </c>
      <c r="F953" s="227"/>
      <c r="G953" s="1" t="str">
        <f>IFERROR(IF(ventas_b_mes12[[#This Row],[CUIT]]="","-",VLOOKUP(ventas_b_mes12[[#This Row],[CUIT]],Lista_CUIT[#All],2,0)),"CUIT NO CARGADO")</f>
        <v>-</v>
      </c>
      <c r="H953" s="96">
        <f>ventas_b_mes12[[#This Row],[TOTAL]]/1.21</f>
        <v>4144.6280991735539</v>
      </c>
      <c r="I953" s="60">
        <f>ventas_b_mes12[[#This Row],[IMPORTE NETO]]*0.21</f>
        <v>870.37190082644634</v>
      </c>
      <c r="J953" s="229"/>
      <c r="K953" s="229"/>
      <c r="L953" s="229">
        <v>5015</v>
      </c>
      <c r="M953" s="55"/>
    </row>
    <row r="954" spans="2:13" x14ac:dyDescent="0.3">
      <c r="B954" s="223" t="s">
        <v>2471</v>
      </c>
      <c r="C954" s="37">
        <v>6</v>
      </c>
      <c r="D954" s="225">
        <v>15</v>
      </c>
      <c r="E954" s="226">
        <v>7205</v>
      </c>
      <c r="F954" s="227"/>
      <c r="G954" s="1" t="str">
        <f>IFERROR(IF(ventas_b_mes12[[#This Row],[CUIT]]="","-",VLOOKUP(ventas_b_mes12[[#This Row],[CUIT]],Lista_CUIT[#All],2,0)),"CUIT NO CARGADO")</f>
        <v>-</v>
      </c>
      <c r="H954" s="96">
        <f>ventas_b_mes12[[#This Row],[TOTAL]]/1.21</f>
        <v>322.31404958677689</v>
      </c>
      <c r="I954" s="60">
        <f>ventas_b_mes12[[#This Row],[IMPORTE NETO]]*0.21</f>
        <v>67.685950413223139</v>
      </c>
      <c r="J954" s="229"/>
      <c r="K954" s="229"/>
      <c r="L954" s="229">
        <v>390</v>
      </c>
      <c r="M954" s="55"/>
    </row>
    <row r="955" spans="2:13" x14ac:dyDescent="0.3">
      <c r="B955" s="223" t="s">
        <v>2471</v>
      </c>
      <c r="C955" s="37">
        <v>6</v>
      </c>
      <c r="D955" s="225">
        <v>10</v>
      </c>
      <c r="E955" s="226">
        <v>43841</v>
      </c>
      <c r="F955" s="227"/>
      <c r="G955" s="1" t="str">
        <f>IFERROR(IF(ventas_b_mes12[[#This Row],[CUIT]]="","-",VLOOKUP(ventas_b_mes12[[#This Row],[CUIT]],Lista_CUIT[#All],2,0)),"CUIT NO CARGADO")</f>
        <v>-</v>
      </c>
      <c r="H955" s="96">
        <f>ventas_b_mes12[[#This Row],[TOTAL]]/1.21</f>
        <v>3285.1239669421489</v>
      </c>
      <c r="I955" s="60">
        <f>ventas_b_mes12[[#This Row],[IMPORTE NETO]]*0.21</f>
        <v>689.87603305785126</v>
      </c>
      <c r="J955" s="229"/>
      <c r="K955" s="229"/>
      <c r="L955" s="229">
        <v>3975</v>
      </c>
      <c r="M955" s="55"/>
    </row>
    <row r="956" spans="2:13" x14ac:dyDescent="0.3">
      <c r="B956" s="223" t="s">
        <v>2471</v>
      </c>
      <c r="C956" s="37">
        <v>6</v>
      </c>
      <c r="D956" s="225">
        <v>10</v>
      </c>
      <c r="E956" s="226">
        <v>43830</v>
      </c>
      <c r="F956" s="227"/>
      <c r="G956" s="1" t="str">
        <f>IFERROR(IF(ventas_b_mes12[[#This Row],[CUIT]]="","-",VLOOKUP(ventas_b_mes12[[#This Row],[CUIT]],Lista_CUIT[#All],2,0)),"CUIT NO CARGADO")</f>
        <v>-</v>
      </c>
      <c r="H956" s="96">
        <f>ventas_b_mes12[[#This Row],[TOTAL]]/1.21</f>
        <v>4636.3636363636369</v>
      </c>
      <c r="I956" s="60">
        <f>ventas_b_mes12[[#This Row],[IMPORTE NETO]]*0.21</f>
        <v>973.63636363636374</v>
      </c>
      <c r="J956" s="229"/>
      <c r="K956" s="229"/>
      <c r="L956" s="229">
        <v>5610</v>
      </c>
      <c r="M956" s="55"/>
    </row>
    <row r="957" spans="2:13" x14ac:dyDescent="0.3">
      <c r="B957" s="223" t="s">
        <v>2471</v>
      </c>
      <c r="C957" s="37">
        <v>6</v>
      </c>
      <c r="D957" s="225">
        <v>13</v>
      </c>
      <c r="E957" s="226">
        <v>26737</v>
      </c>
      <c r="F957" s="227"/>
      <c r="G957" s="1" t="str">
        <f>IFERROR(IF(ventas_b_mes12[[#This Row],[CUIT]]="","-",VLOOKUP(ventas_b_mes12[[#This Row],[CUIT]],Lista_CUIT[#All],2,0)),"CUIT NO CARGADO")</f>
        <v>-</v>
      </c>
      <c r="H957" s="96">
        <f>ventas_b_mes12[[#This Row],[TOTAL]]/1.21</f>
        <v>13566.94214876033</v>
      </c>
      <c r="I957" s="60">
        <f>ventas_b_mes12[[#This Row],[IMPORTE NETO]]*0.21</f>
        <v>2849.0578512396692</v>
      </c>
      <c r="J957" s="229"/>
      <c r="K957" s="229"/>
      <c r="L957" s="229">
        <v>16416</v>
      </c>
      <c r="M957" s="55"/>
    </row>
    <row r="958" spans="2:13" x14ac:dyDescent="0.3">
      <c r="B958" s="223" t="s">
        <v>2471</v>
      </c>
      <c r="C958" s="37">
        <v>6</v>
      </c>
      <c r="D958" s="225">
        <v>15</v>
      </c>
      <c r="E958" s="226">
        <v>7206</v>
      </c>
      <c r="F958" s="227"/>
      <c r="G958" s="1" t="str">
        <f>IFERROR(IF(ventas_b_mes12[[#This Row],[CUIT]]="","-",VLOOKUP(ventas_b_mes12[[#This Row],[CUIT]],Lista_CUIT[#All],2,0)),"CUIT NO CARGADO")</f>
        <v>-</v>
      </c>
      <c r="H958" s="96">
        <f>ventas_b_mes12[[#This Row],[TOTAL]]/1.21</f>
        <v>669.42148760330576</v>
      </c>
      <c r="I958" s="60">
        <f>ventas_b_mes12[[#This Row],[IMPORTE NETO]]*0.21</f>
        <v>140.57851239669421</v>
      </c>
      <c r="J958" s="229"/>
      <c r="K958" s="229"/>
      <c r="L958" s="229">
        <v>810</v>
      </c>
      <c r="M958" s="55"/>
    </row>
    <row r="959" spans="2:13" x14ac:dyDescent="0.3">
      <c r="B959" s="223" t="s">
        <v>2471</v>
      </c>
      <c r="C959" s="37">
        <v>6</v>
      </c>
      <c r="D959" s="225">
        <v>15</v>
      </c>
      <c r="E959" s="226">
        <v>7204</v>
      </c>
      <c r="F959" s="227"/>
      <c r="G959" s="1" t="str">
        <f>IFERROR(IF(ventas_b_mes12[[#This Row],[CUIT]]="","-",VLOOKUP(ventas_b_mes12[[#This Row],[CUIT]],Lista_CUIT[#All],2,0)),"CUIT NO CARGADO")</f>
        <v>-</v>
      </c>
      <c r="H959" s="96">
        <f>ventas_b_mes12[[#This Row],[TOTAL]]/1.21</f>
        <v>1528.9338842975208</v>
      </c>
      <c r="I959" s="60">
        <f>ventas_b_mes12[[#This Row],[IMPORTE NETO]]*0.21</f>
        <v>321.07611570247934</v>
      </c>
      <c r="J959" s="229"/>
      <c r="K959" s="229"/>
      <c r="L959" s="229">
        <v>1850.01</v>
      </c>
      <c r="M959" s="55"/>
    </row>
    <row r="960" spans="2:13" x14ac:dyDescent="0.3">
      <c r="B960" s="223" t="s">
        <v>2471</v>
      </c>
      <c r="C960" s="37">
        <v>6</v>
      </c>
      <c r="D960" s="225">
        <v>11</v>
      </c>
      <c r="E960" s="226">
        <v>30058</v>
      </c>
      <c r="F960" s="227"/>
      <c r="G960" s="1" t="str">
        <f>IFERROR(IF(ventas_b_mes12[[#This Row],[CUIT]]="","-",VLOOKUP(ventas_b_mes12[[#This Row],[CUIT]],Lista_CUIT[#All],2,0)),"CUIT NO CARGADO")</f>
        <v>-</v>
      </c>
      <c r="H960" s="96">
        <f>ventas_b_mes12[[#This Row],[TOTAL]]/1.21</f>
        <v>14338.842975206611</v>
      </c>
      <c r="I960" s="60">
        <f>ventas_b_mes12[[#This Row],[IMPORTE NETO]]*0.21</f>
        <v>3011.1570247933882</v>
      </c>
      <c r="J960" s="229"/>
      <c r="K960" s="229"/>
      <c r="L960" s="229">
        <v>17350</v>
      </c>
      <c r="M960" s="55"/>
    </row>
    <row r="961" spans="2:13" x14ac:dyDescent="0.3">
      <c r="B961" s="223" t="s">
        <v>2471</v>
      </c>
      <c r="C961" s="37">
        <v>6</v>
      </c>
      <c r="D961" s="225">
        <v>10</v>
      </c>
      <c r="E961" s="226">
        <v>43846</v>
      </c>
      <c r="F961" s="227"/>
      <c r="G961" s="1" t="str">
        <f>IFERROR(IF(ventas_b_mes12[[#This Row],[CUIT]]="","-",VLOOKUP(ventas_b_mes12[[#This Row],[CUIT]],Lista_CUIT[#All],2,0)),"CUIT NO CARGADO")</f>
        <v>-</v>
      </c>
      <c r="H961" s="96">
        <f>ventas_b_mes12[[#This Row],[TOTAL]]/1.21</f>
        <v>1004.1322314049587</v>
      </c>
      <c r="I961" s="60">
        <f>ventas_b_mes12[[#This Row],[IMPORTE NETO]]*0.21</f>
        <v>210.86776859504133</v>
      </c>
      <c r="J961" s="229"/>
      <c r="K961" s="229"/>
      <c r="L961" s="229">
        <v>1215</v>
      </c>
      <c r="M961" s="55"/>
    </row>
    <row r="962" spans="2:13" x14ac:dyDescent="0.3">
      <c r="B962" s="223" t="s">
        <v>2471</v>
      </c>
      <c r="C962" s="37">
        <v>6</v>
      </c>
      <c r="D962" s="225">
        <v>11</v>
      </c>
      <c r="E962" s="226">
        <v>30052</v>
      </c>
      <c r="F962" s="227"/>
      <c r="G962" s="1" t="str">
        <f>IFERROR(IF(ventas_b_mes12[[#This Row],[CUIT]]="","-",VLOOKUP(ventas_b_mes12[[#This Row],[CUIT]],Lista_CUIT[#All],2,0)),"CUIT NO CARGADO")</f>
        <v>-</v>
      </c>
      <c r="H962" s="96">
        <f>ventas_b_mes12[[#This Row],[TOTAL]]/1.21</f>
        <v>2504.1322314049589</v>
      </c>
      <c r="I962" s="60">
        <f>ventas_b_mes12[[#This Row],[IMPORTE NETO]]*0.21</f>
        <v>525.86776859504141</v>
      </c>
      <c r="J962" s="229"/>
      <c r="K962" s="229"/>
      <c r="L962" s="229">
        <v>3030</v>
      </c>
      <c r="M962" s="55"/>
    </row>
    <row r="963" spans="2:13" x14ac:dyDescent="0.3">
      <c r="B963" s="223" t="s">
        <v>2471</v>
      </c>
      <c r="C963" s="37">
        <v>6</v>
      </c>
      <c r="D963" s="225">
        <v>10</v>
      </c>
      <c r="E963" s="226">
        <v>43831</v>
      </c>
      <c r="F963" s="227"/>
      <c r="G963" s="1" t="str">
        <f>IFERROR(IF(ventas_b_mes12[[#This Row],[CUIT]]="","-",VLOOKUP(ventas_b_mes12[[#This Row],[CUIT]],Lista_CUIT[#All],2,0)),"CUIT NO CARGADO")</f>
        <v>-</v>
      </c>
      <c r="H963" s="96">
        <f>ventas_b_mes12[[#This Row],[TOTAL]]/1.21</f>
        <v>4958.6776859504134</v>
      </c>
      <c r="I963" s="60">
        <f>ventas_b_mes12[[#This Row],[IMPORTE NETO]]*0.21</f>
        <v>1041.3223140495868</v>
      </c>
      <c r="J963" s="229"/>
      <c r="K963" s="229"/>
      <c r="L963" s="229">
        <v>6000</v>
      </c>
      <c r="M963" s="55"/>
    </row>
    <row r="964" spans="2:13" x14ac:dyDescent="0.3">
      <c r="B964" s="223" t="s">
        <v>2471</v>
      </c>
      <c r="C964" s="37">
        <v>6</v>
      </c>
      <c r="D964" s="225">
        <v>12</v>
      </c>
      <c r="E964" s="226">
        <v>22482</v>
      </c>
      <c r="F964" s="227"/>
      <c r="G964" s="1" t="str">
        <f>IFERROR(IF(ventas_b_mes12[[#This Row],[CUIT]]="","-",VLOOKUP(ventas_b_mes12[[#This Row],[CUIT]],Lista_CUIT[#All],2,0)),"CUIT NO CARGADO")</f>
        <v>-</v>
      </c>
      <c r="H964" s="96">
        <f>ventas_b_mes12[[#This Row],[TOTAL]]/1.21</f>
        <v>3456.1983471074382</v>
      </c>
      <c r="I964" s="60">
        <f>ventas_b_mes12[[#This Row],[IMPORTE NETO]]*0.21</f>
        <v>725.80165289256195</v>
      </c>
      <c r="J964" s="229"/>
      <c r="K964" s="229"/>
      <c r="L964" s="229">
        <v>4182</v>
      </c>
      <c r="M964" s="55"/>
    </row>
    <row r="965" spans="2:13" x14ac:dyDescent="0.3">
      <c r="B965" s="223" t="s">
        <v>2471</v>
      </c>
      <c r="C965" s="37">
        <v>6</v>
      </c>
      <c r="D965" s="225">
        <v>13</v>
      </c>
      <c r="E965" s="226">
        <v>26738</v>
      </c>
      <c r="F965" s="227"/>
      <c r="G965" s="1" t="str">
        <f>IFERROR(IF(ventas_b_mes12[[#This Row],[CUIT]]="","-",VLOOKUP(ventas_b_mes12[[#This Row],[CUIT]],Lista_CUIT[#All],2,0)),"CUIT NO CARGADO")</f>
        <v>-</v>
      </c>
      <c r="H965" s="96">
        <f>ventas_b_mes12[[#This Row],[TOTAL]]/1.21</f>
        <v>2438.0165289256197</v>
      </c>
      <c r="I965" s="60">
        <f>ventas_b_mes12[[#This Row],[IMPORTE NETO]]*0.21</f>
        <v>511.98347107438013</v>
      </c>
      <c r="J965" s="229"/>
      <c r="K965" s="229"/>
      <c r="L965" s="229">
        <v>2950</v>
      </c>
      <c r="M965" s="55"/>
    </row>
    <row r="966" spans="2:13" x14ac:dyDescent="0.3">
      <c r="B966" s="223" t="s">
        <v>2471</v>
      </c>
      <c r="C966" s="37">
        <v>6</v>
      </c>
      <c r="D966" s="225">
        <v>10</v>
      </c>
      <c r="E966" s="226">
        <v>43845</v>
      </c>
      <c r="F966" s="227"/>
      <c r="G966" s="1" t="str">
        <f>IFERROR(IF(ventas_b_mes12[[#This Row],[CUIT]]="","-",VLOOKUP(ventas_b_mes12[[#This Row],[CUIT]],Lista_CUIT[#All],2,0)),"CUIT NO CARGADO")</f>
        <v>-</v>
      </c>
      <c r="H966" s="96">
        <f>ventas_b_mes12[[#This Row],[TOTAL]]/1.21</f>
        <v>1152.8925619834711</v>
      </c>
      <c r="I966" s="60">
        <f>ventas_b_mes12[[#This Row],[IMPORTE NETO]]*0.21</f>
        <v>242.1074380165289</v>
      </c>
      <c r="J966" s="229"/>
      <c r="K966" s="229"/>
      <c r="L966" s="229">
        <v>1395</v>
      </c>
      <c r="M966" s="55"/>
    </row>
    <row r="967" spans="2:13" x14ac:dyDescent="0.3">
      <c r="B967" s="223" t="s">
        <v>2471</v>
      </c>
      <c r="C967" s="37">
        <v>6</v>
      </c>
      <c r="D967" s="225">
        <v>13</v>
      </c>
      <c r="E967" s="226">
        <v>26731</v>
      </c>
      <c r="F967" s="227"/>
      <c r="G967" s="1" t="str">
        <f>IFERROR(IF(ventas_b_mes12[[#This Row],[CUIT]]="","-",VLOOKUP(ventas_b_mes12[[#This Row],[CUIT]],Lista_CUIT[#All],2,0)),"CUIT NO CARGADO")</f>
        <v>-</v>
      </c>
      <c r="H967" s="96">
        <f>ventas_b_mes12[[#This Row],[TOTAL]]/1.21</f>
        <v>3570.2479338842977</v>
      </c>
      <c r="I967" s="60">
        <f>ventas_b_mes12[[#This Row],[IMPORTE NETO]]*0.21</f>
        <v>749.75206611570252</v>
      </c>
      <c r="J967" s="229"/>
      <c r="K967" s="229"/>
      <c r="L967" s="229">
        <v>4320</v>
      </c>
      <c r="M967" s="55"/>
    </row>
    <row r="968" spans="2:13" x14ac:dyDescent="0.3">
      <c r="B968" s="223" t="s">
        <v>2471</v>
      </c>
      <c r="C968" s="37">
        <v>6</v>
      </c>
      <c r="D968" s="225">
        <v>11</v>
      </c>
      <c r="E968" s="226">
        <v>30062</v>
      </c>
      <c r="F968" s="227"/>
      <c r="G968" s="1" t="str">
        <f>IFERROR(IF(ventas_b_mes12[[#This Row],[CUIT]]="","-",VLOOKUP(ventas_b_mes12[[#This Row],[CUIT]],Lista_CUIT[#All],2,0)),"CUIT NO CARGADO")</f>
        <v>-</v>
      </c>
      <c r="H968" s="96">
        <f>ventas_b_mes12[[#This Row],[TOTAL]]/1.21</f>
        <v>826.44628099173553</v>
      </c>
      <c r="I968" s="60">
        <f>ventas_b_mes12[[#This Row],[IMPORTE NETO]]*0.21</f>
        <v>173.55371900826447</v>
      </c>
      <c r="J968" s="229"/>
      <c r="K968" s="229"/>
      <c r="L968" s="229">
        <v>1000</v>
      </c>
      <c r="M968" s="55"/>
    </row>
    <row r="969" spans="2:13" x14ac:dyDescent="0.3">
      <c r="B969" s="223" t="s">
        <v>2471</v>
      </c>
      <c r="C969" s="37">
        <v>6</v>
      </c>
      <c r="D969" s="225">
        <v>15</v>
      </c>
      <c r="E969" s="226">
        <v>7202</v>
      </c>
      <c r="F969" s="227"/>
      <c r="G969" s="1" t="str">
        <f>IFERROR(IF(ventas_b_mes12[[#This Row],[CUIT]]="","-",VLOOKUP(ventas_b_mes12[[#This Row],[CUIT]],Lista_CUIT[#All],2,0)),"CUIT NO CARGADO")</f>
        <v>-</v>
      </c>
      <c r="H969" s="96">
        <f>ventas_b_mes12[[#This Row],[TOTAL]]/1.21</f>
        <v>1735.5371900826447</v>
      </c>
      <c r="I969" s="60">
        <f>ventas_b_mes12[[#This Row],[IMPORTE NETO]]*0.21</f>
        <v>364.46280991735534</v>
      </c>
      <c r="J969" s="229"/>
      <c r="K969" s="229"/>
      <c r="L969" s="229">
        <v>2100</v>
      </c>
      <c r="M969" s="55"/>
    </row>
    <row r="970" spans="2:13" x14ac:dyDescent="0.3">
      <c r="B970" s="223" t="s">
        <v>2471</v>
      </c>
      <c r="C970" s="37">
        <v>6</v>
      </c>
      <c r="D970" s="225">
        <v>11</v>
      </c>
      <c r="E970" s="226">
        <v>30068</v>
      </c>
      <c r="F970" s="227"/>
      <c r="G970" s="1" t="str">
        <f>IFERROR(IF(ventas_b_mes12[[#This Row],[CUIT]]="","-",VLOOKUP(ventas_b_mes12[[#This Row],[CUIT]],Lista_CUIT[#All],2,0)),"CUIT NO CARGADO")</f>
        <v>-</v>
      </c>
      <c r="H970" s="96">
        <f>ventas_b_mes12[[#This Row],[TOTAL]]/1.21</f>
        <v>45785.123966942148</v>
      </c>
      <c r="I970" s="60">
        <f>ventas_b_mes12[[#This Row],[IMPORTE NETO]]*0.21</f>
        <v>9614.8760330578516</v>
      </c>
      <c r="J970" s="229"/>
      <c r="K970" s="229"/>
      <c r="L970" s="229">
        <v>55400</v>
      </c>
      <c r="M970" s="55"/>
    </row>
    <row r="971" spans="2:13" x14ac:dyDescent="0.3">
      <c r="B971" s="223" t="s">
        <v>2471</v>
      </c>
      <c r="C971" s="37">
        <v>6</v>
      </c>
      <c r="D971" s="225">
        <v>13</v>
      </c>
      <c r="E971" s="226">
        <v>26739</v>
      </c>
      <c r="F971" s="227"/>
      <c r="G971" s="1" t="str">
        <f>IFERROR(IF(ventas_b_mes12[[#This Row],[CUIT]]="","-",VLOOKUP(ventas_b_mes12[[#This Row],[CUIT]],Lista_CUIT[#All],2,0)),"CUIT NO CARGADO")</f>
        <v>-</v>
      </c>
      <c r="H971" s="96">
        <f>ventas_b_mes12[[#This Row],[TOTAL]]/1.21</f>
        <v>1388.4297520661157</v>
      </c>
      <c r="I971" s="60">
        <f>ventas_b_mes12[[#This Row],[IMPORTE NETO]]*0.21</f>
        <v>291.57024793388427</v>
      </c>
      <c r="J971" s="229"/>
      <c r="K971" s="229"/>
      <c r="L971" s="229">
        <v>1680</v>
      </c>
      <c r="M971" s="55"/>
    </row>
    <row r="972" spans="2:13" x14ac:dyDescent="0.3">
      <c r="B972" s="223" t="s">
        <v>2471</v>
      </c>
      <c r="C972" s="37">
        <v>6</v>
      </c>
      <c r="D972" s="225">
        <v>12</v>
      </c>
      <c r="E972" s="226">
        <v>22478</v>
      </c>
      <c r="F972" s="227"/>
      <c r="G972" s="1" t="str">
        <f>IFERROR(IF(ventas_b_mes12[[#This Row],[CUIT]]="","-",VLOOKUP(ventas_b_mes12[[#This Row],[CUIT]],Lista_CUIT[#All],2,0)),"CUIT NO CARGADO")</f>
        <v>-</v>
      </c>
      <c r="H972" s="96">
        <f>ventas_b_mes12[[#This Row],[TOTAL]]/1.21</f>
        <v>46479.347107438021</v>
      </c>
      <c r="I972" s="60">
        <f>ventas_b_mes12[[#This Row],[IMPORTE NETO]]*0.21</f>
        <v>9760.6628925619843</v>
      </c>
      <c r="J972" s="229"/>
      <c r="K972" s="229"/>
      <c r="L972" s="229">
        <v>56240.01</v>
      </c>
      <c r="M972" s="55"/>
    </row>
    <row r="973" spans="2:13" x14ac:dyDescent="0.3">
      <c r="B973" s="223" t="s">
        <v>2471</v>
      </c>
      <c r="C973" s="37">
        <v>6</v>
      </c>
      <c r="D973" s="225">
        <v>12</v>
      </c>
      <c r="E973" s="226">
        <v>22477</v>
      </c>
      <c r="F973" s="227"/>
      <c r="G973" s="1" t="str">
        <f>IFERROR(IF(ventas_b_mes12[[#This Row],[CUIT]]="","-",VLOOKUP(ventas_b_mes12[[#This Row],[CUIT]],Lista_CUIT[#All],2,0)),"CUIT NO CARGADO")</f>
        <v>-</v>
      </c>
      <c r="H973" s="96">
        <f>ventas_b_mes12[[#This Row],[TOTAL]]/1.21</f>
        <v>3380.1652892561983</v>
      </c>
      <c r="I973" s="60">
        <f>ventas_b_mes12[[#This Row],[IMPORTE NETO]]*0.21</f>
        <v>709.83471074380157</v>
      </c>
      <c r="J973" s="229"/>
      <c r="K973" s="229"/>
      <c r="L973" s="229">
        <v>4090</v>
      </c>
      <c r="M973" s="55"/>
    </row>
    <row r="974" spans="2:13" x14ac:dyDescent="0.3">
      <c r="B974" s="223" t="s">
        <v>2471</v>
      </c>
      <c r="C974" s="37">
        <v>6</v>
      </c>
      <c r="D974" s="225">
        <v>12</v>
      </c>
      <c r="E974" s="226">
        <v>22485</v>
      </c>
      <c r="F974" s="227"/>
      <c r="G974" s="1" t="str">
        <f>IFERROR(IF(ventas_b_mes12[[#This Row],[CUIT]]="","-",VLOOKUP(ventas_b_mes12[[#This Row],[CUIT]],Lista_CUIT[#All],2,0)),"CUIT NO CARGADO")</f>
        <v>-</v>
      </c>
      <c r="H974" s="96">
        <f>ventas_b_mes12[[#This Row],[TOTAL]]/1.21</f>
        <v>4088.4297520661157</v>
      </c>
      <c r="I974" s="60">
        <f>ventas_b_mes12[[#This Row],[IMPORTE NETO]]*0.21</f>
        <v>858.57024793388427</v>
      </c>
      <c r="J974" s="229"/>
      <c r="K974" s="229"/>
      <c r="L974" s="229">
        <v>4947</v>
      </c>
      <c r="M974" s="55"/>
    </row>
    <row r="975" spans="2:13" x14ac:dyDescent="0.3">
      <c r="B975" s="223" t="s">
        <v>2471</v>
      </c>
      <c r="C975" s="37">
        <v>6</v>
      </c>
      <c r="D975" s="225">
        <v>12</v>
      </c>
      <c r="E975" s="226">
        <v>22484</v>
      </c>
      <c r="F975" s="227"/>
      <c r="G975" s="1" t="str">
        <f>IFERROR(IF(ventas_b_mes12[[#This Row],[CUIT]]="","-",VLOOKUP(ventas_b_mes12[[#This Row],[CUIT]],Lista_CUIT[#All],2,0)),"CUIT NO CARGADO")</f>
        <v>-</v>
      </c>
      <c r="H975" s="96">
        <f>ventas_b_mes12[[#This Row],[TOTAL]]/1.21</f>
        <v>2553.7190082644629</v>
      </c>
      <c r="I975" s="60">
        <f>ventas_b_mes12[[#This Row],[IMPORTE NETO]]*0.21</f>
        <v>536.28099173553721</v>
      </c>
      <c r="J975" s="229"/>
      <c r="K975" s="229"/>
      <c r="L975" s="229">
        <v>3090</v>
      </c>
      <c r="M975" s="55"/>
    </row>
    <row r="976" spans="2:13" x14ac:dyDescent="0.3">
      <c r="B976" s="223" t="s">
        <v>2471</v>
      </c>
      <c r="C976" s="37">
        <v>6</v>
      </c>
      <c r="D976" s="225">
        <v>13</v>
      </c>
      <c r="E976" s="226">
        <v>26730</v>
      </c>
      <c r="F976" s="227"/>
      <c r="G976" s="1" t="str">
        <f>IFERROR(IF(ventas_b_mes12[[#This Row],[CUIT]]="","-",VLOOKUP(ventas_b_mes12[[#This Row],[CUIT]],Lista_CUIT[#All],2,0)),"CUIT NO CARGADO")</f>
        <v>-</v>
      </c>
      <c r="H976" s="96">
        <f>ventas_b_mes12[[#This Row],[TOTAL]]/1.21</f>
        <v>4367.7685950413224</v>
      </c>
      <c r="I976" s="60">
        <f>ventas_b_mes12[[#This Row],[IMPORTE NETO]]*0.21</f>
        <v>917.23140495867767</v>
      </c>
      <c r="J976" s="229"/>
      <c r="K976" s="229"/>
      <c r="L976" s="229">
        <v>5285</v>
      </c>
      <c r="M976" s="55"/>
    </row>
    <row r="977" spans="2:13" x14ac:dyDescent="0.3">
      <c r="B977" s="223" t="s">
        <v>2471</v>
      </c>
      <c r="C977" s="37">
        <v>6</v>
      </c>
      <c r="D977" s="225">
        <v>13</v>
      </c>
      <c r="E977" s="226">
        <v>26733</v>
      </c>
      <c r="F977" s="227"/>
      <c r="G977" s="1" t="str">
        <f>IFERROR(IF(ventas_b_mes12[[#This Row],[CUIT]]="","-",VLOOKUP(ventas_b_mes12[[#This Row],[CUIT]],Lista_CUIT[#All],2,0)),"CUIT NO CARGADO")</f>
        <v>-</v>
      </c>
      <c r="H977" s="96">
        <f>ventas_b_mes12[[#This Row],[TOTAL]]/1.21</f>
        <v>1198.3471074380166</v>
      </c>
      <c r="I977" s="60">
        <f>ventas_b_mes12[[#This Row],[IMPORTE NETO]]*0.21</f>
        <v>251.65289256198346</v>
      </c>
      <c r="J977" s="229"/>
      <c r="K977" s="229"/>
      <c r="L977" s="229">
        <v>1450</v>
      </c>
      <c r="M977" s="55"/>
    </row>
    <row r="978" spans="2:13" x14ac:dyDescent="0.3">
      <c r="B978" s="223" t="s">
        <v>2471</v>
      </c>
      <c r="C978" s="37">
        <v>6</v>
      </c>
      <c r="D978" s="225">
        <v>10</v>
      </c>
      <c r="E978" s="226">
        <v>43844</v>
      </c>
      <c r="F978" s="227"/>
      <c r="G978" s="1" t="str">
        <f>IFERROR(IF(ventas_b_mes12[[#This Row],[CUIT]]="","-",VLOOKUP(ventas_b_mes12[[#This Row],[CUIT]],Lista_CUIT[#All],2,0)),"CUIT NO CARGADO")</f>
        <v>-</v>
      </c>
      <c r="H978" s="96">
        <f>ventas_b_mes12[[#This Row],[TOTAL]]/1.21</f>
        <v>4545.454545454546</v>
      </c>
      <c r="I978" s="60">
        <f>ventas_b_mes12[[#This Row],[IMPORTE NETO]]*0.21</f>
        <v>954.54545454545462</v>
      </c>
      <c r="J978" s="229"/>
      <c r="K978" s="229"/>
      <c r="L978" s="229">
        <v>5500</v>
      </c>
      <c r="M978" s="55"/>
    </row>
    <row r="979" spans="2:13" x14ac:dyDescent="0.3">
      <c r="B979" s="223" t="s">
        <v>2471</v>
      </c>
      <c r="C979" s="37">
        <v>6</v>
      </c>
      <c r="D979" s="225">
        <v>15</v>
      </c>
      <c r="E979" s="226">
        <v>7193</v>
      </c>
      <c r="F979" s="227"/>
      <c r="G979" s="1" t="str">
        <f>IFERROR(IF(ventas_b_mes12[[#This Row],[CUIT]]="","-",VLOOKUP(ventas_b_mes12[[#This Row],[CUIT]],Lista_CUIT[#All],2,0)),"CUIT NO CARGADO")</f>
        <v>-</v>
      </c>
      <c r="H979" s="96">
        <f>ventas_b_mes12[[#This Row],[TOTAL]]/1.21</f>
        <v>2231.413223140496</v>
      </c>
      <c r="I979" s="60">
        <f>ventas_b_mes12[[#This Row],[IMPORTE NETO]]*0.21</f>
        <v>468.59677685950413</v>
      </c>
      <c r="J979" s="229"/>
      <c r="K979" s="229"/>
      <c r="L979" s="229">
        <v>2700.01</v>
      </c>
      <c r="M979" s="55"/>
    </row>
    <row r="980" spans="2:13" x14ac:dyDescent="0.3">
      <c r="B980" s="223" t="s">
        <v>2471</v>
      </c>
      <c r="C980" s="37">
        <v>6</v>
      </c>
      <c r="D980" s="225">
        <v>12</v>
      </c>
      <c r="E980" s="226">
        <v>22476</v>
      </c>
      <c r="F980" s="227"/>
      <c r="G980" s="1" t="str">
        <f>IFERROR(IF(ventas_b_mes12[[#This Row],[CUIT]]="","-",VLOOKUP(ventas_b_mes12[[#This Row],[CUIT]],Lista_CUIT[#All],2,0)),"CUIT NO CARGADO")</f>
        <v>-</v>
      </c>
      <c r="H980" s="96">
        <f>ventas_b_mes12[[#This Row],[TOTAL]]/1.21</f>
        <v>9752.0661157024788</v>
      </c>
      <c r="I980" s="60">
        <f>ventas_b_mes12[[#This Row],[IMPORTE NETO]]*0.21</f>
        <v>2047.9338842975205</v>
      </c>
      <c r="J980" s="229"/>
      <c r="K980" s="229"/>
      <c r="L980" s="229">
        <v>11800</v>
      </c>
      <c r="M980" s="55"/>
    </row>
    <row r="981" spans="2:13" x14ac:dyDescent="0.3">
      <c r="B981" s="223" t="s">
        <v>2471</v>
      </c>
      <c r="C981" s="37">
        <v>6</v>
      </c>
      <c r="D981" s="225">
        <v>12</v>
      </c>
      <c r="E981" s="226">
        <v>22494</v>
      </c>
      <c r="F981" s="227"/>
      <c r="G981" s="1" t="str">
        <f>IFERROR(IF(ventas_b_mes12[[#This Row],[CUIT]]="","-",VLOOKUP(ventas_b_mes12[[#This Row],[CUIT]],Lista_CUIT[#All],2,0)),"CUIT NO CARGADO")</f>
        <v>-</v>
      </c>
      <c r="H981" s="96">
        <f>ventas_b_mes12[[#This Row],[TOTAL]]/1.21</f>
        <v>8429.7685950413234</v>
      </c>
      <c r="I981" s="60">
        <f>ventas_b_mes12[[#This Row],[IMPORTE NETO]]*0.21</f>
        <v>1770.2514049586778</v>
      </c>
      <c r="J981" s="229"/>
      <c r="K981" s="229"/>
      <c r="L981" s="229">
        <v>10200.02</v>
      </c>
      <c r="M981" s="55"/>
    </row>
    <row r="982" spans="2:13" x14ac:dyDescent="0.3">
      <c r="B982" s="223" t="s">
        <v>2471</v>
      </c>
      <c r="C982" s="37">
        <v>6</v>
      </c>
      <c r="D982" s="225">
        <v>11</v>
      </c>
      <c r="E982" s="226">
        <v>30051</v>
      </c>
      <c r="F982" s="227"/>
      <c r="G982" s="1" t="str">
        <f>IFERROR(IF(ventas_b_mes12[[#This Row],[CUIT]]="","-",VLOOKUP(ventas_b_mes12[[#This Row],[CUIT]],Lista_CUIT[#All],2,0)),"CUIT NO CARGADO")</f>
        <v>-</v>
      </c>
      <c r="H982" s="96">
        <f>ventas_b_mes12[[#This Row],[TOTAL]]/1.21</f>
        <v>3847.9338842975208</v>
      </c>
      <c r="I982" s="60">
        <f>ventas_b_mes12[[#This Row],[IMPORTE NETO]]*0.21</f>
        <v>808.06611570247935</v>
      </c>
      <c r="J982" s="229"/>
      <c r="K982" s="229"/>
      <c r="L982" s="229">
        <v>4656</v>
      </c>
      <c r="M982" s="55"/>
    </row>
    <row r="983" spans="2:13" x14ac:dyDescent="0.3">
      <c r="B983" s="223" t="s">
        <v>2472</v>
      </c>
      <c r="C983" s="37">
        <v>6</v>
      </c>
      <c r="D983" s="225">
        <v>10</v>
      </c>
      <c r="E983" s="226">
        <v>43852</v>
      </c>
      <c r="F983" s="227"/>
      <c r="G983" s="1" t="str">
        <f>IFERROR(IF(ventas_b_mes12[[#This Row],[CUIT]]="","-",VLOOKUP(ventas_b_mes12[[#This Row],[CUIT]],Lista_CUIT[#All],2,0)),"CUIT NO CARGADO")</f>
        <v>-</v>
      </c>
      <c r="H983" s="96">
        <f>ventas_b_mes12[[#This Row],[TOTAL]]/1.21</f>
        <v>4958.6776859504134</v>
      </c>
      <c r="I983" s="60">
        <f>ventas_b_mes12[[#This Row],[IMPORTE NETO]]*0.21</f>
        <v>1041.3223140495868</v>
      </c>
      <c r="J983" s="229"/>
      <c r="K983" s="229"/>
      <c r="L983" s="229">
        <v>6000</v>
      </c>
      <c r="M983" s="55"/>
    </row>
    <row r="984" spans="2:13" x14ac:dyDescent="0.3">
      <c r="B984" s="223" t="s">
        <v>2472</v>
      </c>
      <c r="C984" s="37">
        <v>6</v>
      </c>
      <c r="D984" s="225">
        <v>12</v>
      </c>
      <c r="E984" s="226">
        <v>22502</v>
      </c>
      <c r="F984" s="227"/>
      <c r="G984" s="1" t="str">
        <f>IFERROR(IF(ventas_b_mes12[[#This Row],[CUIT]]="","-",VLOOKUP(ventas_b_mes12[[#This Row],[CUIT]],Lista_CUIT[#All],2,0)),"CUIT NO CARGADO")</f>
        <v>-</v>
      </c>
      <c r="H984" s="96">
        <f>ventas_b_mes12[[#This Row],[TOTAL]]/1.21</f>
        <v>4958.6776859504134</v>
      </c>
      <c r="I984" s="60">
        <f>ventas_b_mes12[[#This Row],[IMPORTE NETO]]*0.21</f>
        <v>1041.3223140495868</v>
      </c>
      <c r="J984" s="229"/>
      <c r="K984" s="229"/>
      <c r="L984" s="229">
        <v>6000</v>
      </c>
      <c r="M984" s="55"/>
    </row>
    <row r="985" spans="2:13" x14ac:dyDescent="0.3">
      <c r="B985" s="223" t="s">
        <v>2472</v>
      </c>
      <c r="C985" s="37">
        <v>6</v>
      </c>
      <c r="D985" s="225">
        <v>10</v>
      </c>
      <c r="E985" s="226">
        <v>43869</v>
      </c>
      <c r="F985" s="227"/>
      <c r="G985" s="1" t="str">
        <f>IFERROR(IF(ventas_b_mes12[[#This Row],[CUIT]]="","-",VLOOKUP(ventas_b_mes12[[#This Row],[CUIT]],Lista_CUIT[#All],2,0)),"CUIT NO CARGADO")</f>
        <v>-</v>
      </c>
      <c r="H985" s="96">
        <f>ventas_b_mes12[[#This Row],[TOTAL]]/1.21</f>
        <v>21685.950413223141</v>
      </c>
      <c r="I985" s="60">
        <f>ventas_b_mes12[[#This Row],[IMPORTE NETO]]*0.21</f>
        <v>4554.0495867768595</v>
      </c>
      <c r="J985" s="229"/>
      <c r="K985" s="229"/>
      <c r="L985" s="229">
        <v>26240</v>
      </c>
      <c r="M985" s="55"/>
    </row>
    <row r="986" spans="2:13" x14ac:dyDescent="0.3">
      <c r="B986" s="223" t="s">
        <v>2472</v>
      </c>
      <c r="C986" s="37">
        <v>6</v>
      </c>
      <c r="D986" s="225">
        <v>15</v>
      </c>
      <c r="E986" s="226">
        <v>7221</v>
      </c>
      <c r="F986" s="227"/>
      <c r="G986" s="1" t="str">
        <f>IFERROR(IF(ventas_b_mes12[[#This Row],[CUIT]]="","-",VLOOKUP(ventas_b_mes12[[#This Row],[CUIT]],Lista_CUIT[#All],2,0)),"CUIT NO CARGADO")</f>
        <v>-</v>
      </c>
      <c r="H986" s="96">
        <f>ventas_b_mes12[[#This Row],[TOTAL]]/1.21</f>
        <v>23884.297520661159</v>
      </c>
      <c r="I986" s="60">
        <f>ventas_b_mes12[[#This Row],[IMPORTE NETO]]*0.21</f>
        <v>5015.7024793388437</v>
      </c>
      <c r="J986" s="229"/>
      <c r="K986" s="229"/>
      <c r="L986" s="229">
        <v>28900</v>
      </c>
      <c r="M986" s="55"/>
    </row>
    <row r="987" spans="2:13" x14ac:dyDescent="0.3">
      <c r="B987" s="223" t="s">
        <v>2472</v>
      </c>
      <c r="C987" s="37">
        <v>6</v>
      </c>
      <c r="D987" s="225">
        <v>11</v>
      </c>
      <c r="E987" s="226">
        <v>30077</v>
      </c>
      <c r="F987" s="227"/>
      <c r="G987" s="1" t="str">
        <f>IFERROR(IF(ventas_b_mes12[[#This Row],[CUIT]]="","-",VLOOKUP(ventas_b_mes12[[#This Row],[CUIT]],Lista_CUIT[#All],2,0)),"CUIT NO CARGADO")</f>
        <v>-</v>
      </c>
      <c r="H987" s="96">
        <f>ventas_b_mes12[[#This Row],[TOTAL]]/1.21</f>
        <v>3595.0413223140495</v>
      </c>
      <c r="I987" s="60">
        <f>ventas_b_mes12[[#This Row],[IMPORTE NETO]]*0.21</f>
        <v>754.95867768595031</v>
      </c>
      <c r="J987" s="229"/>
      <c r="K987" s="229"/>
      <c r="L987" s="229">
        <v>4350</v>
      </c>
      <c r="M987" s="55"/>
    </row>
    <row r="988" spans="2:13" x14ac:dyDescent="0.3">
      <c r="B988" s="223" t="s">
        <v>2472</v>
      </c>
      <c r="C988" s="37">
        <v>6</v>
      </c>
      <c r="D988" s="225">
        <v>12</v>
      </c>
      <c r="E988" s="226">
        <v>22511</v>
      </c>
      <c r="F988" s="227"/>
      <c r="G988" s="1" t="str">
        <f>IFERROR(IF(ventas_b_mes12[[#This Row],[CUIT]]="","-",VLOOKUP(ventas_b_mes12[[#This Row],[CUIT]],Lista_CUIT[#All],2,0)),"CUIT NO CARGADO")</f>
        <v>-</v>
      </c>
      <c r="H988" s="96">
        <f>ventas_b_mes12[[#This Row],[TOTAL]]/1.21</f>
        <v>6880.1652892561988</v>
      </c>
      <c r="I988" s="60">
        <f>ventas_b_mes12[[#This Row],[IMPORTE NETO]]*0.21</f>
        <v>1444.8347107438017</v>
      </c>
      <c r="J988" s="229"/>
      <c r="K988" s="229"/>
      <c r="L988" s="229">
        <v>8325</v>
      </c>
      <c r="M988" s="55"/>
    </row>
    <row r="989" spans="2:13" x14ac:dyDescent="0.3">
      <c r="B989" s="223" t="s">
        <v>2472</v>
      </c>
      <c r="C989" s="37">
        <v>6</v>
      </c>
      <c r="D989" s="225">
        <v>15</v>
      </c>
      <c r="E989" s="226">
        <v>7215</v>
      </c>
      <c r="F989" s="227"/>
      <c r="G989" s="1" t="str">
        <f>IFERROR(IF(ventas_b_mes12[[#This Row],[CUIT]]="","-",VLOOKUP(ventas_b_mes12[[#This Row],[CUIT]],Lista_CUIT[#All],2,0)),"CUIT NO CARGADO")</f>
        <v>-</v>
      </c>
      <c r="H989" s="96">
        <f>ventas_b_mes12[[#This Row],[TOTAL]]/1.21</f>
        <v>2752.0661157024792</v>
      </c>
      <c r="I989" s="60">
        <f>ventas_b_mes12[[#This Row],[IMPORTE NETO]]*0.21</f>
        <v>577.93388429752065</v>
      </c>
      <c r="J989" s="229"/>
      <c r="K989" s="229"/>
      <c r="L989" s="229">
        <v>3330</v>
      </c>
      <c r="M989" s="55"/>
    </row>
    <row r="990" spans="2:13" x14ac:dyDescent="0.3">
      <c r="B990" s="223" t="s">
        <v>2472</v>
      </c>
      <c r="C990" s="37">
        <v>6</v>
      </c>
      <c r="D990" s="225">
        <v>10</v>
      </c>
      <c r="E990" s="226">
        <v>43862</v>
      </c>
      <c r="F990" s="227"/>
      <c r="G990" s="1" t="str">
        <f>IFERROR(IF(ventas_b_mes12[[#This Row],[CUIT]]="","-",VLOOKUP(ventas_b_mes12[[#This Row],[CUIT]],Lista_CUIT[#All],2,0)),"CUIT NO CARGADO")</f>
        <v>-</v>
      </c>
      <c r="H990" s="96">
        <f>ventas_b_mes12[[#This Row],[TOTAL]]/1.21</f>
        <v>3958.6776859504134</v>
      </c>
      <c r="I990" s="60">
        <f>ventas_b_mes12[[#This Row],[IMPORTE NETO]]*0.21</f>
        <v>831.32231404958679</v>
      </c>
      <c r="J990" s="229"/>
      <c r="K990" s="229"/>
      <c r="L990" s="229">
        <v>4790</v>
      </c>
      <c r="M990" s="55"/>
    </row>
    <row r="991" spans="2:13" x14ac:dyDescent="0.3">
      <c r="B991" s="223" t="s">
        <v>2472</v>
      </c>
      <c r="C991" s="37">
        <v>6</v>
      </c>
      <c r="D991" s="225">
        <v>11</v>
      </c>
      <c r="E991" s="226">
        <v>30072</v>
      </c>
      <c r="F991" s="227"/>
      <c r="G991" s="1" t="str">
        <f>IFERROR(IF(ventas_b_mes12[[#This Row],[CUIT]]="","-",VLOOKUP(ventas_b_mes12[[#This Row],[CUIT]],Lista_CUIT[#All],2,0)),"CUIT NO CARGADO")</f>
        <v>-</v>
      </c>
      <c r="H991" s="96">
        <f>ventas_b_mes12[[#This Row],[TOTAL]]/1.21</f>
        <v>1074.3801652892562</v>
      </c>
      <c r="I991" s="60">
        <f>ventas_b_mes12[[#This Row],[IMPORTE NETO]]*0.21</f>
        <v>225.61983471074379</v>
      </c>
      <c r="J991" s="229"/>
      <c r="K991" s="229"/>
      <c r="L991" s="229">
        <v>1300</v>
      </c>
      <c r="M991" s="55"/>
    </row>
    <row r="992" spans="2:13" x14ac:dyDescent="0.3">
      <c r="B992" s="223" t="s">
        <v>2472</v>
      </c>
      <c r="C992" s="37">
        <v>6</v>
      </c>
      <c r="D992" s="225">
        <v>11</v>
      </c>
      <c r="E992" s="226">
        <v>30085</v>
      </c>
      <c r="F992" s="227"/>
      <c r="G992" s="1" t="str">
        <f>IFERROR(IF(ventas_b_mes12[[#This Row],[CUIT]]="","-",VLOOKUP(ventas_b_mes12[[#This Row],[CUIT]],Lista_CUIT[#All],2,0)),"CUIT NO CARGADO")</f>
        <v>-</v>
      </c>
      <c r="H992" s="96">
        <f>ventas_b_mes12[[#This Row],[TOTAL]]/1.21</f>
        <v>2845.0413223140495</v>
      </c>
      <c r="I992" s="60">
        <f>ventas_b_mes12[[#This Row],[IMPORTE NETO]]*0.21</f>
        <v>597.45867768595042</v>
      </c>
      <c r="J992" s="229"/>
      <c r="K992" s="229"/>
      <c r="L992" s="229">
        <v>3442.5</v>
      </c>
      <c r="M992" s="55"/>
    </row>
    <row r="993" spans="2:13" x14ac:dyDescent="0.3">
      <c r="B993" s="223" t="s">
        <v>2472</v>
      </c>
      <c r="C993" s="37">
        <v>6</v>
      </c>
      <c r="D993" s="225">
        <v>10</v>
      </c>
      <c r="E993" s="226">
        <v>43876</v>
      </c>
      <c r="F993" s="227"/>
      <c r="G993" s="1" t="str">
        <f>IFERROR(IF(ventas_b_mes12[[#This Row],[CUIT]]="","-",VLOOKUP(ventas_b_mes12[[#This Row],[CUIT]],Lista_CUIT[#All],2,0)),"CUIT NO CARGADO")</f>
        <v>-</v>
      </c>
      <c r="H993" s="96">
        <f>ventas_b_mes12[[#This Row],[TOTAL]]/1.21</f>
        <v>2066.1157024793388</v>
      </c>
      <c r="I993" s="60">
        <f>ventas_b_mes12[[#This Row],[IMPORTE NETO]]*0.21</f>
        <v>433.88429752066111</v>
      </c>
      <c r="J993" s="229"/>
      <c r="K993" s="229"/>
      <c r="L993" s="229">
        <v>2500</v>
      </c>
      <c r="M993" s="55"/>
    </row>
    <row r="994" spans="2:13" x14ac:dyDescent="0.3">
      <c r="B994" s="223" t="s">
        <v>2472</v>
      </c>
      <c r="C994" s="37">
        <v>6</v>
      </c>
      <c r="D994" s="225">
        <v>10</v>
      </c>
      <c r="E994" s="226">
        <v>43865</v>
      </c>
      <c r="F994" s="227"/>
      <c r="G994" s="1" t="str">
        <f>IFERROR(IF(ventas_b_mes12[[#This Row],[CUIT]]="","-",VLOOKUP(ventas_b_mes12[[#This Row],[CUIT]],Lista_CUIT[#All],2,0)),"CUIT NO CARGADO")</f>
        <v>-</v>
      </c>
      <c r="H994" s="96">
        <f>ventas_b_mes12[[#This Row],[TOTAL]]/1.21</f>
        <v>2768.595041322314</v>
      </c>
      <c r="I994" s="60">
        <f>ventas_b_mes12[[#This Row],[IMPORTE NETO]]*0.21</f>
        <v>581.40495867768595</v>
      </c>
      <c r="J994" s="229"/>
      <c r="K994" s="229"/>
      <c r="L994" s="229">
        <v>3350</v>
      </c>
      <c r="M994" s="55"/>
    </row>
    <row r="995" spans="2:13" x14ac:dyDescent="0.3">
      <c r="B995" s="223" t="s">
        <v>2472</v>
      </c>
      <c r="C995" s="37">
        <v>6</v>
      </c>
      <c r="D995" s="225">
        <v>10</v>
      </c>
      <c r="E995" s="226">
        <v>43847</v>
      </c>
      <c r="F995" s="227"/>
      <c r="G995" s="1" t="str">
        <f>IFERROR(IF(ventas_b_mes12[[#This Row],[CUIT]]="","-",VLOOKUP(ventas_b_mes12[[#This Row],[CUIT]],Lista_CUIT[#All],2,0)),"CUIT NO CARGADO")</f>
        <v>-</v>
      </c>
      <c r="H995" s="96">
        <f>ventas_b_mes12[[#This Row],[TOTAL]]/1.21</f>
        <v>454.54545454545456</v>
      </c>
      <c r="I995" s="60">
        <f>ventas_b_mes12[[#This Row],[IMPORTE NETO]]*0.21</f>
        <v>95.454545454545453</v>
      </c>
      <c r="J995" s="229"/>
      <c r="K995" s="229"/>
      <c r="L995" s="229">
        <v>550</v>
      </c>
      <c r="M995" s="55"/>
    </row>
    <row r="996" spans="2:13" x14ac:dyDescent="0.3">
      <c r="B996" s="223" t="s">
        <v>2472</v>
      </c>
      <c r="C996" s="37">
        <v>6</v>
      </c>
      <c r="D996" s="225">
        <v>13</v>
      </c>
      <c r="E996" s="226">
        <v>26750</v>
      </c>
      <c r="F996" s="227"/>
      <c r="G996" s="1" t="str">
        <f>IFERROR(IF(ventas_b_mes12[[#This Row],[CUIT]]="","-",VLOOKUP(ventas_b_mes12[[#This Row],[CUIT]],Lista_CUIT[#All],2,0)),"CUIT NO CARGADO")</f>
        <v>-</v>
      </c>
      <c r="H996" s="96">
        <f>ventas_b_mes12[[#This Row],[TOTAL]]/1.21</f>
        <v>2809.9173553719011</v>
      </c>
      <c r="I996" s="60">
        <f>ventas_b_mes12[[#This Row],[IMPORTE NETO]]*0.21</f>
        <v>590.08264462809916</v>
      </c>
      <c r="J996" s="229"/>
      <c r="K996" s="229"/>
      <c r="L996" s="229">
        <v>3400</v>
      </c>
      <c r="M996" s="55"/>
    </row>
    <row r="997" spans="2:13" x14ac:dyDescent="0.3">
      <c r="B997" s="223" t="s">
        <v>2472</v>
      </c>
      <c r="C997" s="37">
        <v>6</v>
      </c>
      <c r="D997" s="225">
        <v>12</v>
      </c>
      <c r="E997" s="226">
        <v>22513</v>
      </c>
      <c r="F997" s="227"/>
      <c r="G997" s="1" t="str">
        <f>IFERROR(IF(ventas_b_mes12[[#This Row],[CUIT]]="","-",VLOOKUP(ventas_b_mes12[[#This Row],[CUIT]],Lista_CUIT[#All],2,0)),"CUIT NO CARGADO")</f>
        <v>-</v>
      </c>
      <c r="H997" s="96">
        <f>ventas_b_mes12[[#This Row],[TOTAL]]/1.21</f>
        <v>4545.454545454546</v>
      </c>
      <c r="I997" s="60">
        <f>ventas_b_mes12[[#This Row],[IMPORTE NETO]]*0.21</f>
        <v>954.54545454545462</v>
      </c>
      <c r="J997" s="229"/>
      <c r="K997" s="229"/>
      <c r="L997" s="229">
        <v>5500</v>
      </c>
      <c r="M997" s="55"/>
    </row>
    <row r="998" spans="2:13" x14ac:dyDescent="0.3">
      <c r="B998" s="223" t="s">
        <v>2472</v>
      </c>
      <c r="C998" s="37">
        <v>6</v>
      </c>
      <c r="D998" s="225">
        <v>15</v>
      </c>
      <c r="E998" s="226">
        <v>7214</v>
      </c>
      <c r="F998" s="227"/>
      <c r="G998" s="1" t="str">
        <f>IFERROR(IF(ventas_b_mes12[[#This Row],[CUIT]]="","-",VLOOKUP(ventas_b_mes12[[#This Row],[CUIT]],Lista_CUIT[#All],2,0)),"CUIT NO CARGADO")</f>
        <v>-</v>
      </c>
      <c r="H998" s="96">
        <f>ventas_b_mes12[[#This Row],[TOTAL]]/1.21</f>
        <v>2082.6446280991736</v>
      </c>
      <c r="I998" s="60">
        <f>ventas_b_mes12[[#This Row],[IMPORTE NETO]]*0.21</f>
        <v>437.35537190082641</v>
      </c>
      <c r="J998" s="229"/>
      <c r="K998" s="229"/>
      <c r="L998" s="229">
        <v>2520</v>
      </c>
      <c r="M998" s="55"/>
    </row>
    <row r="999" spans="2:13" x14ac:dyDescent="0.3">
      <c r="B999" s="223" t="s">
        <v>2472</v>
      </c>
      <c r="C999" s="37">
        <v>6</v>
      </c>
      <c r="D999" s="225">
        <v>11</v>
      </c>
      <c r="E999" s="226">
        <v>30084</v>
      </c>
      <c r="F999" s="227"/>
      <c r="G999" s="1" t="str">
        <f>IFERROR(IF(ventas_b_mes12[[#This Row],[CUIT]]="","-",VLOOKUP(ventas_b_mes12[[#This Row],[CUIT]],Lista_CUIT[#All],2,0)),"CUIT NO CARGADO")</f>
        <v>-</v>
      </c>
      <c r="H999" s="96">
        <f>ventas_b_mes12[[#This Row],[TOTAL]]/1.21</f>
        <v>2066.1157024793388</v>
      </c>
      <c r="I999" s="60">
        <f>ventas_b_mes12[[#This Row],[IMPORTE NETO]]*0.21</f>
        <v>433.88429752066111</v>
      </c>
      <c r="J999" s="229"/>
      <c r="K999" s="229"/>
      <c r="L999" s="229">
        <v>2500</v>
      </c>
      <c r="M999" s="55"/>
    </row>
    <row r="1000" spans="2:13" x14ac:dyDescent="0.3">
      <c r="B1000" s="223" t="s">
        <v>2472</v>
      </c>
      <c r="C1000" s="37">
        <v>6</v>
      </c>
      <c r="D1000" s="225">
        <v>12</v>
      </c>
      <c r="E1000" s="226">
        <v>22529</v>
      </c>
      <c r="F1000" s="227"/>
      <c r="G1000" s="1" t="str">
        <f>IFERROR(IF(ventas_b_mes12[[#This Row],[CUIT]]="","-",VLOOKUP(ventas_b_mes12[[#This Row],[CUIT]],Lista_CUIT[#All],2,0)),"CUIT NO CARGADO")</f>
        <v>-</v>
      </c>
      <c r="H1000" s="96">
        <f>ventas_b_mes12[[#This Row],[TOTAL]]/1.21</f>
        <v>5665.2892561983472</v>
      </c>
      <c r="I1000" s="60">
        <f>ventas_b_mes12[[#This Row],[IMPORTE NETO]]*0.21</f>
        <v>1189.7107438016528</v>
      </c>
      <c r="J1000" s="229"/>
      <c r="K1000" s="229"/>
      <c r="L1000" s="229">
        <v>6855</v>
      </c>
      <c r="M1000" s="55"/>
    </row>
    <row r="1001" spans="2:13" x14ac:dyDescent="0.3">
      <c r="B1001" s="223" t="s">
        <v>2472</v>
      </c>
      <c r="C1001" s="37">
        <v>6</v>
      </c>
      <c r="D1001" s="225">
        <v>12</v>
      </c>
      <c r="E1001" s="226">
        <v>22507</v>
      </c>
      <c r="F1001" s="227"/>
      <c r="G1001" s="1" t="str">
        <f>IFERROR(IF(ventas_b_mes12[[#This Row],[CUIT]]="","-",VLOOKUP(ventas_b_mes12[[#This Row],[CUIT]],Lista_CUIT[#All],2,0)),"CUIT NO CARGADO")</f>
        <v>-</v>
      </c>
      <c r="H1001" s="96">
        <f>ventas_b_mes12[[#This Row],[TOTAL]]/1.21</f>
        <v>4545.454545454546</v>
      </c>
      <c r="I1001" s="60">
        <f>ventas_b_mes12[[#This Row],[IMPORTE NETO]]*0.21</f>
        <v>954.54545454545462</v>
      </c>
      <c r="J1001" s="229"/>
      <c r="K1001" s="229"/>
      <c r="L1001" s="229">
        <v>5500</v>
      </c>
      <c r="M1001" s="55"/>
    </row>
    <row r="1002" spans="2:13" x14ac:dyDescent="0.3">
      <c r="B1002" s="223" t="s">
        <v>2472</v>
      </c>
      <c r="C1002" s="37">
        <v>6</v>
      </c>
      <c r="D1002" s="225">
        <v>12</v>
      </c>
      <c r="E1002" s="226">
        <v>22512</v>
      </c>
      <c r="F1002" s="227"/>
      <c r="G1002" s="1" t="str">
        <f>IFERROR(IF(ventas_b_mes12[[#This Row],[CUIT]]="","-",VLOOKUP(ventas_b_mes12[[#This Row],[CUIT]],Lista_CUIT[#All],2,0)),"CUIT NO CARGADO")</f>
        <v>-</v>
      </c>
      <c r="H1002" s="96">
        <f>ventas_b_mes12[[#This Row],[TOTAL]]/1.21</f>
        <v>1851.2396694214876</v>
      </c>
      <c r="I1002" s="60">
        <f>ventas_b_mes12[[#This Row],[IMPORTE NETO]]*0.21</f>
        <v>388.76033057851237</v>
      </c>
      <c r="J1002" s="229"/>
      <c r="K1002" s="229"/>
      <c r="L1002" s="229">
        <v>2240</v>
      </c>
      <c r="M1002" s="55"/>
    </row>
    <row r="1003" spans="2:13" x14ac:dyDescent="0.3">
      <c r="B1003" s="223" t="s">
        <v>2472</v>
      </c>
      <c r="C1003" s="37">
        <v>6</v>
      </c>
      <c r="D1003" s="225">
        <v>12</v>
      </c>
      <c r="E1003" s="226">
        <v>22520</v>
      </c>
      <c r="F1003" s="227"/>
      <c r="G1003" s="1" t="str">
        <f>IFERROR(IF(ventas_b_mes12[[#This Row],[CUIT]]="","-",VLOOKUP(ventas_b_mes12[[#This Row],[CUIT]],Lista_CUIT[#All],2,0)),"CUIT NO CARGADO")</f>
        <v>-</v>
      </c>
      <c r="H1003" s="96">
        <f>ventas_b_mes12[[#This Row],[TOTAL]]/1.21</f>
        <v>4958.6776859504134</v>
      </c>
      <c r="I1003" s="60">
        <f>ventas_b_mes12[[#This Row],[IMPORTE NETO]]*0.21</f>
        <v>1041.3223140495868</v>
      </c>
      <c r="J1003" s="229"/>
      <c r="K1003" s="229"/>
      <c r="L1003" s="229">
        <v>6000</v>
      </c>
      <c r="M1003" s="55"/>
    </row>
    <row r="1004" spans="2:13" x14ac:dyDescent="0.3">
      <c r="B1004" s="223" t="s">
        <v>2472</v>
      </c>
      <c r="C1004" s="37">
        <v>6</v>
      </c>
      <c r="D1004" s="225">
        <v>12</v>
      </c>
      <c r="E1004" s="226">
        <v>22525</v>
      </c>
      <c r="F1004" s="227"/>
      <c r="G1004" s="1" t="str">
        <f>IFERROR(IF(ventas_b_mes12[[#This Row],[CUIT]]="","-",VLOOKUP(ventas_b_mes12[[#This Row],[CUIT]],Lista_CUIT[#All],2,0)),"CUIT NO CARGADO")</f>
        <v>-</v>
      </c>
      <c r="H1004" s="96">
        <f>ventas_b_mes12[[#This Row],[TOTAL]]/1.21</f>
        <v>6876.0247933884302</v>
      </c>
      <c r="I1004" s="60">
        <f>ventas_b_mes12[[#This Row],[IMPORTE NETO]]*0.21</f>
        <v>1443.9652066115702</v>
      </c>
      <c r="J1004" s="229"/>
      <c r="K1004" s="229"/>
      <c r="L1004" s="229">
        <v>8319.99</v>
      </c>
      <c r="M1004" s="55"/>
    </row>
    <row r="1005" spans="2:13" x14ac:dyDescent="0.3">
      <c r="B1005" s="223" t="s">
        <v>2472</v>
      </c>
      <c r="C1005" s="37">
        <v>6</v>
      </c>
      <c r="D1005" s="225">
        <v>12</v>
      </c>
      <c r="E1005" s="226">
        <v>22509</v>
      </c>
      <c r="F1005" s="227"/>
      <c r="G1005" s="1" t="str">
        <f>IFERROR(IF(ventas_b_mes12[[#This Row],[CUIT]]="","-",VLOOKUP(ventas_b_mes12[[#This Row],[CUIT]],Lista_CUIT[#All],2,0)),"CUIT NO CARGADO")</f>
        <v>-</v>
      </c>
      <c r="H1005" s="96">
        <f>ventas_b_mes12[[#This Row],[TOTAL]]/1.21</f>
        <v>4545.454545454546</v>
      </c>
      <c r="I1005" s="60">
        <f>ventas_b_mes12[[#This Row],[IMPORTE NETO]]*0.21</f>
        <v>954.54545454545462</v>
      </c>
      <c r="J1005" s="229"/>
      <c r="K1005" s="229"/>
      <c r="L1005" s="229">
        <v>5500</v>
      </c>
      <c r="M1005" s="55"/>
    </row>
    <row r="1006" spans="2:13" x14ac:dyDescent="0.3">
      <c r="B1006" s="223" t="s">
        <v>2472</v>
      </c>
      <c r="C1006" s="37">
        <v>6</v>
      </c>
      <c r="D1006" s="225">
        <v>10</v>
      </c>
      <c r="E1006" s="226">
        <v>43867</v>
      </c>
      <c r="F1006" s="227"/>
      <c r="G1006" s="1" t="str">
        <f>IFERROR(IF(ventas_b_mes12[[#This Row],[CUIT]]="","-",VLOOKUP(ventas_b_mes12[[#This Row],[CUIT]],Lista_CUIT[#All],2,0)),"CUIT NO CARGADO")</f>
        <v>-</v>
      </c>
      <c r="H1006" s="96">
        <f>ventas_b_mes12[[#This Row],[TOTAL]]/1.21</f>
        <v>9334.7107438016537</v>
      </c>
      <c r="I1006" s="60">
        <f>ventas_b_mes12[[#This Row],[IMPORTE NETO]]*0.21</f>
        <v>1960.2892561983472</v>
      </c>
      <c r="J1006" s="229"/>
      <c r="K1006" s="229"/>
      <c r="L1006" s="229">
        <v>11295</v>
      </c>
      <c r="M1006" s="55"/>
    </row>
    <row r="1007" spans="2:13" x14ac:dyDescent="0.3">
      <c r="B1007" s="223" t="s">
        <v>2472</v>
      </c>
      <c r="C1007" s="37">
        <v>6</v>
      </c>
      <c r="D1007" s="225">
        <v>13</v>
      </c>
      <c r="E1007" s="226">
        <v>26748</v>
      </c>
      <c r="F1007" s="227"/>
      <c r="G1007" s="1" t="str">
        <f>IFERROR(IF(ventas_b_mes12[[#This Row],[CUIT]]="","-",VLOOKUP(ventas_b_mes12[[#This Row],[CUIT]],Lista_CUIT[#All],2,0)),"CUIT NO CARGADO")</f>
        <v>-</v>
      </c>
      <c r="H1007" s="96">
        <f>ventas_b_mes12[[#This Row],[TOTAL]]/1.21</f>
        <v>5621.4876033057853</v>
      </c>
      <c r="I1007" s="60">
        <f>ventas_b_mes12[[#This Row],[IMPORTE NETO]]*0.21</f>
        <v>1180.5123966942149</v>
      </c>
      <c r="J1007" s="229"/>
      <c r="K1007" s="229"/>
      <c r="L1007" s="229">
        <v>6802</v>
      </c>
      <c r="M1007" s="55"/>
    </row>
    <row r="1008" spans="2:13" x14ac:dyDescent="0.3">
      <c r="B1008" s="223" t="s">
        <v>2472</v>
      </c>
      <c r="C1008" s="37">
        <v>6</v>
      </c>
      <c r="D1008" s="225">
        <v>15</v>
      </c>
      <c r="E1008" s="226">
        <v>7225</v>
      </c>
      <c r="F1008" s="227"/>
      <c r="G1008" s="1" t="str">
        <f>IFERROR(IF(ventas_b_mes12[[#This Row],[CUIT]]="","-",VLOOKUP(ventas_b_mes12[[#This Row],[CUIT]],Lista_CUIT[#All],2,0)),"CUIT NO CARGADO")</f>
        <v>-</v>
      </c>
      <c r="H1008" s="96">
        <f>ventas_b_mes12[[#This Row],[TOTAL]]/1.21</f>
        <v>3771.0743801652893</v>
      </c>
      <c r="I1008" s="60">
        <f>ventas_b_mes12[[#This Row],[IMPORTE NETO]]*0.21</f>
        <v>791.92561983471069</v>
      </c>
      <c r="J1008" s="229"/>
      <c r="K1008" s="229"/>
      <c r="L1008" s="229">
        <v>4563</v>
      </c>
      <c r="M1008" s="55"/>
    </row>
    <row r="1009" spans="2:13" x14ac:dyDescent="0.3">
      <c r="B1009" s="223" t="s">
        <v>2472</v>
      </c>
      <c r="C1009" s="37">
        <v>6</v>
      </c>
      <c r="D1009" s="225">
        <v>12</v>
      </c>
      <c r="E1009" s="226">
        <v>22521</v>
      </c>
      <c r="F1009" s="227"/>
      <c r="G1009" s="1" t="str">
        <f>IFERROR(IF(ventas_b_mes12[[#This Row],[CUIT]]="","-",VLOOKUP(ventas_b_mes12[[#This Row],[CUIT]],Lista_CUIT[#All],2,0)),"CUIT NO CARGADO")</f>
        <v>-</v>
      </c>
      <c r="H1009" s="96">
        <f>ventas_b_mes12[[#This Row],[TOTAL]]/1.21</f>
        <v>1450.4132231404958</v>
      </c>
      <c r="I1009" s="60">
        <f>ventas_b_mes12[[#This Row],[IMPORTE NETO]]*0.21</f>
        <v>304.58677685950408</v>
      </c>
      <c r="J1009" s="229"/>
      <c r="K1009" s="229"/>
      <c r="L1009" s="229">
        <v>1755</v>
      </c>
      <c r="M1009" s="55"/>
    </row>
    <row r="1010" spans="2:13" x14ac:dyDescent="0.3">
      <c r="B1010" s="223" t="s">
        <v>2472</v>
      </c>
      <c r="C1010" s="37">
        <v>6</v>
      </c>
      <c r="D1010" s="225">
        <v>13</v>
      </c>
      <c r="E1010" s="226">
        <v>26752</v>
      </c>
      <c r="F1010" s="227"/>
      <c r="G1010" s="1" t="str">
        <f>IFERROR(IF(ventas_b_mes12[[#This Row],[CUIT]]="","-",VLOOKUP(ventas_b_mes12[[#This Row],[CUIT]],Lista_CUIT[#All],2,0)),"CUIT NO CARGADO")</f>
        <v>-</v>
      </c>
      <c r="H1010" s="96">
        <f>ventas_b_mes12[[#This Row],[TOTAL]]/1.21</f>
        <v>2148.7603305785124</v>
      </c>
      <c r="I1010" s="60">
        <f>ventas_b_mes12[[#This Row],[IMPORTE NETO]]*0.21</f>
        <v>451.23966942148758</v>
      </c>
      <c r="J1010" s="229"/>
      <c r="K1010" s="229"/>
      <c r="L1010" s="229">
        <v>2600</v>
      </c>
      <c r="M1010" s="55"/>
    </row>
    <row r="1011" spans="2:13" x14ac:dyDescent="0.3">
      <c r="B1011" s="223" t="s">
        <v>2472</v>
      </c>
      <c r="C1011" s="37">
        <v>6</v>
      </c>
      <c r="D1011" s="225">
        <v>13</v>
      </c>
      <c r="E1011" s="226">
        <v>26751</v>
      </c>
      <c r="F1011" s="227"/>
      <c r="G1011" s="1" t="str">
        <f>IFERROR(IF(ventas_b_mes12[[#This Row],[CUIT]]="","-",VLOOKUP(ventas_b_mes12[[#This Row],[CUIT]],Lista_CUIT[#All],2,0)),"CUIT NO CARGADO")</f>
        <v>-</v>
      </c>
      <c r="H1011" s="96">
        <f>ventas_b_mes12[[#This Row],[TOTAL]]/1.21</f>
        <v>4958.6776859504134</v>
      </c>
      <c r="I1011" s="60">
        <f>ventas_b_mes12[[#This Row],[IMPORTE NETO]]*0.21</f>
        <v>1041.3223140495868</v>
      </c>
      <c r="J1011" s="229"/>
      <c r="K1011" s="229"/>
      <c r="L1011" s="229">
        <v>6000</v>
      </c>
      <c r="M1011" s="55"/>
    </row>
    <row r="1012" spans="2:13" x14ac:dyDescent="0.3">
      <c r="B1012" s="223" t="s">
        <v>2472</v>
      </c>
      <c r="C1012" s="37">
        <v>6</v>
      </c>
      <c r="D1012" s="225">
        <v>12</v>
      </c>
      <c r="E1012" s="226">
        <v>22503</v>
      </c>
      <c r="F1012" s="227"/>
      <c r="G1012" s="1" t="str">
        <f>IFERROR(IF(ventas_b_mes12[[#This Row],[CUIT]]="","-",VLOOKUP(ventas_b_mes12[[#This Row],[CUIT]],Lista_CUIT[#All],2,0)),"CUIT NO CARGADO")</f>
        <v>-</v>
      </c>
      <c r="H1012" s="96">
        <f>ventas_b_mes12[[#This Row],[TOTAL]]/1.21</f>
        <v>3266.5289256198348</v>
      </c>
      <c r="I1012" s="60">
        <f>ventas_b_mes12[[#This Row],[IMPORTE NETO]]*0.21</f>
        <v>685.97107438016531</v>
      </c>
      <c r="J1012" s="229"/>
      <c r="K1012" s="229"/>
      <c r="L1012" s="229">
        <v>3952.5</v>
      </c>
      <c r="M1012" s="55"/>
    </row>
    <row r="1013" spans="2:13" x14ac:dyDescent="0.3">
      <c r="B1013" s="223" t="s">
        <v>2472</v>
      </c>
      <c r="C1013" s="37">
        <v>6</v>
      </c>
      <c r="D1013" s="225">
        <v>12</v>
      </c>
      <c r="E1013" s="226">
        <v>22508</v>
      </c>
      <c r="F1013" s="227"/>
      <c r="G1013" s="1" t="str">
        <f>IFERROR(IF(ventas_b_mes12[[#This Row],[CUIT]]="","-",VLOOKUP(ventas_b_mes12[[#This Row],[CUIT]],Lista_CUIT[#All],2,0)),"CUIT NO CARGADO")</f>
        <v>-</v>
      </c>
      <c r="H1013" s="96">
        <f>ventas_b_mes12[[#This Row],[TOTAL]]/1.21</f>
        <v>4338.8429752066113</v>
      </c>
      <c r="I1013" s="60">
        <f>ventas_b_mes12[[#This Row],[IMPORTE NETO]]*0.21</f>
        <v>911.15702479338836</v>
      </c>
      <c r="J1013" s="229"/>
      <c r="K1013" s="229"/>
      <c r="L1013" s="229">
        <v>5250</v>
      </c>
      <c r="M1013" s="55"/>
    </row>
    <row r="1014" spans="2:13" x14ac:dyDescent="0.3">
      <c r="B1014" s="223" t="s">
        <v>2472</v>
      </c>
      <c r="C1014" s="37">
        <v>6</v>
      </c>
      <c r="D1014" s="225">
        <v>15</v>
      </c>
      <c r="E1014" s="226">
        <v>7226</v>
      </c>
      <c r="F1014" s="227"/>
      <c r="G1014" s="1" t="str">
        <f>IFERROR(IF(ventas_b_mes12[[#This Row],[CUIT]]="","-",VLOOKUP(ventas_b_mes12[[#This Row],[CUIT]],Lista_CUIT[#All],2,0)),"CUIT NO CARGADO")</f>
        <v>-</v>
      </c>
      <c r="H1014" s="96">
        <f>ventas_b_mes12[[#This Row],[TOTAL]]/1.21</f>
        <v>4958.6776859504134</v>
      </c>
      <c r="I1014" s="60">
        <f>ventas_b_mes12[[#This Row],[IMPORTE NETO]]*0.21</f>
        <v>1041.3223140495868</v>
      </c>
      <c r="J1014" s="229"/>
      <c r="K1014" s="229"/>
      <c r="L1014" s="229">
        <v>6000</v>
      </c>
      <c r="M1014" s="55"/>
    </row>
    <row r="1015" spans="2:13" x14ac:dyDescent="0.3">
      <c r="B1015" s="223" t="s">
        <v>2472</v>
      </c>
      <c r="C1015" s="37">
        <v>6</v>
      </c>
      <c r="D1015" s="225">
        <v>11</v>
      </c>
      <c r="E1015" s="226">
        <v>30082</v>
      </c>
      <c r="F1015" s="227"/>
      <c r="G1015" s="1" t="str">
        <f>IFERROR(IF(ventas_b_mes12[[#This Row],[CUIT]]="","-",VLOOKUP(ventas_b_mes12[[#This Row],[CUIT]],Lista_CUIT[#All],2,0)),"CUIT NO CARGADO")</f>
        <v>-</v>
      </c>
      <c r="H1015" s="96">
        <f>ventas_b_mes12[[#This Row],[TOTAL]]/1.21</f>
        <v>3993.3884297520663</v>
      </c>
      <c r="I1015" s="60">
        <f>ventas_b_mes12[[#This Row],[IMPORTE NETO]]*0.21</f>
        <v>838.61157024793386</v>
      </c>
      <c r="J1015" s="229"/>
      <c r="K1015" s="229"/>
      <c r="L1015" s="229">
        <v>4832</v>
      </c>
      <c r="M1015" s="55"/>
    </row>
    <row r="1016" spans="2:13" x14ac:dyDescent="0.3">
      <c r="B1016" s="223" t="s">
        <v>2472</v>
      </c>
      <c r="C1016" s="37">
        <v>6</v>
      </c>
      <c r="D1016" s="225">
        <v>12</v>
      </c>
      <c r="E1016" s="226">
        <v>22524</v>
      </c>
      <c r="F1016" s="227"/>
      <c r="G1016" s="1" t="str">
        <f>IFERROR(IF(ventas_b_mes12[[#This Row],[CUIT]]="","-",VLOOKUP(ventas_b_mes12[[#This Row],[CUIT]],Lista_CUIT[#All],2,0)),"CUIT NO CARGADO")</f>
        <v>-</v>
      </c>
      <c r="H1016" s="96">
        <f>ventas_b_mes12[[#This Row],[TOTAL]]/1.21</f>
        <v>4545.454545454546</v>
      </c>
      <c r="I1016" s="60">
        <f>ventas_b_mes12[[#This Row],[IMPORTE NETO]]*0.21</f>
        <v>954.54545454545462</v>
      </c>
      <c r="J1016" s="229"/>
      <c r="K1016" s="229"/>
      <c r="L1016" s="229">
        <v>5500</v>
      </c>
      <c r="M1016" s="55"/>
    </row>
    <row r="1017" spans="2:13" x14ac:dyDescent="0.3">
      <c r="B1017" s="223" t="s">
        <v>2472</v>
      </c>
      <c r="C1017" s="37">
        <v>6</v>
      </c>
      <c r="D1017" s="225">
        <v>12</v>
      </c>
      <c r="E1017" s="226">
        <v>22531</v>
      </c>
      <c r="F1017" s="227"/>
      <c r="G1017" s="1" t="str">
        <f>IFERROR(IF(ventas_b_mes12[[#This Row],[CUIT]]="","-",VLOOKUP(ventas_b_mes12[[#This Row],[CUIT]],Lista_CUIT[#All],2,0)),"CUIT NO CARGADO")</f>
        <v>-</v>
      </c>
      <c r="H1017" s="96">
        <f>ventas_b_mes12[[#This Row],[TOTAL]]/1.21</f>
        <v>4088.4297520661157</v>
      </c>
      <c r="I1017" s="60">
        <f>ventas_b_mes12[[#This Row],[IMPORTE NETO]]*0.21</f>
        <v>858.57024793388427</v>
      </c>
      <c r="J1017" s="229"/>
      <c r="K1017" s="229"/>
      <c r="L1017" s="229">
        <v>4947</v>
      </c>
      <c r="M1017" s="55"/>
    </row>
    <row r="1018" spans="2:13" x14ac:dyDescent="0.3">
      <c r="B1018" s="223" t="s">
        <v>2472</v>
      </c>
      <c r="C1018" s="37">
        <v>6</v>
      </c>
      <c r="D1018" s="225">
        <v>12</v>
      </c>
      <c r="E1018" s="226">
        <v>22532</v>
      </c>
      <c r="F1018" s="227"/>
      <c r="G1018" s="1" t="str">
        <f>IFERROR(IF(ventas_b_mes12[[#This Row],[CUIT]]="","-",VLOOKUP(ventas_b_mes12[[#This Row],[CUIT]],Lista_CUIT[#All],2,0)),"CUIT NO CARGADO")</f>
        <v>-</v>
      </c>
      <c r="H1018" s="96">
        <f>ventas_b_mes12[[#This Row],[TOTAL]]/1.21</f>
        <v>1450.4132231404958</v>
      </c>
      <c r="I1018" s="60">
        <f>ventas_b_mes12[[#This Row],[IMPORTE NETO]]*0.21</f>
        <v>304.58677685950408</v>
      </c>
      <c r="J1018" s="229"/>
      <c r="K1018" s="229"/>
      <c r="L1018" s="229">
        <v>1755</v>
      </c>
      <c r="M1018" s="55"/>
    </row>
    <row r="1019" spans="2:13" x14ac:dyDescent="0.3">
      <c r="B1019" s="223" t="s">
        <v>2472</v>
      </c>
      <c r="C1019" s="37">
        <v>6</v>
      </c>
      <c r="D1019" s="225">
        <v>10</v>
      </c>
      <c r="E1019" s="226">
        <v>43848</v>
      </c>
      <c r="F1019" s="227"/>
      <c r="G1019" s="1" t="str">
        <f>IFERROR(IF(ventas_b_mes12[[#This Row],[CUIT]]="","-",VLOOKUP(ventas_b_mes12[[#This Row],[CUIT]],Lista_CUIT[#All],2,0)),"CUIT NO CARGADO")</f>
        <v>-</v>
      </c>
      <c r="H1019" s="96">
        <f>ventas_b_mes12[[#This Row],[TOTAL]]/1.21</f>
        <v>7921.4793388429753</v>
      </c>
      <c r="I1019" s="60">
        <f>ventas_b_mes12[[#This Row],[IMPORTE NETO]]*0.21</f>
        <v>1663.5106611570247</v>
      </c>
      <c r="J1019" s="229"/>
      <c r="K1019" s="229"/>
      <c r="L1019" s="229">
        <v>9584.99</v>
      </c>
      <c r="M1019" s="55"/>
    </row>
    <row r="1020" spans="2:13" x14ac:dyDescent="0.3">
      <c r="B1020" s="223" t="s">
        <v>2472</v>
      </c>
      <c r="C1020" s="37">
        <v>6</v>
      </c>
      <c r="D1020" s="225">
        <v>10</v>
      </c>
      <c r="E1020" s="226">
        <v>43849</v>
      </c>
      <c r="F1020" s="227"/>
      <c r="G1020" s="1" t="str">
        <f>IFERROR(IF(ventas_b_mes12[[#This Row],[CUIT]]="","-",VLOOKUP(ventas_b_mes12[[#This Row],[CUIT]],Lista_CUIT[#All],2,0)),"CUIT NO CARGADO")</f>
        <v>-</v>
      </c>
      <c r="H1020" s="96">
        <f>ventas_b_mes12[[#This Row],[TOTAL]]/1.21</f>
        <v>6471.0743801652898</v>
      </c>
      <c r="I1020" s="60">
        <f>ventas_b_mes12[[#This Row],[IMPORTE NETO]]*0.21</f>
        <v>1358.9256198347107</v>
      </c>
      <c r="J1020" s="229"/>
      <c r="K1020" s="229"/>
      <c r="L1020" s="229">
        <v>7830</v>
      </c>
      <c r="M1020" s="55"/>
    </row>
    <row r="1021" spans="2:13" x14ac:dyDescent="0.3">
      <c r="B1021" s="223" t="s">
        <v>2472</v>
      </c>
      <c r="C1021" s="37">
        <v>6</v>
      </c>
      <c r="D1021" s="225">
        <v>15</v>
      </c>
      <c r="E1021" s="226">
        <v>7209</v>
      </c>
      <c r="F1021" s="227"/>
      <c r="G1021" s="1" t="str">
        <f>IFERROR(IF(ventas_b_mes12[[#This Row],[CUIT]]="","-",VLOOKUP(ventas_b_mes12[[#This Row],[CUIT]],Lista_CUIT[#All],2,0)),"CUIT NO CARGADO")</f>
        <v>-</v>
      </c>
      <c r="H1021" s="96">
        <f>ventas_b_mes12[[#This Row],[TOTAL]]/1.21</f>
        <v>10454.553719008265</v>
      </c>
      <c r="I1021" s="60">
        <f>ventas_b_mes12[[#This Row],[IMPORTE NETO]]*0.21</f>
        <v>2195.4562809917356</v>
      </c>
      <c r="J1021" s="229"/>
      <c r="K1021" s="229"/>
      <c r="L1021" s="229">
        <v>12650.01</v>
      </c>
      <c r="M1021" s="55"/>
    </row>
    <row r="1022" spans="2:13" x14ac:dyDescent="0.3">
      <c r="B1022" s="223" t="s">
        <v>2472</v>
      </c>
      <c r="C1022" s="37">
        <v>6</v>
      </c>
      <c r="D1022" s="225">
        <v>12</v>
      </c>
      <c r="E1022" s="226">
        <v>22504</v>
      </c>
      <c r="F1022" s="227"/>
      <c r="G1022" s="1" t="str">
        <f>IFERROR(IF(ventas_b_mes12[[#This Row],[CUIT]]="","-",VLOOKUP(ventas_b_mes12[[#This Row],[CUIT]],Lista_CUIT[#All],2,0)),"CUIT NO CARGADO")</f>
        <v>-</v>
      </c>
      <c r="H1022" s="96">
        <f>ventas_b_mes12[[#This Row],[TOTAL]]/1.21</f>
        <v>10330.603305785125</v>
      </c>
      <c r="I1022" s="60">
        <f>ventas_b_mes12[[#This Row],[IMPORTE NETO]]*0.21</f>
        <v>2169.4266942148761</v>
      </c>
      <c r="J1022" s="229"/>
      <c r="K1022" s="229"/>
      <c r="L1022" s="229">
        <v>12500.03</v>
      </c>
      <c r="M1022" s="55"/>
    </row>
    <row r="1023" spans="2:13" x14ac:dyDescent="0.3">
      <c r="B1023" s="223" t="s">
        <v>2472</v>
      </c>
      <c r="C1023" s="37">
        <v>6</v>
      </c>
      <c r="D1023" s="225">
        <v>10</v>
      </c>
      <c r="E1023" s="226">
        <v>43860</v>
      </c>
      <c r="F1023" s="227"/>
      <c r="G1023" s="1" t="str">
        <f>IFERROR(IF(ventas_b_mes12[[#This Row],[CUIT]]="","-",VLOOKUP(ventas_b_mes12[[#This Row],[CUIT]],Lista_CUIT[#All],2,0)),"CUIT NO CARGADO")</f>
        <v>-</v>
      </c>
      <c r="H1023" s="96">
        <f>ventas_b_mes12[[#This Row],[TOTAL]]/1.21</f>
        <v>7305.7851239669426</v>
      </c>
      <c r="I1023" s="60">
        <f>ventas_b_mes12[[#This Row],[IMPORTE NETO]]*0.21</f>
        <v>1534.2148760330579</v>
      </c>
      <c r="J1023" s="229"/>
      <c r="K1023" s="229"/>
      <c r="L1023" s="229">
        <v>8840</v>
      </c>
      <c r="M1023" s="55"/>
    </row>
    <row r="1024" spans="2:13" x14ac:dyDescent="0.3">
      <c r="B1024" s="223" t="s">
        <v>2472</v>
      </c>
      <c r="C1024" s="37">
        <v>6</v>
      </c>
      <c r="D1024" s="225">
        <v>12</v>
      </c>
      <c r="E1024" s="226">
        <v>22516</v>
      </c>
      <c r="F1024" s="227"/>
      <c r="G1024" s="1" t="str">
        <f>IFERROR(IF(ventas_b_mes12[[#This Row],[CUIT]]="","-",VLOOKUP(ventas_b_mes12[[#This Row],[CUIT]],Lista_CUIT[#All],2,0)),"CUIT NO CARGADO")</f>
        <v>-</v>
      </c>
      <c r="H1024" s="96">
        <f>ventas_b_mes12[[#This Row],[TOTAL]]/1.21</f>
        <v>4958.6776859504134</v>
      </c>
      <c r="I1024" s="60">
        <f>ventas_b_mes12[[#This Row],[IMPORTE NETO]]*0.21</f>
        <v>1041.3223140495868</v>
      </c>
      <c r="J1024" s="229"/>
      <c r="K1024" s="229"/>
      <c r="L1024" s="229">
        <v>6000</v>
      </c>
      <c r="M1024" s="55"/>
    </row>
    <row r="1025" spans="2:13" x14ac:dyDescent="0.3">
      <c r="B1025" s="223" t="s">
        <v>2472</v>
      </c>
      <c r="C1025" s="37">
        <v>6</v>
      </c>
      <c r="D1025" s="225">
        <v>12</v>
      </c>
      <c r="E1025" s="226">
        <v>22519</v>
      </c>
      <c r="F1025" s="227"/>
      <c r="G1025" s="1" t="str">
        <f>IFERROR(IF(ventas_b_mes12[[#This Row],[CUIT]]="","-",VLOOKUP(ventas_b_mes12[[#This Row],[CUIT]],Lista_CUIT[#All],2,0)),"CUIT NO CARGADO")</f>
        <v>-</v>
      </c>
      <c r="H1025" s="96">
        <f>ventas_b_mes12[[#This Row],[TOTAL]]/1.21</f>
        <v>4958.6776859504134</v>
      </c>
      <c r="I1025" s="60">
        <f>ventas_b_mes12[[#This Row],[IMPORTE NETO]]*0.21</f>
        <v>1041.3223140495868</v>
      </c>
      <c r="J1025" s="229"/>
      <c r="K1025" s="229"/>
      <c r="L1025" s="229">
        <v>6000</v>
      </c>
      <c r="M1025" s="55"/>
    </row>
    <row r="1026" spans="2:13" x14ac:dyDescent="0.3">
      <c r="B1026" s="223" t="s">
        <v>2472</v>
      </c>
      <c r="C1026" s="37">
        <v>6</v>
      </c>
      <c r="D1026" s="225">
        <v>10</v>
      </c>
      <c r="E1026" s="226">
        <v>43868</v>
      </c>
      <c r="F1026" s="227"/>
      <c r="G1026" s="1" t="str">
        <f>IFERROR(IF(ventas_b_mes12[[#This Row],[CUIT]]="","-",VLOOKUP(ventas_b_mes12[[#This Row],[CUIT]],Lista_CUIT[#All],2,0)),"CUIT NO CARGADO")</f>
        <v>-</v>
      </c>
      <c r="H1026" s="96">
        <f>ventas_b_mes12[[#This Row],[TOTAL]]/1.21</f>
        <v>4933.8842975206617</v>
      </c>
      <c r="I1026" s="60">
        <f>ventas_b_mes12[[#This Row],[IMPORTE NETO]]*0.21</f>
        <v>1036.115702479339</v>
      </c>
      <c r="J1026" s="229"/>
      <c r="K1026" s="229"/>
      <c r="L1026" s="229">
        <v>5970</v>
      </c>
      <c r="M1026" s="55"/>
    </row>
    <row r="1027" spans="2:13" x14ac:dyDescent="0.3">
      <c r="B1027" s="223" t="s">
        <v>2472</v>
      </c>
      <c r="C1027" s="37">
        <v>6</v>
      </c>
      <c r="D1027" s="225">
        <v>15</v>
      </c>
      <c r="E1027" s="226">
        <v>7216</v>
      </c>
      <c r="F1027" s="227"/>
      <c r="G1027" s="1" t="str">
        <f>IFERROR(IF(ventas_b_mes12[[#This Row],[CUIT]]="","-",VLOOKUP(ventas_b_mes12[[#This Row],[CUIT]],Lista_CUIT[#All],2,0)),"CUIT NO CARGADO")</f>
        <v>-</v>
      </c>
      <c r="H1027" s="96">
        <f>ventas_b_mes12[[#This Row],[TOTAL]]/1.21</f>
        <v>4958.6776859504134</v>
      </c>
      <c r="I1027" s="60">
        <f>ventas_b_mes12[[#This Row],[IMPORTE NETO]]*0.21</f>
        <v>1041.3223140495868</v>
      </c>
      <c r="J1027" s="229"/>
      <c r="K1027" s="229"/>
      <c r="L1027" s="229">
        <v>6000</v>
      </c>
      <c r="M1027" s="55"/>
    </row>
    <row r="1028" spans="2:13" x14ac:dyDescent="0.3">
      <c r="B1028" s="223" t="s">
        <v>2472</v>
      </c>
      <c r="C1028" s="37">
        <v>6</v>
      </c>
      <c r="D1028" s="225">
        <v>15</v>
      </c>
      <c r="E1028" s="226">
        <v>7217</v>
      </c>
      <c r="F1028" s="227"/>
      <c r="G1028" s="1" t="str">
        <f>IFERROR(IF(ventas_b_mes12[[#This Row],[CUIT]]="","-",VLOOKUP(ventas_b_mes12[[#This Row],[CUIT]],Lista_CUIT[#All],2,0)),"CUIT NO CARGADO")</f>
        <v>-</v>
      </c>
      <c r="H1028" s="96">
        <f>ventas_b_mes12[[#This Row],[TOTAL]]/1.21</f>
        <v>1227.2727272727273</v>
      </c>
      <c r="I1028" s="60">
        <f>ventas_b_mes12[[#This Row],[IMPORTE NETO]]*0.21</f>
        <v>257.72727272727269</v>
      </c>
      <c r="J1028" s="229"/>
      <c r="K1028" s="229"/>
      <c r="L1028" s="229">
        <v>1485</v>
      </c>
      <c r="M1028" s="55"/>
    </row>
    <row r="1029" spans="2:13" x14ac:dyDescent="0.3">
      <c r="B1029" s="223" t="s">
        <v>2472</v>
      </c>
      <c r="C1029" s="37">
        <v>6</v>
      </c>
      <c r="D1029" s="225">
        <v>15</v>
      </c>
      <c r="E1029" s="226">
        <v>7218</v>
      </c>
      <c r="F1029" s="227"/>
      <c r="G1029" s="1" t="str">
        <f>IFERROR(IF(ventas_b_mes12[[#This Row],[CUIT]]="","-",VLOOKUP(ventas_b_mes12[[#This Row],[CUIT]],Lista_CUIT[#All],2,0)),"CUIT NO CARGADO")</f>
        <v>-</v>
      </c>
      <c r="H1029" s="96">
        <f>ventas_b_mes12[[#This Row],[TOTAL]]/1.21</f>
        <v>1000</v>
      </c>
      <c r="I1029" s="60">
        <f>ventas_b_mes12[[#This Row],[IMPORTE NETO]]*0.21</f>
        <v>210</v>
      </c>
      <c r="J1029" s="229"/>
      <c r="K1029" s="229"/>
      <c r="L1029" s="229">
        <v>1210</v>
      </c>
      <c r="M1029" s="55"/>
    </row>
    <row r="1030" spans="2:13" x14ac:dyDescent="0.3">
      <c r="B1030" s="223" t="s">
        <v>2472</v>
      </c>
      <c r="C1030" s="37">
        <v>6</v>
      </c>
      <c r="D1030" s="225">
        <v>13</v>
      </c>
      <c r="E1030" s="226">
        <v>26753</v>
      </c>
      <c r="F1030" s="227"/>
      <c r="G1030" s="1" t="str">
        <f>IFERROR(IF(ventas_b_mes12[[#This Row],[CUIT]]="","-",VLOOKUP(ventas_b_mes12[[#This Row],[CUIT]],Lista_CUIT[#All],2,0)),"CUIT NO CARGADO")</f>
        <v>-</v>
      </c>
      <c r="H1030" s="96">
        <f>ventas_b_mes12[[#This Row],[TOTAL]]/1.21</f>
        <v>135445.50413223141</v>
      </c>
      <c r="I1030" s="60">
        <f>ventas_b_mes12[[#This Row],[IMPORTE NETO]]*0.21</f>
        <v>28443.555867768595</v>
      </c>
      <c r="J1030" s="229"/>
      <c r="K1030" s="229"/>
      <c r="L1030" s="229">
        <v>163889.06</v>
      </c>
      <c r="M1030" s="55"/>
    </row>
    <row r="1031" spans="2:13" x14ac:dyDescent="0.3">
      <c r="B1031" s="223" t="s">
        <v>2472</v>
      </c>
      <c r="C1031" s="37">
        <v>6</v>
      </c>
      <c r="D1031" s="225">
        <v>12</v>
      </c>
      <c r="E1031" s="226">
        <v>22528</v>
      </c>
      <c r="F1031" s="227"/>
      <c r="G1031" s="1" t="str">
        <f>IFERROR(IF(ventas_b_mes12[[#This Row],[CUIT]]="","-",VLOOKUP(ventas_b_mes12[[#This Row],[CUIT]],Lista_CUIT[#All],2,0)),"CUIT NO CARGADO")</f>
        <v>-</v>
      </c>
      <c r="H1031" s="96">
        <f>ventas_b_mes12[[#This Row],[TOTAL]]/1.21</f>
        <v>2942.1487603305786</v>
      </c>
      <c r="I1031" s="60">
        <f>ventas_b_mes12[[#This Row],[IMPORTE NETO]]*0.21</f>
        <v>617.85123966942149</v>
      </c>
      <c r="J1031" s="229"/>
      <c r="K1031" s="229"/>
      <c r="L1031" s="229">
        <v>3560</v>
      </c>
      <c r="M1031" s="55"/>
    </row>
    <row r="1032" spans="2:13" x14ac:dyDescent="0.3">
      <c r="B1032" s="223" t="s">
        <v>2472</v>
      </c>
      <c r="C1032" s="37">
        <v>6</v>
      </c>
      <c r="D1032" s="225">
        <v>12</v>
      </c>
      <c r="E1032" s="226">
        <v>22530</v>
      </c>
      <c r="F1032" s="227"/>
      <c r="G1032" s="1" t="str">
        <f>IFERROR(IF(ventas_b_mes12[[#This Row],[CUIT]]="","-",VLOOKUP(ventas_b_mes12[[#This Row],[CUIT]],Lista_CUIT[#All],2,0)),"CUIT NO CARGADO")</f>
        <v>-</v>
      </c>
      <c r="H1032" s="96">
        <f>ventas_b_mes12[[#This Row],[TOTAL]]/1.21</f>
        <v>4958.6776859504134</v>
      </c>
      <c r="I1032" s="60">
        <f>ventas_b_mes12[[#This Row],[IMPORTE NETO]]*0.21</f>
        <v>1041.3223140495868</v>
      </c>
      <c r="J1032" s="229"/>
      <c r="K1032" s="229"/>
      <c r="L1032" s="229">
        <v>6000</v>
      </c>
      <c r="M1032" s="55"/>
    </row>
    <row r="1033" spans="2:13" x14ac:dyDescent="0.3">
      <c r="B1033" s="223" t="s">
        <v>2472</v>
      </c>
      <c r="C1033" s="37">
        <v>6</v>
      </c>
      <c r="D1033" s="225">
        <v>11</v>
      </c>
      <c r="E1033" s="226">
        <v>30075</v>
      </c>
      <c r="F1033" s="227"/>
      <c r="G1033" s="1" t="str">
        <f>IFERROR(IF(ventas_b_mes12[[#This Row],[CUIT]]="","-",VLOOKUP(ventas_b_mes12[[#This Row],[CUIT]],Lista_CUIT[#All],2,0)),"CUIT NO CARGADO")</f>
        <v>-</v>
      </c>
      <c r="H1033" s="96">
        <f>ventas_b_mes12[[#This Row],[TOTAL]]/1.21</f>
        <v>3900.8264462809921</v>
      </c>
      <c r="I1033" s="60">
        <f>ventas_b_mes12[[#This Row],[IMPORTE NETO]]*0.21</f>
        <v>819.17355371900828</v>
      </c>
      <c r="J1033" s="229"/>
      <c r="K1033" s="229"/>
      <c r="L1033" s="229">
        <v>4720</v>
      </c>
      <c r="M1033" s="55"/>
    </row>
    <row r="1034" spans="2:13" x14ac:dyDescent="0.3">
      <c r="B1034" s="223" t="s">
        <v>2472</v>
      </c>
      <c r="C1034" s="37">
        <v>6</v>
      </c>
      <c r="D1034" s="225">
        <v>10</v>
      </c>
      <c r="E1034" s="226">
        <v>43859</v>
      </c>
      <c r="F1034" s="227"/>
      <c r="G1034" s="1" t="str">
        <f>IFERROR(IF(ventas_b_mes12[[#This Row],[CUIT]]="","-",VLOOKUP(ventas_b_mes12[[#This Row],[CUIT]],Lista_CUIT[#All],2,0)),"CUIT NO CARGADO")</f>
        <v>-</v>
      </c>
      <c r="H1034" s="96">
        <f>ventas_b_mes12[[#This Row],[TOTAL]]/1.21</f>
        <v>2066.1157024793388</v>
      </c>
      <c r="I1034" s="60">
        <f>ventas_b_mes12[[#This Row],[IMPORTE NETO]]*0.21</f>
        <v>433.88429752066111</v>
      </c>
      <c r="J1034" s="229"/>
      <c r="K1034" s="229"/>
      <c r="L1034" s="229">
        <v>2500</v>
      </c>
      <c r="M1034" s="55"/>
    </row>
    <row r="1035" spans="2:13" x14ac:dyDescent="0.3">
      <c r="B1035" s="223" t="s">
        <v>2472</v>
      </c>
      <c r="C1035" s="37">
        <v>6</v>
      </c>
      <c r="D1035" s="225">
        <v>10</v>
      </c>
      <c r="E1035" s="226">
        <v>43857</v>
      </c>
      <c r="F1035" s="227"/>
      <c r="G1035" s="1" t="str">
        <f>IFERROR(IF(ventas_b_mes12[[#This Row],[CUIT]]="","-",VLOOKUP(ventas_b_mes12[[#This Row],[CUIT]],Lista_CUIT[#All],2,0)),"CUIT NO CARGADO")</f>
        <v>-</v>
      </c>
      <c r="H1035" s="96">
        <f>ventas_b_mes12[[#This Row],[TOTAL]]/1.21</f>
        <v>6175.2231404958684</v>
      </c>
      <c r="I1035" s="60">
        <f>ventas_b_mes12[[#This Row],[IMPORTE NETO]]*0.21</f>
        <v>1296.7968595041323</v>
      </c>
      <c r="J1035" s="229"/>
      <c r="K1035" s="229"/>
      <c r="L1035" s="229">
        <v>7472.02</v>
      </c>
      <c r="M1035" s="55"/>
    </row>
    <row r="1036" spans="2:13" x14ac:dyDescent="0.3">
      <c r="B1036" s="223" t="s">
        <v>2472</v>
      </c>
      <c r="C1036" s="37">
        <v>6</v>
      </c>
      <c r="D1036" s="225">
        <v>13</v>
      </c>
      <c r="E1036" s="226">
        <v>26747</v>
      </c>
      <c r="F1036" s="227"/>
      <c r="G1036" s="1" t="str">
        <f>IFERROR(IF(ventas_b_mes12[[#This Row],[CUIT]]="","-",VLOOKUP(ventas_b_mes12[[#This Row],[CUIT]],Lista_CUIT[#All],2,0)),"CUIT NO CARGADO")</f>
        <v>-</v>
      </c>
      <c r="H1036" s="96">
        <f>ventas_b_mes12[[#This Row],[TOTAL]]/1.21</f>
        <v>28722.644628099177</v>
      </c>
      <c r="I1036" s="60">
        <f>ventas_b_mes12[[#This Row],[IMPORTE NETO]]*0.21</f>
        <v>6031.7553719008265</v>
      </c>
      <c r="J1036" s="229"/>
      <c r="K1036" s="229"/>
      <c r="L1036" s="229">
        <v>34754.400000000001</v>
      </c>
      <c r="M1036" s="55"/>
    </row>
    <row r="1037" spans="2:13" x14ac:dyDescent="0.3">
      <c r="B1037" s="223" t="s">
        <v>2472</v>
      </c>
      <c r="C1037" s="37">
        <v>6</v>
      </c>
      <c r="D1037" s="225">
        <v>10</v>
      </c>
      <c r="E1037" s="226">
        <v>43858</v>
      </c>
      <c r="F1037" s="227"/>
      <c r="G1037" s="1" t="str">
        <f>IFERROR(IF(ventas_b_mes12[[#This Row],[CUIT]]="","-",VLOOKUP(ventas_b_mes12[[#This Row],[CUIT]],Lista_CUIT[#All],2,0)),"CUIT NO CARGADO")</f>
        <v>-</v>
      </c>
      <c r="H1037" s="96">
        <f>ventas_b_mes12[[#This Row],[TOTAL]]/1.21</f>
        <v>40895.851239669428</v>
      </c>
      <c r="I1037" s="60">
        <f>ventas_b_mes12[[#This Row],[IMPORTE NETO]]*0.21</f>
        <v>8588.1287603305791</v>
      </c>
      <c r="J1037" s="229"/>
      <c r="K1037" s="229"/>
      <c r="L1037" s="229">
        <v>49483.98</v>
      </c>
      <c r="M1037" s="55"/>
    </row>
    <row r="1038" spans="2:13" x14ac:dyDescent="0.3">
      <c r="B1038" s="223" t="s">
        <v>2472</v>
      </c>
      <c r="C1038" s="37">
        <v>6</v>
      </c>
      <c r="D1038" s="225">
        <v>15</v>
      </c>
      <c r="E1038" s="226">
        <v>7223</v>
      </c>
      <c r="F1038" s="227"/>
      <c r="G1038" s="1" t="str">
        <f>IFERROR(IF(ventas_b_mes12[[#This Row],[CUIT]]="","-",VLOOKUP(ventas_b_mes12[[#This Row],[CUIT]],Lista_CUIT[#All],2,0)),"CUIT NO CARGADO")</f>
        <v>-</v>
      </c>
      <c r="H1038" s="96">
        <f>ventas_b_mes12[[#This Row],[TOTAL]]/1.21</f>
        <v>4958.6776859504134</v>
      </c>
      <c r="I1038" s="60">
        <f>ventas_b_mes12[[#This Row],[IMPORTE NETO]]*0.21</f>
        <v>1041.3223140495868</v>
      </c>
      <c r="J1038" s="229"/>
      <c r="K1038" s="229"/>
      <c r="L1038" s="229">
        <v>6000</v>
      </c>
      <c r="M1038" s="55"/>
    </row>
    <row r="1039" spans="2:13" x14ac:dyDescent="0.3">
      <c r="B1039" s="223" t="s">
        <v>2472</v>
      </c>
      <c r="C1039" s="37">
        <v>6</v>
      </c>
      <c r="D1039" s="225">
        <v>15</v>
      </c>
      <c r="E1039" s="226">
        <v>7224</v>
      </c>
      <c r="F1039" s="227"/>
      <c r="G1039" s="1" t="str">
        <f>IFERROR(IF(ventas_b_mes12[[#This Row],[CUIT]]="","-",VLOOKUP(ventas_b_mes12[[#This Row],[CUIT]],Lista_CUIT[#All],2,0)),"CUIT NO CARGADO")</f>
        <v>-</v>
      </c>
      <c r="H1039" s="96">
        <f>ventas_b_mes12[[#This Row],[TOTAL]]/1.21</f>
        <v>1227.2727272727273</v>
      </c>
      <c r="I1039" s="60">
        <f>ventas_b_mes12[[#This Row],[IMPORTE NETO]]*0.21</f>
        <v>257.72727272727269</v>
      </c>
      <c r="J1039" s="229"/>
      <c r="K1039" s="229"/>
      <c r="L1039" s="229">
        <v>1485</v>
      </c>
      <c r="M1039" s="55"/>
    </row>
    <row r="1040" spans="2:13" x14ac:dyDescent="0.3">
      <c r="B1040" s="223" t="s">
        <v>2472</v>
      </c>
      <c r="C1040" s="37">
        <v>6</v>
      </c>
      <c r="D1040" s="225">
        <v>11</v>
      </c>
      <c r="E1040" s="226">
        <v>30071</v>
      </c>
      <c r="F1040" s="227"/>
      <c r="G1040" s="1" t="str">
        <f>IFERROR(IF(ventas_b_mes12[[#This Row],[CUIT]]="","-",VLOOKUP(ventas_b_mes12[[#This Row],[CUIT]],Lista_CUIT[#All],2,0)),"CUIT NO CARGADO")</f>
        <v>-</v>
      </c>
      <c r="H1040" s="96">
        <f>ventas_b_mes12[[#This Row],[TOTAL]]/1.21</f>
        <v>3715.7024793388432</v>
      </c>
      <c r="I1040" s="60">
        <f>ventas_b_mes12[[#This Row],[IMPORTE NETO]]*0.21</f>
        <v>780.29752066115702</v>
      </c>
      <c r="J1040" s="229"/>
      <c r="K1040" s="229"/>
      <c r="L1040" s="229">
        <v>4496</v>
      </c>
      <c r="M1040" s="55"/>
    </row>
    <row r="1041" spans="2:13" x14ac:dyDescent="0.3">
      <c r="B1041" s="223" t="s">
        <v>2472</v>
      </c>
      <c r="C1041" s="37">
        <v>6</v>
      </c>
      <c r="D1041" s="225">
        <v>10</v>
      </c>
      <c r="E1041" s="226">
        <v>43864</v>
      </c>
      <c r="F1041" s="227"/>
      <c r="G1041" s="1" t="str">
        <f>IFERROR(IF(ventas_b_mes12[[#This Row],[CUIT]]="","-",VLOOKUP(ventas_b_mes12[[#This Row],[CUIT]],Lista_CUIT[#All],2,0)),"CUIT NO CARGADO")</f>
        <v>-</v>
      </c>
      <c r="H1041" s="96">
        <f>ventas_b_mes12[[#This Row],[TOTAL]]/1.21</f>
        <v>6245.0413223140495</v>
      </c>
      <c r="I1041" s="60">
        <f>ventas_b_mes12[[#This Row],[IMPORTE NETO]]*0.21</f>
        <v>1311.4586776859503</v>
      </c>
      <c r="J1041" s="229"/>
      <c r="K1041" s="229"/>
      <c r="L1041" s="229">
        <v>7556.5</v>
      </c>
      <c r="M1041" s="55"/>
    </row>
    <row r="1042" spans="2:13" x14ac:dyDescent="0.3">
      <c r="B1042" s="223" t="s">
        <v>2472</v>
      </c>
      <c r="C1042" s="37">
        <v>6</v>
      </c>
      <c r="D1042" s="225">
        <v>13</v>
      </c>
      <c r="E1042" s="226">
        <v>26749</v>
      </c>
      <c r="F1042" s="227"/>
      <c r="G1042" s="1" t="str">
        <f>IFERROR(IF(ventas_b_mes12[[#This Row],[CUIT]]="","-",VLOOKUP(ventas_b_mes12[[#This Row],[CUIT]],Lista_CUIT[#All],2,0)),"CUIT NO CARGADO")</f>
        <v>-</v>
      </c>
      <c r="H1042" s="96">
        <f>ventas_b_mes12[[#This Row],[TOTAL]]/1.21</f>
        <v>6360.3305785123966</v>
      </c>
      <c r="I1042" s="60">
        <f>ventas_b_mes12[[#This Row],[IMPORTE NETO]]*0.21</f>
        <v>1335.6694214876034</v>
      </c>
      <c r="J1042" s="229"/>
      <c r="K1042" s="229"/>
      <c r="L1042" s="229">
        <v>7696</v>
      </c>
      <c r="M1042" s="55"/>
    </row>
    <row r="1043" spans="2:13" x14ac:dyDescent="0.3">
      <c r="B1043" s="223" t="s">
        <v>2472</v>
      </c>
      <c r="C1043" s="37">
        <v>6</v>
      </c>
      <c r="D1043" s="225">
        <v>12</v>
      </c>
      <c r="E1043" s="226">
        <v>22515</v>
      </c>
      <c r="F1043" s="227"/>
      <c r="G1043" s="1" t="str">
        <f>IFERROR(IF(ventas_b_mes12[[#This Row],[CUIT]]="","-",VLOOKUP(ventas_b_mes12[[#This Row],[CUIT]],Lista_CUIT[#All],2,0)),"CUIT NO CARGADO")</f>
        <v>-</v>
      </c>
      <c r="H1043" s="96">
        <f>ventas_b_mes12[[#This Row],[TOTAL]]/1.21</f>
        <v>4958.6776859504134</v>
      </c>
      <c r="I1043" s="60">
        <f>ventas_b_mes12[[#This Row],[IMPORTE NETO]]*0.21</f>
        <v>1041.3223140495868</v>
      </c>
      <c r="J1043" s="229"/>
      <c r="K1043" s="229"/>
      <c r="L1043" s="229">
        <v>6000</v>
      </c>
      <c r="M1043" s="55"/>
    </row>
    <row r="1044" spans="2:13" x14ac:dyDescent="0.3">
      <c r="B1044" s="223" t="s">
        <v>2472</v>
      </c>
      <c r="C1044" s="37">
        <v>6</v>
      </c>
      <c r="D1044" s="225">
        <v>10</v>
      </c>
      <c r="E1044" s="226">
        <v>43871</v>
      </c>
      <c r="F1044" s="227"/>
      <c r="G1044" s="1" t="str">
        <f>IFERROR(IF(ventas_b_mes12[[#This Row],[CUIT]]="","-",VLOOKUP(ventas_b_mes12[[#This Row],[CUIT]],Lista_CUIT[#All],2,0)),"CUIT NO CARGADO")</f>
        <v>-</v>
      </c>
      <c r="H1044" s="96">
        <f>ventas_b_mes12[[#This Row],[TOTAL]]/1.21</f>
        <v>3140.495867768595</v>
      </c>
      <c r="I1044" s="60">
        <f>ventas_b_mes12[[#This Row],[IMPORTE NETO]]*0.21</f>
        <v>659.50413223140492</v>
      </c>
      <c r="J1044" s="229"/>
      <c r="K1044" s="229"/>
      <c r="L1044" s="229">
        <v>3800</v>
      </c>
      <c r="M1044" s="55"/>
    </row>
    <row r="1045" spans="2:13" x14ac:dyDescent="0.3">
      <c r="B1045" s="223" t="s">
        <v>2472</v>
      </c>
      <c r="C1045" s="37">
        <v>6</v>
      </c>
      <c r="D1045" s="225">
        <v>10</v>
      </c>
      <c r="E1045" s="226">
        <v>43872</v>
      </c>
      <c r="F1045" s="227"/>
      <c r="G1045" s="1" t="str">
        <f>IFERROR(IF(ventas_b_mes12[[#This Row],[CUIT]]="","-",VLOOKUP(ventas_b_mes12[[#This Row],[CUIT]],Lista_CUIT[#All],2,0)),"CUIT NO CARGADO")</f>
        <v>-</v>
      </c>
      <c r="H1045" s="96">
        <f>ventas_b_mes12[[#This Row],[TOTAL]]/1.21</f>
        <v>4958.6776859504134</v>
      </c>
      <c r="I1045" s="60">
        <f>ventas_b_mes12[[#This Row],[IMPORTE NETO]]*0.21</f>
        <v>1041.3223140495868</v>
      </c>
      <c r="J1045" s="229"/>
      <c r="K1045" s="229"/>
      <c r="L1045" s="229">
        <v>6000</v>
      </c>
      <c r="M1045" s="55"/>
    </row>
    <row r="1046" spans="2:13" x14ac:dyDescent="0.3">
      <c r="B1046" s="223" t="s">
        <v>2472</v>
      </c>
      <c r="C1046" s="37">
        <v>6</v>
      </c>
      <c r="D1046" s="225">
        <v>10</v>
      </c>
      <c r="E1046" s="226">
        <v>43873</v>
      </c>
      <c r="F1046" s="227"/>
      <c r="G1046" s="1" t="str">
        <f>IFERROR(IF(ventas_b_mes12[[#This Row],[CUIT]]="","-",VLOOKUP(ventas_b_mes12[[#This Row],[CUIT]],Lista_CUIT[#All],2,0)),"CUIT NO CARGADO")</f>
        <v>-</v>
      </c>
      <c r="H1046" s="96">
        <f>ventas_b_mes12[[#This Row],[TOTAL]]/1.21</f>
        <v>6380.1652892561988</v>
      </c>
      <c r="I1046" s="60">
        <f>ventas_b_mes12[[#This Row],[IMPORTE NETO]]*0.21</f>
        <v>1339.8347107438017</v>
      </c>
      <c r="J1046" s="229"/>
      <c r="K1046" s="229"/>
      <c r="L1046" s="229">
        <v>7720</v>
      </c>
      <c r="M1046" s="55"/>
    </row>
    <row r="1047" spans="2:13" x14ac:dyDescent="0.3">
      <c r="B1047" s="223" t="s">
        <v>2472</v>
      </c>
      <c r="C1047" s="37">
        <v>6</v>
      </c>
      <c r="D1047" s="225">
        <v>10</v>
      </c>
      <c r="E1047" s="226">
        <v>43851</v>
      </c>
      <c r="F1047" s="227"/>
      <c r="G1047" s="1" t="str">
        <f>IFERROR(IF(ventas_b_mes12[[#This Row],[CUIT]]="","-",VLOOKUP(ventas_b_mes12[[#This Row],[CUIT]],Lista_CUIT[#All],2,0)),"CUIT NO CARGADO")</f>
        <v>-</v>
      </c>
      <c r="H1047" s="96">
        <f>ventas_b_mes12[[#This Row],[TOTAL]]/1.21</f>
        <v>23471.07438016529</v>
      </c>
      <c r="I1047" s="60">
        <f>ventas_b_mes12[[#This Row],[IMPORTE NETO]]*0.21</f>
        <v>4928.9256198347102</v>
      </c>
      <c r="J1047" s="229"/>
      <c r="K1047" s="229"/>
      <c r="L1047" s="229">
        <v>28400</v>
      </c>
      <c r="M1047" s="55"/>
    </row>
    <row r="1048" spans="2:13" x14ac:dyDescent="0.3">
      <c r="B1048" s="223" t="s">
        <v>2472</v>
      </c>
      <c r="C1048" s="37">
        <v>6</v>
      </c>
      <c r="D1048" s="225">
        <v>12</v>
      </c>
      <c r="E1048" s="226">
        <v>22526</v>
      </c>
      <c r="F1048" s="227"/>
      <c r="G1048" s="1" t="str">
        <f>IFERROR(IF(ventas_b_mes12[[#This Row],[CUIT]]="","-",VLOOKUP(ventas_b_mes12[[#This Row],[CUIT]],Lista_CUIT[#All],2,0)),"CUIT NO CARGADO")</f>
        <v>-</v>
      </c>
      <c r="H1048" s="96">
        <f>ventas_b_mes12[[#This Row],[TOTAL]]/1.21</f>
        <v>4958.6776859504134</v>
      </c>
      <c r="I1048" s="60">
        <f>ventas_b_mes12[[#This Row],[IMPORTE NETO]]*0.21</f>
        <v>1041.3223140495868</v>
      </c>
      <c r="J1048" s="229"/>
      <c r="K1048" s="229"/>
      <c r="L1048" s="229">
        <v>6000</v>
      </c>
      <c r="M1048" s="55"/>
    </row>
    <row r="1049" spans="2:13" x14ac:dyDescent="0.3">
      <c r="B1049" s="223" t="s">
        <v>2472</v>
      </c>
      <c r="C1049" s="37">
        <v>6</v>
      </c>
      <c r="D1049" s="225">
        <v>10</v>
      </c>
      <c r="E1049" s="226">
        <v>43861</v>
      </c>
      <c r="F1049" s="227"/>
      <c r="G1049" s="1" t="str">
        <f>IFERROR(IF(ventas_b_mes12[[#This Row],[CUIT]]="","-",VLOOKUP(ventas_b_mes12[[#This Row],[CUIT]],Lista_CUIT[#All],2,0)),"CUIT NO CARGADO")</f>
        <v>-</v>
      </c>
      <c r="H1049" s="96">
        <f>ventas_b_mes12[[#This Row],[TOTAL]]/1.21</f>
        <v>3086.7768595041325</v>
      </c>
      <c r="I1049" s="60">
        <f>ventas_b_mes12[[#This Row],[IMPORTE NETO]]*0.21</f>
        <v>648.22314049586782</v>
      </c>
      <c r="J1049" s="229"/>
      <c r="K1049" s="229"/>
      <c r="L1049" s="229">
        <v>3735</v>
      </c>
      <c r="M1049" s="55"/>
    </row>
    <row r="1050" spans="2:13" x14ac:dyDescent="0.3">
      <c r="B1050" s="223" t="s">
        <v>2472</v>
      </c>
      <c r="C1050" s="37">
        <v>6</v>
      </c>
      <c r="D1050" s="225">
        <v>10</v>
      </c>
      <c r="E1050" s="226">
        <v>43856</v>
      </c>
      <c r="F1050" s="227"/>
      <c r="G1050" s="1" t="str">
        <f>IFERROR(IF(ventas_b_mes12[[#This Row],[CUIT]]="","-",VLOOKUP(ventas_b_mes12[[#This Row],[CUIT]],Lista_CUIT[#All],2,0)),"CUIT NO CARGADO")</f>
        <v>-</v>
      </c>
      <c r="H1050" s="96">
        <f>ventas_b_mes12[[#This Row],[TOTAL]]/1.21</f>
        <v>3723.1487603305786</v>
      </c>
      <c r="I1050" s="60">
        <f>ventas_b_mes12[[#This Row],[IMPORTE NETO]]*0.21</f>
        <v>781.86123966942148</v>
      </c>
      <c r="J1050" s="229"/>
      <c r="K1050" s="229"/>
      <c r="L1050" s="229">
        <v>4505.01</v>
      </c>
      <c r="M1050" s="55"/>
    </row>
    <row r="1051" spans="2:13" x14ac:dyDescent="0.3">
      <c r="B1051" s="223" t="s">
        <v>2472</v>
      </c>
      <c r="C1051" s="37">
        <v>6</v>
      </c>
      <c r="D1051" s="225">
        <v>15</v>
      </c>
      <c r="E1051" s="226">
        <v>7222</v>
      </c>
      <c r="F1051" s="227"/>
      <c r="G1051" s="1" t="str">
        <f>IFERROR(IF(ventas_b_mes12[[#This Row],[CUIT]]="","-",VLOOKUP(ventas_b_mes12[[#This Row],[CUIT]],Lista_CUIT[#All],2,0)),"CUIT NO CARGADO")</f>
        <v>-</v>
      </c>
      <c r="H1051" s="96">
        <f>ventas_b_mes12[[#This Row],[TOTAL]]/1.21</f>
        <v>2066.1157024793388</v>
      </c>
      <c r="I1051" s="60">
        <f>ventas_b_mes12[[#This Row],[IMPORTE NETO]]*0.21</f>
        <v>433.88429752066111</v>
      </c>
      <c r="J1051" s="229"/>
      <c r="K1051" s="229"/>
      <c r="L1051" s="229">
        <v>2500</v>
      </c>
      <c r="M1051" s="55"/>
    </row>
    <row r="1052" spans="2:13" x14ac:dyDescent="0.3">
      <c r="B1052" s="223" t="s">
        <v>2472</v>
      </c>
      <c r="C1052" s="37">
        <v>6</v>
      </c>
      <c r="D1052" s="225">
        <v>11</v>
      </c>
      <c r="E1052" s="226">
        <v>30081</v>
      </c>
      <c r="F1052" s="227"/>
      <c r="G1052" s="1" t="str">
        <f>IFERROR(IF(ventas_b_mes12[[#This Row],[CUIT]]="","-",VLOOKUP(ventas_b_mes12[[#This Row],[CUIT]],Lista_CUIT[#All],2,0)),"CUIT NO CARGADO")</f>
        <v>-</v>
      </c>
      <c r="H1052" s="96">
        <f>ventas_b_mes12[[#This Row],[TOTAL]]/1.21</f>
        <v>10360.347107438018</v>
      </c>
      <c r="I1052" s="60">
        <f>ventas_b_mes12[[#This Row],[IMPORTE NETO]]*0.21</f>
        <v>2175.6728925619836</v>
      </c>
      <c r="J1052" s="229"/>
      <c r="K1052" s="229"/>
      <c r="L1052" s="229">
        <v>12536.02</v>
      </c>
      <c r="M1052" s="55"/>
    </row>
    <row r="1053" spans="2:13" x14ac:dyDescent="0.3">
      <c r="B1053" s="223" t="s">
        <v>2472</v>
      </c>
      <c r="C1053" s="37">
        <v>6</v>
      </c>
      <c r="D1053" s="225">
        <v>12</v>
      </c>
      <c r="E1053" s="226">
        <v>22533</v>
      </c>
      <c r="F1053" s="227"/>
      <c r="G1053" s="1" t="str">
        <f>IFERROR(IF(ventas_b_mes12[[#This Row],[CUIT]]="","-",VLOOKUP(ventas_b_mes12[[#This Row],[CUIT]],Lista_CUIT[#All],2,0)),"CUIT NO CARGADO")</f>
        <v>-</v>
      </c>
      <c r="H1053" s="96">
        <f>ventas_b_mes12[[#This Row],[TOTAL]]/1.21</f>
        <v>3239.6859504132231</v>
      </c>
      <c r="I1053" s="60">
        <f>ventas_b_mes12[[#This Row],[IMPORTE NETO]]*0.21</f>
        <v>680.33404958677681</v>
      </c>
      <c r="J1053" s="229"/>
      <c r="K1053" s="229"/>
      <c r="L1053" s="229">
        <v>3920.02</v>
      </c>
      <c r="M1053" s="55"/>
    </row>
    <row r="1054" spans="2:13" x14ac:dyDescent="0.3">
      <c r="B1054" s="223" t="s">
        <v>2472</v>
      </c>
      <c r="C1054" s="37">
        <v>6</v>
      </c>
      <c r="D1054" s="225">
        <v>12</v>
      </c>
      <c r="E1054" s="226">
        <v>22534</v>
      </c>
      <c r="F1054" s="227"/>
      <c r="G1054" s="1" t="str">
        <f>IFERROR(IF(ventas_b_mes12[[#This Row],[CUIT]]="","-",VLOOKUP(ventas_b_mes12[[#This Row],[CUIT]],Lista_CUIT[#All],2,0)),"CUIT NO CARGADO")</f>
        <v>-</v>
      </c>
      <c r="H1054" s="96">
        <f>ventas_b_mes12[[#This Row],[TOTAL]]/1.21</f>
        <v>4545.454545454546</v>
      </c>
      <c r="I1054" s="60">
        <f>ventas_b_mes12[[#This Row],[IMPORTE NETO]]*0.21</f>
        <v>954.54545454545462</v>
      </c>
      <c r="J1054" s="229"/>
      <c r="K1054" s="229"/>
      <c r="L1054" s="229">
        <v>5500</v>
      </c>
      <c r="M1054" s="55"/>
    </row>
    <row r="1055" spans="2:13" x14ac:dyDescent="0.3">
      <c r="B1055" s="223" t="s">
        <v>2472</v>
      </c>
      <c r="C1055" s="37">
        <v>6</v>
      </c>
      <c r="D1055" s="225">
        <v>13</v>
      </c>
      <c r="E1055" s="226">
        <v>26754</v>
      </c>
      <c r="F1055" s="227"/>
      <c r="G1055" s="1" t="str">
        <f>IFERROR(IF(ventas_b_mes12[[#This Row],[CUIT]]="","-",VLOOKUP(ventas_b_mes12[[#This Row],[CUIT]],Lista_CUIT[#All],2,0)),"CUIT NO CARGADO")</f>
        <v>-</v>
      </c>
      <c r="H1055" s="96">
        <f>ventas_b_mes12[[#This Row],[TOTAL]]/1.21</f>
        <v>2231.413223140496</v>
      </c>
      <c r="I1055" s="60">
        <f>ventas_b_mes12[[#This Row],[IMPORTE NETO]]*0.21</f>
        <v>468.59677685950413</v>
      </c>
      <c r="J1055" s="229"/>
      <c r="K1055" s="229"/>
      <c r="L1055" s="229">
        <v>2700.01</v>
      </c>
      <c r="M1055" s="55"/>
    </row>
    <row r="1056" spans="2:13" x14ac:dyDescent="0.3">
      <c r="B1056" s="223" t="s">
        <v>2472</v>
      </c>
      <c r="C1056" s="37">
        <v>6</v>
      </c>
      <c r="D1056" s="225">
        <v>12</v>
      </c>
      <c r="E1056" s="226">
        <v>22523</v>
      </c>
      <c r="F1056" s="227"/>
      <c r="G1056" s="1" t="str">
        <f>IFERROR(IF(ventas_b_mes12[[#This Row],[CUIT]]="","-",VLOOKUP(ventas_b_mes12[[#This Row],[CUIT]],Lista_CUIT[#All],2,0)),"CUIT NO CARGADO")</f>
        <v>-</v>
      </c>
      <c r="H1056" s="96">
        <f>ventas_b_mes12[[#This Row],[TOTAL]]/1.21</f>
        <v>4545.454545454546</v>
      </c>
      <c r="I1056" s="60">
        <f>ventas_b_mes12[[#This Row],[IMPORTE NETO]]*0.21</f>
        <v>954.54545454545462</v>
      </c>
      <c r="J1056" s="229"/>
      <c r="K1056" s="229"/>
      <c r="L1056" s="229">
        <v>5500</v>
      </c>
      <c r="M1056" s="55"/>
    </row>
    <row r="1057" spans="2:13" x14ac:dyDescent="0.3">
      <c r="B1057" s="223" t="s">
        <v>2472</v>
      </c>
      <c r="C1057" s="37">
        <v>6</v>
      </c>
      <c r="D1057" s="225">
        <v>10</v>
      </c>
      <c r="E1057" s="226">
        <v>43863</v>
      </c>
      <c r="F1057" s="227"/>
      <c r="G1057" s="1" t="str">
        <f>IFERROR(IF(ventas_b_mes12[[#This Row],[CUIT]]="","-",VLOOKUP(ventas_b_mes12[[#This Row],[CUIT]],Lista_CUIT[#All],2,0)),"CUIT NO CARGADO")</f>
        <v>-</v>
      </c>
      <c r="H1057" s="96">
        <f>ventas_b_mes12[[#This Row],[TOTAL]]/1.21</f>
        <v>4214.8760330578516</v>
      </c>
      <c r="I1057" s="60">
        <f>ventas_b_mes12[[#This Row],[IMPORTE NETO]]*0.21</f>
        <v>885.12396694214885</v>
      </c>
      <c r="J1057" s="229"/>
      <c r="K1057" s="229"/>
      <c r="L1057" s="229">
        <v>5100</v>
      </c>
      <c r="M1057" s="55"/>
    </row>
    <row r="1058" spans="2:13" x14ac:dyDescent="0.3">
      <c r="B1058" s="223" t="s">
        <v>2472</v>
      </c>
      <c r="C1058" s="37">
        <v>6</v>
      </c>
      <c r="D1058" s="225">
        <v>11</v>
      </c>
      <c r="E1058" s="226">
        <v>30080</v>
      </c>
      <c r="F1058" s="227"/>
      <c r="G1058" s="1" t="str">
        <f>IFERROR(IF(ventas_b_mes12[[#This Row],[CUIT]]="","-",VLOOKUP(ventas_b_mes12[[#This Row],[CUIT]],Lista_CUIT[#All],2,0)),"CUIT NO CARGADO")</f>
        <v>-</v>
      </c>
      <c r="H1058" s="96">
        <f>ventas_b_mes12[[#This Row],[TOTAL]]/1.21</f>
        <v>2677.6859504132231</v>
      </c>
      <c r="I1058" s="60">
        <f>ventas_b_mes12[[#This Row],[IMPORTE NETO]]*0.21</f>
        <v>562.31404958677683</v>
      </c>
      <c r="J1058" s="229"/>
      <c r="K1058" s="229"/>
      <c r="L1058" s="229">
        <v>3240</v>
      </c>
      <c r="M1058" s="55"/>
    </row>
    <row r="1059" spans="2:13" x14ac:dyDescent="0.3">
      <c r="B1059" s="223" t="s">
        <v>2472</v>
      </c>
      <c r="C1059" s="37">
        <v>6</v>
      </c>
      <c r="D1059" s="225">
        <v>11</v>
      </c>
      <c r="E1059" s="226">
        <v>30079</v>
      </c>
      <c r="F1059" s="227"/>
      <c r="G1059" s="1" t="str">
        <f>IFERROR(IF(ventas_b_mes12[[#This Row],[CUIT]]="","-",VLOOKUP(ventas_b_mes12[[#This Row],[CUIT]],Lista_CUIT[#All],2,0)),"CUIT NO CARGADO")</f>
        <v>-</v>
      </c>
      <c r="H1059" s="96">
        <f>ventas_b_mes12[[#This Row],[TOTAL]]/1.21</f>
        <v>1580.5785123966944</v>
      </c>
      <c r="I1059" s="60">
        <f>ventas_b_mes12[[#This Row],[IMPORTE NETO]]*0.21</f>
        <v>331.92148760330582</v>
      </c>
      <c r="J1059" s="229"/>
      <c r="K1059" s="229"/>
      <c r="L1059" s="229">
        <v>1912.5</v>
      </c>
      <c r="M1059" s="55"/>
    </row>
    <row r="1060" spans="2:13" x14ac:dyDescent="0.3">
      <c r="B1060" s="223" t="s">
        <v>2472</v>
      </c>
      <c r="C1060" s="37">
        <v>6</v>
      </c>
      <c r="D1060" s="225">
        <v>12</v>
      </c>
      <c r="E1060" s="226">
        <v>22517</v>
      </c>
      <c r="F1060" s="227"/>
      <c r="G1060" s="1" t="str">
        <f>IFERROR(IF(ventas_b_mes12[[#This Row],[CUIT]]="","-",VLOOKUP(ventas_b_mes12[[#This Row],[CUIT]],Lista_CUIT[#All],2,0)),"CUIT NO CARGADO")</f>
        <v>-</v>
      </c>
      <c r="H1060" s="96">
        <f>ventas_b_mes12[[#This Row],[TOTAL]]/1.21</f>
        <v>4958.6776859504134</v>
      </c>
      <c r="I1060" s="60">
        <f>ventas_b_mes12[[#This Row],[IMPORTE NETO]]*0.21</f>
        <v>1041.3223140495868</v>
      </c>
      <c r="J1060" s="229"/>
      <c r="K1060" s="229"/>
      <c r="L1060" s="229">
        <v>6000</v>
      </c>
      <c r="M1060" s="55"/>
    </row>
    <row r="1061" spans="2:13" x14ac:dyDescent="0.3">
      <c r="B1061" s="223" t="s">
        <v>2472</v>
      </c>
      <c r="C1061" s="37">
        <v>6</v>
      </c>
      <c r="D1061" s="225">
        <v>10</v>
      </c>
      <c r="E1061" s="226">
        <v>43855</v>
      </c>
      <c r="F1061" s="227"/>
      <c r="G1061" s="1" t="str">
        <f>IFERROR(IF(ventas_b_mes12[[#This Row],[CUIT]]="","-",VLOOKUP(ventas_b_mes12[[#This Row],[CUIT]],Lista_CUIT[#All],2,0)),"CUIT NO CARGADO")</f>
        <v>-</v>
      </c>
      <c r="H1061" s="96">
        <f>ventas_b_mes12[[#This Row],[TOTAL]]/1.21</f>
        <v>4088.4297520661157</v>
      </c>
      <c r="I1061" s="60">
        <f>ventas_b_mes12[[#This Row],[IMPORTE NETO]]*0.21</f>
        <v>858.57024793388427</v>
      </c>
      <c r="J1061" s="229"/>
      <c r="K1061" s="229"/>
      <c r="L1061" s="229">
        <v>4947</v>
      </c>
      <c r="M1061" s="55"/>
    </row>
    <row r="1062" spans="2:13" x14ac:dyDescent="0.3">
      <c r="B1062" s="223" t="s">
        <v>2472</v>
      </c>
      <c r="C1062" s="37">
        <v>6</v>
      </c>
      <c r="D1062" s="225">
        <v>15</v>
      </c>
      <c r="E1062" s="226">
        <v>7208</v>
      </c>
      <c r="F1062" s="227"/>
      <c r="G1062" s="1" t="str">
        <f>IFERROR(IF(ventas_b_mes12[[#This Row],[CUIT]]="","-",VLOOKUP(ventas_b_mes12[[#This Row],[CUIT]],Lista_CUIT[#All],2,0)),"CUIT NO CARGADO")</f>
        <v>-</v>
      </c>
      <c r="H1062" s="96">
        <f>ventas_b_mes12[[#This Row],[TOTAL]]/1.21</f>
        <v>4958.6776859504134</v>
      </c>
      <c r="I1062" s="60">
        <f>ventas_b_mes12[[#This Row],[IMPORTE NETO]]*0.21</f>
        <v>1041.3223140495868</v>
      </c>
      <c r="J1062" s="229"/>
      <c r="K1062" s="229"/>
      <c r="L1062" s="229">
        <v>6000</v>
      </c>
      <c r="M1062" s="55"/>
    </row>
    <row r="1063" spans="2:13" x14ac:dyDescent="0.3">
      <c r="B1063" s="223" t="s">
        <v>2472</v>
      </c>
      <c r="C1063" s="37">
        <v>6</v>
      </c>
      <c r="D1063" s="225">
        <v>10</v>
      </c>
      <c r="E1063" s="226">
        <v>43854</v>
      </c>
      <c r="F1063" s="227"/>
      <c r="G1063" s="1" t="str">
        <f>IFERROR(IF(ventas_b_mes12[[#This Row],[CUIT]]="","-",VLOOKUP(ventas_b_mes12[[#This Row],[CUIT]],Lista_CUIT[#All],2,0)),"CUIT NO CARGADO")</f>
        <v>-</v>
      </c>
      <c r="H1063" s="96">
        <f>ventas_b_mes12[[#This Row],[TOTAL]]/1.21</f>
        <v>2888.4297520661157</v>
      </c>
      <c r="I1063" s="60">
        <f>ventas_b_mes12[[#This Row],[IMPORTE NETO]]*0.21</f>
        <v>606.57024793388427</v>
      </c>
      <c r="J1063" s="229"/>
      <c r="K1063" s="229"/>
      <c r="L1063" s="229">
        <v>3495</v>
      </c>
      <c r="M1063" s="55"/>
    </row>
    <row r="1064" spans="2:13" x14ac:dyDescent="0.3">
      <c r="B1064" s="223" t="s">
        <v>2472</v>
      </c>
      <c r="C1064" s="37">
        <v>6</v>
      </c>
      <c r="D1064" s="225">
        <v>10</v>
      </c>
      <c r="E1064" s="226">
        <v>43853</v>
      </c>
      <c r="F1064" s="227"/>
      <c r="G1064" s="1" t="str">
        <f>IFERROR(IF(ventas_b_mes12[[#This Row],[CUIT]]="","-",VLOOKUP(ventas_b_mes12[[#This Row],[CUIT]],Lista_CUIT[#All],2,0)),"CUIT NO CARGADO")</f>
        <v>-</v>
      </c>
      <c r="H1064" s="96">
        <f>ventas_b_mes12[[#This Row],[TOTAL]]/1.21</f>
        <v>3421.4876033057853</v>
      </c>
      <c r="I1064" s="60">
        <f>ventas_b_mes12[[#This Row],[IMPORTE NETO]]*0.21</f>
        <v>718.51239669421489</v>
      </c>
      <c r="J1064" s="229"/>
      <c r="K1064" s="229"/>
      <c r="L1064" s="229">
        <v>4140</v>
      </c>
      <c r="M1064" s="55"/>
    </row>
    <row r="1065" spans="2:13" x14ac:dyDescent="0.3">
      <c r="B1065" s="223" t="s">
        <v>2472</v>
      </c>
      <c r="C1065" s="37">
        <v>6</v>
      </c>
      <c r="D1065" s="225">
        <v>12</v>
      </c>
      <c r="E1065" s="226">
        <v>22514</v>
      </c>
      <c r="F1065" s="227"/>
      <c r="G1065" s="1" t="str">
        <f>IFERROR(IF(ventas_b_mes12[[#This Row],[CUIT]]="","-",VLOOKUP(ventas_b_mes12[[#This Row],[CUIT]],Lista_CUIT[#All],2,0)),"CUIT NO CARGADO")</f>
        <v>-</v>
      </c>
      <c r="H1065" s="96">
        <f>ventas_b_mes12[[#This Row],[TOTAL]]/1.21</f>
        <v>4958.6776859504134</v>
      </c>
      <c r="I1065" s="60">
        <f>ventas_b_mes12[[#This Row],[IMPORTE NETO]]*0.21</f>
        <v>1041.3223140495868</v>
      </c>
      <c r="J1065" s="229"/>
      <c r="K1065" s="229"/>
      <c r="L1065" s="229">
        <v>6000</v>
      </c>
      <c r="M1065" s="55"/>
    </row>
    <row r="1066" spans="2:13" x14ac:dyDescent="0.3">
      <c r="B1066" s="223" t="s">
        <v>2472</v>
      </c>
      <c r="C1066" s="37">
        <v>6</v>
      </c>
      <c r="D1066" s="225">
        <v>12</v>
      </c>
      <c r="E1066" s="226">
        <v>22527</v>
      </c>
      <c r="F1066" s="227"/>
      <c r="G1066" s="1" t="str">
        <f>IFERROR(IF(ventas_b_mes12[[#This Row],[CUIT]]="","-",VLOOKUP(ventas_b_mes12[[#This Row],[CUIT]],Lista_CUIT[#All],2,0)),"CUIT NO CARGADO")</f>
        <v>-</v>
      </c>
      <c r="H1066" s="96">
        <f>ventas_b_mes12[[#This Row],[TOTAL]]/1.21</f>
        <v>9884.2975206611573</v>
      </c>
      <c r="I1066" s="60">
        <f>ventas_b_mes12[[#This Row],[IMPORTE NETO]]*0.21</f>
        <v>2075.7024793388427</v>
      </c>
      <c r="J1066" s="229"/>
      <c r="K1066" s="229"/>
      <c r="L1066" s="229">
        <v>11960</v>
      </c>
      <c r="M1066" s="55"/>
    </row>
    <row r="1067" spans="2:13" x14ac:dyDescent="0.3">
      <c r="B1067" s="223" t="s">
        <v>2472</v>
      </c>
      <c r="C1067" s="37">
        <v>6</v>
      </c>
      <c r="D1067" s="225">
        <v>12</v>
      </c>
      <c r="E1067" s="226">
        <v>22522</v>
      </c>
      <c r="F1067" s="227"/>
      <c r="G1067" s="1" t="str">
        <f>IFERROR(IF(ventas_b_mes12[[#This Row],[CUIT]]="","-",VLOOKUP(ventas_b_mes12[[#This Row],[CUIT]],Lista_CUIT[#All],2,0)),"CUIT NO CARGADO")</f>
        <v>-</v>
      </c>
      <c r="H1067" s="96">
        <f>ventas_b_mes12[[#This Row],[TOTAL]]/1.21</f>
        <v>7880.9917355371899</v>
      </c>
      <c r="I1067" s="60">
        <f>ventas_b_mes12[[#This Row],[IMPORTE NETO]]*0.21</f>
        <v>1655.0082644628098</v>
      </c>
      <c r="J1067" s="229"/>
      <c r="K1067" s="229"/>
      <c r="L1067" s="229">
        <v>9536</v>
      </c>
      <c r="M1067" s="55"/>
    </row>
    <row r="1068" spans="2:13" x14ac:dyDescent="0.3">
      <c r="B1068" s="223" t="s">
        <v>2472</v>
      </c>
      <c r="C1068" s="37">
        <v>6</v>
      </c>
      <c r="D1068" s="225">
        <v>11</v>
      </c>
      <c r="E1068" s="226">
        <v>30076</v>
      </c>
      <c r="F1068" s="227"/>
      <c r="G1068" s="1" t="str">
        <f>IFERROR(IF(ventas_b_mes12[[#This Row],[CUIT]]="","-",VLOOKUP(ventas_b_mes12[[#This Row],[CUIT]],Lista_CUIT[#All],2,0)),"CUIT NO CARGADO")</f>
        <v>-</v>
      </c>
      <c r="H1068" s="96">
        <f>ventas_b_mes12[[#This Row],[TOTAL]]/1.21</f>
        <v>2066.1157024793388</v>
      </c>
      <c r="I1068" s="60">
        <f>ventas_b_mes12[[#This Row],[IMPORTE NETO]]*0.21</f>
        <v>433.88429752066111</v>
      </c>
      <c r="J1068" s="229"/>
      <c r="K1068" s="229"/>
      <c r="L1068" s="229">
        <v>2500</v>
      </c>
      <c r="M1068" s="55"/>
    </row>
    <row r="1069" spans="2:13" x14ac:dyDescent="0.3">
      <c r="B1069" s="223" t="s">
        <v>2472</v>
      </c>
      <c r="C1069" s="37">
        <v>6</v>
      </c>
      <c r="D1069" s="225">
        <v>12</v>
      </c>
      <c r="E1069" s="226">
        <v>22510</v>
      </c>
      <c r="F1069" s="227"/>
      <c r="G1069" s="1" t="str">
        <f>IFERROR(IF(ventas_b_mes12[[#This Row],[CUIT]]="","-",VLOOKUP(ventas_b_mes12[[#This Row],[CUIT]],Lista_CUIT[#All],2,0)),"CUIT NO CARGADO")</f>
        <v>-</v>
      </c>
      <c r="H1069" s="96">
        <f>ventas_b_mes12[[#This Row],[TOTAL]]/1.21</f>
        <v>7760.3305785123966</v>
      </c>
      <c r="I1069" s="60">
        <f>ventas_b_mes12[[#This Row],[IMPORTE NETO]]*0.21</f>
        <v>1629.6694214876031</v>
      </c>
      <c r="J1069" s="229"/>
      <c r="K1069" s="229"/>
      <c r="L1069" s="229">
        <v>9390</v>
      </c>
      <c r="M1069" s="55"/>
    </row>
    <row r="1070" spans="2:13" x14ac:dyDescent="0.3">
      <c r="B1070" s="223" t="s">
        <v>2472</v>
      </c>
      <c r="C1070" s="37">
        <v>6</v>
      </c>
      <c r="D1070" s="225">
        <v>15</v>
      </c>
      <c r="E1070" s="226">
        <v>7211</v>
      </c>
      <c r="F1070" s="227"/>
      <c r="G1070" s="1" t="str">
        <f>IFERROR(IF(ventas_b_mes12[[#This Row],[CUIT]]="","-",VLOOKUP(ventas_b_mes12[[#This Row],[CUIT]],Lista_CUIT[#All],2,0)),"CUIT NO CARGADO")</f>
        <v>-</v>
      </c>
      <c r="H1070" s="96">
        <f>ventas_b_mes12[[#This Row],[TOTAL]]/1.21</f>
        <v>2842.9752066115702</v>
      </c>
      <c r="I1070" s="60">
        <f>ventas_b_mes12[[#This Row],[IMPORTE NETO]]*0.21</f>
        <v>597.02479338842977</v>
      </c>
      <c r="J1070" s="229"/>
      <c r="K1070" s="229"/>
      <c r="L1070" s="229">
        <v>3440</v>
      </c>
      <c r="M1070" s="55"/>
    </row>
    <row r="1071" spans="2:13" x14ac:dyDescent="0.3">
      <c r="B1071" s="223" t="s">
        <v>2472</v>
      </c>
      <c r="C1071" s="37">
        <v>6</v>
      </c>
      <c r="D1071" s="225">
        <v>15</v>
      </c>
      <c r="E1071" s="226">
        <v>7212</v>
      </c>
      <c r="F1071" s="227"/>
      <c r="G1071" s="1" t="str">
        <f>IFERROR(IF(ventas_b_mes12[[#This Row],[CUIT]]="","-",VLOOKUP(ventas_b_mes12[[#This Row],[CUIT]],Lista_CUIT[#All],2,0)),"CUIT NO CARGADO")</f>
        <v>-</v>
      </c>
      <c r="H1071" s="96">
        <f>ventas_b_mes12[[#This Row],[TOTAL]]/1.21</f>
        <v>19183.479338842975</v>
      </c>
      <c r="I1071" s="60">
        <f>ventas_b_mes12[[#This Row],[IMPORTE NETO]]*0.21</f>
        <v>4028.5306611570245</v>
      </c>
      <c r="J1071" s="229"/>
      <c r="K1071" s="229"/>
      <c r="L1071" s="229">
        <v>23212.01</v>
      </c>
      <c r="M1071" s="55"/>
    </row>
    <row r="1072" spans="2:13" x14ac:dyDescent="0.3">
      <c r="B1072" s="223" t="s">
        <v>2472</v>
      </c>
      <c r="C1072" s="37">
        <v>6</v>
      </c>
      <c r="D1072" s="225">
        <v>10</v>
      </c>
      <c r="E1072" s="226">
        <v>43866</v>
      </c>
      <c r="F1072" s="227"/>
      <c r="G1072" s="1" t="str">
        <f>IFERROR(IF(ventas_b_mes12[[#This Row],[CUIT]]="","-",VLOOKUP(ventas_b_mes12[[#This Row],[CUIT]],Lista_CUIT[#All],2,0)),"CUIT NO CARGADO")</f>
        <v>-</v>
      </c>
      <c r="H1072" s="96">
        <f>ventas_b_mes12[[#This Row],[TOTAL]]/1.21</f>
        <v>2975.1983471074377</v>
      </c>
      <c r="I1072" s="60">
        <f>ventas_b_mes12[[#This Row],[IMPORTE NETO]]*0.21</f>
        <v>624.79165289256184</v>
      </c>
      <c r="J1072" s="229"/>
      <c r="K1072" s="229"/>
      <c r="L1072" s="229">
        <v>3599.99</v>
      </c>
      <c r="M1072" s="55"/>
    </row>
    <row r="1073" spans="2:13" x14ac:dyDescent="0.3">
      <c r="B1073" s="223" t="s">
        <v>2472</v>
      </c>
      <c r="C1073" s="37">
        <v>6</v>
      </c>
      <c r="D1073" s="225">
        <v>10</v>
      </c>
      <c r="E1073" s="226">
        <v>43874</v>
      </c>
      <c r="F1073" s="227"/>
      <c r="G1073" s="1" t="str">
        <f>IFERROR(IF(ventas_b_mes12[[#This Row],[CUIT]]="","-",VLOOKUP(ventas_b_mes12[[#This Row],[CUIT]],Lista_CUIT[#All],2,0)),"CUIT NO CARGADO")</f>
        <v>-</v>
      </c>
      <c r="H1073" s="96">
        <f>ventas_b_mes12[[#This Row],[TOTAL]]/1.21</f>
        <v>2892.5619834710747</v>
      </c>
      <c r="I1073" s="60">
        <f>ventas_b_mes12[[#This Row],[IMPORTE NETO]]*0.21</f>
        <v>607.43801652892569</v>
      </c>
      <c r="J1073" s="229"/>
      <c r="K1073" s="229"/>
      <c r="L1073" s="229">
        <v>3500</v>
      </c>
      <c r="M1073" s="55"/>
    </row>
    <row r="1074" spans="2:13" x14ac:dyDescent="0.3">
      <c r="B1074" s="223" t="s">
        <v>2472</v>
      </c>
      <c r="C1074" s="37">
        <v>6</v>
      </c>
      <c r="D1074" s="225">
        <v>11</v>
      </c>
      <c r="E1074" s="226">
        <v>30083</v>
      </c>
      <c r="F1074" s="227"/>
      <c r="G1074" s="1" t="str">
        <f>IFERROR(IF(ventas_b_mes12[[#This Row],[CUIT]]="","-",VLOOKUP(ventas_b_mes12[[#This Row],[CUIT]],Lista_CUIT[#All],2,0)),"CUIT NO CARGADO")</f>
        <v>-</v>
      </c>
      <c r="H1074" s="96">
        <f>ventas_b_mes12[[#This Row],[TOTAL]]/1.21</f>
        <v>5163.2231404958675</v>
      </c>
      <c r="I1074" s="60">
        <f>ventas_b_mes12[[#This Row],[IMPORTE NETO]]*0.21</f>
        <v>1084.2768595041321</v>
      </c>
      <c r="J1074" s="229"/>
      <c r="K1074" s="229"/>
      <c r="L1074" s="229">
        <v>6247.5</v>
      </c>
      <c r="M1074" s="55"/>
    </row>
    <row r="1075" spans="2:13" x14ac:dyDescent="0.3">
      <c r="B1075" s="223" t="s">
        <v>2472</v>
      </c>
      <c r="C1075" s="37">
        <v>6</v>
      </c>
      <c r="D1075" s="225">
        <v>10</v>
      </c>
      <c r="E1075" s="226">
        <v>43850</v>
      </c>
      <c r="F1075" s="227"/>
      <c r="G1075" s="1" t="str">
        <f>IFERROR(IF(ventas_b_mes12[[#This Row],[CUIT]]="","-",VLOOKUP(ventas_b_mes12[[#This Row],[CUIT]],Lista_CUIT[#All],2,0)),"CUIT NO CARGADO")</f>
        <v>-</v>
      </c>
      <c r="H1075" s="96">
        <f>ventas_b_mes12[[#This Row],[TOTAL]]/1.21</f>
        <v>4545.454545454546</v>
      </c>
      <c r="I1075" s="60">
        <f>ventas_b_mes12[[#This Row],[IMPORTE NETO]]*0.21</f>
        <v>954.54545454545462</v>
      </c>
      <c r="J1075" s="229"/>
      <c r="K1075" s="229"/>
      <c r="L1075" s="229">
        <v>5500</v>
      </c>
      <c r="M1075" s="55"/>
    </row>
    <row r="1076" spans="2:13" x14ac:dyDescent="0.3">
      <c r="B1076" s="223" t="s">
        <v>2472</v>
      </c>
      <c r="C1076" s="37">
        <v>6</v>
      </c>
      <c r="D1076" s="225">
        <v>12</v>
      </c>
      <c r="E1076" s="226">
        <v>22518</v>
      </c>
      <c r="F1076" s="227"/>
      <c r="G1076" s="1" t="str">
        <f>IFERROR(IF(ventas_b_mes12[[#This Row],[CUIT]]="","-",VLOOKUP(ventas_b_mes12[[#This Row],[CUIT]],Lista_CUIT[#All],2,0)),"CUIT NO CARGADO")</f>
        <v>-</v>
      </c>
      <c r="H1076" s="96">
        <f>ventas_b_mes12[[#This Row],[TOTAL]]/1.21</f>
        <v>4958.6776859504134</v>
      </c>
      <c r="I1076" s="60">
        <f>ventas_b_mes12[[#This Row],[IMPORTE NETO]]*0.21</f>
        <v>1041.3223140495868</v>
      </c>
      <c r="J1076" s="229"/>
      <c r="K1076" s="229"/>
      <c r="L1076" s="229">
        <v>6000</v>
      </c>
      <c r="M1076" s="55"/>
    </row>
    <row r="1077" spans="2:13" x14ac:dyDescent="0.3">
      <c r="B1077" s="223" t="s">
        <v>2472</v>
      </c>
      <c r="C1077" s="37">
        <v>6</v>
      </c>
      <c r="D1077" s="225">
        <v>15</v>
      </c>
      <c r="E1077" s="226">
        <v>7227</v>
      </c>
      <c r="F1077" s="227"/>
      <c r="G1077" s="1" t="str">
        <f>IFERROR(IF(ventas_b_mes12[[#This Row],[CUIT]]="","-",VLOOKUP(ventas_b_mes12[[#This Row],[CUIT]],Lista_CUIT[#All],2,0)),"CUIT NO CARGADO")</f>
        <v>-</v>
      </c>
      <c r="H1077" s="96">
        <f>ventas_b_mes12[[#This Row],[TOTAL]]/1.21</f>
        <v>32905.082644628099</v>
      </c>
      <c r="I1077" s="60">
        <f>ventas_b_mes12[[#This Row],[IMPORTE NETO]]*0.21</f>
        <v>6910.0673553719007</v>
      </c>
      <c r="J1077" s="229"/>
      <c r="K1077" s="229"/>
      <c r="L1077" s="229">
        <v>39815.15</v>
      </c>
      <c r="M1077" s="55"/>
    </row>
    <row r="1078" spans="2:13" x14ac:dyDescent="0.3">
      <c r="B1078" s="223" t="s">
        <v>2472</v>
      </c>
      <c r="C1078" s="37">
        <v>6</v>
      </c>
      <c r="D1078" s="225">
        <v>15</v>
      </c>
      <c r="E1078" s="226">
        <v>7210</v>
      </c>
      <c r="F1078" s="227"/>
      <c r="G1078" s="1" t="str">
        <f>IFERROR(IF(ventas_b_mes12[[#This Row],[CUIT]]="","-",VLOOKUP(ventas_b_mes12[[#This Row],[CUIT]],Lista_CUIT[#All],2,0)),"CUIT NO CARGADO")</f>
        <v>-</v>
      </c>
      <c r="H1078" s="96">
        <f>ventas_b_mes12[[#This Row],[TOTAL]]/1.21</f>
        <v>3933.8842975206612</v>
      </c>
      <c r="I1078" s="60">
        <f>ventas_b_mes12[[#This Row],[IMPORTE NETO]]*0.21</f>
        <v>826.11570247933878</v>
      </c>
      <c r="J1078" s="229"/>
      <c r="K1078" s="229"/>
      <c r="L1078" s="229">
        <v>4760</v>
      </c>
      <c r="M1078" s="55"/>
    </row>
    <row r="1079" spans="2:13" x14ac:dyDescent="0.3">
      <c r="B1079" s="223" t="s">
        <v>2472</v>
      </c>
      <c r="C1079" s="37">
        <v>6</v>
      </c>
      <c r="D1079" s="225">
        <v>12</v>
      </c>
      <c r="E1079" s="226">
        <v>22505</v>
      </c>
      <c r="F1079" s="227"/>
      <c r="G1079" s="1" t="str">
        <f>IFERROR(IF(ventas_b_mes12[[#This Row],[CUIT]]="","-",VLOOKUP(ventas_b_mes12[[#This Row],[CUIT]],Lista_CUIT[#All],2,0)),"CUIT NO CARGADO")</f>
        <v>-</v>
      </c>
      <c r="H1079" s="96">
        <f>ventas_b_mes12[[#This Row],[TOTAL]]/1.21</f>
        <v>4545.454545454546</v>
      </c>
      <c r="I1079" s="60">
        <f>ventas_b_mes12[[#This Row],[IMPORTE NETO]]*0.21</f>
        <v>954.54545454545462</v>
      </c>
      <c r="J1079" s="229"/>
      <c r="K1079" s="229"/>
      <c r="L1079" s="229">
        <v>5500</v>
      </c>
      <c r="M1079" s="55"/>
    </row>
    <row r="1080" spans="2:13" x14ac:dyDescent="0.3">
      <c r="B1080" s="223" t="s">
        <v>2472</v>
      </c>
      <c r="C1080" s="37">
        <v>6</v>
      </c>
      <c r="D1080" s="225">
        <v>12</v>
      </c>
      <c r="E1080" s="226">
        <v>22506</v>
      </c>
      <c r="F1080" s="227"/>
      <c r="G1080" s="1" t="str">
        <f>IFERROR(IF(ventas_b_mes12[[#This Row],[CUIT]]="","-",VLOOKUP(ventas_b_mes12[[#This Row],[CUIT]],Lista_CUIT[#All],2,0)),"CUIT NO CARGADO")</f>
        <v>-</v>
      </c>
      <c r="H1080" s="96">
        <f>ventas_b_mes12[[#This Row],[TOTAL]]/1.21</f>
        <v>4545.454545454546</v>
      </c>
      <c r="I1080" s="60">
        <f>ventas_b_mes12[[#This Row],[IMPORTE NETO]]*0.21</f>
        <v>954.54545454545462</v>
      </c>
      <c r="J1080" s="229"/>
      <c r="K1080" s="229"/>
      <c r="L1080" s="229">
        <v>5500</v>
      </c>
      <c r="M1080" s="55"/>
    </row>
    <row r="1081" spans="2:13" x14ac:dyDescent="0.3">
      <c r="B1081" s="223" t="s">
        <v>2472</v>
      </c>
      <c r="C1081" s="37">
        <v>6</v>
      </c>
      <c r="D1081" s="225">
        <v>10</v>
      </c>
      <c r="E1081" s="226">
        <v>43870</v>
      </c>
      <c r="F1081" s="227"/>
      <c r="G1081" s="1" t="str">
        <f>IFERROR(IF(ventas_b_mes12[[#This Row],[CUIT]]="","-",VLOOKUP(ventas_b_mes12[[#This Row],[CUIT]],Lista_CUIT[#All],2,0)),"CUIT NO CARGADO")</f>
        <v>-</v>
      </c>
      <c r="H1081" s="96">
        <f>ventas_b_mes12[[#This Row],[TOTAL]]/1.21</f>
        <v>2739.6694214876034</v>
      </c>
      <c r="I1081" s="60">
        <f>ventas_b_mes12[[#This Row],[IMPORTE NETO]]*0.21</f>
        <v>575.33057851239664</v>
      </c>
      <c r="J1081" s="229"/>
      <c r="K1081" s="229"/>
      <c r="L1081" s="229">
        <v>3315</v>
      </c>
      <c r="M1081" s="55"/>
    </row>
    <row r="1082" spans="2:13" x14ac:dyDescent="0.3">
      <c r="B1082" s="223" t="s">
        <v>2472</v>
      </c>
      <c r="C1082" s="37">
        <v>6</v>
      </c>
      <c r="D1082" s="225">
        <v>15</v>
      </c>
      <c r="E1082" s="226">
        <v>7220</v>
      </c>
      <c r="F1082" s="227"/>
      <c r="G1082" s="1" t="str">
        <f>IFERROR(IF(ventas_b_mes12[[#This Row],[CUIT]]="","-",VLOOKUP(ventas_b_mes12[[#This Row],[CUIT]],Lista_CUIT[#All],2,0)),"CUIT NO CARGADO")</f>
        <v>-</v>
      </c>
      <c r="H1082" s="96">
        <f>ventas_b_mes12[[#This Row],[TOTAL]]/1.21</f>
        <v>5322.3140495867774</v>
      </c>
      <c r="I1082" s="60">
        <f>ventas_b_mes12[[#This Row],[IMPORTE NETO]]*0.21</f>
        <v>1117.6859504132233</v>
      </c>
      <c r="J1082" s="229"/>
      <c r="K1082" s="229"/>
      <c r="L1082" s="229">
        <v>6440</v>
      </c>
      <c r="M1082" s="55"/>
    </row>
    <row r="1083" spans="2:13" x14ac:dyDescent="0.3">
      <c r="B1083" s="223" t="s">
        <v>2472</v>
      </c>
      <c r="C1083" s="37">
        <v>6</v>
      </c>
      <c r="D1083" s="225">
        <v>11</v>
      </c>
      <c r="E1083" s="226">
        <v>30078</v>
      </c>
      <c r="F1083" s="227"/>
      <c r="G1083" s="1" t="str">
        <f>IFERROR(IF(ventas_b_mes12[[#This Row],[CUIT]]="","-",VLOOKUP(ventas_b_mes12[[#This Row],[CUIT]],Lista_CUIT[#All],2,0)),"CUIT NO CARGADO")</f>
        <v>-</v>
      </c>
      <c r="H1083" s="96">
        <f>ventas_b_mes12[[#This Row],[TOTAL]]/1.21</f>
        <v>13803.719008264463</v>
      </c>
      <c r="I1083" s="60">
        <f>ventas_b_mes12[[#This Row],[IMPORTE NETO]]*0.21</f>
        <v>2898.7809917355371</v>
      </c>
      <c r="J1083" s="229"/>
      <c r="K1083" s="229"/>
      <c r="L1083" s="229">
        <v>16702.5</v>
      </c>
      <c r="M1083" s="55"/>
    </row>
    <row r="1084" spans="2:13" x14ac:dyDescent="0.3">
      <c r="B1084" s="223" t="s">
        <v>2472</v>
      </c>
      <c r="C1084" s="37">
        <v>6</v>
      </c>
      <c r="D1084" s="225">
        <v>10</v>
      </c>
      <c r="E1084" s="226">
        <v>43875</v>
      </c>
      <c r="F1084" s="227"/>
      <c r="G1084" s="1" t="str">
        <f>IFERROR(IF(ventas_b_mes12[[#This Row],[CUIT]]="","-",VLOOKUP(ventas_b_mes12[[#This Row],[CUIT]],Lista_CUIT[#All],2,0)),"CUIT NO CARGADO")</f>
        <v>-</v>
      </c>
      <c r="H1084" s="96">
        <f>ventas_b_mes12[[#This Row],[TOTAL]]/1.21</f>
        <v>7000.0082644628101</v>
      </c>
      <c r="I1084" s="60">
        <f>ventas_b_mes12[[#This Row],[IMPORTE NETO]]*0.21</f>
        <v>1470.0017355371901</v>
      </c>
      <c r="J1084" s="229"/>
      <c r="K1084" s="229"/>
      <c r="L1084" s="229">
        <v>8470.01</v>
      </c>
      <c r="M1084" s="55"/>
    </row>
    <row r="1085" spans="2:13" x14ac:dyDescent="0.3">
      <c r="B1085" s="223" t="s">
        <v>2472</v>
      </c>
      <c r="C1085" s="37">
        <v>6</v>
      </c>
      <c r="D1085" s="225">
        <v>15</v>
      </c>
      <c r="E1085" s="226">
        <v>7228</v>
      </c>
      <c r="F1085" s="227"/>
      <c r="G1085" s="1" t="str">
        <f>IFERROR(IF(ventas_b_mes12[[#This Row],[CUIT]]="","-",VLOOKUP(ventas_b_mes12[[#This Row],[CUIT]],Lista_CUIT[#All],2,0)),"CUIT NO CARGADO")</f>
        <v>-</v>
      </c>
      <c r="H1085" s="96">
        <f>ventas_b_mes12[[#This Row],[TOTAL]]/1.21</f>
        <v>7677.6859504132235</v>
      </c>
      <c r="I1085" s="60">
        <f>ventas_b_mes12[[#This Row],[IMPORTE NETO]]*0.21</f>
        <v>1612.3140495867769</v>
      </c>
      <c r="J1085" s="229"/>
      <c r="K1085" s="229"/>
      <c r="L1085" s="229">
        <v>9290</v>
      </c>
      <c r="M1085" s="55"/>
    </row>
    <row r="1086" spans="2:13" x14ac:dyDescent="0.3">
      <c r="B1086" s="223" t="s">
        <v>2472</v>
      </c>
      <c r="C1086" s="37">
        <v>6</v>
      </c>
      <c r="D1086" s="225">
        <v>11</v>
      </c>
      <c r="E1086" s="226">
        <v>30073</v>
      </c>
      <c r="F1086" s="227"/>
      <c r="G1086" s="1" t="str">
        <f>IFERROR(IF(ventas_b_mes12[[#This Row],[CUIT]]="","-",VLOOKUP(ventas_b_mes12[[#This Row],[CUIT]],Lista_CUIT[#All],2,0)),"CUIT NO CARGADO")</f>
        <v>-</v>
      </c>
      <c r="H1086" s="96">
        <f>ventas_b_mes12[[#This Row],[TOTAL]]/1.21</f>
        <v>760.33057851239676</v>
      </c>
      <c r="I1086" s="60">
        <f>ventas_b_mes12[[#This Row],[IMPORTE NETO]]*0.21</f>
        <v>159.6694214876033</v>
      </c>
      <c r="J1086" s="229"/>
      <c r="K1086" s="229"/>
      <c r="L1086" s="229">
        <v>920</v>
      </c>
      <c r="M1086" s="55"/>
    </row>
    <row r="1087" spans="2:13" x14ac:dyDescent="0.3">
      <c r="B1087" s="223" t="s">
        <v>2472</v>
      </c>
      <c r="C1087" s="37">
        <v>6</v>
      </c>
      <c r="D1087" s="225">
        <v>11</v>
      </c>
      <c r="E1087" s="226">
        <v>30074</v>
      </c>
      <c r="F1087" s="227"/>
      <c r="G1087" s="1" t="str">
        <f>IFERROR(IF(ventas_b_mes12[[#This Row],[CUIT]]="","-",VLOOKUP(ventas_b_mes12[[#This Row],[CUIT]],Lista_CUIT[#All],2,0)),"CUIT NO CARGADO")</f>
        <v>-</v>
      </c>
      <c r="H1087" s="96">
        <f>ventas_b_mes12[[#This Row],[TOTAL]]/1.21</f>
        <v>16132.247933884299</v>
      </c>
      <c r="I1087" s="60">
        <f>ventas_b_mes12[[#This Row],[IMPORTE NETO]]*0.21</f>
        <v>3387.7720661157027</v>
      </c>
      <c r="J1087" s="229"/>
      <c r="K1087" s="229"/>
      <c r="L1087" s="229">
        <v>19520.02</v>
      </c>
      <c r="M1087" s="55"/>
    </row>
    <row r="1088" spans="2:13" x14ac:dyDescent="0.3">
      <c r="B1088" s="223" t="s">
        <v>2472</v>
      </c>
      <c r="C1088" s="37">
        <v>6</v>
      </c>
      <c r="D1088" s="225">
        <v>13</v>
      </c>
      <c r="E1088" s="226">
        <v>26746</v>
      </c>
      <c r="F1088" s="227"/>
      <c r="G1088" s="1" t="str">
        <f>IFERROR(IF(ventas_b_mes12[[#This Row],[CUIT]]="","-",VLOOKUP(ventas_b_mes12[[#This Row],[CUIT]],Lista_CUIT[#All],2,0)),"CUIT NO CARGADO")</f>
        <v>-</v>
      </c>
      <c r="H1088" s="96">
        <f>ventas_b_mes12[[#This Row],[TOTAL]]/1.21</f>
        <v>793.38842975206614</v>
      </c>
      <c r="I1088" s="60">
        <f>ventas_b_mes12[[#This Row],[IMPORTE NETO]]*0.21</f>
        <v>166.61157024793388</v>
      </c>
      <c r="J1088" s="229"/>
      <c r="K1088" s="229"/>
      <c r="L1088" s="229">
        <v>960</v>
      </c>
      <c r="M1088" s="55"/>
    </row>
    <row r="1089" spans="2:13" x14ac:dyDescent="0.3">
      <c r="B1089" s="223" t="s">
        <v>2472</v>
      </c>
      <c r="C1089" s="37">
        <v>6</v>
      </c>
      <c r="D1089" s="225">
        <v>13</v>
      </c>
      <c r="E1089" s="226">
        <v>26744</v>
      </c>
      <c r="F1089" s="227"/>
      <c r="G1089" s="1" t="str">
        <f>IFERROR(IF(ventas_b_mes12[[#This Row],[CUIT]]="","-",VLOOKUP(ventas_b_mes12[[#This Row],[CUIT]],Lista_CUIT[#All],2,0)),"CUIT NO CARGADO")</f>
        <v>-</v>
      </c>
      <c r="H1089" s="96">
        <f>ventas_b_mes12[[#This Row],[TOTAL]]/1.21</f>
        <v>1123.9669421487604</v>
      </c>
      <c r="I1089" s="60">
        <f>ventas_b_mes12[[#This Row],[IMPORTE NETO]]*0.21</f>
        <v>236.03305785123968</v>
      </c>
      <c r="J1089" s="229"/>
      <c r="K1089" s="229"/>
      <c r="L1089" s="229">
        <v>1360</v>
      </c>
      <c r="M1089" s="55"/>
    </row>
    <row r="1090" spans="2:13" x14ac:dyDescent="0.3">
      <c r="B1090" s="223" t="s">
        <v>2472</v>
      </c>
      <c r="C1090" s="37">
        <v>6</v>
      </c>
      <c r="D1090" s="225">
        <v>13</v>
      </c>
      <c r="E1090" s="226">
        <v>26745</v>
      </c>
      <c r="F1090" s="227"/>
      <c r="G1090" s="1" t="str">
        <f>IFERROR(IF(ventas_b_mes12[[#This Row],[CUIT]]="","-",VLOOKUP(ventas_b_mes12[[#This Row],[CUIT]],Lista_CUIT[#All],2,0)),"CUIT NO CARGADO")</f>
        <v>-</v>
      </c>
      <c r="H1090" s="96">
        <f>ventas_b_mes12[[#This Row],[TOTAL]]/1.21</f>
        <v>1115.702479338843</v>
      </c>
      <c r="I1090" s="60">
        <f>ventas_b_mes12[[#This Row],[IMPORTE NETO]]*0.21</f>
        <v>234.29752066115702</v>
      </c>
      <c r="J1090" s="229"/>
      <c r="K1090" s="229"/>
      <c r="L1090" s="229">
        <v>1350</v>
      </c>
      <c r="M1090" s="55"/>
    </row>
    <row r="1091" spans="2:13" x14ac:dyDescent="0.3">
      <c r="B1091" s="223" t="s">
        <v>2472</v>
      </c>
      <c r="C1091" s="37">
        <v>6</v>
      </c>
      <c r="D1091" s="225">
        <v>15</v>
      </c>
      <c r="E1091" s="226">
        <v>7213</v>
      </c>
      <c r="F1091" s="227"/>
      <c r="G1091" s="1" t="str">
        <f>IFERROR(IF(ventas_b_mes12[[#This Row],[CUIT]]="","-",VLOOKUP(ventas_b_mes12[[#This Row],[CUIT]],Lista_CUIT[#All],2,0)),"CUIT NO CARGADO")</f>
        <v>-</v>
      </c>
      <c r="H1091" s="96">
        <f>ventas_b_mes12[[#This Row],[TOTAL]]/1.21</f>
        <v>4545.454545454546</v>
      </c>
      <c r="I1091" s="60">
        <f>ventas_b_mes12[[#This Row],[IMPORTE NETO]]*0.21</f>
        <v>954.54545454545462</v>
      </c>
      <c r="J1091" s="229"/>
      <c r="K1091" s="229"/>
      <c r="L1091" s="229">
        <v>5500</v>
      </c>
      <c r="M1091" s="55"/>
    </row>
    <row r="1092" spans="2:13" x14ac:dyDescent="0.3">
      <c r="B1092" s="223" t="s">
        <v>2472</v>
      </c>
      <c r="C1092" s="37">
        <v>6</v>
      </c>
      <c r="D1092" s="225">
        <v>15</v>
      </c>
      <c r="E1092" s="226">
        <v>7219</v>
      </c>
      <c r="F1092" s="227"/>
      <c r="G1092" s="1" t="str">
        <f>IFERROR(IF(ventas_b_mes12[[#This Row],[CUIT]]="","-",VLOOKUP(ventas_b_mes12[[#This Row],[CUIT]],Lista_CUIT[#All],2,0)),"CUIT NO CARGADO")</f>
        <v>-</v>
      </c>
      <c r="H1092" s="96">
        <f>ventas_b_mes12[[#This Row],[TOTAL]]/1.21</f>
        <v>929.75206611570252</v>
      </c>
      <c r="I1092" s="60">
        <f>ventas_b_mes12[[#This Row],[IMPORTE NETO]]*0.21</f>
        <v>195.24793388429751</v>
      </c>
      <c r="J1092" s="229"/>
      <c r="K1092" s="229"/>
      <c r="L1092" s="229">
        <v>1125</v>
      </c>
      <c r="M1092" s="55"/>
    </row>
    <row r="1093" spans="2:13" x14ac:dyDescent="0.3">
      <c r="B1093" s="223" t="s">
        <v>2473</v>
      </c>
      <c r="C1093" s="37">
        <v>6</v>
      </c>
      <c r="D1093" s="225">
        <v>11</v>
      </c>
      <c r="E1093" s="226">
        <v>30105</v>
      </c>
      <c r="F1093" s="227"/>
      <c r="G1093" s="1" t="str">
        <f>IFERROR(IF(ventas_b_mes12[[#This Row],[CUIT]]="","-",VLOOKUP(ventas_b_mes12[[#This Row],[CUIT]],Lista_CUIT[#All],2,0)),"CUIT NO CARGADO")</f>
        <v>-</v>
      </c>
      <c r="H1093" s="96">
        <f>ventas_b_mes12[[#This Row],[TOTAL]]/1.21</f>
        <v>5190.0826446280989</v>
      </c>
      <c r="I1093" s="60">
        <f>ventas_b_mes12[[#This Row],[IMPORTE NETO]]*0.21</f>
        <v>1089.9173553719008</v>
      </c>
      <c r="J1093" s="229"/>
      <c r="K1093" s="229"/>
      <c r="L1093" s="229">
        <v>6280</v>
      </c>
      <c r="M1093" s="55"/>
    </row>
    <row r="1094" spans="2:13" x14ac:dyDescent="0.3">
      <c r="B1094" s="223" t="s">
        <v>2473</v>
      </c>
      <c r="C1094" s="37">
        <v>6</v>
      </c>
      <c r="D1094" s="225">
        <v>13</v>
      </c>
      <c r="E1094" s="226">
        <v>26766</v>
      </c>
      <c r="F1094" s="227"/>
      <c r="G1094" s="1" t="str">
        <f>IFERROR(IF(ventas_b_mes12[[#This Row],[CUIT]]="","-",VLOOKUP(ventas_b_mes12[[#This Row],[CUIT]],Lista_CUIT[#All],2,0)),"CUIT NO CARGADO")</f>
        <v>-</v>
      </c>
      <c r="H1094" s="96">
        <f>ventas_b_mes12[[#This Row],[TOTAL]]/1.21</f>
        <v>3595.0413223140495</v>
      </c>
      <c r="I1094" s="60">
        <f>ventas_b_mes12[[#This Row],[IMPORTE NETO]]*0.21</f>
        <v>754.95867768595031</v>
      </c>
      <c r="J1094" s="229"/>
      <c r="K1094" s="229"/>
      <c r="L1094" s="229">
        <v>4350</v>
      </c>
      <c r="M1094" s="55"/>
    </row>
    <row r="1095" spans="2:13" x14ac:dyDescent="0.3">
      <c r="B1095" s="223" t="s">
        <v>2473</v>
      </c>
      <c r="C1095" s="37">
        <v>6</v>
      </c>
      <c r="D1095" s="225">
        <v>11</v>
      </c>
      <c r="E1095" s="226">
        <v>30102</v>
      </c>
      <c r="F1095" s="227"/>
      <c r="G1095" s="1" t="str">
        <f>IFERROR(IF(ventas_b_mes12[[#This Row],[CUIT]]="","-",VLOOKUP(ventas_b_mes12[[#This Row],[CUIT]],Lista_CUIT[#All],2,0)),"CUIT NO CARGADO")</f>
        <v>-</v>
      </c>
      <c r="H1095" s="96">
        <f>ventas_b_mes12[[#This Row],[TOTAL]]/1.21</f>
        <v>6651.5619834710751</v>
      </c>
      <c r="I1095" s="60">
        <f>ventas_b_mes12[[#This Row],[IMPORTE NETO]]*0.21</f>
        <v>1396.8280165289257</v>
      </c>
      <c r="J1095" s="229"/>
      <c r="K1095" s="229"/>
      <c r="L1095" s="229">
        <v>8048.39</v>
      </c>
      <c r="M1095" s="55"/>
    </row>
    <row r="1096" spans="2:13" x14ac:dyDescent="0.3">
      <c r="B1096" s="223" t="s">
        <v>2473</v>
      </c>
      <c r="C1096" s="37">
        <v>6</v>
      </c>
      <c r="D1096" s="225">
        <v>11</v>
      </c>
      <c r="E1096" s="226">
        <v>30106</v>
      </c>
      <c r="F1096" s="227"/>
      <c r="G1096" s="1" t="str">
        <f>IFERROR(IF(ventas_b_mes12[[#This Row],[CUIT]]="","-",VLOOKUP(ventas_b_mes12[[#This Row],[CUIT]],Lista_CUIT[#All],2,0)),"CUIT NO CARGADO")</f>
        <v>-</v>
      </c>
      <c r="H1096" s="96">
        <f>ventas_b_mes12[[#This Row],[TOTAL]]/1.21</f>
        <v>23553.702479338845</v>
      </c>
      <c r="I1096" s="60">
        <f>ventas_b_mes12[[#This Row],[IMPORTE NETO]]*0.21</f>
        <v>4946.2775206611568</v>
      </c>
      <c r="J1096" s="229"/>
      <c r="K1096" s="229"/>
      <c r="L1096" s="229">
        <v>28499.98</v>
      </c>
      <c r="M1096" s="55"/>
    </row>
    <row r="1097" spans="2:13" x14ac:dyDescent="0.3">
      <c r="B1097" s="223" t="s">
        <v>2473</v>
      </c>
      <c r="C1097" s="37">
        <v>6</v>
      </c>
      <c r="D1097" s="225">
        <v>10</v>
      </c>
      <c r="E1097" s="226">
        <v>43902</v>
      </c>
      <c r="F1097" s="227"/>
      <c r="G1097" s="1" t="str">
        <f>IFERROR(IF(ventas_b_mes12[[#This Row],[CUIT]]="","-",VLOOKUP(ventas_b_mes12[[#This Row],[CUIT]],Lista_CUIT[#All],2,0)),"CUIT NO CARGADO")</f>
        <v>-</v>
      </c>
      <c r="H1097" s="96">
        <f>ventas_b_mes12[[#This Row],[TOTAL]]/1.21</f>
        <v>5563.644628099174</v>
      </c>
      <c r="I1097" s="60">
        <f>ventas_b_mes12[[#This Row],[IMPORTE NETO]]*0.21</f>
        <v>1168.3653719008264</v>
      </c>
      <c r="J1097" s="229"/>
      <c r="K1097" s="229"/>
      <c r="L1097" s="229">
        <v>6732.01</v>
      </c>
      <c r="M1097" s="55"/>
    </row>
    <row r="1098" spans="2:13" x14ac:dyDescent="0.3">
      <c r="B1098" s="223" t="s">
        <v>2473</v>
      </c>
      <c r="C1098" s="37">
        <v>6</v>
      </c>
      <c r="D1098" s="225">
        <v>12</v>
      </c>
      <c r="E1098" s="226">
        <v>22546</v>
      </c>
      <c r="F1098" s="227"/>
      <c r="G1098" s="1" t="str">
        <f>IFERROR(IF(ventas_b_mes12[[#This Row],[CUIT]]="","-",VLOOKUP(ventas_b_mes12[[#This Row],[CUIT]],Lista_CUIT[#All],2,0)),"CUIT NO CARGADO")</f>
        <v>-</v>
      </c>
      <c r="H1098" s="96">
        <f>ventas_b_mes12[[#This Row],[TOTAL]]/1.21</f>
        <v>1446.2809917355373</v>
      </c>
      <c r="I1098" s="60">
        <f>ventas_b_mes12[[#This Row],[IMPORTE NETO]]*0.21</f>
        <v>303.71900826446284</v>
      </c>
      <c r="J1098" s="229"/>
      <c r="K1098" s="229"/>
      <c r="L1098" s="229">
        <v>1750</v>
      </c>
      <c r="M1098" s="55"/>
    </row>
    <row r="1099" spans="2:13" x14ac:dyDescent="0.3">
      <c r="B1099" s="223" t="s">
        <v>2473</v>
      </c>
      <c r="C1099" s="37">
        <v>6</v>
      </c>
      <c r="D1099" s="225">
        <v>12</v>
      </c>
      <c r="E1099" s="226">
        <v>22544</v>
      </c>
      <c r="F1099" s="227"/>
      <c r="G1099" s="1" t="str">
        <f>IFERROR(IF(ventas_b_mes12[[#This Row],[CUIT]]="","-",VLOOKUP(ventas_b_mes12[[#This Row],[CUIT]],Lista_CUIT[#All],2,0)),"CUIT NO CARGADO")</f>
        <v>-</v>
      </c>
      <c r="H1099" s="96">
        <f>ventas_b_mes12[[#This Row],[TOTAL]]/1.21</f>
        <v>4328.9256198347111</v>
      </c>
      <c r="I1099" s="60">
        <f>ventas_b_mes12[[#This Row],[IMPORTE NETO]]*0.21</f>
        <v>909.07438016528931</v>
      </c>
      <c r="J1099" s="229"/>
      <c r="K1099" s="229"/>
      <c r="L1099" s="229">
        <v>5238</v>
      </c>
      <c r="M1099" s="55"/>
    </row>
    <row r="1100" spans="2:13" x14ac:dyDescent="0.3">
      <c r="B1100" s="223" t="s">
        <v>2473</v>
      </c>
      <c r="C1100" s="37">
        <v>6</v>
      </c>
      <c r="D1100" s="225">
        <v>11</v>
      </c>
      <c r="E1100" s="226">
        <v>30107</v>
      </c>
      <c r="F1100" s="227"/>
      <c r="G1100" s="1" t="str">
        <f>IFERROR(IF(ventas_b_mes12[[#This Row],[CUIT]]="","-",VLOOKUP(ventas_b_mes12[[#This Row],[CUIT]],Lista_CUIT[#All],2,0)),"CUIT NO CARGADO")</f>
        <v>-</v>
      </c>
      <c r="H1100" s="96">
        <f>ventas_b_mes12[[#This Row],[TOTAL]]/1.21</f>
        <v>3719.0082644628101</v>
      </c>
      <c r="I1100" s="60">
        <f>ventas_b_mes12[[#This Row],[IMPORTE NETO]]*0.21</f>
        <v>780.99173553719004</v>
      </c>
      <c r="J1100" s="229"/>
      <c r="K1100" s="229"/>
      <c r="L1100" s="229">
        <v>4500</v>
      </c>
      <c r="M1100" s="55"/>
    </row>
    <row r="1101" spans="2:13" x14ac:dyDescent="0.3">
      <c r="B1101" s="223" t="s">
        <v>2473</v>
      </c>
      <c r="C1101" s="37">
        <v>6</v>
      </c>
      <c r="D1101" s="225">
        <v>13</v>
      </c>
      <c r="E1101" s="226">
        <v>26765</v>
      </c>
      <c r="F1101" s="227"/>
      <c r="G1101" s="1" t="str">
        <f>IFERROR(IF(ventas_b_mes12[[#This Row],[CUIT]]="","-",VLOOKUP(ventas_b_mes12[[#This Row],[CUIT]],Lista_CUIT[#All],2,0)),"CUIT NO CARGADO")</f>
        <v>-</v>
      </c>
      <c r="H1101" s="96">
        <f>ventas_b_mes12[[#This Row],[TOTAL]]/1.21</f>
        <v>5530.9173553719011</v>
      </c>
      <c r="I1101" s="60">
        <f>ventas_b_mes12[[#This Row],[IMPORTE NETO]]*0.21</f>
        <v>1161.4926446280992</v>
      </c>
      <c r="J1101" s="229"/>
      <c r="K1101" s="229"/>
      <c r="L1101" s="229">
        <v>6692.41</v>
      </c>
      <c r="M1101" s="55"/>
    </row>
    <row r="1102" spans="2:13" x14ac:dyDescent="0.3">
      <c r="B1102" s="223" t="s">
        <v>2473</v>
      </c>
      <c r="C1102" s="37">
        <v>6</v>
      </c>
      <c r="D1102" s="225">
        <v>10</v>
      </c>
      <c r="E1102" s="226">
        <v>43914</v>
      </c>
      <c r="F1102" s="227"/>
      <c r="G1102" s="1" t="str">
        <f>IFERROR(IF(ventas_b_mes12[[#This Row],[CUIT]]="","-",VLOOKUP(ventas_b_mes12[[#This Row],[CUIT]],Lista_CUIT[#All],2,0)),"CUIT NO CARGADO")</f>
        <v>-</v>
      </c>
      <c r="H1102" s="96">
        <f>ventas_b_mes12[[#This Row],[TOTAL]]/1.21</f>
        <v>3933.8842975206612</v>
      </c>
      <c r="I1102" s="60">
        <f>ventas_b_mes12[[#This Row],[IMPORTE NETO]]*0.21</f>
        <v>826.11570247933878</v>
      </c>
      <c r="J1102" s="229"/>
      <c r="K1102" s="229"/>
      <c r="L1102" s="229">
        <v>4760</v>
      </c>
      <c r="M1102" s="55"/>
    </row>
    <row r="1103" spans="2:13" x14ac:dyDescent="0.3">
      <c r="B1103" s="223" t="s">
        <v>2473</v>
      </c>
      <c r="C1103" s="37">
        <v>6</v>
      </c>
      <c r="D1103" s="225">
        <v>13</v>
      </c>
      <c r="E1103" s="226">
        <v>26760</v>
      </c>
      <c r="F1103" s="227"/>
      <c r="G1103" s="1" t="str">
        <f>IFERROR(IF(ventas_b_mes12[[#This Row],[CUIT]]="","-",VLOOKUP(ventas_b_mes12[[#This Row],[CUIT]],Lista_CUIT[#All],2,0)),"CUIT NO CARGADO")</f>
        <v>-</v>
      </c>
      <c r="H1103" s="96">
        <f>ventas_b_mes12[[#This Row],[TOTAL]]/1.21</f>
        <v>4239.6694214876034</v>
      </c>
      <c r="I1103" s="60">
        <f>ventas_b_mes12[[#This Row],[IMPORTE NETO]]*0.21</f>
        <v>890.33057851239664</v>
      </c>
      <c r="J1103" s="229"/>
      <c r="K1103" s="229"/>
      <c r="L1103" s="229">
        <v>5130</v>
      </c>
      <c r="M1103" s="55"/>
    </row>
    <row r="1104" spans="2:13" x14ac:dyDescent="0.3">
      <c r="B1104" s="223" t="s">
        <v>2473</v>
      </c>
      <c r="C1104" s="37">
        <v>6</v>
      </c>
      <c r="D1104" s="225">
        <v>10</v>
      </c>
      <c r="E1104" s="226">
        <v>43909</v>
      </c>
      <c r="F1104" s="227"/>
      <c r="G1104" s="1" t="str">
        <f>IFERROR(IF(ventas_b_mes12[[#This Row],[CUIT]]="","-",VLOOKUP(ventas_b_mes12[[#This Row],[CUIT]],Lista_CUIT[#All],2,0)),"CUIT NO CARGADO")</f>
        <v>-</v>
      </c>
      <c r="H1104" s="96">
        <f>ventas_b_mes12[[#This Row],[TOTAL]]/1.21</f>
        <v>6669.4214876033056</v>
      </c>
      <c r="I1104" s="60">
        <f>ventas_b_mes12[[#This Row],[IMPORTE NETO]]*0.21</f>
        <v>1400.5785123966941</v>
      </c>
      <c r="J1104" s="229"/>
      <c r="K1104" s="229"/>
      <c r="L1104" s="229">
        <v>8070</v>
      </c>
      <c r="M1104" s="55"/>
    </row>
    <row r="1105" spans="2:13" x14ac:dyDescent="0.3">
      <c r="B1105" s="223" t="s">
        <v>2473</v>
      </c>
      <c r="C1105" s="37">
        <v>6</v>
      </c>
      <c r="D1105" s="225">
        <v>11</v>
      </c>
      <c r="E1105" s="226">
        <v>30086</v>
      </c>
      <c r="F1105" s="227"/>
      <c r="G1105" s="1" t="str">
        <f>IFERROR(IF(ventas_b_mes12[[#This Row],[CUIT]]="","-",VLOOKUP(ventas_b_mes12[[#This Row],[CUIT]],Lista_CUIT[#All],2,0)),"CUIT NO CARGADO")</f>
        <v>-</v>
      </c>
      <c r="H1105" s="96">
        <f>ventas_b_mes12[[#This Row],[TOTAL]]/1.21</f>
        <v>725.45454545454538</v>
      </c>
      <c r="I1105" s="60">
        <f>ventas_b_mes12[[#This Row],[IMPORTE NETO]]*0.21</f>
        <v>152.34545454545452</v>
      </c>
      <c r="J1105" s="229"/>
      <c r="K1105" s="229"/>
      <c r="L1105" s="229">
        <v>877.8</v>
      </c>
      <c r="M1105" s="55"/>
    </row>
    <row r="1106" spans="2:13" x14ac:dyDescent="0.3">
      <c r="B1106" s="223" t="s">
        <v>2473</v>
      </c>
      <c r="C1106" s="37">
        <v>6</v>
      </c>
      <c r="D1106" s="225">
        <v>12</v>
      </c>
      <c r="E1106" s="226">
        <v>22548</v>
      </c>
      <c r="F1106" s="227"/>
      <c r="G1106" s="1" t="str">
        <f>IFERROR(IF(ventas_b_mes12[[#This Row],[CUIT]]="","-",VLOOKUP(ventas_b_mes12[[#This Row],[CUIT]],Lista_CUIT[#All],2,0)),"CUIT NO CARGADO")</f>
        <v>-</v>
      </c>
      <c r="H1106" s="96">
        <f>ventas_b_mes12[[#This Row],[TOTAL]]/1.21</f>
        <v>2148.7603305785124</v>
      </c>
      <c r="I1106" s="60">
        <f>ventas_b_mes12[[#This Row],[IMPORTE NETO]]*0.21</f>
        <v>451.23966942148758</v>
      </c>
      <c r="J1106" s="229"/>
      <c r="K1106" s="229"/>
      <c r="L1106" s="229">
        <v>2600</v>
      </c>
      <c r="M1106" s="55"/>
    </row>
    <row r="1107" spans="2:13" x14ac:dyDescent="0.3">
      <c r="B1107" s="223" t="s">
        <v>2473</v>
      </c>
      <c r="C1107" s="37">
        <v>6</v>
      </c>
      <c r="D1107" s="225">
        <v>15</v>
      </c>
      <c r="E1107" s="226">
        <v>7232</v>
      </c>
      <c r="F1107" s="227"/>
      <c r="G1107" s="1" t="str">
        <f>IFERROR(IF(ventas_b_mes12[[#This Row],[CUIT]]="","-",VLOOKUP(ventas_b_mes12[[#This Row],[CUIT]],Lista_CUIT[#All],2,0)),"CUIT NO CARGADO")</f>
        <v>-</v>
      </c>
      <c r="H1107" s="96">
        <f>ventas_b_mes12[[#This Row],[TOTAL]]/1.21</f>
        <v>4451.2396694214876</v>
      </c>
      <c r="I1107" s="60">
        <f>ventas_b_mes12[[#This Row],[IMPORTE NETO]]*0.21</f>
        <v>934.76033057851237</v>
      </c>
      <c r="J1107" s="229"/>
      <c r="K1107" s="229"/>
      <c r="L1107" s="229">
        <v>5386</v>
      </c>
      <c r="M1107" s="55"/>
    </row>
    <row r="1108" spans="2:13" x14ac:dyDescent="0.3">
      <c r="B1108" s="223" t="s">
        <v>2473</v>
      </c>
      <c r="C1108" s="37">
        <v>6</v>
      </c>
      <c r="D1108" s="225">
        <v>10</v>
      </c>
      <c r="E1108" s="226">
        <v>43894</v>
      </c>
      <c r="F1108" s="227"/>
      <c r="G1108" s="1" t="str">
        <f>IFERROR(IF(ventas_b_mes12[[#This Row],[CUIT]]="","-",VLOOKUP(ventas_b_mes12[[#This Row],[CUIT]],Lista_CUIT[#All],2,0)),"CUIT NO CARGADO")</f>
        <v>-</v>
      </c>
      <c r="H1108" s="96">
        <f>ventas_b_mes12[[#This Row],[TOTAL]]/1.21</f>
        <v>4958.6776859504134</v>
      </c>
      <c r="I1108" s="60">
        <f>ventas_b_mes12[[#This Row],[IMPORTE NETO]]*0.21</f>
        <v>1041.3223140495868</v>
      </c>
      <c r="J1108" s="229"/>
      <c r="K1108" s="229"/>
      <c r="L1108" s="229">
        <v>6000</v>
      </c>
      <c r="M1108" s="55"/>
    </row>
    <row r="1109" spans="2:13" x14ac:dyDescent="0.3">
      <c r="B1109" s="223" t="s">
        <v>2473</v>
      </c>
      <c r="C1109" s="37">
        <v>6</v>
      </c>
      <c r="D1109" s="225">
        <v>15</v>
      </c>
      <c r="E1109" s="226">
        <v>7238</v>
      </c>
      <c r="F1109" s="227"/>
      <c r="G1109" s="1" t="str">
        <f>IFERROR(IF(ventas_b_mes12[[#This Row],[CUIT]]="","-",VLOOKUP(ventas_b_mes12[[#This Row],[CUIT]],Lista_CUIT[#All],2,0)),"CUIT NO CARGADO")</f>
        <v>-</v>
      </c>
      <c r="H1109" s="96">
        <f>ventas_b_mes12[[#This Row],[TOTAL]]/1.21</f>
        <v>1363.6363636363637</v>
      </c>
      <c r="I1109" s="60">
        <f>ventas_b_mes12[[#This Row],[IMPORTE NETO]]*0.21</f>
        <v>286.36363636363637</v>
      </c>
      <c r="J1109" s="229"/>
      <c r="K1109" s="229"/>
      <c r="L1109" s="229">
        <v>1650</v>
      </c>
      <c r="M1109" s="55"/>
    </row>
    <row r="1110" spans="2:13" x14ac:dyDescent="0.3">
      <c r="B1110" s="223" t="s">
        <v>2473</v>
      </c>
      <c r="C1110" s="37">
        <v>6</v>
      </c>
      <c r="D1110" s="225">
        <v>15</v>
      </c>
      <c r="E1110" s="226">
        <v>7229</v>
      </c>
      <c r="F1110" s="227"/>
      <c r="G1110" s="1" t="str">
        <f>IFERROR(IF(ventas_b_mes12[[#This Row],[CUIT]]="","-",VLOOKUP(ventas_b_mes12[[#This Row],[CUIT]],Lista_CUIT[#All],2,0)),"CUIT NO CARGADO")</f>
        <v>-</v>
      </c>
      <c r="H1110" s="96">
        <f>ventas_b_mes12[[#This Row],[TOTAL]]/1.21</f>
        <v>4545.454545454546</v>
      </c>
      <c r="I1110" s="60">
        <f>ventas_b_mes12[[#This Row],[IMPORTE NETO]]*0.21</f>
        <v>954.54545454545462</v>
      </c>
      <c r="J1110" s="229"/>
      <c r="K1110" s="229"/>
      <c r="L1110" s="229">
        <v>5500</v>
      </c>
      <c r="M1110" s="55"/>
    </row>
    <row r="1111" spans="2:13" x14ac:dyDescent="0.3">
      <c r="B1111" s="223" t="s">
        <v>2473</v>
      </c>
      <c r="C1111" s="37">
        <v>6</v>
      </c>
      <c r="D1111" s="225">
        <v>11</v>
      </c>
      <c r="E1111" s="226">
        <v>30097</v>
      </c>
      <c r="F1111" s="227"/>
      <c r="G1111" s="1" t="str">
        <f>IFERROR(IF(ventas_b_mes12[[#This Row],[CUIT]]="","-",VLOOKUP(ventas_b_mes12[[#This Row],[CUIT]],Lista_CUIT[#All],2,0)),"CUIT NO CARGADO")</f>
        <v>-</v>
      </c>
      <c r="H1111" s="96">
        <f>ventas_b_mes12[[#This Row],[TOTAL]]/1.21</f>
        <v>4545.454545454546</v>
      </c>
      <c r="I1111" s="60">
        <f>ventas_b_mes12[[#This Row],[IMPORTE NETO]]*0.21</f>
        <v>954.54545454545462</v>
      </c>
      <c r="J1111" s="229"/>
      <c r="K1111" s="229"/>
      <c r="L1111" s="229">
        <v>5500</v>
      </c>
      <c r="M1111" s="55"/>
    </row>
    <row r="1112" spans="2:13" x14ac:dyDescent="0.3">
      <c r="B1112" s="223" t="s">
        <v>2473</v>
      </c>
      <c r="C1112" s="37">
        <v>6</v>
      </c>
      <c r="D1112" s="225">
        <v>10</v>
      </c>
      <c r="E1112" s="226">
        <v>43901</v>
      </c>
      <c r="F1112" s="227"/>
      <c r="G1112" s="1" t="str">
        <f>IFERROR(IF(ventas_b_mes12[[#This Row],[CUIT]]="","-",VLOOKUP(ventas_b_mes12[[#This Row],[CUIT]],Lista_CUIT[#All],2,0)),"CUIT NO CARGADO")</f>
        <v>-</v>
      </c>
      <c r="H1112" s="96">
        <f>ventas_b_mes12[[#This Row],[TOTAL]]/1.21</f>
        <v>14119.834710743802</v>
      </c>
      <c r="I1112" s="60">
        <f>ventas_b_mes12[[#This Row],[IMPORTE NETO]]*0.21</f>
        <v>2965.1652892561983</v>
      </c>
      <c r="J1112" s="229"/>
      <c r="K1112" s="229"/>
      <c r="L1112" s="229">
        <v>17085</v>
      </c>
      <c r="M1112" s="55"/>
    </row>
    <row r="1113" spans="2:13" x14ac:dyDescent="0.3">
      <c r="B1113" s="223" t="s">
        <v>2473</v>
      </c>
      <c r="C1113" s="37">
        <v>6</v>
      </c>
      <c r="D1113" s="225">
        <v>13</v>
      </c>
      <c r="E1113" s="226">
        <v>26767</v>
      </c>
      <c r="F1113" s="227"/>
      <c r="G1113" s="1" t="str">
        <f>IFERROR(IF(ventas_b_mes12[[#This Row],[CUIT]]="","-",VLOOKUP(ventas_b_mes12[[#This Row],[CUIT]],Lista_CUIT[#All],2,0)),"CUIT NO CARGADO")</f>
        <v>-</v>
      </c>
      <c r="H1113" s="96">
        <f>ventas_b_mes12[[#This Row],[TOTAL]]/1.21</f>
        <v>4256.1900826446281</v>
      </c>
      <c r="I1113" s="60">
        <f>ventas_b_mes12[[#This Row],[IMPORTE NETO]]*0.21</f>
        <v>893.79991735537192</v>
      </c>
      <c r="J1113" s="229"/>
      <c r="K1113" s="229"/>
      <c r="L1113" s="229">
        <v>5149.99</v>
      </c>
      <c r="M1113" s="55"/>
    </row>
    <row r="1114" spans="2:13" x14ac:dyDescent="0.3">
      <c r="B1114" s="223" t="s">
        <v>2473</v>
      </c>
      <c r="C1114" s="37">
        <v>6</v>
      </c>
      <c r="D1114" s="225">
        <v>12</v>
      </c>
      <c r="E1114" s="226">
        <v>22542</v>
      </c>
      <c r="F1114" s="227"/>
      <c r="G1114" s="1" t="str">
        <f>IFERROR(IF(ventas_b_mes12[[#This Row],[CUIT]]="","-",VLOOKUP(ventas_b_mes12[[#This Row],[CUIT]],Lista_CUIT[#All],2,0)),"CUIT NO CARGADO")</f>
        <v>-</v>
      </c>
      <c r="H1114" s="96">
        <f>ventas_b_mes12[[#This Row],[TOTAL]]/1.21</f>
        <v>20074.388429752067</v>
      </c>
      <c r="I1114" s="60">
        <f>ventas_b_mes12[[#This Row],[IMPORTE NETO]]*0.21</f>
        <v>4215.621570247934</v>
      </c>
      <c r="J1114" s="229"/>
      <c r="K1114" s="229"/>
      <c r="L1114" s="229">
        <v>24290.01</v>
      </c>
      <c r="M1114" s="55"/>
    </row>
    <row r="1115" spans="2:13" x14ac:dyDescent="0.3">
      <c r="B1115" s="223" t="s">
        <v>2473</v>
      </c>
      <c r="C1115" s="37">
        <v>6</v>
      </c>
      <c r="D1115" s="225">
        <v>10</v>
      </c>
      <c r="E1115" s="226">
        <v>43908</v>
      </c>
      <c r="F1115" s="227"/>
      <c r="G1115" s="1" t="str">
        <f>IFERROR(IF(ventas_b_mes12[[#This Row],[CUIT]]="","-",VLOOKUP(ventas_b_mes12[[#This Row],[CUIT]],Lista_CUIT[#All],2,0)),"CUIT NO CARGADO")</f>
        <v>-</v>
      </c>
      <c r="H1115" s="96">
        <f>ventas_b_mes12[[#This Row],[TOTAL]]/1.21</f>
        <v>9785.1239669421484</v>
      </c>
      <c r="I1115" s="60">
        <f>ventas_b_mes12[[#This Row],[IMPORTE NETO]]*0.21</f>
        <v>2054.8760330578511</v>
      </c>
      <c r="J1115" s="229"/>
      <c r="K1115" s="229"/>
      <c r="L1115" s="229">
        <v>11840</v>
      </c>
      <c r="M1115" s="55"/>
    </row>
    <row r="1116" spans="2:13" x14ac:dyDescent="0.3">
      <c r="B1116" s="223" t="s">
        <v>2473</v>
      </c>
      <c r="C1116" s="37">
        <v>6</v>
      </c>
      <c r="D1116" s="225">
        <v>15</v>
      </c>
      <c r="E1116" s="226">
        <v>7247</v>
      </c>
      <c r="F1116" s="227"/>
      <c r="G1116" s="1" t="str">
        <f>IFERROR(IF(ventas_b_mes12[[#This Row],[CUIT]]="","-",VLOOKUP(ventas_b_mes12[[#This Row],[CUIT]],Lista_CUIT[#All],2,0)),"CUIT NO CARGADO")</f>
        <v>-</v>
      </c>
      <c r="H1116" s="96">
        <f>ventas_b_mes12[[#This Row],[TOTAL]]/1.21</f>
        <v>1561.9834710743803</v>
      </c>
      <c r="I1116" s="60">
        <f>ventas_b_mes12[[#This Row],[IMPORTE NETO]]*0.21</f>
        <v>328.01652892561987</v>
      </c>
      <c r="J1116" s="229"/>
      <c r="K1116" s="229"/>
      <c r="L1116" s="229">
        <v>1890</v>
      </c>
      <c r="M1116" s="55"/>
    </row>
    <row r="1117" spans="2:13" x14ac:dyDescent="0.3">
      <c r="B1117" s="223" t="s">
        <v>2473</v>
      </c>
      <c r="C1117" s="37">
        <v>6</v>
      </c>
      <c r="D1117" s="225">
        <v>13</v>
      </c>
      <c r="E1117" s="226">
        <v>26771</v>
      </c>
      <c r="F1117" s="227"/>
      <c r="G1117" s="1" t="str">
        <f>IFERROR(IF(ventas_b_mes12[[#This Row],[CUIT]]="","-",VLOOKUP(ventas_b_mes12[[#This Row],[CUIT]],Lista_CUIT[#All],2,0)),"CUIT NO CARGADO")</f>
        <v>-</v>
      </c>
      <c r="H1117" s="96">
        <f>ventas_b_mes12[[#This Row],[TOTAL]]/1.21</f>
        <v>2438.0165289256197</v>
      </c>
      <c r="I1117" s="60">
        <f>ventas_b_mes12[[#This Row],[IMPORTE NETO]]*0.21</f>
        <v>511.98347107438013</v>
      </c>
      <c r="J1117" s="229"/>
      <c r="K1117" s="229"/>
      <c r="L1117" s="229">
        <v>2950</v>
      </c>
      <c r="M1117" s="55"/>
    </row>
    <row r="1118" spans="2:13" x14ac:dyDescent="0.3">
      <c r="B1118" s="223" t="s">
        <v>2473</v>
      </c>
      <c r="C1118" s="37">
        <v>6</v>
      </c>
      <c r="D1118" s="225">
        <v>12</v>
      </c>
      <c r="E1118" s="226">
        <v>22547</v>
      </c>
      <c r="F1118" s="227"/>
      <c r="G1118" s="1" t="str">
        <f>IFERROR(IF(ventas_b_mes12[[#This Row],[CUIT]]="","-",VLOOKUP(ventas_b_mes12[[#This Row],[CUIT]],Lista_CUIT[#All],2,0)),"CUIT NO CARGADO")</f>
        <v>-</v>
      </c>
      <c r="H1118" s="96">
        <f>ventas_b_mes12[[#This Row],[TOTAL]]/1.21</f>
        <v>3477.2727272727275</v>
      </c>
      <c r="I1118" s="60">
        <f>ventas_b_mes12[[#This Row],[IMPORTE NETO]]*0.21</f>
        <v>730.22727272727275</v>
      </c>
      <c r="J1118" s="229"/>
      <c r="K1118" s="229"/>
      <c r="L1118" s="229">
        <v>4207.5</v>
      </c>
      <c r="M1118" s="55"/>
    </row>
    <row r="1119" spans="2:13" x14ac:dyDescent="0.3">
      <c r="B1119" s="223" t="s">
        <v>2473</v>
      </c>
      <c r="C1119" s="37">
        <v>6</v>
      </c>
      <c r="D1119" s="225">
        <v>11</v>
      </c>
      <c r="E1119" s="226">
        <v>30111</v>
      </c>
      <c r="F1119" s="227"/>
      <c r="G1119" s="1" t="str">
        <f>IFERROR(IF(ventas_b_mes12[[#This Row],[CUIT]]="","-",VLOOKUP(ventas_b_mes12[[#This Row],[CUIT]],Lista_CUIT[#All],2,0)),"CUIT NO CARGADO")</f>
        <v>-</v>
      </c>
      <c r="H1119" s="96">
        <f>ventas_b_mes12[[#This Row],[TOTAL]]/1.21</f>
        <v>6619.8347107438021</v>
      </c>
      <c r="I1119" s="60">
        <f>ventas_b_mes12[[#This Row],[IMPORTE NETO]]*0.21</f>
        <v>1390.1652892561983</v>
      </c>
      <c r="J1119" s="229"/>
      <c r="K1119" s="229"/>
      <c r="L1119" s="229">
        <v>8010</v>
      </c>
      <c r="M1119" s="55"/>
    </row>
    <row r="1120" spans="2:13" x14ac:dyDescent="0.3">
      <c r="B1120" s="223" t="s">
        <v>2473</v>
      </c>
      <c r="C1120" s="37">
        <v>6</v>
      </c>
      <c r="D1120" s="225">
        <v>10</v>
      </c>
      <c r="E1120" s="226">
        <v>43898</v>
      </c>
      <c r="F1120" s="227"/>
      <c r="G1120" s="1" t="str">
        <f>IFERROR(IF(ventas_b_mes12[[#This Row],[CUIT]]="","-",VLOOKUP(ventas_b_mes12[[#This Row],[CUIT]],Lista_CUIT[#All],2,0)),"CUIT NO CARGADO")</f>
        <v>-</v>
      </c>
      <c r="H1120" s="96">
        <f>ventas_b_mes12[[#This Row],[TOTAL]]/1.21</f>
        <v>1233.0578512396694</v>
      </c>
      <c r="I1120" s="60">
        <f>ventas_b_mes12[[#This Row],[IMPORTE NETO]]*0.21</f>
        <v>258.94214876033055</v>
      </c>
      <c r="J1120" s="229"/>
      <c r="K1120" s="229"/>
      <c r="L1120" s="229">
        <v>1492</v>
      </c>
      <c r="M1120" s="55"/>
    </row>
    <row r="1121" spans="2:13" x14ac:dyDescent="0.3">
      <c r="B1121" s="223" t="s">
        <v>2473</v>
      </c>
      <c r="C1121" s="37">
        <v>6</v>
      </c>
      <c r="D1121" s="225">
        <v>15</v>
      </c>
      <c r="E1121" s="226">
        <v>7243</v>
      </c>
      <c r="F1121" s="227"/>
      <c r="G1121" s="1" t="str">
        <f>IFERROR(IF(ventas_b_mes12[[#This Row],[CUIT]]="","-",VLOOKUP(ventas_b_mes12[[#This Row],[CUIT]],Lista_CUIT[#All],2,0)),"CUIT NO CARGADO")</f>
        <v>-</v>
      </c>
      <c r="H1121" s="96">
        <f>ventas_b_mes12[[#This Row],[TOTAL]]/1.21</f>
        <v>4537.1900826446281</v>
      </c>
      <c r="I1121" s="60">
        <f>ventas_b_mes12[[#This Row],[IMPORTE NETO]]*0.21</f>
        <v>952.80991735537191</v>
      </c>
      <c r="J1121" s="229"/>
      <c r="K1121" s="229"/>
      <c r="L1121" s="229">
        <v>5490</v>
      </c>
      <c r="M1121" s="55"/>
    </row>
    <row r="1122" spans="2:13" x14ac:dyDescent="0.3">
      <c r="B1122" s="223" t="s">
        <v>2473</v>
      </c>
      <c r="C1122" s="37">
        <v>6</v>
      </c>
      <c r="D1122" s="225">
        <v>13</v>
      </c>
      <c r="E1122" s="226">
        <v>26770</v>
      </c>
      <c r="F1122" s="227"/>
      <c r="G1122" s="1" t="str">
        <f>IFERROR(IF(ventas_b_mes12[[#This Row],[CUIT]]="","-",VLOOKUP(ventas_b_mes12[[#This Row],[CUIT]],Lista_CUIT[#All],2,0)),"CUIT NO CARGADO")</f>
        <v>-</v>
      </c>
      <c r="H1122" s="96">
        <f>ventas_b_mes12[[#This Row],[TOTAL]]/1.21</f>
        <v>1793.3884297520663</v>
      </c>
      <c r="I1122" s="60">
        <f>ventas_b_mes12[[#This Row],[IMPORTE NETO]]*0.21</f>
        <v>376.61157024793391</v>
      </c>
      <c r="J1122" s="229"/>
      <c r="K1122" s="229"/>
      <c r="L1122" s="229">
        <v>2170</v>
      </c>
      <c r="M1122" s="55"/>
    </row>
    <row r="1123" spans="2:13" x14ac:dyDescent="0.3">
      <c r="B1123" s="223" t="s">
        <v>2473</v>
      </c>
      <c r="C1123" s="37">
        <v>6</v>
      </c>
      <c r="D1123" s="225">
        <v>10</v>
      </c>
      <c r="E1123" s="226">
        <v>43905</v>
      </c>
      <c r="F1123" s="227"/>
      <c r="G1123" s="1" t="str">
        <f>IFERROR(IF(ventas_b_mes12[[#This Row],[CUIT]]="","-",VLOOKUP(ventas_b_mes12[[#This Row],[CUIT]],Lista_CUIT[#All],2,0)),"CUIT NO CARGADO")</f>
        <v>-</v>
      </c>
      <c r="H1123" s="96">
        <f>ventas_b_mes12[[#This Row],[TOTAL]]/1.21</f>
        <v>2438.0165289256197</v>
      </c>
      <c r="I1123" s="60">
        <f>ventas_b_mes12[[#This Row],[IMPORTE NETO]]*0.21</f>
        <v>511.98347107438013</v>
      </c>
      <c r="J1123" s="229"/>
      <c r="K1123" s="229"/>
      <c r="L1123" s="229">
        <v>2950</v>
      </c>
      <c r="M1123" s="55"/>
    </row>
    <row r="1124" spans="2:13" x14ac:dyDescent="0.3">
      <c r="B1124" s="223" t="s">
        <v>2473</v>
      </c>
      <c r="C1124" s="37">
        <v>6</v>
      </c>
      <c r="D1124" s="225">
        <v>11</v>
      </c>
      <c r="E1124" s="226">
        <v>30090</v>
      </c>
      <c r="F1124" s="227"/>
      <c r="G1124" s="1" t="str">
        <f>IFERROR(IF(ventas_b_mes12[[#This Row],[CUIT]]="","-",VLOOKUP(ventas_b_mes12[[#This Row],[CUIT]],Lista_CUIT[#All],2,0)),"CUIT NO CARGADO")</f>
        <v>-</v>
      </c>
      <c r="H1124" s="96">
        <f>ventas_b_mes12[[#This Row],[TOTAL]]/1.21</f>
        <v>9462.8099173553728</v>
      </c>
      <c r="I1124" s="60">
        <f>ventas_b_mes12[[#This Row],[IMPORTE NETO]]*0.21</f>
        <v>1987.1900826446283</v>
      </c>
      <c r="J1124" s="229"/>
      <c r="K1124" s="229"/>
      <c r="L1124" s="229">
        <v>11450</v>
      </c>
      <c r="M1124" s="55"/>
    </row>
    <row r="1125" spans="2:13" x14ac:dyDescent="0.3">
      <c r="B1125" s="223" t="s">
        <v>2473</v>
      </c>
      <c r="C1125" s="37">
        <v>6</v>
      </c>
      <c r="D1125" s="225">
        <v>10</v>
      </c>
      <c r="E1125" s="226">
        <v>43879</v>
      </c>
      <c r="F1125" s="227"/>
      <c r="G1125" s="1" t="str">
        <f>IFERROR(IF(ventas_b_mes12[[#This Row],[CUIT]]="","-",VLOOKUP(ventas_b_mes12[[#This Row],[CUIT]],Lista_CUIT[#All],2,0)),"CUIT NO CARGADO")</f>
        <v>-</v>
      </c>
      <c r="H1125" s="96">
        <f>ventas_b_mes12[[#This Row],[TOTAL]]/1.21</f>
        <v>4958.6776859504134</v>
      </c>
      <c r="I1125" s="60">
        <f>ventas_b_mes12[[#This Row],[IMPORTE NETO]]*0.21</f>
        <v>1041.3223140495868</v>
      </c>
      <c r="J1125" s="229"/>
      <c r="K1125" s="229"/>
      <c r="L1125" s="229">
        <v>6000</v>
      </c>
      <c r="M1125" s="55"/>
    </row>
    <row r="1126" spans="2:13" x14ac:dyDescent="0.3">
      <c r="B1126" s="223" t="s">
        <v>2473</v>
      </c>
      <c r="C1126" s="37">
        <v>6</v>
      </c>
      <c r="D1126" s="225">
        <v>15</v>
      </c>
      <c r="E1126" s="226">
        <v>7237</v>
      </c>
      <c r="F1126" s="227"/>
      <c r="G1126" s="1" t="str">
        <f>IFERROR(IF(ventas_b_mes12[[#This Row],[CUIT]]="","-",VLOOKUP(ventas_b_mes12[[#This Row],[CUIT]],Lista_CUIT[#All],2,0)),"CUIT NO CARGADO")</f>
        <v>-</v>
      </c>
      <c r="H1126" s="96">
        <f>ventas_b_mes12[[#This Row],[TOTAL]]/1.21</f>
        <v>4958.6776859504134</v>
      </c>
      <c r="I1126" s="60">
        <f>ventas_b_mes12[[#This Row],[IMPORTE NETO]]*0.21</f>
        <v>1041.3223140495868</v>
      </c>
      <c r="J1126" s="229"/>
      <c r="K1126" s="229"/>
      <c r="L1126" s="229">
        <v>6000</v>
      </c>
      <c r="M1126" s="55"/>
    </row>
    <row r="1127" spans="2:13" x14ac:dyDescent="0.3">
      <c r="B1127" s="223" t="s">
        <v>2473</v>
      </c>
      <c r="C1127" s="37">
        <v>6</v>
      </c>
      <c r="D1127" s="225">
        <v>10</v>
      </c>
      <c r="E1127" s="226">
        <v>43892</v>
      </c>
      <c r="F1127" s="227"/>
      <c r="G1127" s="1" t="str">
        <f>IFERROR(IF(ventas_b_mes12[[#This Row],[CUIT]]="","-",VLOOKUP(ventas_b_mes12[[#This Row],[CUIT]],Lista_CUIT[#All],2,0)),"CUIT NO CARGADO")</f>
        <v>-</v>
      </c>
      <c r="H1127" s="96">
        <f>ventas_b_mes12[[#This Row],[TOTAL]]/1.21</f>
        <v>8696.2809917355371</v>
      </c>
      <c r="I1127" s="60">
        <f>ventas_b_mes12[[#This Row],[IMPORTE NETO]]*0.21</f>
        <v>1826.2190082644627</v>
      </c>
      <c r="J1127" s="229"/>
      <c r="K1127" s="229"/>
      <c r="L1127" s="229">
        <v>10522.5</v>
      </c>
      <c r="M1127" s="55"/>
    </row>
    <row r="1128" spans="2:13" x14ac:dyDescent="0.3">
      <c r="B1128" s="223" t="s">
        <v>2473</v>
      </c>
      <c r="C1128" s="37">
        <v>6</v>
      </c>
      <c r="D1128" s="225">
        <v>10</v>
      </c>
      <c r="E1128" s="226">
        <v>43895</v>
      </c>
      <c r="F1128" s="227"/>
      <c r="G1128" s="1" t="str">
        <f>IFERROR(IF(ventas_b_mes12[[#This Row],[CUIT]]="","-",VLOOKUP(ventas_b_mes12[[#This Row],[CUIT]],Lista_CUIT[#All],2,0)),"CUIT NO CARGADO")</f>
        <v>-</v>
      </c>
      <c r="H1128" s="96">
        <f>ventas_b_mes12[[#This Row],[TOTAL]]/1.21</f>
        <v>1152.8925619834711</v>
      </c>
      <c r="I1128" s="60">
        <f>ventas_b_mes12[[#This Row],[IMPORTE NETO]]*0.21</f>
        <v>242.1074380165289</v>
      </c>
      <c r="J1128" s="229"/>
      <c r="K1128" s="229"/>
      <c r="L1128" s="229">
        <v>1395</v>
      </c>
      <c r="M1128" s="55"/>
    </row>
    <row r="1129" spans="2:13" x14ac:dyDescent="0.3">
      <c r="B1129" s="223" t="s">
        <v>2473</v>
      </c>
      <c r="C1129" s="37">
        <v>6</v>
      </c>
      <c r="D1129" s="225">
        <v>12</v>
      </c>
      <c r="E1129" s="226">
        <v>22537</v>
      </c>
      <c r="F1129" s="227"/>
      <c r="G1129" s="1" t="str">
        <f>IFERROR(IF(ventas_b_mes12[[#This Row],[CUIT]]="","-",VLOOKUP(ventas_b_mes12[[#This Row],[CUIT]],Lista_CUIT[#All],2,0)),"CUIT NO CARGADO")</f>
        <v>-</v>
      </c>
      <c r="H1129" s="96">
        <f>ventas_b_mes12[[#This Row],[TOTAL]]/1.21</f>
        <v>814.04958677685954</v>
      </c>
      <c r="I1129" s="60">
        <f>ventas_b_mes12[[#This Row],[IMPORTE NETO]]*0.21</f>
        <v>170.95041322314049</v>
      </c>
      <c r="J1129" s="229"/>
      <c r="K1129" s="229"/>
      <c r="L1129" s="229">
        <v>985</v>
      </c>
      <c r="M1129" s="55"/>
    </row>
    <row r="1130" spans="2:13" x14ac:dyDescent="0.3">
      <c r="B1130" s="223" t="s">
        <v>2473</v>
      </c>
      <c r="C1130" s="37">
        <v>6</v>
      </c>
      <c r="D1130" s="225">
        <v>10</v>
      </c>
      <c r="E1130" s="226">
        <v>43882</v>
      </c>
      <c r="F1130" s="227"/>
      <c r="G1130" s="1" t="str">
        <f>IFERROR(IF(ventas_b_mes12[[#This Row],[CUIT]]="","-",VLOOKUP(ventas_b_mes12[[#This Row],[CUIT]],Lista_CUIT[#All],2,0)),"CUIT NO CARGADO")</f>
        <v>-</v>
      </c>
      <c r="H1130" s="96">
        <f>ventas_b_mes12[[#This Row],[TOTAL]]/1.21</f>
        <v>16985.933884297519</v>
      </c>
      <c r="I1130" s="60">
        <f>ventas_b_mes12[[#This Row],[IMPORTE NETO]]*0.21</f>
        <v>3567.0461157024788</v>
      </c>
      <c r="J1130" s="229"/>
      <c r="K1130" s="229"/>
      <c r="L1130" s="229">
        <v>20552.98</v>
      </c>
      <c r="M1130" s="55"/>
    </row>
    <row r="1131" spans="2:13" x14ac:dyDescent="0.3">
      <c r="B1131" s="223" t="s">
        <v>2473</v>
      </c>
      <c r="C1131" s="37">
        <v>6</v>
      </c>
      <c r="D1131" s="225">
        <v>10</v>
      </c>
      <c r="E1131" s="226">
        <v>43904</v>
      </c>
      <c r="F1131" s="227"/>
      <c r="G1131" s="1" t="str">
        <f>IFERROR(IF(ventas_b_mes12[[#This Row],[CUIT]]="","-",VLOOKUP(ventas_b_mes12[[#This Row],[CUIT]],Lista_CUIT[#All],2,0)),"CUIT NO CARGADO")</f>
        <v>-</v>
      </c>
      <c r="H1131" s="96">
        <f>ventas_b_mes12[[#This Row],[TOTAL]]/1.21</f>
        <v>1239.6694214876034</v>
      </c>
      <c r="I1131" s="60">
        <f>ventas_b_mes12[[#This Row],[IMPORTE NETO]]*0.21</f>
        <v>260.3305785123967</v>
      </c>
      <c r="J1131" s="229"/>
      <c r="K1131" s="229"/>
      <c r="L1131" s="229">
        <v>1500</v>
      </c>
      <c r="M1131" s="55"/>
    </row>
    <row r="1132" spans="2:13" x14ac:dyDescent="0.3">
      <c r="B1132" s="223" t="s">
        <v>2473</v>
      </c>
      <c r="C1132" s="37">
        <v>6</v>
      </c>
      <c r="D1132" s="225">
        <v>15</v>
      </c>
      <c r="E1132" s="226">
        <v>7242</v>
      </c>
      <c r="F1132" s="227"/>
      <c r="G1132" s="1" t="str">
        <f>IFERROR(IF(ventas_b_mes12[[#This Row],[CUIT]]="","-",VLOOKUP(ventas_b_mes12[[#This Row],[CUIT]],Lista_CUIT[#All],2,0)),"CUIT NO CARGADO")</f>
        <v>-</v>
      </c>
      <c r="H1132" s="96">
        <f>ventas_b_mes12[[#This Row],[TOTAL]]/1.21</f>
        <v>5053.7603305785124</v>
      </c>
      <c r="I1132" s="60">
        <f>ventas_b_mes12[[#This Row],[IMPORTE NETO]]*0.21</f>
        <v>1061.2896694214876</v>
      </c>
      <c r="J1132" s="229"/>
      <c r="K1132" s="229"/>
      <c r="L1132" s="229">
        <v>6115.05</v>
      </c>
      <c r="M1132" s="55"/>
    </row>
    <row r="1133" spans="2:13" x14ac:dyDescent="0.3">
      <c r="B1133" s="223" t="s">
        <v>2473</v>
      </c>
      <c r="C1133" s="37">
        <v>6</v>
      </c>
      <c r="D1133" s="225">
        <v>11</v>
      </c>
      <c r="E1133" s="226">
        <v>30100</v>
      </c>
      <c r="F1133" s="227"/>
      <c r="G1133" s="1" t="str">
        <f>IFERROR(IF(ventas_b_mes12[[#This Row],[CUIT]]="","-",VLOOKUP(ventas_b_mes12[[#This Row],[CUIT]],Lista_CUIT[#All],2,0)),"CUIT NO CARGADO")</f>
        <v>-</v>
      </c>
      <c r="H1133" s="96">
        <f>ventas_b_mes12[[#This Row],[TOTAL]]/1.21</f>
        <v>7603.3057851239673</v>
      </c>
      <c r="I1133" s="60">
        <f>ventas_b_mes12[[#This Row],[IMPORTE NETO]]*0.21</f>
        <v>1596.6942148760331</v>
      </c>
      <c r="J1133" s="229"/>
      <c r="K1133" s="229"/>
      <c r="L1133" s="229">
        <v>9200</v>
      </c>
      <c r="M1133" s="55"/>
    </row>
    <row r="1134" spans="2:13" x14ac:dyDescent="0.3">
      <c r="B1134" s="223" t="s">
        <v>2473</v>
      </c>
      <c r="C1134" s="37">
        <v>6</v>
      </c>
      <c r="D1134" s="225">
        <v>13</v>
      </c>
      <c r="E1134" s="226">
        <v>26764</v>
      </c>
      <c r="F1134" s="227"/>
      <c r="G1134" s="1" t="str">
        <f>IFERROR(IF(ventas_b_mes12[[#This Row],[CUIT]]="","-",VLOOKUP(ventas_b_mes12[[#This Row],[CUIT]],Lista_CUIT[#All],2,0)),"CUIT NO CARGADO")</f>
        <v>-</v>
      </c>
      <c r="H1134" s="96">
        <f>ventas_b_mes12[[#This Row],[TOTAL]]/1.21</f>
        <v>5206.6115702479337</v>
      </c>
      <c r="I1134" s="60">
        <f>ventas_b_mes12[[#This Row],[IMPORTE NETO]]*0.21</f>
        <v>1093.388429752066</v>
      </c>
      <c r="J1134" s="229"/>
      <c r="K1134" s="229"/>
      <c r="L1134" s="229">
        <v>6300</v>
      </c>
      <c r="M1134" s="55"/>
    </row>
    <row r="1135" spans="2:13" x14ac:dyDescent="0.3">
      <c r="B1135" s="223" t="s">
        <v>2473</v>
      </c>
      <c r="C1135" s="37">
        <v>6</v>
      </c>
      <c r="D1135" s="225">
        <v>10</v>
      </c>
      <c r="E1135" s="226">
        <v>43906</v>
      </c>
      <c r="F1135" s="227"/>
      <c r="G1135" s="1" t="str">
        <f>IFERROR(IF(ventas_b_mes12[[#This Row],[CUIT]]="","-",VLOOKUP(ventas_b_mes12[[#This Row],[CUIT]],Lista_CUIT[#All],2,0)),"CUIT NO CARGADO")</f>
        <v>-</v>
      </c>
      <c r="H1135" s="96">
        <f>ventas_b_mes12[[#This Row],[TOTAL]]/1.21</f>
        <v>2066.1157024793388</v>
      </c>
      <c r="I1135" s="60">
        <f>ventas_b_mes12[[#This Row],[IMPORTE NETO]]*0.21</f>
        <v>433.88429752066111</v>
      </c>
      <c r="J1135" s="229"/>
      <c r="K1135" s="229"/>
      <c r="L1135" s="229">
        <v>2500</v>
      </c>
      <c r="M1135" s="55"/>
    </row>
    <row r="1136" spans="2:13" x14ac:dyDescent="0.3">
      <c r="B1136" s="223" t="s">
        <v>2473</v>
      </c>
      <c r="C1136" s="37">
        <v>6</v>
      </c>
      <c r="D1136" s="225">
        <v>10</v>
      </c>
      <c r="E1136" s="226">
        <v>43915</v>
      </c>
      <c r="F1136" s="227"/>
      <c r="G1136" s="1" t="str">
        <f>IFERROR(IF(ventas_b_mes12[[#This Row],[CUIT]]="","-",VLOOKUP(ventas_b_mes12[[#This Row],[CUIT]],Lista_CUIT[#All],2,0)),"CUIT NO CARGADO")</f>
        <v>-</v>
      </c>
      <c r="H1136" s="96">
        <f>ventas_b_mes12[[#This Row],[TOTAL]]/1.21</f>
        <v>6404.9586776859505</v>
      </c>
      <c r="I1136" s="60">
        <f>ventas_b_mes12[[#This Row],[IMPORTE NETO]]*0.21</f>
        <v>1345.0413223140495</v>
      </c>
      <c r="J1136" s="229"/>
      <c r="K1136" s="229"/>
      <c r="L1136" s="229">
        <v>7750</v>
      </c>
      <c r="M1136" s="55"/>
    </row>
    <row r="1137" spans="2:13" x14ac:dyDescent="0.3">
      <c r="B1137" s="223" t="s">
        <v>2473</v>
      </c>
      <c r="C1137" s="37">
        <v>6</v>
      </c>
      <c r="D1137" s="225">
        <v>10</v>
      </c>
      <c r="E1137" s="226">
        <v>43917</v>
      </c>
      <c r="F1137" s="227"/>
      <c r="G1137" s="1" t="str">
        <f>IFERROR(IF(ventas_b_mes12[[#This Row],[CUIT]]="","-",VLOOKUP(ventas_b_mes12[[#This Row],[CUIT]],Lista_CUIT[#All],2,0)),"CUIT NO CARGADO")</f>
        <v>-</v>
      </c>
      <c r="H1137" s="96">
        <f>ventas_b_mes12[[#This Row],[TOTAL]]/1.21</f>
        <v>3458.6859504132235</v>
      </c>
      <c r="I1137" s="60">
        <f>ventas_b_mes12[[#This Row],[IMPORTE NETO]]*0.21</f>
        <v>726.32404958677694</v>
      </c>
      <c r="J1137" s="229"/>
      <c r="K1137" s="229"/>
      <c r="L1137" s="229">
        <v>4185.01</v>
      </c>
      <c r="M1137" s="55"/>
    </row>
    <row r="1138" spans="2:13" x14ac:dyDescent="0.3">
      <c r="B1138" s="223" t="s">
        <v>2473</v>
      </c>
      <c r="C1138" s="37">
        <v>6</v>
      </c>
      <c r="D1138" s="225">
        <v>12</v>
      </c>
      <c r="E1138" s="226">
        <v>22541</v>
      </c>
      <c r="F1138" s="227"/>
      <c r="G1138" s="1" t="str">
        <f>IFERROR(IF(ventas_b_mes12[[#This Row],[CUIT]]="","-",VLOOKUP(ventas_b_mes12[[#This Row],[CUIT]],Lista_CUIT[#All],2,0)),"CUIT NO CARGADO")</f>
        <v>-</v>
      </c>
      <c r="H1138" s="96">
        <f>ventas_b_mes12[[#This Row],[TOTAL]]/1.21</f>
        <v>4545.454545454546</v>
      </c>
      <c r="I1138" s="60">
        <f>ventas_b_mes12[[#This Row],[IMPORTE NETO]]*0.21</f>
        <v>954.54545454545462</v>
      </c>
      <c r="J1138" s="229"/>
      <c r="K1138" s="229"/>
      <c r="L1138" s="229">
        <v>5500</v>
      </c>
      <c r="M1138" s="55"/>
    </row>
    <row r="1139" spans="2:13" x14ac:dyDescent="0.3">
      <c r="B1139" s="223" t="s">
        <v>2473</v>
      </c>
      <c r="C1139" s="37">
        <v>6</v>
      </c>
      <c r="D1139" s="225">
        <v>11</v>
      </c>
      <c r="E1139" s="226">
        <v>30089</v>
      </c>
      <c r="F1139" s="227"/>
      <c r="G1139" s="1" t="str">
        <f>IFERROR(IF(ventas_b_mes12[[#This Row],[CUIT]]="","-",VLOOKUP(ventas_b_mes12[[#This Row],[CUIT]],Lista_CUIT[#All],2,0)),"CUIT NO CARGADO")</f>
        <v>-</v>
      </c>
      <c r="H1139" s="96">
        <f>ventas_b_mes12[[#This Row],[TOTAL]]/1.21</f>
        <v>5520.6611570247933</v>
      </c>
      <c r="I1139" s="60">
        <f>ventas_b_mes12[[#This Row],[IMPORTE NETO]]*0.21</f>
        <v>1159.3388429752065</v>
      </c>
      <c r="J1139" s="229"/>
      <c r="K1139" s="229"/>
      <c r="L1139" s="229">
        <v>6680</v>
      </c>
      <c r="M1139" s="55"/>
    </row>
    <row r="1140" spans="2:13" x14ac:dyDescent="0.3">
      <c r="B1140" s="223" t="s">
        <v>2473</v>
      </c>
      <c r="C1140" s="37">
        <v>6</v>
      </c>
      <c r="D1140" s="225">
        <v>13</v>
      </c>
      <c r="E1140" s="226">
        <v>26773</v>
      </c>
      <c r="F1140" s="227"/>
      <c r="G1140" s="1" t="str">
        <f>IFERROR(IF(ventas_b_mes12[[#This Row],[CUIT]]="","-",VLOOKUP(ventas_b_mes12[[#This Row],[CUIT]],Lista_CUIT[#All],2,0)),"CUIT NO CARGADO")</f>
        <v>-</v>
      </c>
      <c r="H1140" s="96">
        <f>ventas_b_mes12[[#This Row],[TOTAL]]/1.21</f>
        <v>991.73553719008271</v>
      </c>
      <c r="I1140" s="60">
        <f>ventas_b_mes12[[#This Row],[IMPORTE NETO]]*0.21</f>
        <v>208.26446280991735</v>
      </c>
      <c r="J1140" s="229"/>
      <c r="K1140" s="229"/>
      <c r="L1140" s="229">
        <v>1200</v>
      </c>
      <c r="M1140" s="55"/>
    </row>
    <row r="1141" spans="2:13" x14ac:dyDescent="0.3">
      <c r="B1141" s="223" t="s">
        <v>2473</v>
      </c>
      <c r="C1141" s="37">
        <v>6</v>
      </c>
      <c r="D1141" s="225">
        <v>15</v>
      </c>
      <c r="E1141" s="226">
        <v>7246</v>
      </c>
      <c r="F1141" s="227"/>
      <c r="G1141" s="1" t="str">
        <f>IFERROR(IF(ventas_b_mes12[[#This Row],[CUIT]]="","-",VLOOKUP(ventas_b_mes12[[#This Row],[CUIT]],Lista_CUIT[#All],2,0)),"CUIT NO CARGADO")</f>
        <v>-</v>
      </c>
      <c r="H1141" s="96">
        <f>ventas_b_mes12[[#This Row],[TOTAL]]/1.21</f>
        <v>789.25619834710744</v>
      </c>
      <c r="I1141" s="60">
        <f>ventas_b_mes12[[#This Row],[IMPORTE NETO]]*0.21</f>
        <v>165.74380165289256</v>
      </c>
      <c r="J1141" s="229"/>
      <c r="K1141" s="229"/>
      <c r="L1141" s="229">
        <v>955</v>
      </c>
      <c r="M1141" s="55"/>
    </row>
    <row r="1142" spans="2:13" x14ac:dyDescent="0.3">
      <c r="B1142" s="223" t="s">
        <v>2473</v>
      </c>
      <c r="C1142" s="37">
        <v>6</v>
      </c>
      <c r="D1142" s="225">
        <v>11</v>
      </c>
      <c r="E1142" s="226">
        <v>30101</v>
      </c>
      <c r="F1142" s="227"/>
      <c r="G1142" s="1" t="str">
        <f>IFERROR(IF(ventas_b_mes12[[#This Row],[CUIT]]="","-",VLOOKUP(ventas_b_mes12[[#This Row],[CUIT]],Lista_CUIT[#All],2,0)),"CUIT NO CARGADO")</f>
        <v>-</v>
      </c>
      <c r="H1142" s="96">
        <f>ventas_b_mes12[[#This Row],[TOTAL]]/1.21</f>
        <v>2066.1157024793388</v>
      </c>
      <c r="I1142" s="60">
        <f>ventas_b_mes12[[#This Row],[IMPORTE NETO]]*0.21</f>
        <v>433.88429752066111</v>
      </c>
      <c r="J1142" s="229"/>
      <c r="K1142" s="229"/>
      <c r="L1142" s="229">
        <v>2500</v>
      </c>
      <c r="M1142" s="55"/>
    </row>
    <row r="1143" spans="2:13" x14ac:dyDescent="0.3">
      <c r="B1143" s="223" t="s">
        <v>2473</v>
      </c>
      <c r="C1143" s="37">
        <v>6</v>
      </c>
      <c r="D1143" s="225">
        <v>11</v>
      </c>
      <c r="E1143" s="226">
        <v>30094</v>
      </c>
      <c r="F1143" s="227"/>
      <c r="G1143" s="1" t="str">
        <f>IFERROR(IF(ventas_b_mes12[[#This Row],[CUIT]]="","-",VLOOKUP(ventas_b_mes12[[#This Row],[CUIT]],Lista_CUIT[#All],2,0)),"CUIT NO CARGADO")</f>
        <v>-</v>
      </c>
      <c r="H1143" s="96">
        <f>ventas_b_mes12[[#This Row],[TOTAL]]/1.21</f>
        <v>4495.8677685950415</v>
      </c>
      <c r="I1143" s="60">
        <f>ventas_b_mes12[[#This Row],[IMPORTE NETO]]*0.21</f>
        <v>944.1322314049587</v>
      </c>
      <c r="J1143" s="229"/>
      <c r="K1143" s="229"/>
      <c r="L1143" s="229">
        <v>5440</v>
      </c>
      <c r="M1143" s="55"/>
    </row>
    <row r="1144" spans="2:13" x14ac:dyDescent="0.3">
      <c r="B1144" s="223" t="s">
        <v>2473</v>
      </c>
      <c r="C1144" s="37">
        <v>6</v>
      </c>
      <c r="D1144" s="225">
        <v>10</v>
      </c>
      <c r="E1144" s="226">
        <v>43890</v>
      </c>
      <c r="F1144" s="227"/>
      <c r="G1144" s="1" t="str">
        <f>IFERROR(IF(ventas_b_mes12[[#This Row],[CUIT]]="","-",VLOOKUP(ventas_b_mes12[[#This Row],[CUIT]],Lista_CUIT[#All],2,0)),"CUIT NO CARGADO")</f>
        <v>-</v>
      </c>
      <c r="H1144" s="96">
        <f>ventas_b_mes12[[#This Row],[TOTAL]]/1.21</f>
        <v>2880.9917355371904</v>
      </c>
      <c r="I1144" s="60">
        <f>ventas_b_mes12[[#This Row],[IMPORTE NETO]]*0.21</f>
        <v>605.00826446280996</v>
      </c>
      <c r="J1144" s="229"/>
      <c r="K1144" s="229"/>
      <c r="L1144" s="229">
        <v>3486</v>
      </c>
      <c r="M1144" s="55"/>
    </row>
    <row r="1145" spans="2:13" x14ac:dyDescent="0.3">
      <c r="B1145" s="223" t="s">
        <v>2473</v>
      </c>
      <c r="C1145" s="37">
        <v>6</v>
      </c>
      <c r="D1145" s="225">
        <v>15</v>
      </c>
      <c r="E1145" s="226">
        <v>7240</v>
      </c>
      <c r="F1145" s="227"/>
      <c r="G1145" s="1" t="str">
        <f>IFERROR(IF(ventas_b_mes12[[#This Row],[CUIT]]="","-",VLOOKUP(ventas_b_mes12[[#This Row],[CUIT]],Lista_CUIT[#All],2,0)),"CUIT NO CARGADO")</f>
        <v>-</v>
      </c>
      <c r="H1145" s="96">
        <f>ventas_b_mes12[[#This Row],[TOTAL]]/1.21</f>
        <v>1404.9586776859505</v>
      </c>
      <c r="I1145" s="60">
        <f>ventas_b_mes12[[#This Row],[IMPORTE NETO]]*0.21</f>
        <v>295.04132231404958</v>
      </c>
      <c r="J1145" s="229"/>
      <c r="K1145" s="229"/>
      <c r="L1145" s="229">
        <v>1700</v>
      </c>
      <c r="M1145" s="55"/>
    </row>
    <row r="1146" spans="2:13" x14ac:dyDescent="0.3">
      <c r="B1146" s="223" t="s">
        <v>2473</v>
      </c>
      <c r="C1146" s="37">
        <v>6</v>
      </c>
      <c r="D1146" s="225">
        <v>12</v>
      </c>
      <c r="E1146" s="226">
        <v>22538</v>
      </c>
      <c r="F1146" s="227"/>
      <c r="G1146" s="1" t="str">
        <f>IFERROR(IF(ventas_b_mes12[[#This Row],[CUIT]]="","-",VLOOKUP(ventas_b_mes12[[#This Row],[CUIT]],Lista_CUIT[#All],2,0)),"CUIT NO CARGADO")</f>
        <v>-</v>
      </c>
      <c r="H1146" s="96">
        <f>ventas_b_mes12[[#This Row],[TOTAL]]/1.21</f>
        <v>4202.4710743801652</v>
      </c>
      <c r="I1146" s="60">
        <f>ventas_b_mes12[[#This Row],[IMPORTE NETO]]*0.21</f>
        <v>882.5189256198347</v>
      </c>
      <c r="J1146" s="229"/>
      <c r="K1146" s="229"/>
      <c r="L1146" s="229">
        <v>5084.99</v>
      </c>
      <c r="M1146" s="55"/>
    </row>
    <row r="1147" spans="2:13" x14ac:dyDescent="0.3">
      <c r="B1147" s="223" t="s">
        <v>2473</v>
      </c>
      <c r="C1147" s="37">
        <v>6</v>
      </c>
      <c r="D1147" s="225">
        <v>11</v>
      </c>
      <c r="E1147" s="226">
        <v>30099</v>
      </c>
      <c r="F1147" s="227"/>
      <c r="G1147" s="1" t="str">
        <f>IFERROR(IF(ventas_b_mes12[[#This Row],[CUIT]]="","-",VLOOKUP(ventas_b_mes12[[#This Row],[CUIT]],Lista_CUIT[#All],2,0)),"CUIT NO CARGADO")</f>
        <v>-</v>
      </c>
      <c r="H1147" s="96">
        <f>ventas_b_mes12[[#This Row],[TOTAL]]/1.21</f>
        <v>13421.487603305786</v>
      </c>
      <c r="I1147" s="60">
        <f>ventas_b_mes12[[#This Row],[IMPORTE NETO]]*0.21</f>
        <v>2818.5123966942151</v>
      </c>
      <c r="J1147" s="229"/>
      <c r="K1147" s="229"/>
      <c r="L1147" s="229">
        <v>16240</v>
      </c>
      <c r="M1147" s="55"/>
    </row>
    <row r="1148" spans="2:13" x14ac:dyDescent="0.3">
      <c r="B1148" s="223" t="s">
        <v>2473</v>
      </c>
      <c r="C1148" s="37">
        <v>6</v>
      </c>
      <c r="D1148" s="225">
        <v>13</v>
      </c>
      <c r="E1148" s="226">
        <v>26769</v>
      </c>
      <c r="F1148" s="227"/>
      <c r="G1148" s="1" t="str">
        <f>IFERROR(IF(ventas_b_mes12[[#This Row],[CUIT]]="","-",VLOOKUP(ventas_b_mes12[[#This Row],[CUIT]],Lista_CUIT[#All],2,0)),"CUIT NO CARGADO")</f>
        <v>-</v>
      </c>
      <c r="H1148" s="96">
        <f>ventas_b_mes12[[#This Row],[TOTAL]]/1.21</f>
        <v>4495.8677685950415</v>
      </c>
      <c r="I1148" s="60">
        <f>ventas_b_mes12[[#This Row],[IMPORTE NETO]]*0.21</f>
        <v>944.1322314049587</v>
      </c>
      <c r="J1148" s="229"/>
      <c r="K1148" s="229"/>
      <c r="L1148" s="229">
        <v>5440</v>
      </c>
      <c r="M1148" s="55"/>
    </row>
    <row r="1149" spans="2:13" x14ac:dyDescent="0.3">
      <c r="B1149" s="223" t="s">
        <v>2473</v>
      </c>
      <c r="C1149" s="37">
        <v>6</v>
      </c>
      <c r="D1149" s="225">
        <v>11</v>
      </c>
      <c r="E1149" s="226">
        <v>30098</v>
      </c>
      <c r="F1149" s="227"/>
      <c r="G1149" s="1" t="str">
        <f>IFERROR(IF(ventas_b_mes12[[#This Row],[CUIT]]="","-",VLOOKUP(ventas_b_mes12[[#This Row],[CUIT]],Lista_CUIT[#All],2,0)),"CUIT NO CARGADO")</f>
        <v>-</v>
      </c>
      <c r="H1149" s="96">
        <f>ventas_b_mes12[[#This Row],[TOTAL]]/1.21</f>
        <v>9586.7768595041325</v>
      </c>
      <c r="I1149" s="60">
        <f>ventas_b_mes12[[#This Row],[IMPORTE NETO]]*0.21</f>
        <v>2013.2231404958677</v>
      </c>
      <c r="J1149" s="229"/>
      <c r="K1149" s="229"/>
      <c r="L1149" s="229">
        <v>11600</v>
      </c>
      <c r="M1149" s="55"/>
    </row>
    <row r="1150" spans="2:13" x14ac:dyDescent="0.3">
      <c r="B1150" s="223" t="s">
        <v>2473</v>
      </c>
      <c r="C1150" s="37">
        <v>6</v>
      </c>
      <c r="D1150" s="225">
        <v>11</v>
      </c>
      <c r="E1150" s="226">
        <v>30088</v>
      </c>
      <c r="F1150" s="227"/>
      <c r="G1150" s="1" t="str">
        <f>IFERROR(IF(ventas_b_mes12[[#This Row],[CUIT]]="","-",VLOOKUP(ventas_b_mes12[[#This Row],[CUIT]],Lista_CUIT[#All],2,0)),"CUIT NO CARGADO")</f>
        <v>-</v>
      </c>
      <c r="H1150" s="96">
        <f>ventas_b_mes12[[#This Row],[TOTAL]]/1.21</f>
        <v>6479.3388429752067</v>
      </c>
      <c r="I1150" s="60">
        <f>ventas_b_mes12[[#This Row],[IMPORTE NETO]]*0.21</f>
        <v>1360.6611570247933</v>
      </c>
      <c r="J1150" s="229"/>
      <c r="K1150" s="229"/>
      <c r="L1150" s="229">
        <v>7840</v>
      </c>
      <c r="M1150" s="55"/>
    </row>
    <row r="1151" spans="2:13" x14ac:dyDescent="0.3">
      <c r="B1151" s="223" t="s">
        <v>2473</v>
      </c>
      <c r="C1151" s="37">
        <v>6</v>
      </c>
      <c r="D1151" s="225">
        <v>13</v>
      </c>
      <c r="E1151" s="226">
        <v>26763</v>
      </c>
      <c r="F1151" s="227"/>
      <c r="G1151" s="1" t="str">
        <f>IFERROR(IF(ventas_b_mes12[[#This Row],[CUIT]]="","-",VLOOKUP(ventas_b_mes12[[#This Row],[CUIT]],Lista_CUIT[#All],2,0)),"CUIT NO CARGADO")</f>
        <v>-</v>
      </c>
      <c r="H1151" s="96">
        <f>ventas_b_mes12[[#This Row],[TOTAL]]/1.21</f>
        <v>1665.2892561983472</v>
      </c>
      <c r="I1151" s="60">
        <f>ventas_b_mes12[[#This Row],[IMPORTE NETO]]*0.21</f>
        <v>349.71074380165288</v>
      </c>
      <c r="J1151" s="229"/>
      <c r="K1151" s="229"/>
      <c r="L1151" s="229">
        <v>2015</v>
      </c>
      <c r="M1151" s="55"/>
    </row>
    <row r="1152" spans="2:13" x14ac:dyDescent="0.3">
      <c r="B1152" s="223" t="s">
        <v>2473</v>
      </c>
      <c r="C1152" s="37">
        <v>6</v>
      </c>
      <c r="D1152" s="225">
        <v>10</v>
      </c>
      <c r="E1152" s="226">
        <v>43878</v>
      </c>
      <c r="F1152" s="227"/>
      <c r="G1152" s="1" t="str">
        <f>IFERROR(IF(ventas_b_mes12[[#This Row],[CUIT]]="","-",VLOOKUP(ventas_b_mes12[[#This Row],[CUIT]],Lista_CUIT[#All],2,0)),"CUIT NO CARGADO")</f>
        <v>-</v>
      </c>
      <c r="H1152" s="96">
        <f>ventas_b_mes12[[#This Row],[TOTAL]]/1.21</f>
        <v>12675.066115702479</v>
      </c>
      <c r="I1152" s="60">
        <f>ventas_b_mes12[[#This Row],[IMPORTE NETO]]*0.21</f>
        <v>2661.7638842975202</v>
      </c>
      <c r="J1152" s="229"/>
      <c r="K1152" s="229"/>
      <c r="L1152" s="229">
        <v>15336.83</v>
      </c>
      <c r="M1152" s="55"/>
    </row>
    <row r="1153" spans="2:13" x14ac:dyDescent="0.3">
      <c r="B1153" s="223" t="s">
        <v>2473</v>
      </c>
      <c r="C1153" s="37">
        <v>6</v>
      </c>
      <c r="D1153" s="225">
        <v>10</v>
      </c>
      <c r="E1153" s="226">
        <v>43880</v>
      </c>
      <c r="F1153" s="227"/>
      <c r="G1153" s="1" t="str">
        <f>IFERROR(IF(ventas_b_mes12[[#This Row],[CUIT]]="","-",VLOOKUP(ventas_b_mes12[[#This Row],[CUIT]],Lista_CUIT[#All],2,0)),"CUIT NO CARGADO")</f>
        <v>-</v>
      </c>
      <c r="H1153" s="96">
        <f>ventas_b_mes12[[#This Row],[TOTAL]]/1.21</f>
        <v>7005.6115702479347</v>
      </c>
      <c r="I1153" s="60">
        <f>ventas_b_mes12[[#This Row],[IMPORTE NETO]]*0.21</f>
        <v>1471.1784297520662</v>
      </c>
      <c r="J1153" s="229"/>
      <c r="K1153" s="229"/>
      <c r="L1153" s="229">
        <v>8476.7900000000009</v>
      </c>
      <c r="M1153" s="55"/>
    </row>
    <row r="1154" spans="2:13" x14ac:dyDescent="0.3">
      <c r="B1154" s="223" t="s">
        <v>2473</v>
      </c>
      <c r="C1154" s="37">
        <v>6</v>
      </c>
      <c r="D1154" s="225">
        <v>13</v>
      </c>
      <c r="E1154" s="226">
        <v>26772</v>
      </c>
      <c r="F1154" s="227"/>
      <c r="G1154" s="1" t="str">
        <f>IFERROR(IF(ventas_b_mes12[[#This Row],[CUIT]]="","-",VLOOKUP(ventas_b_mes12[[#This Row],[CUIT]],Lista_CUIT[#All],2,0)),"CUIT NO CARGADO")</f>
        <v>-</v>
      </c>
      <c r="H1154" s="96">
        <f>ventas_b_mes12[[#This Row],[TOTAL]]/1.21</f>
        <v>8319.2148760330583</v>
      </c>
      <c r="I1154" s="60">
        <f>ventas_b_mes12[[#This Row],[IMPORTE NETO]]*0.21</f>
        <v>1747.0351239669421</v>
      </c>
      <c r="J1154" s="229"/>
      <c r="K1154" s="229"/>
      <c r="L1154" s="229">
        <v>10066.25</v>
      </c>
      <c r="M1154" s="55"/>
    </row>
    <row r="1155" spans="2:13" x14ac:dyDescent="0.3">
      <c r="B1155" s="223" t="s">
        <v>2473</v>
      </c>
      <c r="C1155" s="37">
        <v>6</v>
      </c>
      <c r="D1155" s="225">
        <v>11</v>
      </c>
      <c r="E1155" s="226">
        <v>30092</v>
      </c>
      <c r="F1155" s="227"/>
      <c r="G1155" s="1" t="str">
        <f>IFERROR(IF(ventas_b_mes12[[#This Row],[CUIT]]="","-",VLOOKUP(ventas_b_mes12[[#This Row],[CUIT]],Lista_CUIT[#All],2,0)),"CUIT NO CARGADO")</f>
        <v>-</v>
      </c>
      <c r="H1155" s="96">
        <f>ventas_b_mes12[[#This Row],[TOTAL]]/1.21</f>
        <v>12731.404958677685</v>
      </c>
      <c r="I1155" s="60">
        <f>ventas_b_mes12[[#This Row],[IMPORTE NETO]]*0.21</f>
        <v>2673.595041322314</v>
      </c>
      <c r="J1155" s="229"/>
      <c r="K1155" s="229"/>
      <c r="L1155" s="229">
        <v>15405</v>
      </c>
      <c r="M1155" s="55"/>
    </row>
    <row r="1156" spans="2:13" x14ac:dyDescent="0.3">
      <c r="B1156" s="223" t="s">
        <v>2473</v>
      </c>
      <c r="C1156" s="37">
        <v>6</v>
      </c>
      <c r="D1156" s="225">
        <v>13</v>
      </c>
      <c r="E1156" s="226">
        <v>26758</v>
      </c>
      <c r="F1156" s="227"/>
      <c r="G1156" s="1" t="str">
        <f>IFERROR(IF(ventas_b_mes12[[#This Row],[CUIT]]="","-",VLOOKUP(ventas_b_mes12[[#This Row],[CUIT]],Lista_CUIT[#All],2,0)),"CUIT NO CARGADO")</f>
        <v>-</v>
      </c>
      <c r="H1156" s="96">
        <f>ventas_b_mes12[[#This Row],[TOTAL]]/1.21</f>
        <v>3471.0743801652893</v>
      </c>
      <c r="I1156" s="60">
        <f>ventas_b_mes12[[#This Row],[IMPORTE NETO]]*0.21</f>
        <v>728.92561983471069</v>
      </c>
      <c r="J1156" s="229"/>
      <c r="K1156" s="229"/>
      <c r="L1156" s="229">
        <v>4200</v>
      </c>
      <c r="M1156" s="55"/>
    </row>
    <row r="1157" spans="2:13" x14ac:dyDescent="0.3">
      <c r="B1157" s="223" t="s">
        <v>2473</v>
      </c>
      <c r="C1157" s="37">
        <v>6</v>
      </c>
      <c r="D1157" s="225">
        <v>15</v>
      </c>
      <c r="E1157" s="226">
        <v>7239</v>
      </c>
      <c r="F1157" s="227"/>
      <c r="G1157" s="1" t="str">
        <f>IFERROR(IF(ventas_b_mes12[[#This Row],[CUIT]]="","-",VLOOKUP(ventas_b_mes12[[#This Row],[CUIT]],Lista_CUIT[#All],2,0)),"CUIT NO CARGADO")</f>
        <v>-</v>
      </c>
      <c r="H1157" s="96">
        <f>ventas_b_mes12[[#This Row],[TOTAL]]/1.21</f>
        <v>4801.6528925619832</v>
      </c>
      <c r="I1157" s="60">
        <f>ventas_b_mes12[[#This Row],[IMPORTE NETO]]*0.21</f>
        <v>1008.3471074380165</v>
      </c>
      <c r="J1157" s="229"/>
      <c r="K1157" s="229"/>
      <c r="L1157" s="229">
        <v>5810</v>
      </c>
      <c r="M1157" s="55"/>
    </row>
    <row r="1158" spans="2:13" x14ac:dyDescent="0.3">
      <c r="B1158" s="223" t="s">
        <v>2473</v>
      </c>
      <c r="C1158" s="37">
        <v>6</v>
      </c>
      <c r="D1158" s="225">
        <v>11</v>
      </c>
      <c r="E1158" s="226">
        <v>30103</v>
      </c>
      <c r="F1158" s="227"/>
      <c r="G1158" s="1" t="str">
        <f>IFERROR(IF(ventas_b_mes12[[#This Row],[CUIT]]="","-",VLOOKUP(ventas_b_mes12[[#This Row],[CUIT]],Lista_CUIT[#All],2,0)),"CUIT NO CARGADO")</f>
        <v>-</v>
      </c>
      <c r="H1158" s="96">
        <f>ventas_b_mes12[[#This Row],[TOTAL]]/1.21</f>
        <v>1628.0991735537191</v>
      </c>
      <c r="I1158" s="60">
        <f>ventas_b_mes12[[#This Row],[IMPORTE NETO]]*0.21</f>
        <v>341.90082644628097</v>
      </c>
      <c r="J1158" s="229"/>
      <c r="K1158" s="229"/>
      <c r="L1158" s="229">
        <v>1970</v>
      </c>
      <c r="M1158" s="55"/>
    </row>
    <row r="1159" spans="2:13" x14ac:dyDescent="0.3">
      <c r="B1159" s="223" t="s">
        <v>2473</v>
      </c>
      <c r="C1159" s="37">
        <v>6</v>
      </c>
      <c r="D1159" s="225">
        <v>15</v>
      </c>
      <c r="E1159" s="226">
        <v>7234</v>
      </c>
      <c r="F1159" s="227"/>
      <c r="G1159" s="1" t="str">
        <f>IFERROR(IF(ventas_b_mes12[[#This Row],[CUIT]]="","-",VLOOKUP(ventas_b_mes12[[#This Row],[CUIT]],Lista_CUIT[#All],2,0)),"CUIT NO CARGADO")</f>
        <v>-</v>
      </c>
      <c r="H1159" s="96">
        <f>ventas_b_mes12[[#This Row],[TOTAL]]/1.21</f>
        <v>966.94214876033061</v>
      </c>
      <c r="I1159" s="60">
        <f>ventas_b_mes12[[#This Row],[IMPORTE NETO]]*0.21</f>
        <v>203.05785123966942</v>
      </c>
      <c r="J1159" s="229"/>
      <c r="K1159" s="229"/>
      <c r="L1159" s="229">
        <v>1170</v>
      </c>
      <c r="M1159" s="55"/>
    </row>
    <row r="1160" spans="2:13" x14ac:dyDescent="0.3">
      <c r="B1160" s="223" t="s">
        <v>2473</v>
      </c>
      <c r="C1160" s="37">
        <v>6</v>
      </c>
      <c r="D1160" s="225">
        <v>11</v>
      </c>
      <c r="E1160" s="226">
        <v>30095</v>
      </c>
      <c r="F1160" s="227"/>
      <c r="G1160" s="1" t="str">
        <f>IFERROR(IF(ventas_b_mes12[[#This Row],[CUIT]]="","-",VLOOKUP(ventas_b_mes12[[#This Row],[CUIT]],Lista_CUIT[#All],2,0)),"CUIT NO CARGADO")</f>
        <v>-</v>
      </c>
      <c r="H1160" s="96">
        <f>ventas_b_mes12[[#This Row],[TOTAL]]/1.21</f>
        <v>1913.2231404958679</v>
      </c>
      <c r="I1160" s="60">
        <f>ventas_b_mes12[[#This Row],[IMPORTE NETO]]*0.21</f>
        <v>401.77685950413223</v>
      </c>
      <c r="J1160" s="229"/>
      <c r="K1160" s="229"/>
      <c r="L1160" s="229">
        <v>2315</v>
      </c>
      <c r="M1160" s="55"/>
    </row>
    <row r="1161" spans="2:13" x14ac:dyDescent="0.3">
      <c r="B1161" s="223" t="s">
        <v>2473</v>
      </c>
      <c r="C1161" s="37">
        <v>6</v>
      </c>
      <c r="D1161" s="225">
        <v>10</v>
      </c>
      <c r="E1161" s="226">
        <v>43897</v>
      </c>
      <c r="F1161" s="227"/>
      <c r="G1161" s="1" t="str">
        <f>IFERROR(IF(ventas_b_mes12[[#This Row],[CUIT]]="","-",VLOOKUP(ventas_b_mes12[[#This Row],[CUIT]],Lista_CUIT[#All],2,0)),"CUIT NO CARGADO")</f>
        <v>-</v>
      </c>
      <c r="H1161" s="96">
        <f>ventas_b_mes12[[#This Row],[TOTAL]]/1.21</f>
        <v>11702.479338842975</v>
      </c>
      <c r="I1161" s="60">
        <f>ventas_b_mes12[[#This Row],[IMPORTE NETO]]*0.21</f>
        <v>2457.5206611570247</v>
      </c>
      <c r="J1161" s="229"/>
      <c r="K1161" s="229"/>
      <c r="L1161" s="229">
        <v>14160</v>
      </c>
      <c r="M1161" s="55"/>
    </row>
    <row r="1162" spans="2:13" x14ac:dyDescent="0.3">
      <c r="B1162" s="223" t="s">
        <v>2473</v>
      </c>
      <c r="C1162" s="37">
        <v>6</v>
      </c>
      <c r="D1162" s="225">
        <v>12</v>
      </c>
      <c r="E1162" s="226">
        <v>22540</v>
      </c>
      <c r="F1162" s="227"/>
      <c r="G1162" s="1" t="str">
        <f>IFERROR(IF(ventas_b_mes12[[#This Row],[CUIT]]="","-",VLOOKUP(ventas_b_mes12[[#This Row],[CUIT]],Lista_CUIT[#All],2,0)),"CUIT NO CARGADO")</f>
        <v>-</v>
      </c>
      <c r="H1162" s="96">
        <f>ventas_b_mes12[[#This Row],[TOTAL]]/1.21</f>
        <v>3404.9586776859505</v>
      </c>
      <c r="I1162" s="60">
        <f>ventas_b_mes12[[#This Row],[IMPORTE NETO]]*0.21</f>
        <v>715.04132231404958</v>
      </c>
      <c r="J1162" s="229"/>
      <c r="K1162" s="229"/>
      <c r="L1162" s="229">
        <v>4120</v>
      </c>
      <c r="M1162" s="55"/>
    </row>
    <row r="1163" spans="2:13" x14ac:dyDescent="0.3">
      <c r="B1163" s="223" t="s">
        <v>2473</v>
      </c>
      <c r="C1163" s="37">
        <v>6</v>
      </c>
      <c r="D1163" s="225">
        <v>11</v>
      </c>
      <c r="E1163" s="226">
        <v>30096</v>
      </c>
      <c r="F1163" s="227"/>
      <c r="G1163" s="1" t="str">
        <f>IFERROR(IF(ventas_b_mes12[[#This Row],[CUIT]]="","-",VLOOKUP(ventas_b_mes12[[#This Row],[CUIT]],Lista_CUIT[#All],2,0)),"CUIT NO CARGADO")</f>
        <v>-</v>
      </c>
      <c r="H1163" s="96">
        <f>ventas_b_mes12[[#This Row],[TOTAL]]/1.21</f>
        <v>22793.388429752067</v>
      </c>
      <c r="I1163" s="60">
        <f>ventas_b_mes12[[#This Row],[IMPORTE NETO]]*0.21</f>
        <v>4786.6115702479337</v>
      </c>
      <c r="J1163" s="229"/>
      <c r="K1163" s="229"/>
      <c r="L1163" s="229">
        <v>27580</v>
      </c>
      <c r="M1163" s="55"/>
    </row>
    <row r="1164" spans="2:13" x14ac:dyDescent="0.3">
      <c r="B1164" s="223" t="s">
        <v>2473</v>
      </c>
      <c r="C1164" s="37">
        <v>6</v>
      </c>
      <c r="D1164" s="225">
        <v>15</v>
      </c>
      <c r="E1164" s="226">
        <v>7245</v>
      </c>
      <c r="F1164" s="227"/>
      <c r="G1164" s="1" t="str">
        <f>IFERROR(IF(ventas_b_mes12[[#This Row],[CUIT]]="","-",VLOOKUP(ventas_b_mes12[[#This Row],[CUIT]],Lista_CUIT[#All],2,0)),"CUIT NO CARGADO")</f>
        <v>-</v>
      </c>
      <c r="H1164" s="96">
        <f>ventas_b_mes12[[#This Row],[TOTAL]]/1.21</f>
        <v>4545.454545454546</v>
      </c>
      <c r="I1164" s="60">
        <f>ventas_b_mes12[[#This Row],[IMPORTE NETO]]*0.21</f>
        <v>954.54545454545462</v>
      </c>
      <c r="J1164" s="229"/>
      <c r="K1164" s="229"/>
      <c r="L1164" s="229">
        <v>5500</v>
      </c>
      <c r="M1164" s="55"/>
    </row>
    <row r="1165" spans="2:13" x14ac:dyDescent="0.3">
      <c r="B1165" s="223" t="s">
        <v>2473</v>
      </c>
      <c r="C1165" s="37">
        <v>6</v>
      </c>
      <c r="D1165" s="225">
        <v>12</v>
      </c>
      <c r="E1165" s="226">
        <v>22543</v>
      </c>
      <c r="F1165" s="227"/>
      <c r="G1165" s="1" t="str">
        <f>IFERROR(IF(ventas_b_mes12[[#This Row],[CUIT]]="","-",VLOOKUP(ventas_b_mes12[[#This Row],[CUIT]],Lista_CUIT[#All],2,0)),"CUIT NO CARGADO")</f>
        <v>-</v>
      </c>
      <c r="H1165" s="96">
        <f>ventas_b_mes12[[#This Row],[TOTAL]]/1.21</f>
        <v>4958.6776859504134</v>
      </c>
      <c r="I1165" s="60">
        <f>ventas_b_mes12[[#This Row],[IMPORTE NETO]]*0.21</f>
        <v>1041.3223140495868</v>
      </c>
      <c r="J1165" s="229"/>
      <c r="K1165" s="229"/>
      <c r="L1165" s="229">
        <v>6000</v>
      </c>
      <c r="M1165" s="55"/>
    </row>
    <row r="1166" spans="2:13" x14ac:dyDescent="0.3">
      <c r="B1166" s="223" t="s">
        <v>2473</v>
      </c>
      <c r="C1166" s="37">
        <v>6</v>
      </c>
      <c r="D1166" s="225">
        <v>10</v>
      </c>
      <c r="E1166" s="226">
        <v>43910</v>
      </c>
      <c r="F1166" s="227"/>
      <c r="G1166" s="1" t="str">
        <f>IFERROR(IF(ventas_b_mes12[[#This Row],[CUIT]]="","-",VLOOKUP(ventas_b_mes12[[#This Row],[CUIT]],Lista_CUIT[#All],2,0)),"CUIT NO CARGADO")</f>
        <v>-</v>
      </c>
      <c r="H1166" s="96">
        <f>ventas_b_mes12[[#This Row],[TOTAL]]/1.21</f>
        <v>1446.2809917355373</v>
      </c>
      <c r="I1166" s="60">
        <f>ventas_b_mes12[[#This Row],[IMPORTE NETO]]*0.21</f>
        <v>303.71900826446284</v>
      </c>
      <c r="J1166" s="229"/>
      <c r="K1166" s="229"/>
      <c r="L1166" s="229">
        <v>1750</v>
      </c>
      <c r="M1166" s="55"/>
    </row>
    <row r="1167" spans="2:13" x14ac:dyDescent="0.3">
      <c r="B1167" s="223" t="s">
        <v>2473</v>
      </c>
      <c r="C1167" s="37">
        <v>6</v>
      </c>
      <c r="D1167" s="225">
        <v>13</v>
      </c>
      <c r="E1167" s="226">
        <v>26757</v>
      </c>
      <c r="F1167" s="227"/>
      <c r="G1167" s="1" t="str">
        <f>IFERROR(IF(ventas_b_mes12[[#This Row],[CUIT]]="","-",VLOOKUP(ventas_b_mes12[[#This Row],[CUIT]],Lista_CUIT[#All],2,0)),"CUIT NO CARGADO")</f>
        <v>-</v>
      </c>
      <c r="H1167" s="96">
        <f>ventas_b_mes12[[#This Row],[TOTAL]]/1.21</f>
        <v>20231.404958677685</v>
      </c>
      <c r="I1167" s="60">
        <f>ventas_b_mes12[[#This Row],[IMPORTE NETO]]*0.21</f>
        <v>4248.5950413223136</v>
      </c>
      <c r="J1167" s="229"/>
      <c r="K1167" s="229"/>
      <c r="L1167" s="229">
        <v>24480</v>
      </c>
      <c r="M1167" s="55"/>
    </row>
    <row r="1168" spans="2:13" x14ac:dyDescent="0.3">
      <c r="B1168" s="223" t="s">
        <v>2473</v>
      </c>
      <c r="C1168" s="37">
        <v>6</v>
      </c>
      <c r="D1168" s="225">
        <v>10</v>
      </c>
      <c r="E1168" s="226">
        <v>43881</v>
      </c>
      <c r="F1168" s="227"/>
      <c r="G1168" s="1" t="str">
        <f>IFERROR(IF(ventas_b_mes12[[#This Row],[CUIT]]="","-",VLOOKUP(ventas_b_mes12[[#This Row],[CUIT]],Lista_CUIT[#All],2,0)),"CUIT NO CARGADO")</f>
        <v>-</v>
      </c>
      <c r="H1168" s="96">
        <f>ventas_b_mes12[[#This Row],[TOTAL]]/1.21</f>
        <v>7653.5702479338843</v>
      </c>
      <c r="I1168" s="60">
        <f>ventas_b_mes12[[#This Row],[IMPORTE NETO]]*0.21</f>
        <v>1607.2497520661157</v>
      </c>
      <c r="J1168" s="229"/>
      <c r="K1168" s="229"/>
      <c r="L1168" s="229">
        <v>9260.82</v>
      </c>
      <c r="M1168" s="55"/>
    </row>
    <row r="1169" spans="2:13" x14ac:dyDescent="0.3">
      <c r="B1169" s="223" t="s">
        <v>2473</v>
      </c>
      <c r="C1169" s="37">
        <v>6</v>
      </c>
      <c r="D1169" s="225">
        <v>13</v>
      </c>
      <c r="E1169" s="226">
        <v>26761</v>
      </c>
      <c r="F1169" s="227"/>
      <c r="G1169" s="1" t="str">
        <f>IFERROR(IF(ventas_b_mes12[[#This Row],[CUIT]]="","-",VLOOKUP(ventas_b_mes12[[#This Row],[CUIT]],Lista_CUIT[#All],2,0)),"CUIT NO CARGADO")</f>
        <v>-</v>
      </c>
      <c r="H1169" s="96">
        <f>ventas_b_mes12[[#This Row],[TOTAL]]/1.21</f>
        <v>2809.9173553719011</v>
      </c>
      <c r="I1169" s="60">
        <f>ventas_b_mes12[[#This Row],[IMPORTE NETO]]*0.21</f>
        <v>590.08264462809916</v>
      </c>
      <c r="J1169" s="229"/>
      <c r="K1169" s="229"/>
      <c r="L1169" s="229">
        <v>3400</v>
      </c>
      <c r="M1169" s="55"/>
    </row>
    <row r="1170" spans="2:13" x14ac:dyDescent="0.3">
      <c r="B1170" s="223" t="s">
        <v>2473</v>
      </c>
      <c r="C1170" s="37">
        <v>6</v>
      </c>
      <c r="D1170" s="225">
        <v>11</v>
      </c>
      <c r="E1170" s="226">
        <v>30110</v>
      </c>
      <c r="F1170" s="227"/>
      <c r="G1170" s="1" t="str">
        <f>IFERROR(IF(ventas_b_mes12[[#This Row],[CUIT]]="","-",VLOOKUP(ventas_b_mes12[[#This Row],[CUIT]],Lista_CUIT[#All],2,0)),"CUIT NO CARGADO")</f>
        <v>-</v>
      </c>
      <c r="H1170" s="96">
        <f>ventas_b_mes12[[#This Row],[TOTAL]]/1.21</f>
        <v>1756.1983471074382</v>
      </c>
      <c r="I1170" s="60">
        <f>ventas_b_mes12[[#This Row],[IMPORTE NETO]]*0.21</f>
        <v>368.801652892562</v>
      </c>
      <c r="J1170" s="229"/>
      <c r="K1170" s="229"/>
      <c r="L1170" s="229">
        <v>2125</v>
      </c>
      <c r="M1170" s="55"/>
    </row>
    <row r="1171" spans="2:13" x14ac:dyDescent="0.3">
      <c r="B1171" s="223" t="s">
        <v>2473</v>
      </c>
      <c r="C1171" s="37">
        <v>6</v>
      </c>
      <c r="D1171" s="225">
        <v>10</v>
      </c>
      <c r="E1171" s="226">
        <v>43896</v>
      </c>
      <c r="F1171" s="227"/>
      <c r="G1171" s="1" t="str">
        <f>IFERROR(IF(ventas_b_mes12[[#This Row],[CUIT]]="","-",VLOOKUP(ventas_b_mes12[[#This Row],[CUIT]],Lista_CUIT[#All],2,0)),"CUIT NO CARGADO")</f>
        <v>-</v>
      </c>
      <c r="H1171" s="96">
        <f>ventas_b_mes12[[#This Row],[TOTAL]]/1.21</f>
        <v>17289.25619834711</v>
      </c>
      <c r="I1171" s="60">
        <f>ventas_b_mes12[[#This Row],[IMPORTE NETO]]*0.21</f>
        <v>3630.7438016528927</v>
      </c>
      <c r="J1171" s="229"/>
      <c r="K1171" s="229"/>
      <c r="L1171" s="229">
        <v>20920</v>
      </c>
      <c r="M1171" s="55"/>
    </row>
    <row r="1172" spans="2:13" x14ac:dyDescent="0.3">
      <c r="B1172" s="223" t="s">
        <v>2473</v>
      </c>
      <c r="C1172" s="37">
        <v>6</v>
      </c>
      <c r="D1172" s="225">
        <v>10</v>
      </c>
      <c r="E1172" s="226">
        <v>43884</v>
      </c>
      <c r="F1172" s="227"/>
      <c r="G1172" s="1" t="str">
        <f>IFERROR(IF(ventas_b_mes12[[#This Row],[CUIT]]="","-",VLOOKUP(ventas_b_mes12[[#This Row],[CUIT]],Lista_CUIT[#All],2,0)),"CUIT NO CARGADO")</f>
        <v>-</v>
      </c>
      <c r="H1172" s="96">
        <f>ventas_b_mes12[[#This Row],[TOTAL]]/1.21</f>
        <v>4288</v>
      </c>
      <c r="I1172" s="60">
        <f>ventas_b_mes12[[#This Row],[IMPORTE NETO]]*0.21</f>
        <v>900.48</v>
      </c>
      <c r="J1172" s="229"/>
      <c r="K1172" s="229"/>
      <c r="L1172" s="229">
        <v>5188.4799999999996</v>
      </c>
      <c r="M1172" s="55"/>
    </row>
    <row r="1173" spans="2:13" x14ac:dyDescent="0.3">
      <c r="B1173" s="223" t="s">
        <v>2473</v>
      </c>
      <c r="C1173" s="37">
        <v>6</v>
      </c>
      <c r="D1173" s="225">
        <v>15</v>
      </c>
      <c r="E1173" s="226">
        <v>7241</v>
      </c>
      <c r="F1173" s="227"/>
      <c r="G1173" s="1" t="str">
        <f>IFERROR(IF(ventas_b_mes12[[#This Row],[CUIT]]="","-",VLOOKUP(ventas_b_mes12[[#This Row],[CUIT]],Lista_CUIT[#All],2,0)),"CUIT NO CARGADO")</f>
        <v>-</v>
      </c>
      <c r="H1173" s="96">
        <f>ventas_b_mes12[[#This Row],[TOTAL]]/1.21</f>
        <v>4545.454545454546</v>
      </c>
      <c r="I1173" s="60">
        <f>ventas_b_mes12[[#This Row],[IMPORTE NETO]]*0.21</f>
        <v>954.54545454545462</v>
      </c>
      <c r="J1173" s="229"/>
      <c r="K1173" s="229"/>
      <c r="L1173" s="229">
        <v>5500</v>
      </c>
      <c r="M1173" s="55"/>
    </row>
    <row r="1174" spans="2:13" x14ac:dyDescent="0.3">
      <c r="B1174" s="223" t="s">
        <v>2473</v>
      </c>
      <c r="C1174" s="37">
        <v>6</v>
      </c>
      <c r="D1174" s="225">
        <v>10</v>
      </c>
      <c r="E1174" s="226">
        <v>43883</v>
      </c>
      <c r="F1174" s="227"/>
      <c r="G1174" s="1" t="str">
        <f>IFERROR(IF(ventas_b_mes12[[#This Row],[CUIT]]="","-",VLOOKUP(ventas_b_mes12[[#This Row],[CUIT]],Lista_CUIT[#All],2,0)),"CUIT NO CARGADO")</f>
        <v>-</v>
      </c>
      <c r="H1174" s="96">
        <f>ventas_b_mes12[[#This Row],[TOTAL]]/1.21</f>
        <v>48407.917355371901</v>
      </c>
      <c r="I1174" s="60">
        <f>ventas_b_mes12[[#This Row],[IMPORTE NETO]]*0.21</f>
        <v>10165.662644628099</v>
      </c>
      <c r="J1174" s="229"/>
      <c r="K1174" s="229"/>
      <c r="L1174" s="229">
        <v>58573.58</v>
      </c>
      <c r="M1174" s="55"/>
    </row>
    <row r="1175" spans="2:13" x14ac:dyDescent="0.3">
      <c r="B1175" s="223" t="s">
        <v>2473</v>
      </c>
      <c r="C1175" s="37">
        <v>6</v>
      </c>
      <c r="D1175" s="225">
        <v>10</v>
      </c>
      <c r="E1175" s="226">
        <v>43907</v>
      </c>
      <c r="F1175" s="227"/>
      <c r="G1175" s="1" t="str">
        <f>IFERROR(IF(ventas_b_mes12[[#This Row],[CUIT]]="","-",VLOOKUP(ventas_b_mes12[[#This Row],[CUIT]],Lista_CUIT[#All],2,0)),"CUIT NO CARGADO")</f>
        <v>-</v>
      </c>
      <c r="H1175" s="96">
        <f>ventas_b_mes12[[#This Row],[TOTAL]]/1.21</f>
        <v>4958.6776859504134</v>
      </c>
      <c r="I1175" s="60">
        <f>ventas_b_mes12[[#This Row],[IMPORTE NETO]]*0.21</f>
        <v>1041.3223140495868</v>
      </c>
      <c r="J1175" s="229"/>
      <c r="K1175" s="229"/>
      <c r="L1175" s="229">
        <v>6000</v>
      </c>
      <c r="M1175" s="55"/>
    </row>
    <row r="1176" spans="2:13" x14ac:dyDescent="0.3">
      <c r="B1176" s="223" t="s">
        <v>2473</v>
      </c>
      <c r="C1176" s="37">
        <v>6</v>
      </c>
      <c r="D1176" s="225">
        <v>10</v>
      </c>
      <c r="E1176" s="226">
        <v>43891</v>
      </c>
      <c r="F1176" s="227"/>
      <c r="G1176" s="1" t="str">
        <f>IFERROR(IF(ventas_b_mes12[[#This Row],[CUIT]]="","-",VLOOKUP(ventas_b_mes12[[#This Row],[CUIT]],Lista_CUIT[#All],2,0)),"CUIT NO CARGADO")</f>
        <v>-</v>
      </c>
      <c r="H1176" s="96">
        <f>ventas_b_mes12[[#This Row],[TOTAL]]/1.21</f>
        <v>21580.173553719007</v>
      </c>
      <c r="I1176" s="60">
        <f>ventas_b_mes12[[#This Row],[IMPORTE NETO]]*0.21</f>
        <v>4531.8364462809914</v>
      </c>
      <c r="J1176" s="229"/>
      <c r="K1176" s="229"/>
      <c r="L1176" s="229">
        <v>26112.01</v>
      </c>
      <c r="M1176" s="55"/>
    </row>
    <row r="1177" spans="2:13" x14ac:dyDescent="0.3">
      <c r="B1177" s="223" t="s">
        <v>2473</v>
      </c>
      <c r="C1177" s="37">
        <v>6</v>
      </c>
      <c r="D1177" s="225">
        <v>13</v>
      </c>
      <c r="E1177" s="226">
        <v>26755</v>
      </c>
      <c r="F1177" s="227"/>
      <c r="G1177" s="1" t="str">
        <f>IFERROR(IF(ventas_b_mes12[[#This Row],[CUIT]]="","-",VLOOKUP(ventas_b_mes12[[#This Row],[CUIT]],Lista_CUIT[#All],2,0)),"CUIT NO CARGADO")</f>
        <v>-</v>
      </c>
      <c r="H1177" s="96">
        <f>ventas_b_mes12[[#This Row],[TOTAL]]/1.21</f>
        <v>2066.1157024793388</v>
      </c>
      <c r="I1177" s="60">
        <f>ventas_b_mes12[[#This Row],[IMPORTE NETO]]*0.21</f>
        <v>433.88429752066111</v>
      </c>
      <c r="J1177" s="229"/>
      <c r="K1177" s="229"/>
      <c r="L1177" s="229">
        <v>2500</v>
      </c>
      <c r="M1177" s="55"/>
    </row>
    <row r="1178" spans="2:13" x14ac:dyDescent="0.3">
      <c r="B1178" s="223" t="s">
        <v>2473</v>
      </c>
      <c r="C1178" s="37">
        <v>6</v>
      </c>
      <c r="D1178" s="225">
        <v>11</v>
      </c>
      <c r="E1178" s="226">
        <v>30087</v>
      </c>
      <c r="F1178" s="227"/>
      <c r="G1178" s="1" t="str">
        <f>IFERROR(IF(ventas_b_mes12[[#This Row],[CUIT]]="","-",VLOOKUP(ventas_b_mes12[[#This Row],[CUIT]],Lista_CUIT[#All],2,0)),"CUIT NO CARGADO")</f>
        <v>-</v>
      </c>
      <c r="H1178" s="96">
        <f>ventas_b_mes12[[#This Row],[TOTAL]]/1.21</f>
        <v>3884.2975206611573</v>
      </c>
      <c r="I1178" s="60">
        <f>ventas_b_mes12[[#This Row],[IMPORTE NETO]]*0.21</f>
        <v>815.70247933884298</v>
      </c>
      <c r="J1178" s="229"/>
      <c r="K1178" s="229"/>
      <c r="L1178" s="229">
        <v>4700</v>
      </c>
      <c r="M1178" s="55"/>
    </row>
    <row r="1179" spans="2:13" x14ac:dyDescent="0.3">
      <c r="B1179" s="223" t="s">
        <v>2473</v>
      </c>
      <c r="C1179" s="37">
        <v>6</v>
      </c>
      <c r="D1179" s="225">
        <v>11</v>
      </c>
      <c r="E1179" s="226">
        <v>30091</v>
      </c>
      <c r="F1179" s="227"/>
      <c r="G1179" s="1" t="str">
        <f>IFERROR(IF(ventas_b_mes12[[#This Row],[CUIT]]="","-",VLOOKUP(ventas_b_mes12[[#This Row],[CUIT]],Lista_CUIT[#All],2,0)),"CUIT NO CARGADO")</f>
        <v>-</v>
      </c>
      <c r="H1179" s="96">
        <f>ventas_b_mes12[[#This Row],[TOTAL]]/1.21</f>
        <v>5206.6033057851237</v>
      </c>
      <c r="I1179" s="60">
        <f>ventas_b_mes12[[#This Row],[IMPORTE NETO]]*0.21</f>
        <v>1093.3866942148759</v>
      </c>
      <c r="J1179" s="229"/>
      <c r="K1179" s="229"/>
      <c r="L1179" s="229">
        <v>6299.99</v>
      </c>
      <c r="M1179" s="55"/>
    </row>
    <row r="1180" spans="2:13" x14ac:dyDescent="0.3">
      <c r="B1180" s="223" t="s">
        <v>2473</v>
      </c>
      <c r="C1180" s="37">
        <v>6</v>
      </c>
      <c r="D1180" s="225">
        <v>15</v>
      </c>
      <c r="E1180" s="226">
        <v>7230</v>
      </c>
      <c r="F1180" s="227"/>
      <c r="G1180" s="1" t="str">
        <f>IFERROR(IF(ventas_b_mes12[[#This Row],[CUIT]]="","-",VLOOKUP(ventas_b_mes12[[#This Row],[CUIT]],Lista_CUIT[#All],2,0)),"CUIT NO CARGADO")</f>
        <v>-</v>
      </c>
      <c r="H1180" s="96">
        <f>ventas_b_mes12[[#This Row],[TOTAL]]/1.21</f>
        <v>4958.6776859504134</v>
      </c>
      <c r="I1180" s="60">
        <f>ventas_b_mes12[[#This Row],[IMPORTE NETO]]*0.21</f>
        <v>1041.3223140495868</v>
      </c>
      <c r="J1180" s="229"/>
      <c r="K1180" s="229"/>
      <c r="L1180" s="229">
        <v>6000</v>
      </c>
      <c r="M1180" s="55"/>
    </row>
    <row r="1181" spans="2:13" x14ac:dyDescent="0.3">
      <c r="B1181" s="223" t="s">
        <v>2473</v>
      </c>
      <c r="C1181" s="37">
        <v>6</v>
      </c>
      <c r="D1181" s="225">
        <v>10</v>
      </c>
      <c r="E1181" s="226">
        <v>43899</v>
      </c>
      <c r="F1181" s="227"/>
      <c r="G1181" s="1" t="str">
        <f>IFERROR(IF(ventas_b_mes12[[#This Row],[CUIT]]="","-",VLOOKUP(ventas_b_mes12[[#This Row],[CUIT]],Lista_CUIT[#All],2,0)),"CUIT NO CARGADO")</f>
        <v>-</v>
      </c>
      <c r="H1181" s="96">
        <f>ventas_b_mes12[[#This Row],[TOTAL]]/1.21</f>
        <v>4917.3553719008269</v>
      </c>
      <c r="I1181" s="60">
        <f>ventas_b_mes12[[#This Row],[IMPORTE NETO]]*0.21</f>
        <v>1032.6446280991736</v>
      </c>
      <c r="J1181" s="229"/>
      <c r="K1181" s="229"/>
      <c r="L1181" s="229">
        <v>5950</v>
      </c>
      <c r="M1181" s="55"/>
    </row>
    <row r="1182" spans="2:13" x14ac:dyDescent="0.3">
      <c r="B1182" s="223" t="s">
        <v>2473</v>
      </c>
      <c r="C1182" s="37">
        <v>6</v>
      </c>
      <c r="D1182" s="225">
        <v>10</v>
      </c>
      <c r="E1182" s="226">
        <v>43911</v>
      </c>
      <c r="F1182" s="227"/>
      <c r="G1182" s="1" t="str">
        <f>IFERROR(IF(ventas_b_mes12[[#This Row],[CUIT]]="","-",VLOOKUP(ventas_b_mes12[[#This Row],[CUIT]],Lista_CUIT[#All],2,0)),"CUIT NO CARGADO")</f>
        <v>-</v>
      </c>
      <c r="H1182" s="96">
        <f>ventas_b_mes12[[#This Row],[TOTAL]]/1.21</f>
        <v>8735.5371900826449</v>
      </c>
      <c r="I1182" s="60">
        <f>ventas_b_mes12[[#This Row],[IMPORTE NETO]]*0.21</f>
        <v>1834.4628099173553</v>
      </c>
      <c r="J1182" s="229"/>
      <c r="K1182" s="229"/>
      <c r="L1182" s="229">
        <v>10570</v>
      </c>
      <c r="M1182" s="55"/>
    </row>
    <row r="1183" spans="2:13" x14ac:dyDescent="0.3">
      <c r="B1183" s="223" t="s">
        <v>2473</v>
      </c>
      <c r="C1183" s="37">
        <v>6</v>
      </c>
      <c r="D1183" s="225">
        <v>10</v>
      </c>
      <c r="E1183" s="226">
        <v>43912</v>
      </c>
      <c r="F1183" s="227"/>
      <c r="G1183" s="1" t="str">
        <f>IFERROR(IF(ventas_b_mes12[[#This Row],[CUIT]]="","-",VLOOKUP(ventas_b_mes12[[#This Row],[CUIT]],Lista_CUIT[#All],2,0)),"CUIT NO CARGADO")</f>
        <v>-</v>
      </c>
      <c r="H1183" s="96">
        <f>ventas_b_mes12[[#This Row],[TOTAL]]/1.21</f>
        <v>2066.1157024793388</v>
      </c>
      <c r="I1183" s="60">
        <f>ventas_b_mes12[[#This Row],[IMPORTE NETO]]*0.21</f>
        <v>433.88429752066111</v>
      </c>
      <c r="J1183" s="229"/>
      <c r="K1183" s="229"/>
      <c r="L1183" s="229">
        <v>2500</v>
      </c>
      <c r="M1183" s="55"/>
    </row>
    <row r="1184" spans="2:13" x14ac:dyDescent="0.3">
      <c r="B1184" s="223" t="s">
        <v>2473</v>
      </c>
      <c r="C1184" s="37">
        <v>6</v>
      </c>
      <c r="D1184" s="225">
        <v>10</v>
      </c>
      <c r="E1184" s="226">
        <v>43900</v>
      </c>
      <c r="F1184" s="227"/>
      <c r="G1184" s="1" t="str">
        <f>IFERROR(IF(ventas_b_mes12[[#This Row],[CUIT]]="","-",VLOOKUP(ventas_b_mes12[[#This Row],[CUIT]],Lista_CUIT[#All],2,0)),"CUIT NO CARGADO")</f>
        <v>-</v>
      </c>
      <c r="H1184" s="96">
        <f>ventas_b_mes12[[#This Row],[TOTAL]]/1.21</f>
        <v>3483.4710743801652</v>
      </c>
      <c r="I1184" s="60">
        <f>ventas_b_mes12[[#This Row],[IMPORTE NETO]]*0.21</f>
        <v>731.52892561983469</v>
      </c>
      <c r="J1184" s="229"/>
      <c r="K1184" s="229"/>
      <c r="L1184" s="229">
        <v>4215</v>
      </c>
      <c r="M1184" s="55"/>
    </row>
    <row r="1185" spans="2:13" x14ac:dyDescent="0.3">
      <c r="B1185" s="223" t="s">
        <v>2473</v>
      </c>
      <c r="C1185" s="37">
        <v>6</v>
      </c>
      <c r="D1185" s="225">
        <v>15</v>
      </c>
      <c r="E1185" s="226">
        <v>7233</v>
      </c>
      <c r="F1185" s="227"/>
      <c r="G1185" s="1" t="str">
        <f>IFERROR(IF(ventas_b_mes12[[#This Row],[CUIT]]="","-",VLOOKUP(ventas_b_mes12[[#This Row],[CUIT]],Lista_CUIT[#All],2,0)),"CUIT NO CARGADO")</f>
        <v>-</v>
      </c>
      <c r="H1185" s="96">
        <f>ventas_b_mes12[[#This Row],[TOTAL]]/1.21</f>
        <v>4958.6776859504134</v>
      </c>
      <c r="I1185" s="60">
        <f>ventas_b_mes12[[#This Row],[IMPORTE NETO]]*0.21</f>
        <v>1041.3223140495868</v>
      </c>
      <c r="J1185" s="229"/>
      <c r="K1185" s="229"/>
      <c r="L1185" s="229">
        <v>6000</v>
      </c>
      <c r="M1185" s="55"/>
    </row>
    <row r="1186" spans="2:13" x14ac:dyDescent="0.3">
      <c r="B1186" s="223" t="s">
        <v>2473</v>
      </c>
      <c r="C1186" s="37">
        <v>6</v>
      </c>
      <c r="D1186" s="225">
        <v>10</v>
      </c>
      <c r="E1186" s="226">
        <v>43893</v>
      </c>
      <c r="F1186" s="227"/>
      <c r="G1186" s="1" t="str">
        <f>IFERROR(IF(ventas_b_mes12[[#This Row],[CUIT]]="","-",VLOOKUP(ventas_b_mes12[[#This Row],[CUIT]],Lista_CUIT[#All],2,0)),"CUIT NO CARGADO")</f>
        <v>-</v>
      </c>
      <c r="H1186" s="96">
        <f>ventas_b_mes12[[#This Row],[TOTAL]]/1.21</f>
        <v>5409.090909090909</v>
      </c>
      <c r="I1186" s="60">
        <f>ventas_b_mes12[[#This Row],[IMPORTE NETO]]*0.21</f>
        <v>1135.9090909090908</v>
      </c>
      <c r="J1186" s="229"/>
      <c r="K1186" s="229"/>
      <c r="L1186" s="229">
        <v>6545</v>
      </c>
      <c r="M1186" s="55"/>
    </row>
    <row r="1187" spans="2:13" x14ac:dyDescent="0.3">
      <c r="B1187" s="223" t="s">
        <v>2473</v>
      </c>
      <c r="C1187" s="37">
        <v>6</v>
      </c>
      <c r="D1187" s="225">
        <v>10</v>
      </c>
      <c r="E1187" s="226">
        <v>43916</v>
      </c>
      <c r="F1187" s="227"/>
      <c r="G1187" s="1" t="str">
        <f>IFERROR(IF(ventas_b_mes12[[#This Row],[CUIT]]="","-",VLOOKUP(ventas_b_mes12[[#This Row],[CUIT]],Lista_CUIT[#All],2,0)),"CUIT NO CARGADO")</f>
        <v>-</v>
      </c>
      <c r="H1187" s="96">
        <f>ventas_b_mes12[[#This Row],[TOTAL]]/1.21</f>
        <v>8033.0578512396696</v>
      </c>
      <c r="I1187" s="60">
        <f>ventas_b_mes12[[#This Row],[IMPORTE NETO]]*0.21</f>
        <v>1686.9421487603306</v>
      </c>
      <c r="J1187" s="229"/>
      <c r="K1187" s="229"/>
      <c r="L1187" s="229">
        <v>9720</v>
      </c>
      <c r="M1187" s="55"/>
    </row>
    <row r="1188" spans="2:13" x14ac:dyDescent="0.3">
      <c r="B1188" s="223" t="s">
        <v>2473</v>
      </c>
      <c r="C1188" s="37">
        <v>6</v>
      </c>
      <c r="D1188" s="225">
        <v>10</v>
      </c>
      <c r="E1188" s="226">
        <v>43903</v>
      </c>
      <c r="F1188" s="227"/>
      <c r="G1188" s="1" t="str">
        <f>IFERROR(IF(ventas_b_mes12[[#This Row],[CUIT]]="","-",VLOOKUP(ventas_b_mes12[[#This Row],[CUIT]],Lista_CUIT[#All],2,0)),"CUIT NO CARGADO")</f>
        <v>-</v>
      </c>
      <c r="H1188" s="96">
        <f>ventas_b_mes12[[#This Row],[TOTAL]]/1.21</f>
        <v>6710.7520661157032</v>
      </c>
      <c r="I1188" s="60">
        <f>ventas_b_mes12[[#This Row],[IMPORTE NETO]]*0.21</f>
        <v>1409.2579338842977</v>
      </c>
      <c r="J1188" s="229"/>
      <c r="K1188" s="229"/>
      <c r="L1188" s="229">
        <v>8120.01</v>
      </c>
      <c r="M1188" s="55"/>
    </row>
    <row r="1189" spans="2:13" x14ac:dyDescent="0.3">
      <c r="B1189" s="223" t="s">
        <v>2473</v>
      </c>
      <c r="C1189" s="37">
        <v>6</v>
      </c>
      <c r="D1189" s="225">
        <v>11</v>
      </c>
      <c r="E1189" s="226">
        <v>30108</v>
      </c>
      <c r="F1189" s="227"/>
      <c r="G1189" s="1" t="str">
        <f>IFERROR(IF(ventas_b_mes12[[#This Row],[CUIT]]="","-",VLOOKUP(ventas_b_mes12[[#This Row],[CUIT]],Lista_CUIT[#All],2,0)),"CUIT NO CARGADO")</f>
        <v>-</v>
      </c>
      <c r="H1189" s="96">
        <f>ventas_b_mes12[[#This Row],[TOTAL]]/1.21</f>
        <v>2718.595041322314</v>
      </c>
      <c r="I1189" s="60">
        <f>ventas_b_mes12[[#This Row],[IMPORTE NETO]]*0.21</f>
        <v>570.90495867768595</v>
      </c>
      <c r="J1189" s="229"/>
      <c r="K1189" s="229"/>
      <c r="L1189" s="229">
        <v>3289.5</v>
      </c>
      <c r="M1189" s="55"/>
    </row>
    <row r="1190" spans="2:13" x14ac:dyDescent="0.3">
      <c r="B1190" s="223" t="s">
        <v>2473</v>
      </c>
      <c r="C1190" s="37">
        <v>6</v>
      </c>
      <c r="D1190" s="225">
        <v>10</v>
      </c>
      <c r="E1190" s="226">
        <v>43886</v>
      </c>
      <c r="F1190" s="227"/>
      <c r="G1190" s="1" t="str">
        <f>IFERROR(IF(ventas_b_mes12[[#This Row],[CUIT]]="","-",VLOOKUP(ventas_b_mes12[[#This Row],[CUIT]],Lista_CUIT[#All],2,0)),"CUIT NO CARGADO")</f>
        <v>-</v>
      </c>
      <c r="H1190" s="96">
        <f>ventas_b_mes12[[#This Row],[TOTAL]]/1.21</f>
        <v>1064</v>
      </c>
      <c r="I1190" s="60">
        <f>ventas_b_mes12[[#This Row],[IMPORTE NETO]]*0.21</f>
        <v>223.44</v>
      </c>
      <c r="J1190" s="229"/>
      <c r="K1190" s="229"/>
      <c r="L1190" s="229">
        <v>1287.44</v>
      </c>
      <c r="M1190" s="55"/>
    </row>
    <row r="1191" spans="2:13" x14ac:dyDescent="0.3">
      <c r="B1191" s="223" t="s">
        <v>2473</v>
      </c>
      <c r="C1191" s="37">
        <v>6</v>
      </c>
      <c r="D1191" s="225">
        <v>11</v>
      </c>
      <c r="E1191" s="226">
        <v>30104</v>
      </c>
      <c r="F1191" s="227"/>
      <c r="G1191" s="1" t="str">
        <f>IFERROR(IF(ventas_b_mes12[[#This Row],[CUIT]]="","-",VLOOKUP(ventas_b_mes12[[#This Row],[CUIT]],Lista_CUIT[#All],2,0)),"CUIT NO CARGADO")</f>
        <v>-</v>
      </c>
      <c r="H1191" s="96">
        <f>ventas_b_mes12[[#This Row],[TOTAL]]/1.21</f>
        <v>3471.0743801652893</v>
      </c>
      <c r="I1191" s="60">
        <f>ventas_b_mes12[[#This Row],[IMPORTE NETO]]*0.21</f>
        <v>728.92561983471069</v>
      </c>
      <c r="J1191" s="229"/>
      <c r="K1191" s="229"/>
      <c r="L1191" s="229">
        <v>4200</v>
      </c>
      <c r="M1191" s="55"/>
    </row>
    <row r="1192" spans="2:13" x14ac:dyDescent="0.3">
      <c r="B1192" s="223" t="s">
        <v>2473</v>
      </c>
      <c r="C1192" s="37">
        <v>6</v>
      </c>
      <c r="D1192" s="225">
        <v>13</v>
      </c>
      <c r="E1192" s="226">
        <v>26756</v>
      </c>
      <c r="F1192" s="227"/>
      <c r="G1192" s="1" t="str">
        <f>IFERROR(IF(ventas_b_mes12[[#This Row],[CUIT]]="","-",VLOOKUP(ventas_b_mes12[[#This Row],[CUIT]],Lista_CUIT[#All],2,0)),"CUIT NO CARGADO")</f>
        <v>-</v>
      </c>
      <c r="H1192" s="96">
        <f>ventas_b_mes12[[#This Row],[TOTAL]]/1.21</f>
        <v>4958.6776859504134</v>
      </c>
      <c r="I1192" s="60">
        <f>ventas_b_mes12[[#This Row],[IMPORTE NETO]]*0.21</f>
        <v>1041.3223140495868</v>
      </c>
      <c r="J1192" s="229"/>
      <c r="K1192" s="229"/>
      <c r="L1192" s="229">
        <v>6000</v>
      </c>
      <c r="M1192" s="55"/>
    </row>
    <row r="1193" spans="2:13" x14ac:dyDescent="0.3">
      <c r="B1193" s="223" t="s">
        <v>2473</v>
      </c>
      <c r="C1193" s="37">
        <v>6</v>
      </c>
      <c r="D1193" s="225">
        <v>10</v>
      </c>
      <c r="E1193" s="226">
        <v>43889</v>
      </c>
      <c r="F1193" s="227"/>
      <c r="G1193" s="1" t="str">
        <f>IFERROR(IF(ventas_b_mes12[[#This Row],[CUIT]]="","-",VLOOKUP(ventas_b_mes12[[#This Row],[CUIT]],Lista_CUIT[#All],2,0)),"CUIT NO CARGADO")</f>
        <v>-</v>
      </c>
      <c r="H1193" s="96">
        <f>ventas_b_mes12[[#This Row],[TOTAL]]/1.21</f>
        <v>2705.4545454545455</v>
      </c>
      <c r="I1193" s="60">
        <f>ventas_b_mes12[[#This Row],[IMPORTE NETO]]*0.21</f>
        <v>568.14545454545453</v>
      </c>
      <c r="J1193" s="229"/>
      <c r="K1193" s="229"/>
      <c r="L1193" s="229">
        <v>3273.6</v>
      </c>
      <c r="M1193" s="55"/>
    </row>
    <row r="1194" spans="2:13" x14ac:dyDescent="0.3">
      <c r="B1194" s="223" t="s">
        <v>2473</v>
      </c>
      <c r="C1194" s="37">
        <v>6</v>
      </c>
      <c r="D1194" s="225">
        <v>12</v>
      </c>
      <c r="E1194" s="226">
        <v>22549</v>
      </c>
      <c r="F1194" s="227"/>
      <c r="G1194" s="1" t="str">
        <f>IFERROR(IF(ventas_b_mes12[[#This Row],[CUIT]]="","-",VLOOKUP(ventas_b_mes12[[#This Row],[CUIT]],Lista_CUIT[#All],2,0)),"CUIT NO CARGADO")</f>
        <v>-</v>
      </c>
      <c r="H1194" s="96">
        <f>ventas_b_mes12[[#This Row],[TOTAL]]/1.21</f>
        <v>2148.7603305785124</v>
      </c>
      <c r="I1194" s="60">
        <f>ventas_b_mes12[[#This Row],[IMPORTE NETO]]*0.21</f>
        <v>451.23966942148758</v>
      </c>
      <c r="J1194" s="229"/>
      <c r="K1194" s="229"/>
      <c r="L1194" s="229">
        <v>2600</v>
      </c>
      <c r="M1194" s="55"/>
    </row>
    <row r="1195" spans="2:13" x14ac:dyDescent="0.3">
      <c r="B1195" s="223" t="s">
        <v>2473</v>
      </c>
      <c r="C1195" s="37">
        <v>6</v>
      </c>
      <c r="D1195" s="225">
        <v>11</v>
      </c>
      <c r="E1195" s="226">
        <v>30093</v>
      </c>
      <c r="F1195" s="227"/>
      <c r="G1195" s="1" t="str">
        <f>IFERROR(IF(ventas_b_mes12[[#This Row],[CUIT]]="","-",VLOOKUP(ventas_b_mes12[[#This Row],[CUIT]],Lista_CUIT[#All],2,0)),"CUIT NO CARGADO")</f>
        <v>-</v>
      </c>
      <c r="H1195" s="96">
        <f>ventas_b_mes12[[#This Row],[TOTAL]]/1.21</f>
        <v>5619.8347107438021</v>
      </c>
      <c r="I1195" s="60">
        <f>ventas_b_mes12[[#This Row],[IMPORTE NETO]]*0.21</f>
        <v>1180.1652892561983</v>
      </c>
      <c r="J1195" s="229"/>
      <c r="K1195" s="229"/>
      <c r="L1195" s="229">
        <v>6800</v>
      </c>
      <c r="M1195" s="55"/>
    </row>
    <row r="1196" spans="2:13" x14ac:dyDescent="0.3">
      <c r="B1196" s="223" t="s">
        <v>2473</v>
      </c>
      <c r="C1196" s="37">
        <v>6</v>
      </c>
      <c r="D1196" s="225">
        <v>15</v>
      </c>
      <c r="E1196" s="226">
        <v>7244</v>
      </c>
      <c r="F1196" s="227"/>
      <c r="G1196" s="1" t="str">
        <f>IFERROR(IF(ventas_b_mes12[[#This Row],[CUIT]]="","-",VLOOKUP(ventas_b_mes12[[#This Row],[CUIT]],Lista_CUIT[#All],2,0)),"CUIT NO CARGADO")</f>
        <v>-</v>
      </c>
      <c r="H1196" s="96">
        <f>ventas_b_mes12[[#This Row],[TOTAL]]/1.21</f>
        <v>5310.7438016528931</v>
      </c>
      <c r="I1196" s="60">
        <f>ventas_b_mes12[[#This Row],[IMPORTE NETO]]*0.21</f>
        <v>1115.2561983471076</v>
      </c>
      <c r="J1196" s="229"/>
      <c r="K1196" s="229"/>
      <c r="L1196" s="229">
        <v>6426</v>
      </c>
      <c r="M1196" s="55"/>
    </row>
    <row r="1197" spans="2:13" x14ac:dyDescent="0.3">
      <c r="B1197" s="223" t="s">
        <v>2473</v>
      </c>
      <c r="C1197" s="37">
        <v>6</v>
      </c>
      <c r="D1197" s="225">
        <v>13</v>
      </c>
      <c r="E1197" s="226">
        <v>26768</v>
      </c>
      <c r="F1197" s="227"/>
      <c r="G1197" s="1" t="str">
        <f>IFERROR(IF(ventas_b_mes12[[#This Row],[CUIT]]="","-",VLOOKUP(ventas_b_mes12[[#This Row],[CUIT]],Lista_CUIT[#All],2,0)),"CUIT NO CARGADO")</f>
        <v>-</v>
      </c>
      <c r="H1197" s="96">
        <f>ventas_b_mes12[[#This Row],[TOTAL]]/1.21</f>
        <v>6520.6611570247933</v>
      </c>
      <c r="I1197" s="60">
        <f>ventas_b_mes12[[#This Row],[IMPORTE NETO]]*0.21</f>
        <v>1369.3388429752065</v>
      </c>
      <c r="J1197" s="229"/>
      <c r="K1197" s="229"/>
      <c r="L1197" s="229">
        <v>7890</v>
      </c>
      <c r="M1197" s="55"/>
    </row>
    <row r="1198" spans="2:13" x14ac:dyDescent="0.3">
      <c r="B1198" s="223" t="s">
        <v>2473</v>
      </c>
      <c r="C1198" s="37">
        <v>6</v>
      </c>
      <c r="D1198" s="225">
        <v>15</v>
      </c>
      <c r="E1198" s="226">
        <v>7235</v>
      </c>
      <c r="F1198" s="227"/>
      <c r="G1198" s="1" t="str">
        <f>IFERROR(IF(ventas_b_mes12[[#This Row],[CUIT]]="","-",VLOOKUP(ventas_b_mes12[[#This Row],[CUIT]],Lista_CUIT[#All],2,0)),"CUIT NO CARGADO")</f>
        <v>-</v>
      </c>
      <c r="H1198" s="96">
        <f>ventas_b_mes12[[#This Row],[TOTAL]]/1.21</f>
        <v>4581.818181818182</v>
      </c>
      <c r="I1198" s="60">
        <f>ventas_b_mes12[[#This Row],[IMPORTE NETO]]*0.21</f>
        <v>962.18181818181813</v>
      </c>
      <c r="J1198" s="229"/>
      <c r="K1198" s="229"/>
      <c r="L1198" s="229">
        <v>5544</v>
      </c>
      <c r="M1198" s="55"/>
    </row>
    <row r="1199" spans="2:13" x14ac:dyDescent="0.3">
      <c r="B1199" s="223" t="s">
        <v>2473</v>
      </c>
      <c r="C1199" s="37">
        <v>6</v>
      </c>
      <c r="D1199" s="225">
        <v>10</v>
      </c>
      <c r="E1199" s="226">
        <v>43913</v>
      </c>
      <c r="F1199" s="227"/>
      <c r="G1199" s="1" t="str">
        <f>IFERROR(IF(ventas_b_mes12[[#This Row],[CUIT]]="","-",VLOOKUP(ventas_b_mes12[[#This Row],[CUIT]],Lista_CUIT[#All],2,0)),"CUIT NO CARGADO")</f>
        <v>-</v>
      </c>
      <c r="H1199" s="96">
        <f>ventas_b_mes12[[#This Row],[TOTAL]]/1.21</f>
        <v>4958.6776859504134</v>
      </c>
      <c r="I1199" s="60">
        <f>ventas_b_mes12[[#This Row],[IMPORTE NETO]]*0.21</f>
        <v>1041.3223140495868</v>
      </c>
      <c r="J1199" s="229"/>
      <c r="K1199" s="229"/>
      <c r="L1199" s="229">
        <v>6000</v>
      </c>
      <c r="M1199" s="55"/>
    </row>
    <row r="1200" spans="2:13" x14ac:dyDescent="0.3">
      <c r="B1200" s="223" t="s">
        <v>2473</v>
      </c>
      <c r="C1200" s="37">
        <v>6</v>
      </c>
      <c r="D1200" s="225">
        <v>12</v>
      </c>
      <c r="E1200" s="226">
        <v>22550</v>
      </c>
      <c r="F1200" s="227"/>
      <c r="G1200" s="1" t="str">
        <f>IFERROR(IF(ventas_b_mes12[[#This Row],[CUIT]]="","-",VLOOKUP(ventas_b_mes12[[#This Row],[CUIT]],Lista_CUIT[#All],2,0)),"CUIT NO CARGADO")</f>
        <v>-</v>
      </c>
      <c r="H1200" s="96">
        <f>ventas_b_mes12[[#This Row],[TOTAL]]/1.21</f>
        <v>2739.6694214876034</v>
      </c>
      <c r="I1200" s="60">
        <f>ventas_b_mes12[[#This Row],[IMPORTE NETO]]*0.21</f>
        <v>575.33057851239664</v>
      </c>
      <c r="J1200" s="229"/>
      <c r="K1200" s="229"/>
      <c r="L1200" s="229">
        <v>3315</v>
      </c>
      <c r="M1200" s="55"/>
    </row>
    <row r="1201" spans="2:13" x14ac:dyDescent="0.3">
      <c r="B1201" s="223" t="s">
        <v>2473</v>
      </c>
      <c r="C1201" s="37">
        <v>6</v>
      </c>
      <c r="D1201" s="225">
        <v>15</v>
      </c>
      <c r="E1201" s="226">
        <v>7248</v>
      </c>
      <c r="F1201" s="227"/>
      <c r="G1201" s="1" t="str">
        <f>IFERROR(IF(ventas_b_mes12[[#This Row],[CUIT]]="","-",VLOOKUP(ventas_b_mes12[[#This Row],[CUIT]],Lista_CUIT[#All],2,0)),"CUIT NO CARGADO")</f>
        <v>-</v>
      </c>
      <c r="H1201" s="96">
        <f>ventas_b_mes12[[#This Row],[TOTAL]]/1.21</f>
        <v>1223.5537190082646</v>
      </c>
      <c r="I1201" s="60">
        <f>ventas_b_mes12[[#This Row],[IMPORTE NETO]]*0.21</f>
        <v>256.94628099173553</v>
      </c>
      <c r="J1201" s="229"/>
      <c r="K1201" s="229"/>
      <c r="L1201" s="229">
        <v>1480.5</v>
      </c>
      <c r="M1201" s="55"/>
    </row>
    <row r="1202" spans="2:13" x14ac:dyDescent="0.3">
      <c r="B1202" s="223" t="s">
        <v>2473</v>
      </c>
      <c r="C1202" s="37">
        <v>6</v>
      </c>
      <c r="D1202" s="225">
        <v>10</v>
      </c>
      <c r="E1202" s="226">
        <v>43888</v>
      </c>
      <c r="F1202" s="227"/>
      <c r="G1202" s="1" t="str">
        <f>IFERROR(IF(ventas_b_mes12[[#This Row],[CUIT]]="","-",VLOOKUP(ventas_b_mes12[[#This Row],[CUIT]],Lista_CUIT[#All],2,0)),"CUIT NO CARGADO")</f>
        <v>-</v>
      </c>
      <c r="H1202" s="96">
        <f>ventas_b_mes12[[#This Row],[TOTAL]]/1.21</f>
        <v>9530.9917355371908</v>
      </c>
      <c r="I1202" s="60">
        <f>ventas_b_mes12[[#This Row],[IMPORTE NETO]]*0.21</f>
        <v>2001.5082644628101</v>
      </c>
      <c r="J1202" s="229"/>
      <c r="K1202" s="229"/>
      <c r="L1202" s="229">
        <v>11532.5</v>
      </c>
      <c r="M1202" s="55"/>
    </row>
    <row r="1203" spans="2:13" x14ac:dyDescent="0.3">
      <c r="B1203" s="223" t="s">
        <v>2473</v>
      </c>
      <c r="C1203" s="37">
        <v>6</v>
      </c>
      <c r="D1203" s="225">
        <v>11</v>
      </c>
      <c r="E1203" s="226">
        <v>30109</v>
      </c>
      <c r="F1203" s="227"/>
      <c r="G1203" s="1" t="str">
        <f>IFERROR(IF(ventas_b_mes12[[#This Row],[CUIT]]="","-",VLOOKUP(ventas_b_mes12[[#This Row],[CUIT]],Lista_CUIT[#All],2,0)),"CUIT NO CARGADO")</f>
        <v>-</v>
      </c>
      <c r="H1203" s="96">
        <f>ventas_b_mes12[[#This Row],[TOTAL]]/1.21</f>
        <v>9090.9090909090919</v>
      </c>
      <c r="I1203" s="60">
        <f>ventas_b_mes12[[#This Row],[IMPORTE NETO]]*0.21</f>
        <v>1909.0909090909092</v>
      </c>
      <c r="J1203" s="229"/>
      <c r="K1203" s="229"/>
      <c r="L1203" s="229">
        <v>11000</v>
      </c>
      <c r="M1203" s="55"/>
    </row>
    <row r="1204" spans="2:13" x14ac:dyDescent="0.3">
      <c r="B1204" s="223" t="s">
        <v>2473</v>
      </c>
      <c r="C1204" s="37">
        <v>6</v>
      </c>
      <c r="D1204" s="225">
        <v>12</v>
      </c>
      <c r="E1204" s="226">
        <v>22535</v>
      </c>
      <c r="F1204" s="227"/>
      <c r="G1204" s="1" t="str">
        <f>IFERROR(IF(ventas_b_mes12[[#This Row],[CUIT]]="","-",VLOOKUP(ventas_b_mes12[[#This Row],[CUIT]],Lista_CUIT[#All],2,0)),"CUIT NO CARGADO")</f>
        <v>-</v>
      </c>
      <c r="H1204" s="96">
        <f>ventas_b_mes12[[#This Row],[TOTAL]]/1.21</f>
        <v>4545.454545454546</v>
      </c>
      <c r="I1204" s="60">
        <f>ventas_b_mes12[[#This Row],[IMPORTE NETO]]*0.21</f>
        <v>954.54545454545462</v>
      </c>
      <c r="J1204" s="229"/>
      <c r="K1204" s="229"/>
      <c r="L1204" s="229">
        <v>5500</v>
      </c>
      <c r="M1204" s="55"/>
    </row>
    <row r="1205" spans="2:13" x14ac:dyDescent="0.3">
      <c r="B1205" s="223" t="s">
        <v>2473</v>
      </c>
      <c r="C1205" s="37">
        <v>6</v>
      </c>
      <c r="D1205" s="225">
        <v>10</v>
      </c>
      <c r="E1205" s="226">
        <v>43877</v>
      </c>
      <c r="F1205" s="227"/>
      <c r="G1205" s="1" t="str">
        <f>IFERROR(IF(ventas_b_mes12[[#This Row],[CUIT]]="","-",VLOOKUP(ventas_b_mes12[[#This Row],[CUIT]],Lista_CUIT[#All],2,0)),"CUIT NO CARGADO")</f>
        <v>-</v>
      </c>
      <c r="H1205" s="96">
        <f>ventas_b_mes12[[#This Row],[TOTAL]]/1.21</f>
        <v>2380.1652892561983</v>
      </c>
      <c r="I1205" s="60">
        <f>ventas_b_mes12[[#This Row],[IMPORTE NETO]]*0.21</f>
        <v>499.83471074380162</v>
      </c>
      <c r="J1205" s="229"/>
      <c r="K1205" s="229"/>
      <c r="L1205" s="229">
        <v>2880</v>
      </c>
      <c r="M1205" s="55"/>
    </row>
    <row r="1206" spans="2:13" x14ac:dyDescent="0.3">
      <c r="B1206" s="223" t="s">
        <v>2473</v>
      </c>
      <c r="C1206" s="37">
        <v>6</v>
      </c>
      <c r="D1206" s="225">
        <v>10</v>
      </c>
      <c r="E1206" s="226">
        <v>43885</v>
      </c>
      <c r="F1206" s="227"/>
      <c r="G1206" s="1" t="str">
        <f>IFERROR(IF(ventas_b_mes12[[#This Row],[CUIT]]="","-",VLOOKUP(ventas_b_mes12[[#This Row],[CUIT]],Lista_CUIT[#All],2,0)),"CUIT NO CARGADO")</f>
        <v>-</v>
      </c>
      <c r="H1206" s="96">
        <f>ventas_b_mes12[[#This Row],[TOTAL]]/1.21</f>
        <v>55663.595041322311</v>
      </c>
      <c r="I1206" s="60">
        <f>ventas_b_mes12[[#This Row],[IMPORTE NETO]]*0.21</f>
        <v>11689.354958677684</v>
      </c>
      <c r="J1206" s="229"/>
      <c r="K1206" s="229"/>
      <c r="L1206" s="229">
        <v>67352.95</v>
      </c>
      <c r="M1206" s="55"/>
    </row>
    <row r="1207" spans="2:13" x14ac:dyDescent="0.3">
      <c r="B1207" s="223" t="s">
        <v>2473</v>
      </c>
      <c r="C1207" s="37">
        <v>6</v>
      </c>
      <c r="D1207" s="225">
        <v>15</v>
      </c>
      <c r="E1207" s="226">
        <v>7236</v>
      </c>
      <c r="F1207" s="227"/>
      <c r="G1207" s="1" t="str">
        <f>IFERROR(IF(ventas_b_mes12[[#This Row],[CUIT]]="","-",VLOOKUP(ventas_b_mes12[[#This Row],[CUIT]],Lista_CUIT[#All],2,0)),"CUIT NO CARGADO")</f>
        <v>-</v>
      </c>
      <c r="H1207" s="96">
        <f>ventas_b_mes12[[#This Row],[TOTAL]]/1.21</f>
        <v>4545.454545454546</v>
      </c>
      <c r="I1207" s="60">
        <f>ventas_b_mes12[[#This Row],[IMPORTE NETO]]*0.21</f>
        <v>954.54545454545462</v>
      </c>
      <c r="J1207" s="229"/>
      <c r="K1207" s="229"/>
      <c r="L1207" s="229">
        <v>5500</v>
      </c>
      <c r="M1207" s="55"/>
    </row>
    <row r="1208" spans="2:13" x14ac:dyDescent="0.3">
      <c r="B1208" s="223" t="s">
        <v>2473</v>
      </c>
      <c r="C1208" s="37">
        <v>6</v>
      </c>
      <c r="D1208" s="225">
        <v>12</v>
      </c>
      <c r="E1208" s="226">
        <v>22539</v>
      </c>
      <c r="F1208" s="227"/>
      <c r="G1208" s="1" t="str">
        <f>IFERROR(IF(ventas_b_mes12[[#This Row],[CUIT]]="","-",VLOOKUP(ventas_b_mes12[[#This Row],[CUIT]],Lista_CUIT[#All],2,0)),"CUIT NO CARGADO")</f>
        <v>-</v>
      </c>
      <c r="H1208" s="96">
        <f>ventas_b_mes12[[#This Row],[TOTAL]]/1.21</f>
        <v>17640.504132231403</v>
      </c>
      <c r="I1208" s="60">
        <f>ventas_b_mes12[[#This Row],[IMPORTE NETO]]*0.21</f>
        <v>3704.5058677685943</v>
      </c>
      <c r="J1208" s="229"/>
      <c r="K1208" s="229"/>
      <c r="L1208" s="229">
        <v>21345.01</v>
      </c>
      <c r="M1208" s="55"/>
    </row>
    <row r="1209" spans="2:13" x14ac:dyDescent="0.3">
      <c r="B1209" s="223" t="s">
        <v>2473</v>
      </c>
      <c r="C1209" s="37">
        <v>6</v>
      </c>
      <c r="D1209" s="225">
        <v>13</v>
      </c>
      <c r="E1209" s="226">
        <v>26762</v>
      </c>
      <c r="F1209" s="227"/>
      <c r="G1209" s="1" t="str">
        <f>IFERROR(IF(ventas_b_mes12[[#This Row],[CUIT]]="","-",VLOOKUP(ventas_b_mes12[[#This Row],[CUIT]],Lista_CUIT[#All],2,0)),"CUIT NO CARGADO")</f>
        <v>-</v>
      </c>
      <c r="H1209" s="96">
        <f>ventas_b_mes12[[#This Row],[TOTAL]]/1.21</f>
        <v>1991.7355371900826</v>
      </c>
      <c r="I1209" s="60">
        <f>ventas_b_mes12[[#This Row],[IMPORTE NETO]]*0.21</f>
        <v>418.26446280991735</v>
      </c>
      <c r="J1209" s="229"/>
      <c r="K1209" s="229"/>
      <c r="L1209" s="229">
        <v>2410</v>
      </c>
      <c r="M1209" s="55"/>
    </row>
    <row r="1210" spans="2:13" x14ac:dyDescent="0.3">
      <c r="B1210" s="223" t="s">
        <v>2473</v>
      </c>
      <c r="C1210" s="37">
        <v>6</v>
      </c>
      <c r="D1210" s="225">
        <v>12</v>
      </c>
      <c r="E1210" s="226">
        <v>22545</v>
      </c>
      <c r="F1210" s="227"/>
      <c r="G1210" s="1" t="str">
        <f>IFERROR(IF(ventas_b_mes12[[#This Row],[CUIT]]="","-",VLOOKUP(ventas_b_mes12[[#This Row],[CUIT]],Lista_CUIT[#All],2,0)),"CUIT NO CARGADO")</f>
        <v>-</v>
      </c>
      <c r="H1210" s="96">
        <f>ventas_b_mes12[[#This Row],[TOTAL]]/1.21</f>
        <v>4462.8099173553719</v>
      </c>
      <c r="I1210" s="60">
        <f>ventas_b_mes12[[#This Row],[IMPORTE NETO]]*0.21</f>
        <v>937.19008264462809</v>
      </c>
      <c r="J1210" s="229"/>
      <c r="K1210" s="229"/>
      <c r="L1210" s="229">
        <v>5400</v>
      </c>
      <c r="M1210" s="55"/>
    </row>
    <row r="1211" spans="2:13" x14ac:dyDescent="0.3">
      <c r="B1211" s="223" t="s">
        <v>2473</v>
      </c>
      <c r="C1211" s="37">
        <v>6</v>
      </c>
      <c r="D1211" s="225">
        <v>15</v>
      </c>
      <c r="E1211" s="226">
        <v>7231</v>
      </c>
      <c r="F1211" s="227"/>
      <c r="G1211" s="1" t="str">
        <f>IFERROR(IF(ventas_b_mes12[[#This Row],[CUIT]]="","-",VLOOKUP(ventas_b_mes12[[#This Row],[CUIT]],Lista_CUIT[#All],2,0)),"CUIT NO CARGADO")</f>
        <v>-</v>
      </c>
      <c r="H1211" s="96">
        <f>ventas_b_mes12[[#This Row],[TOTAL]]/1.21</f>
        <v>4958.6776859504134</v>
      </c>
      <c r="I1211" s="60">
        <f>ventas_b_mes12[[#This Row],[IMPORTE NETO]]*0.21</f>
        <v>1041.3223140495868</v>
      </c>
      <c r="J1211" s="229"/>
      <c r="K1211" s="229"/>
      <c r="L1211" s="229">
        <v>6000</v>
      </c>
      <c r="M1211" s="55"/>
    </row>
    <row r="1212" spans="2:13" x14ac:dyDescent="0.3">
      <c r="B1212" s="223" t="s">
        <v>2473</v>
      </c>
      <c r="C1212" s="37">
        <v>6</v>
      </c>
      <c r="D1212" s="225">
        <v>12</v>
      </c>
      <c r="E1212" s="226">
        <v>22551</v>
      </c>
      <c r="F1212" s="227"/>
      <c r="G1212" s="1" t="str">
        <f>IFERROR(IF(ventas_b_mes12[[#This Row],[CUIT]]="","-",VLOOKUP(ventas_b_mes12[[#This Row],[CUIT]],Lista_CUIT[#All],2,0)),"CUIT NO CARGADO")</f>
        <v>-</v>
      </c>
      <c r="H1212" s="96">
        <f>ventas_b_mes12[[#This Row],[TOTAL]]/1.21</f>
        <v>19181.834710743802</v>
      </c>
      <c r="I1212" s="60">
        <f>ventas_b_mes12[[#This Row],[IMPORTE NETO]]*0.21</f>
        <v>4028.1852892561983</v>
      </c>
      <c r="J1212" s="229"/>
      <c r="K1212" s="229"/>
      <c r="L1212" s="229">
        <v>23210.02</v>
      </c>
      <c r="M1212" s="55"/>
    </row>
    <row r="1213" spans="2:13" x14ac:dyDescent="0.3">
      <c r="B1213" s="223" t="s">
        <v>2473</v>
      </c>
      <c r="C1213" s="37">
        <v>6</v>
      </c>
      <c r="D1213" s="225">
        <v>10</v>
      </c>
      <c r="E1213" s="226">
        <v>43887</v>
      </c>
      <c r="F1213" s="227"/>
      <c r="G1213" s="1" t="str">
        <f>IFERROR(IF(ventas_b_mes12[[#This Row],[CUIT]]="","-",VLOOKUP(ventas_b_mes12[[#This Row],[CUIT]],Lista_CUIT[#All],2,0)),"CUIT NO CARGADO")</f>
        <v>-</v>
      </c>
      <c r="H1213" s="96">
        <f>ventas_b_mes12[[#This Row],[TOTAL]]/1.21</f>
        <v>5079.3388429752067</v>
      </c>
      <c r="I1213" s="60">
        <f>ventas_b_mes12[[#This Row],[IMPORTE NETO]]*0.21</f>
        <v>1066.6611570247933</v>
      </c>
      <c r="J1213" s="229"/>
      <c r="K1213" s="229"/>
      <c r="L1213" s="229">
        <v>6146</v>
      </c>
      <c r="M1213" s="55"/>
    </row>
    <row r="1214" spans="2:13" x14ac:dyDescent="0.3">
      <c r="B1214" s="223" t="s">
        <v>2473</v>
      </c>
      <c r="C1214" s="37">
        <v>6</v>
      </c>
      <c r="D1214" s="225">
        <v>13</v>
      </c>
      <c r="E1214" s="226">
        <v>26759</v>
      </c>
      <c r="F1214" s="227"/>
      <c r="G1214" s="1" t="str">
        <f>IFERROR(IF(ventas_b_mes12[[#This Row],[CUIT]]="","-",VLOOKUP(ventas_b_mes12[[#This Row],[CUIT]],Lista_CUIT[#All],2,0)),"CUIT NO CARGADO")</f>
        <v>-</v>
      </c>
      <c r="H1214" s="96">
        <f>ventas_b_mes12[[#This Row],[TOTAL]]/1.21</f>
        <v>483.47107438016531</v>
      </c>
      <c r="I1214" s="60">
        <f>ventas_b_mes12[[#This Row],[IMPORTE NETO]]*0.21</f>
        <v>101.52892561983471</v>
      </c>
      <c r="J1214" s="229"/>
      <c r="K1214" s="229"/>
      <c r="L1214" s="229">
        <v>585</v>
      </c>
      <c r="M1214" s="55"/>
    </row>
    <row r="1215" spans="2:13" x14ac:dyDescent="0.3">
      <c r="B1215" s="223" t="s">
        <v>2473</v>
      </c>
      <c r="C1215" s="37">
        <v>6</v>
      </c>
      <c r="D1215" s="225">
        <v>12</v>
      </c>
      <c r="E1215" s="226">
        <v>22536</v>
      </c>
      <c r="F1215" s="227"/>
      <c r="G1215" s="1" t="str">
        <f>IFERROR(IF(ventas_b_mes12[[#This Row],[CUIT]]="","-",VLOOKUP(ventas_b_mes12[[#This Row],[CUIT]],Lista_CUIT[#All],2,0)),"CUIT NO CARGADO")</f>
        <v>-</v>
      </c>
      <c r="H1215" s="96">
        <f>ventas_b_mes12[[#This Row],[TOTAL]]/1.21</f>
        <v>13895.619834710746</v>
      </c>
      <c r="I1215" s="60">
        <f>ventas_b_mes12[[#This Row],[IMPORTE NETO]]*0.21</f>
        <v>2918.0801652892565</v>
      </c>
      <c r="J1215" s="229"/>
      <c r="K1215" s="229"/>
      <c r="L1215" s="229">
        <v>16813.7</v>
      </c>
      <c r="M1215" s="55"/>
    </row>
    <row r="1216" spans="2:13" x14ac:dyDescent="0.3">
      <c r="B1216" s="223" t="s">
        <v>2474</v>
      </c>
      <c r="C1216" s="37">
        <v>6</v>
      </c>
      <c r="D1216" s="225">
        <v>10</v>
      </c>
      <c r="E1216" s="226">
        <v>43920</v>
      </c>
      <c r="F1216" s="227"/>
      <c r="G1216" s="1" t="str">
        <f>IFERROR(IF(ventas_b_mes12[[#This Row],[CUIT]]="","-",VLOOKUP(ventas_b_mes12[[#This Row],[CUIT]],Lista_CUIT[#All],2,0)),"CUIT NO CARGADO")</f>
        <v>-</v>
      </c>
      <c r="H1216" s="96">
        <f>ventas_b_mes12[[#This Row],[TOTAL]]/1.21</f>
        <v>4344.6280991735539</v>
      </c>
      <c r="I1216" s="60">
        <f>ventas_b_mes12[[#This Row],[IMPORTE NETO]]*0.21</f>
        <v>912.37190082644634</v>
      </c>
      <c r="J1216" s="229"/>
      <c r="K1216" s="229"/>
      <c r="L1216" s="229">
        <v>5257</v>
      </c>
      <c r="M1216" s="55"/>
    </row>
    <row r="1217" spans="2:13" x14ac:dyDescent="0.3">
      <c r="B1217" s="223" t="s">
        <v>2474</v>
      </c>
      <c r="C1217" s="37">
        <v>6</v>
      </c>
      <c r="D1217" s="225">
        <v>10</v>
      </c>
      <c r="E1217" s="226">
        <v>43927</v>
      </c>
      <c r="F1217" s="227"/>
      <c r="G1217" s="1" t="str">
        <f>IFERROR(IF(ventas_b_mes12[[#This Row],[CUIT]]="","-",VLOOKUP(ventas_b_mes12[[#This Row],[CUIT]],Lista_CUIT[#All],2,0)),"CUIT NO CARGADO")</f>
        <v>-</v>
      </c>
      <c r="H1217" s="96">
        <f>ventas_b_mes12[[#This Row],[TOTAL]]/1.21</f>
        <v>17637.024793388431</v>
      </c>
      <c r="I1217" s="60">
        <f>ventas_b_mes12[[#This Row],[IMPORTE NETO]]*0.21</f>
        <v>3703.7752066115704</v>
      </c>
      <c r="J1217" s="229"/>
      <c r="K1217" s="229"/>
      <c r="L1217" s="229">
        <v>21340.799999999999</v>
      </c>
      <c r="M1217" s="55"/>
    </row>
    <row r="1218" spans="2:13" x14ac:dyDescent="0.3">
      <c r="B1218" s="223" t="s">
        <v>2474</v>
      </c>
      <c r="C1218" s="37">
        <v>6</v>
      </c>
      <c r="D1218" s="225">
        <v>12</v>
      </c>
      <c r="E1218" s="226">
        <v>22577</v>
      </c>
      <c r="F1218" s="227"/>
      <c r="G1218" s="1" t="str">
        <f>IFERROR(IF(ventas_b_mes12[[#This Row],[CUIT]]="","-",VLOOKUP(ventas_b_mes12[[#This Row],[CUIT]],Lista_CUIT[#All],2,0)),"CUIT NO CARGADO")</f>
        <v>-</v>
      </c>
      <c r="H1218" s="96">
        <f>ventas_b_mes12[[#This Row],[TOTAL]]/1.21</f>
        <v>2066.1157024793388</v>
      </c>
      <c r="I1218" s="60">
        <f>ventas_b_mes12[[#This Row],[IMPORTE NETO]]*0.21</f>
        <v>433.88429752066111</v>
      </c>
      <c r="J1218" s="229"/>
      <c r="K1218" s="229"/>
      <c r="L1218" s="229">
        <v>2500</v>
      </c>
      <c r="M1218" s="55"/>
    </row>
    <row r="1219" spans="2:13" x14ac:dyDescent="0.3">
      <c r="B1219" s="223" t="s">
        <v>2474</v>
      </c>
      <c r="C1219" s="37">
        <v>6</v>
      </c>
      <c r="D1219" s="225">
        <v>12</v>
      </c>
      <c r="E1219" s="226">
        <v>22581</v>
      </c>
      <c r="F1219" s="227"/>
      <c r="G1219" s="1" t="str">
        <f>IFERROR(IF(ventas_b_mes12[[#This Row],[CUIT]]="","-",VLOOKUP(ventas_b_mes12[[#This Row],[CUIT]],Lista_CUIT[#All],2,0)),"CUIT NO CARGADO")</f>
        <v>-</v>
      </c>
      <c r="H1219" s="96">
        <f>ventas_b_mes12[[#This Row],[TOTAL]]/1.21</f>
        <v>1446.2809917355373</v>
      </c>
      <c r="I1219" s="60">
        <f>ventas_b_mes12[[#This Row],[IMPORTE NETO]]*0.21</f>
        <v>303.71900826446284</v>
      </c>
      <c r="J1219" s="229"/>
      <c r="K1219" s="229"/>
      <c r="L1219" s="229">
        <v>1750</v>
      </c>
      <c r="M1219" s="55"/>
    </row>
    <row r="1220" spans="2:13" x14ac:dyDescent="0.3">
      <c r="B1220" s="223" t="s">
        <v>2474</v>
      </c>
      <c r="C1220" s="37">
        <v>6</v>
      </c>
      <c r="D1220" s="225">
        <v>11</v>
      </c>
      <c r="E1220" s="226">
        <v>30122</v>
      </c>
      <c r="F1220" s="227"/>
      <c r="G1220" s="1" t="str">
        <f>IFERROR(IF(ventas_b_mes12[[#This Row],[CUIT]]="","-",VLOOKUP(ventas_b_mes12[[#This Row],[CUIT]],Lista_CUIT[#All],2,0)),"CUIT NO CARGADO")</f>
        <v>-</v>
      </c>
      <c r="H1220" s="96">
        <f>ventas_b_mes12[[#This Row],[TOTAL]]/1.21</f>
        <v>1818.1818181818182</v>
      </c>
      <c r="I1220" s="60">
        <f>ventas_b_mes12[[#This Row],[IMPORTE NETO]]*0.21</f>
        <v>381.81818181818181</v>
      </c>
      <c r="J1220" s="229"/>
      <c r="K1220" s="229"/>
      <c r="L1220" s="229">
        <v>2200</v>
      </c>
      <c r="M1220" s="55"/>
    </row>
    <row r="1221" spans="2:13" x14ac:dyDescent="0.3">
      <c r="B1221" s="223" t="s">
        <v>2474</v>
      </c>
      <c r="C1221" s="37">
        <v>6</v>
      </c>
      <c r="D1221" s="225">
        <v>11</v>
      </c>
      <c r="E1221" s="226">
        <v>30116</v>
      </c>
      <c r="F1221" s="227"/>
      <c r="G1221" s="1" t="str">
        <f>IFERROR(IF(ventas_b_mes12[[#This Row],[CUIT]]="","-",VLOOKUP(ventas_b_mes12[[#This Row],[CUIT]],Lista_CUIT[#All],2,0)),"CUIT NO CARGADO")</f>
        <v>-</v>
      </c>
      <c r="H1221" s="96">
        <f>ventas_b_mes12[[#This Row],[TOTAL]]/1.21</f>
        <v>3636.3636363636365</v>
      </c>
      <c r="I1221" s="60">
        <f>ventas_b_mes12[[#This Row],[IMPORTE NETO]]*0.21</f>
        <v>763.63636363636363</v>
      </c>
      <c r="J1221" s="229"/>
      <c r="K1221" s="229"/>
      <c r="L1221" s="229">
        <v>4400</v>
      </c>
      <c r="M1221" s="55"/>
    </row>
    <row r="1222" spans="2:13" x14ac:dyDescent="0.3">
      <c r="B1222" s="223" t="s">
        <v>2474</v>
      </c>
      <c r="C1222" s="37">
        <v>6</v>
      </c>
      <c r="D1222" s="225">
        <v>11</v>
      </c>
      <c r="E1222" s="226">
        <v>30115</v>
      </c>
      <c r="F1222" s="227"/>
      <c r="G1222" s="1" t="str">
        <f>IFERROR(IF(ventas_b_mes12[[#This Row],[CUIT]]="","-",VLOOKUP(ventas_b_mes12[[#This Row],[CUIT]],Lista_CUIT[#All],2,0)),"CUIT NO CARGADO")</f>
        <v>-</v>
      </c>
      <c r="H1222" s="96">
        <f>ventas_b_mes12[[#This Row],[TOTAL]]/1.21</f>
        <v>1818.1818181818182</v>
      </c>
      <c r="I1222" s="60">
        <f>ventas_b_mes12[[#This Row],[IMPORTE NETO]]*0.21</f>
        <v>381.81818181818181</v>
      </c>
      <c r="J1222" s="229"/>
      <c r="K1222" s="229"/>
      <c r="L1222" s="229">
        <v>2200</v>
      </c>
      <c r="M1222" s="55"/>
    </row>
    <row r="1223" spans="2:13" x14ac:dyDescent="0.3">
      <c r="B1223" s="223" t="s">
        <v>2474</v>
      </c>
      <c r="C1223" s="37">
        <v>6</v>
      </c>
      <c r="D1223" s="225">
        <v>15</v>
      </c>
      <c r="E1223" s="226">
        <v>7258</v>
      </c>
      <c r="F1223" s="227"/>
      <c r="G1223" s="1" t="str">
        <f>IFERROR(IF(ventas_b_mes12[[#This Row],[CUIT]]="","-",VLOOKUP(ventas_b_mes12[[#This Row],[CUIT]],Lista_CUIT[#All],2,0)),"CUIT NO CARGADO")</f>
        <v>-</v>
      </c>
      <c r="H1223" s="96">
        <f>ventas_b_mes12[[#This Row],[TOTAL]]/1.21</f>
        <v>5347.1074380165292</v>
      </c>
      <c r="I1223" s="60">
        <f>ventas_b_mes12[[#This Row],[IMPORTE NETO]]*0.21</f>
        <v>1122.8925619834711</v>
      </c>
      <c r="J1223" s="229"/>
      <c r="K1223" s="229"/>
      <c r="L1223" s="229">
        <v>6470</v>
      </c>
      <c r="M1223" s="55"/>
    </row>
    <row r="1224" spans="2:13" x14ac:dyDescent="0.3">
      <c r="B1224" s="223" t="s">
        <v>2474</v>
      </c>
      <c r="C1224" s="37">
        <v>6</v>
      </c>
      <c r="D1224" s="225">
        <v>12</v>
      </c>
      <c r="E1224" s="226">
        <v>22579</v>
      </c>
      <c r="F1224" s="227"/>
      <c r="G1224" s="1" t="str">
        <f>IFERROR(IF(ventas_b_mes12[[#This Row],[CUIT]]="","-",VLOOKUP(ventas_b_mes12[[#This Row],[CUIT]],Lista_CUIT[#All],2,0)),"CUIT NO CARGADO")</f>
        <v>-</v>
      </c>
      <c r="H1224" s="96">
        <f>ventas_b_mes12[[#This Row],[TOTAL]]/1.21</f>
        <v>2459.504132231405</v>
      </c>
      <c r="I1224" s="60">
        <f>ventas_b_mes12[[#This Row],[IMPORTE NETO]]*0.21</f>
        <v>516.49586776859508</v>
      </c>
      <c r="J1224" s="229"/>
      <c r="K1224" s="229"/>
      <c r="L1224" s="229">
        <v>2976</v>
      </c>
      <c r="M1224" s="55"/>
    </row>
    <row r="1225" spans="2:13" x14ac:dyDescent="0.3">
      <c r="B1225" s="223" t="s">
        <v>2474</v>
      </c>
      <c r="C1225" s="37">
        <v>6</v>
      </c>
      <c r="D1225" s="225">
        <v>12</v>
      </c>
      <c r="E1225" s="226">
        <v>22580</v>
      </c>
      <c r="F1225" s="227"/>
      <c r="G1225" s="1" t="str">
        <f>IFERROR(IF(ventas_b_mes12[[#This Row],[CUIT]]="","-",VLOOKUP(ventas_b_mes12[[#This Row],[CUIT]],Lista_CUIT[#All],2,0)),"CUIT NO CARGADO")</f>
        <v>-</v>
      </c>
      <c r="H1225" s="96">
        <f>ventas_b_mes12[[#This Row],[TOTAL]]/1.21</f>
        <v>2231.404958677686</v>
      </c>
      <c r="I1225" s="60">
        <f>ventas_b_mes12[[#This Row],[IMPORTE NETO]]*0.21</f>
        <v>468.59504132231405</v>
      </c>
      <c r="J1225" s="229"/>
      <c r="K1225" s="229"/>
      <c r="L1225" s="229">
        <v>2700</v>
      </c>
      <c r="M1225" s="55"/>
    </row>
    <row r="1226" spans="2:13" x14ac:dyDescent="0.3">
      <c r="B1226" s="223" t="s">
        <v>2474</v>
      </c>
      <c r="C1226" s="37">
        <v>6</v>
      </c>
      <c r="D1226" s="225">
        <v>10</v>
      </c>
      <c r="E1226" s="226">
        <v>43929</v>
      </c>
      <c r="F1226" s="227"/>
      <c r="G1226" s="1" t="str">
        <f>IFERROR(IF(ventas_b_mes12[[#This Row],[CUIT]]="","-",VLOOKUP(ventas_b_mes12[[#This Row],[CUIT]],Lista_CUIT[#All],2,0)),"CUIT NO CARGADO")</f>
        <v>-</v>
      </c>
      <c r="H1226" s="96">
        <f>ventas_b_mes12[[#This Row],[TOTAL]]/1.21</f>
        <v>6677.6859504132235</v>
      </c>
      <c r="I1226" s="60">
        <f>ventas_b_mes12[[#This Row],[IMPORTE NETO]]*0.21</f>
        <v>1402.3140495867769</v>
      </c>
      <c r="J1226" s="229"/>
      <c r="K1226" s="229"/>
      <c r="L1226" s="229">
        <v>8080</v>
      </c>
      <c r="M1226" s="55"/>
    </row>
    <row r="1227" spans="2:13" x14ac:dyDescent="0.3">
      <c r="B1227" s="223" t="s">
        <v>2474</v>
      </c>
      <c r="C1227" s="37">
        <v>6</v>
      </c>
      <c r="D1227" s="225">
        <v>15</v>
      </c>
      <c r="E1227" s="226">
        <v>7261</v>
      </c>
      <c r="F1227" s="227"/>
      <c r="G1227" s="1" t="str">
        <f>IFERROR(IF(ventas_b_mes12[[#This Row],[CUIT]]="","-",VLOOKUP(ventas_b_mes12[[#This Row],[CUIT]],Lista_CUIT[#All],2,0)),"CUIT NO CARGADO")</f>
        <v>-</v>
      </c>
      <c r="H1227" s="96">
        <f>ventas_b_mes12[[#This Row],[TOTAL]]/1.21</f>
        <v>4958.6776859504134</v>
      </c>
      <c r="I1227" s="60">
        <f>ventas_b_mes12[[#This Row],[IMPORTE NETO]]*0.21</f>
        <v>1041.3223140495868</v>
      </c>
      <c r="J1227" s="229"/>
      <c r="K1227" s="229"/>
      <c r="L1227" s="229">
        <v>6000</v>
      </c>
      <c r="M1227" s="55"/>
    </row>
    <row r="1228" spans="2:13" x14ac:dyDescent="0.3">
      <c r="B1228" s="223" t="s">
        <v>2474</v>
      </c>
      <c r="C1228" s="37">
        <v>6</v>
      </c>
      <c r="D1228" s="225">
        <v>10</v>
      </c>
      <c r="E1228" s="226">
        <v>43918</v>
      </c>
      <c r="F1228" s="227"/>
      <c r="G1228" s="1" t="str">
        <f>IFERROR(IF(ventas_b_mes12[[#This Row],[CUIT]]="","-",VLOOKUP(ventas_b_mes12[[#This Row],[CUIT]],Lista_CUIT[#All],2,0)),"CUIT NO CARGADO")</f>
        <v>-</v>
      </c>
      <c r="H1228" s="96">
        <f>ventas_b_mes12[[#This Row],[TOTAL]]/1.21</f>
        <v>2479.3388429752067</v>
      </c>
      <c r="I1228" s="60">
        <f>ventas_b_mes12[[#This Row],[IMPORTE NETO]]*0.21</f>
        <v>520.6611570247934</v>
      </c>
      <c r="J1228" s="229"/>
      <c r="K1228" s="229"/>
      <c r="L1228" s="229">
        <v>3000</v>
      </c>
      <c r="M1228" s="55"/>
    </row>
    <row r="1229" spans="2:13" x14ac:dyDescent="0.3">
      <c r="B1229" s="223" t="s">
        <v>2474</v>
      </c>
      <c r="C1229" s="37">
        <v>6</v>
      </c>
      <c r="D1229" s="225">
        <v>15</v>
      </c>
      <c r="E1229" s="226">
        <v>7256</v>
      </c>
      <c r="F1229" s="227"/>
      <c r="G1229" s="1" t="str">
        <f>IFERROR(IF(ventas_b_mes12[[#This Row],[CUIT]]="","-",VLOOKUP(ventas_b_mes12[[#This Row],[CUIT]],Lista_CUIT[#All],2,0)),"CUIT NO CARGADO")</f>
        <v>-</v>
      </c>
      <c r="H1229" s="96">
        <f>ventas_b_mes12[[#This Row],[TOTAL]]/1.21</f>
        <v>4958.6776859504134</v>
      </c>
      <c r="I1229" s="60">
        <f>ventas_b_mes12[[#This Row],[IMPORTE NETO]]*0.21</f>
        <v>1041.3223140495868</v>
      </c>
      <c r="J1229" s="229"/>
      <c r="K1229" s="229"/>
      <c r="L1229" s="229">
        <v>6000</v>
      </c>
      <c r="M1229" s="55"/>
    </row>
    <row r="1230" spans="2:13" x14ac:dyDescent="0.3">
      <c r="B1230" s="223" t="s">
        <v>2474</v>
      </c>
      <c r="C1230" s="37">
        <v>6</v>
      </c>
      <c r="D1230" s="225">
        <v>10</v>
      </c>
      <c r="E1230" s="226">
        <v>43926</v>
      </c>
      <c r="F1230" s="227"/>
      <c r="G1230" s="1" t="str">
        <f>IFERROR(IF(ventas_b_mes12[[#This Row],[CUIT]]="","-",VLOOKUP(ventas_b_mes12[[#This Row],[CUIT]],Lista_CUIT[#All],2,0)),"CUIT NO CARGADO")</f>
        <v>-</v>
      </c>
      <c r="H1230" s="96">
        <f>ventas_b_mes12[[#This Row],[TOTAL]]/1.21</f>
        <v>14380.165289256198</v>
      </c>
      <c r="I1230" s="60">
        <f>ventas_b_mes12[[#This Row],[IMPORTE NETO]]*0.21</f>
        <v>3019.8347107438012</v>
      </c>
      <c r="J1230" s="229"/>
      <c r="K1230" s="229"/>
      <c r="L1230" s="229">
        <v>17400</v>
      </c>
      <c r="M1230" s="55"/>
    </row>
    <row r="1231" spans="2:13" x14ac:dyDescent="0.3">
      <c r="B1231" s="223" t="s">
        <v>2474</v>
      </c>
      <c r="C1231" s="37">
        <v>6</v>
      </c>
      <c r="D1231" s="225">
        <v>12</v>
      </c>
      <c r="E1231" s="226">
        <v>22569</v>
      </c>
      <c r="F1231" s="227"/>
      <c r="G1231" s="1" t="str">
        <f>IFERROR(IF(ventas_b_mes12[[#This Row],[CUIT]]="","-",VLOOKUP(ventas_b_mes12[[#This Row],[CUIT]],Lista_CUIT[#All],2,0)),"CUIT NO CARGADO")</f>
        <v>-</v>
      </c>
      <c r="H1231" s="96">
        <f>ventas_b_mes12[[#This Row],[TOTAL]]/1.21</f>
        <v>6983.4876033057853</v>
      </c>
      <c r="I1231" s="60">
        <f>ventas_b_mes12[[#This Row],[IMPORTE NETO]]*0.21</f>
        <v>1466.5323966942149</v>
      </c>
      <c r="J1231" s="229"/>
      <c r="K1231" s="229"/>
      <c r="L1231" s="229">
        <v>8450.02</v>
      </c>
      <c r="M1231" s="55"/>
    </row>
    <row r="1232" spans="2:13" x14ac:dyDescent="0.3">
      <c r="B1232" s="223" t="s">
        <v>2474</v>
      </c>
      <c r="C1232" s="37">
        <v>6</v>
      </c>
      <c r="D1232" s="225">
        <v>15</v>
      </c>
      <c r="E1232" s="226">
        <v>7255</v>
      </c>
      <c r="F1232" s="227"/>
      <c r="G1232" s="1" t="str">
        <f>IFERROR(IF(ventas_b_mes12[[#This Row],[CUIT]]="","-",VLOOKUP(ventas_b_mes12[[#This Row],[CUIT]],Lista_CUIT[#All],2,0)),"CUIT NO CARGADO")</f>
        <v>-</v>
      </c>
      <c r="H1232" s="96">
        <f>ventas_b_mes12[[#This Row],[TOTAL]]/1.21</f>
        <v>2892.5619834710747</v>
      </c>
      <c r="I1232" s="60">
        <f>ventas_b_mes12[[#This Row],[IMPORTE NETO]]*0.21</f>
        <v>607.43801652892569</v>
      </c>
      <c r="J1232" s="229"/>
      <c r="K1232" s="229"/>
      <c r="L1232" s="229">
        <v>3500</v>
      </c>
      <c r="M1232" s="55"/>
    </row>
    <row r="1233" spans="2:13" x14ac:dyDescent="0.3">
      <c r="B1233" s="223" t="s">
        <v>2474</v>
      </c>
      <c r="C1233" s="37">
        <v>6</v>
      </c>
      <c r="D1233" s="225">
        <v>12</v>
      </c>
      <c r="E1233" s="226">
        <v>22576</v>
      </c>
      <c r="F1233" s="227"/>
      <c r="G1233" s="1" t="str">
        <f>IFERROR(IF(ventas_b_mes12[[#This Row],[CUIT]]="","-",VLOOKUP(ventas_b_mes12[[#This Row],[CUIT]],Lista_CUIT[#All],2,0)),"CUIT NO CARGADO")</f>
        <v>-</v>
      </c>
      <c r="H1233" s="96">
        <f>ventas_b_mes12[[#This Row],[TOTAL]]/1.21</f>
        <v>4958.6776859504134</v>
      </c>
      <c r="I1233" s="60">
        <f>ventas_b_mes12[[#This Row],[IMPORTE NETO]]*0.21</f>
        <v>1041.3223140495868</v>
      </c>
      <c r="J1233" s="229"/>
      <c r="K1233" s="229"/>
      <c r="L1233" s="229">
        <v>6000</v>
      </c>
      <c r="M1233" s="55"/>
    </row>
    <row r="1234" spans="2:13" x14ac:dyDescent="0.3">
      <c r="B1234" s="223" t="s">
        <v>2474</v>
      </c>
      <c r="C1234" s="37">
        <v>6</v>
      </c>
      <c r="D1234" s="225">
        <v>13</v>
      </c>
      <c r="E1234" s="226">
        <v>26776</v>
      </c>
      <c r="F1234" s="227"/>
      <c r="G1234" s="1" t="str">
        <f>IFERROR(IF(ventas_b_mes12[[#This Row],[CUIT]]="","-",VLOOKUP(ventas_b_mes12[[#This Row],[CUIT]],Lista_CUIT[#All],2,0)),"CUIT NO CARGADO")</f>
        <v>-</v>
      </c>
      <c r="H1234" s="96">
        <f>ventas_b_mes12[[#This Row],[TOTAL]]/1.21</f>
        <v>3554.4214876033061</v>
      </c>
      <c r="I1234" s="60">
        <f>ventas_b_mes12[[#This Row],[IMPORTE NETO]]*0.21</f>
        <v>746.42851239669426</v>
      </c>
      <c r="J1234" s="229"/>
      <c r="K1234" s="229"/>
      <c r="L1234" s="229">
        <v>4300.8500000000004</v>
      </c>
      <c r="M1234" s="55"/>
    </row>
    <row r="1235" spans="2:13" x14ac:dyDescent="0.3">
      <c r="B1235" s="223" t="s">
        <v>2474</v>
      </c>
      <c r="C1235" s="37">
        <v>6</v>
      </c>
      <c r="D1235" s="225">
        <v>13</v>
      </c>
      <c r="E1235" s="226">
        <v>26779</v>
      </c>
      <c r="F1235" s="227"/>
      <c r="G1235" s="1" t="str">
        <f>IFERROR(IF(ventas_b_mes12[[#This Row],[CUIT]]="","-",VLOOKUP(ventas_b_mes12[[#This Row],[CUIT]],Lista_CUIT[#All],2,0)),"CUIT NO CARGADO")</f>
        <v>-</v>
      </c>
      <c r="H1235" s="96">
        <f>ventas_b_mes12[[#This Row],[TOTAL]]/1.21</f>
        <v>987.60330578512401</v>
      </c>
      <c r="I1235" s="60">
        <f>ventas_b_mes12[[#This Row],[IMPORTE NETO]]*0.21</f>
        <v>207.39669421487602</v>
      </c>
      <c r="J1235" s="229"/>
      <c r="K1235" s="229"/>
      <c r="L1235" s="229">
        <v>1195</v>
      </c>
      <c r="M1235" s="55"/>
    </row>
    <row r="1236" spans="2:13" x14ac:dyDescent="0.3">
      <c r="B1236" s="223" t="s">
        <v>2474</v>
      </c>
      <c r="C1236" s="37">
        <v>6</v>
      </c>
      <c r="D1236" s="225">
        <v>12</v>
      </c>
      <c r="E1236" s="226">
        <v>22554</v>
      </c>
      <c r="F1236" s="227"/>
      <c r="G1236" s="1" t="str">
        <f>IFERROR(IF(ventas_b_mes12[[#This Row],[CUIT]]="","-",VLOOKUP(ventas_b_mes12[[#This Row],[CUIT]],Lista_CUIT[#All],2,0)),"CUIT NO CARGADO")</f>
        <v>-</v>
      </c>
      <c r="H1236" s="96">
        <f>ventas_b_mes12[[#This Row],[TOTAL]]/1.21</f>
        <v>1074.3801652892562</v>
      </c>
      <c r="I1236" s="60">
        <f>ventas_b_mes12[[#This Row],[IMPORTE NETO]]*0.21</f>
        <v>225.61983471074379</v>
      </c>
      <c r="J1236" s="229"/>
      <c r="K1236" s="229"/>
      <c r="L1236" s="229">
        <v>1300</v>
      </c>
      <c r="M1236" s="55"/>
    </row>
    <row r="1237" spans="2:13" x14ac:dyDescent="0.3">
      <c r="B1237" s="223" t="s">
        <v>2474</v>
      </c>
      <c r="C1237" s="37">
        <v>6</v>
      </c>
      <c r="D1237" s="225">
        <v>13</v>
      </c>
      <c r="E1237" s="226">
        <v>26777</v>
      </c>
      <c r="F1237" s="227"/>
      <c r="G1237" s="1" t="str">
        <f>IFERROR(IF(ventas_b_mes12[[#This Row],[CUIT]]="","-",VLOOKUP(ventas_b_mes12[[#This Row],[CUIT]],Lista_CUIT[#All],2,0)),"CUIT NO CARGADO")</f>
        <v>-</v>
      </c>
      <c r="H1237" s="96">
        <f>ventas_b_mes12[[#This Row],[TOTAL]]/1.21</f>
        <v>6128.0991735537191</v>
      </c>
      <c r="I1237" s="60">
        <f>ventas_b_mes12[[#This Row],[IMPORTE NETO]]*0.21</f>
        <v>1286.9008264462809</v>
      </c>
      <c r="J1237" s="229"/>
      <c r="K1237" s="229"/>
      <c r="L1237" s="229">
        <v>7415</v>
      </c>
      <c r="M1237" s="55"/>
    </row>
    <row r="1238" spans="2:13" x14ac:dyDescent="0.3">
      <c r="B1238" s="223" t="s">
        <v>2474</v>
      </c>
      <c r="C1238" s="37">
        <v>6</v>
      </c>
      <c r="D1238" s="225">
        <v>10</v>
      </c>
      <c r="E1238" s="226">
        <v>43928</v>
      </c>
      <c r="F1238" s="227"/>
      <c r="G1238" s="1" t="str">
        <f>IFERROR(IF(ventas_b_mes12[[#This Row],[CUIT]]="","-",VLOOKUP(ventas_b_mes12[[#This Row],[CUIT]],Lista_CUIT[#All],2,0)),"CUIT NO CARGADO")</f>
        <v>-</v>
      </c>
      <c r="H1238" s="96">
        <f>ventas_b_mes12[[#This Row],[TOTAL]]/1.21</f>
        <v>33871.057851239675</v>
      </c>
      <c r="I1238" s="60">
        <f>ventas_b_mes12[[#This Row],[IMPORTE NETO]]*0.21</f>
        <v>7112.9221487603318</v>
      </c>
      <c r="J1238" s="229"/>
      <c r="K1238" s="229"/>
      <c r="L1238" s="229">
        <v>40983.980000000003</v>
      </c>
      <c r="M1238" s="55"/>
    </row>
    <row r="1239" spans="2:13" x14ac:dyDescent="0.3">
      <c r="B1239" s="223" t="s">
        <v>2474</v>
      </c>
      <c r="C1239" s="37">
        <v>6</v>
      </c>
      <c r="D1239" s="225">
        <v>13</v>
      </c>
      <c r="E1239" s="226">
        <v>26780</v>
      </c>
      <c r="F1239" s="227"/>
      <c r="G1239" s="1" t="str">
        <f>IFERROR(IF(ventas_b_mes12[[#This Row],[CUIT]]="","-",VLOOKUP(ventas_b_mes12[[#This Row],[CUIT]],Lista_CUIT[#All],2,0)),"CUIT NO CARGADO")</f>
        <v>-</v>
      </c>
      <c r="H1239" s="96">
        <f>ventas_b_mes12[[#This Row],[TOTAL]]/1.21</f>
        <v>4958.6776859504134</v>
      </c>
      <c r="I1239" s="60">
        <f>ventas_b_mes12[[#This Row],[IMPORTE NETO]]*0.21</f>
        <v>1041.3223140495868</v>
      </c>
      <c r="J1239" s="229"/>
      <c r="K1239" s="229"/>
      <c r="L1239" s="229">
        <v>6000</v>
      </c>
      <c r="M1239" s="55"/>
    </row>
    <row r="1240" spans="2:13" x14ac:dyDescent="0.3">
      <c r="B1240" s="223" t="s">
        <v>2474</v>
      </c>
      <c r="C1240" s="37">
        <v>6</v>
      </c>
      <c r="D1240" s="225">
        <v>11</v>
      </c>
      <c r="E1240" s="226">
        <v>30120</v>
      </c>
      <c r="F1240" s="227"/>
      <c r="G1240" s="1" t="str">
        <f>IFERROR(IF(ventas_b_mes12[[#This Row],[CUIT]]="","-",VLOOKUP(ventas_b_mes12[[#This Row],[CUIT]],Lista_CUIT[#All],2,0)),"CUIT NO CARGADO")</f>
        <v>-</v>
      </c>
      <c r="H1240" s="96">
        <f>ventas_b_mes12[[#This Row],[TOTAL]]/1.21</f>
        <v>830.16528925619832</v>
      </c>
      <c r="I1240" s="60">
        <f>ventas_b_mes12[[#This Row],[IMPORTE NETO]]*0.21</f>
        <v>174.33471074380165</v>
      </c>
      <c r="J1240" s="229"/>
      <c r="K1240" s="229"/>
      <c r="L1240" s="229">
        <v>1004.5</v>
      </c>
      <c r="M1240" s="55"/>
    </row>
    <row r="1241" spans="2:13" x14ac:dyDescent="0.3">
      <c r="B1241" s="223" t="s">
        <v>2474</v>
      </c>
      <c r="C1241" s="37">
        <v>6</v>
      </c>
      <c r="D1241" s="225">
        <v>12</v>
      </c>
      <c r="E1241" s="226">
        <v>22575</v>
      </c>
      <c r="F1241" s="227"/>
      <c r="G1241" s="1" t="str">
        <f>IFERROR(IF(ventas_b_mes12[[#This Row],[CUIT]]="","-",VLOOKUP(ventas_b_mes12[[#This Row],[CUIT]],Lista_CUIT[#All],2,0)),"CUIT NO CARGADO")</f>
        <v>-</v>
      </c>
      <c r="H1241" s="96">
        <f>ventas_b_mes12[[#This Row],[TOTAL]]/1.21</f>
        <v>2727.2727272727275</v>
      </c>
      <c r="I1241" s="60">
        <f>ventas_b_mes12[[#This Row],[IMPORTE NETO]]*0.21</f>
        <v>572.72727272727275</v>
      </c>
      <c r="J1241" s="229"/>
      <c r="K1241" s="229"/>
      <c r="L1241" s="229">
        <v>3300</v>
      </c>
      <c r="M1241" s="55"/>
    </row>
    <row r="1242" spans="2:13" x14ac:dyDescent="0.3">
      <c r="B1242" s="223" t="s">
        <v>2474</v>
      </c>
      <c r="C1242" s="37">
        <v>6</v>
      </c>
      <c r="D1242" s="225">
        <v>15</v>
      </c>
      <c r="E1242" s="226">
        <v>7251</v>
      </c>
      <c r="F1242" s="227"/>
      <c r="G1242" s="1" t="str">
        <f>IFERROR(IF(ventas_b_mes12[[#This Row],[CUIT]]="","-",VLOOKUP(ventas_b_mes12[[#This Row],[CUIT]],Lista_CUIT[#All],2,0)),"CUIT NO CARGADO")</f>
        <v>-</v>
      </c>
      <c r="H1242" s="96">
        <f>ventas_b_mes12[[#This Row],[TOTAL]]/1.21</f>
        <v>2479.3388429752067</v>
      </c>
      <c r="I1242" s="60">
        <f>ventas_b_mes12[[#This Row],[IMPORTE NETO]]*0.21</f>
        <v>520.6611570247934</v>
      </c>
      <c r="J1242" s="229"/>
      <c r="K1242" s="229"/>
      <c r="L1242" s="229">
        <v>3000</v>
      </c>
      <c r="M1242" s="55"/>
    </row>
    <row r="1243" spans="2:13" x14ac:dyDescent="0.3">
      <c r="B1243" s="223" t="s">
        <v>2474</v>
      </c>
      <c r="C1243" s="37">
        <v>6</v>
      </c>
      <c r="D1243" s="225">
        <v>15</v>
      </c>
      <c r="E1243" s="226">
        <v>7249</v>
      </c>
      <c r="F1243" s="227"/>
      <c r="G1243" s="1" t="str">
        <f>IFERROR(IF(ventas_b_mes12[[#This Row],[CUIT]]="","-",VLOOKUP(ventas_b_mes12[[#This Row],[CUIT]],Lista_CUIT[#All],2,0)),"CUIT NO CARGADO")</f>
        <v>-</v>
      </c>
      <c r="H1243" s="96">
        <f>ventas_b_mes12[[#This Row],[TOTAL]]/1.21</f>
        <v>4958.6776859504134</v>
      </c>
      <c r="I1243" s="60">
        <f>ventas_b_mes12[[#This Row],[IMPORTE NETO]]*0.21</f>
        <v>1041.3223140495868</v>
      </c>
      <c r="J1243" s="229"/>
      <c r="K1243" s="229"/>
      <c r="L1243" s="229">
        <v>6000</v>
      </c>
      <c r="M1243" s="55"/>
    </row>
    <row r="1244" spans="2:13" x14ac:dyDescent="0.3">
      <c r="B1244" s="223" t="s">
        <v>2474</v>
      </c>
      <c r="C1244" s="37">
        <v>6</v>
      </c>
      <c r="D1244" s="225">
        <v>12</v>
      </c>
      <c r="E1244" s="226">
        <v>22567</v>
      </c>
      <c r="F1244" s="227"/>
      <c r="G1244" s="1" t="str">
        <f>IFERROR(IF(ventas_b_mes12[[#This Row],[CUIT]]="","-",VLOOKUP(ventas_b_mes12[[#This Row],[CUIT]],Lista_CUIT[#All],2,0)),"CUIT NO CARGADO")</f>
        <v>-</v>
      </c>
      <c r="H1244" s="96">
        <f>ventas_b_mes12[[#This Row],[TOTAL]]/1.21</f>
        <v>743.80165289256206</v>
      </c>
      <c r="I1244" s="60">
        <f>ventas_b_mes12[[#This Row],[IMPORTE NETO]]*0.21</f>
        <v>156.19834710743802</v>
      </c>
      <c r="J1244" s="229"/>
      <c r="K1244" s="229"/>
      <c r="L1244" s="229">
        <v>900</v>
      </c>
      <c r="M1244" s="55"/>
    </row>
    <row r="1245" spans="2:13" x14ac:dyDescent="0.3">
      <c r="B1245" s="223" t="s">
        <v>2474</v>
      </c>
      <c r="C1245" s="37">
        <v>6</v>
      </c>
      <c r="D1245" s="225">
        <v>12</v>
      </c>
      <c r="E1245" s="226">
        <v>22568</v>
      </c>
      <c r="F1245" s="227"/>
      <c r="G1245" s="1" t="str">
        <f>IFERROR(IF(ventas_b_mes12[[#This Row],[CUIT]]="","-",VLOOKUP(ventas_b_mes12[[#This Row],[CUIT]],Lista_CUIT[#All],2,0)),"CUIT NO CARGADO")</f>
        <v>-</v>
      </c>
      <c r="H1245" s="96">
        <f>ventas_b_mes12[[#This Row],[TOTAL]]/1.21</f>
        <v>4172.727272727273</v>
      </c>
      <c r="I1245" s="60">
        <f>ventas_b_mes12[[#This Row],[IMPORTE NETO]]*0.21</f>
        <v>876.27272727272725</v>
      </c>
      <c r="J1245" s="229"/>
      <c r="K1245" s="229"/>
      <c r="L1245" s="229">
        <v>5049</v>
      </c>
      <c r="M1245" s="55"/>
    </row>
    <row r="1246" spans="2:13" x14ac:dyDescent="0.3">
      <c r="B1246" s="223" t="s">
        <v>2474</v>
      </c>
      <c r="C1246" s="37">
        <v>6</v>
      </c>
      <c r="D1246" s="225">
        <v>11</v>
      </c>
      <c r="E1246" s="226">
        <v>30114</v>
      </c>
      <c r="F1246" s="227"/>
      <c r="G1246" s="1" t="str">
        <f>IFERROR(IF(ventas_b_mes12[[#This Row],[CUIT]]="","-",VLOOKUP(ventas_b_mes12[[#This Row],[CUIT]],Lista_CUIT[#All],2,0)),"CUIT NO CARGADO")</f>
        <v>-</v>
      </c>
      <c r="H1246" s="96">
        <f>ventas_b_mes12[[#This Row],[TOTAL]]/1.21</f>
        <v>8628.0909090909099</v>
      </c>
      <c r="I1246" s="60">
        <f>ventas_b_mes12[[#This Row],[IMPORTE NETO]]*0.21</f>
        <v>1811.899090909091</v>
      </c>
      <c r="J1246" s="229"/>
      <c r="K1246" s="229"/>
      <c r="L1246" s="229">
        <v>10439.99</v>
      </c>
      <c r="M1246" s="55"/>
    </row>
    <row r="1247" spans="2:13" x14ac:dyDescent="0.3">
      <c r="B1247" s="223" t="s">
        <v>2474</v>
      </c>
      <c r="C1247" s="37">
        <v>6</v>
      </c>
      <c r="D1247" s="225">
        <v>13</v>
      </c>
      <c r="E1247" s="226">
        <v>26781</v>
      </c>
      <c r="F1247" s="227"/>
      <c r="G1247" s="1" t="str">
        <f>IFERROR(IF(ventas_b_mes12[[#This Row],[CUIT]]="","-",VLOOKUP(ventas_b_mes12[[#This Row],[CUIT]],Lista_CUIT[#All],2,0)),"CUIT NO CARGADO")</f>
        <v>-</v>
      </c>
      <c r="H1247" s="96">
        <f>ventas_b_mes12[[#This Row],[TOTAL]]/1.21</f>
        <v>7727.2644628099169</v>
      </c>
      <c r="I1247" s="60">
        <f>ventas_b_mes12[[#This Row],[IMPORTE NETO]]*0.21</f>
        <v>1622.7255371900826</v>
      </c>
      <c r="J1247" s="229"/>
      <c r="K1247" s="229"/>
      <c r="L1247" s="229">
        <v>9349.99</v>
      </c>
      <c r="M1247" s="55"/>
    </row>
    <row r="1248" spans="2:13" x14ac:dyDescent="0.3">
      <c r="B1248" s="223" t="s">
        <v>2474</v>
      </c>
      <c r="C1248" s="37">
        <v>6</v>
      </c>
      <c r="D1248" s="225">
        <v>12</v>
      </c>
      <c r="E1248" s="226">
        <v>22563</v>
      </c>
      <c r="F1248" s="227"/>
      <c r="G1248" s="1" t="str">
        <f>IFERROR(IF(ventas_b_mes12[[#This Row],[CUIT]]="","-",VLOOKUP(ventas_b_mes12[[#This Row],[CUIT]],Lista_CUIT[#All],2,0)),"CUIT NO CARGADO")</f>
        <v>-</v>
      </c>
      <c r="H1248" s="96">
        <f>ventas_b_mes12[[#This Row],[TOTAL]]/1.21</f>
        <v>5000</v>
      </c>
      <c r="I1248" s="60">
        <f>ventas_b_mes12[[#This Row],[IMPORTE NETO]]*0.21</f>
        <v>1050</v>
      </c>
      <c r="J1248" s="229"/>
      <c r="K1248" s="229"/>
      <c r="L1248" s="229">
        <v>6050</v>
      </c>
      <c r="M1248" s="55"/>
    </row>
    <row r="1249" spans="2:13" x14ac:dyDescent="0.3">
      <c r="B1249" s="223" t="s">
        <v>2474</v>
      </c>
      <c r="C1249" s="37">
        <v>6</v>
      </c>
      <c r="D1249" s="225">
        <v>11</v>
      </c>
      <c r="E1249" s="226">
        <v>30113</v>
      </c>
      <c r="F1249" s="227"/>
      <c r="G1249" s="1" t="str">
        <f>IFERROR(IF(ventas_b_mes12[[#This Row],[CUIT]]="","-",VLOOKUP(ventas_b_mes12[[#This Row],[CUIT]],Lista_CUIT[#All],2,0)),"CUIT NO CARGADO")</f>
        <v>-</v>
      </c>
      <c r="H1249" s="96">
        <f>ventas_b_mes12[[#This Row],[TOTAL]]/1.21</f>
        <v>23553.702479338845</v>
      </c>
      <c r="I1249" s="60">
        <f>ventas_b_mes12[[#This Row],[IMPORTE NETO]]*0.21</f>
        <v>4946.2775206611568</v>
      </c>
      <c r="J1249" s="229"/>
      <c r="K1249" s="229"/>
      <c r="L1249" s="229">
        <v>28499.98</v>
      </c>
      <c r="M1249" s="55"/>
    </row>
    <row r="1250" spans="2:13" x14ac:dyDescent="0.3">
      <c r="B1250" s="223" t="s">
        <v>2474</v>
      </c>
      <c r="C1250" s="37">
        <v>6</v>
      </c>
      <c r="D1250" s="225">
        <v>13</v>
      </c>
      <c r="E1250" s="226">
        <v>26775</v>
      </c>
      <c r="F1250" s="227"/>
      <c r="G1250" s="1" t="str">
        <f>IFERROR(IF(ventas_b_mes12[[#This Row],[CUIT]]="","-",VLOOKUP(ventas_b_mes12[[#This Row],[CUIT]],Lista_CUIT[#All],2,0)),"CUIT NO CARGADO")</f>
        <v>-</v>
      </c>
      <c r="H1250" s="96">
        <f>ventas_b_mes12[[#This Row],[TOTAL]]/1.21</f>
        <v>1404.9586776859505</v>
      </c>
      <c r="I1250" s="60">
        <f>ventas_b_mes12[[#This Row],[IMPORTE NETO]]*0.21</f>
        <v>295.04132231404958</v>
      </c>
      <c r="J1250" s="229"/>
      <c r="K1250" s="229"/>
      <c r="L1250" s="229">
        <v>1700</v>
      </c>
      <c r="M1250" s="55"/>
    </row>
    <row r="1251" spans="2:13" x14ac:dyDescent="0.3">
      <c r="B1251" s="223" t="s">
        <v>2474</v>
      </c>
      <c r="C1251" s="37">
        <v>6</v>
      </c>
      <c r="D1251" s="225">
        <v>10</v>
      </c>
      <c r="E1251" s="226">
        <v>43922</v>
      </c>
      <c r="F1251" s="227"/>
      <c r="G1251" s="1" t="str">
        <f>IFERROR(IF(ventas_b_mes12[[#This Row],[CUIT]]="","-",VLOOKUP(ventas_b_mes12[[#This Row],[CUIT]],Lista_CUIT[#All],2,0)),"CUIT NO CARGADO")</f>
        <v>-</v>
      </c>
      <c r="H1251" s="96">
        <f>ventas_b_mes12[[#This Row],[TOTAL]]/1.21</f>
        <v>3677.6942148760331</v>
      </c>
      <c r="I1251" s="60">
        <f>ventas_b_mes12[[#This Row],[IMPORTE NETO]]*0.21</f>
        <v>772.31578512396698</v>
      </c>
      <c r="J1251" s="229"/>
      <c r="K1251" s="229"/>
      <c r="L1251" s="229">
        <v>4450.01</v>
      </c>
      <c r="M1251" s="55"/>
    </row>
    <row r="1252" spans="2:13" x14ac:dyDescent="0.3">
      <c r="B1252" s="223" t="s">
        <v>2474</v>
      </c>
      <c r="C1252" s="37">
        <v>6</v>
      </c>
      <c r="D1252" s="225">
        <v>15</v>
      </c>
      <c r="E1252" s="226">
        <v>7259</v>
      </c>
      <c r="F1252" s="227"/>
      <c r="G1252" s="1" t="str">
        <f>IFERROR(IF(ventas_b_mes12[[#This Row],[CUIT]]="","-",VLOOKUP(ventas_b_mes12[[#This Row],[CUIT]],Lista_CUIT[#All],2,0)),"CUIT NO CARGADO")</f>
        <v>-</v>
      </c>
      <c r="H1252" s="96">
        <f>ventas_b_mes12[[#This Row],[TOTAL]]/1.21</f>
        <v>6198.3471074380168</v>
      </c>
      <c r="I1252" s="60">
        <f>ventas_b_mes12[[#This Row],[IMPORTE NETO]]*0.21</f>
        <v>1301.6528925619834</v>
      </c>
      <c r="J1252" s="229"/>
      <c r="K1252" s="229"/>
      <c r="L1252" s="229">
        <v>7500</v>
      </c>
      <c r="M1252" s="55"/>
    </row>
    <row r="1253" spans="2:13" x14ac:dyDescent="0.3">
      <c r="B1253" s="223" t="s">
        <v>2474</v>
      </c>
      <c r="C1253" s="37">
        <v>6</v>
      </c>
      <c r="D1253" s="225">
        <v>12</v>
      </c>
      <c r="E1253" s="226">
        <v>22573</v>
      </c>
      <c r="F1253" s="227"/>
      <c r="G1253" s="1" t="str">
        <f>IFERROR(IF(ventas_b_mes12[[#This Row],[CUIT]]="","-",VLOOKUP(ventas_b_mes12[[#This Row],[CUIT]],Lista_CUIT[#All],2,0)),"CUIT NO CARGADO")</f>
        <v>-</v>
      </c>
      <c r="H1253" s="96">
        <f>ventas_b_mes12[[#This Row],[TOTAL]]/1.21</f>
        <v>1694.2066115702478</v>
      </c>
      <c r="I1253" s="60">
        <f>ventas_b_mes12[[#This Row],[IMPORTE NETO]]*0.21</f>
        <v>355.78338842975199</v>
      </c>
      <c r="J1253" s="229"/>
      <c r="K1253" s="229"/>
      <c r="L1253" s="229">
        <v>2049.9899999999998</v>
      </c>
      <c r="M1253" s="55"/>
    </row>
    <row r="1254" spans="2:13" x14ac:dyDescent="0.3">
      <c r="B1254" s="223" t="s">
        <v>2474</v>
      </c>
      <c r="C1254" s="37">
        <v>6</v>
      </c>
      <c r="D1254" s="225">
        <v>13</v>
      </c>
      <c r="E1254" s="226">
        <v>26790</v>
      </c>
      <c r="F1254" s="227"/>
      <c r="G1254" s="1" t="str">
        <f>IFERROR(IF(ventas_b_mes12[[#This Row],[CUIT]]="","-",VLOOKUP(ventas_b_mes12[[#This Row],[CUIT]],Lista_CUIT[#All],2,0)),"CUIT NO CARGADO")</f>
        <v>-</v>
      </c>
      <c r="H1254" s="96">
        <f>ventas_b_mes12[[#This Row],[TOTAL]]/1.21</f>
        <v>2545.4545454545455</v>
      </c>
      <c r="I1254" s="60">
        <f>ventas_b_mes12[[#This Row],[IMPORTE NETO]]*0.21</f>
        <v>534.5454545454545</v>
      </c>
      <c r="J1254" s="229"/>
      <c r="K1254" s="229"/>
      <c r="L1254" s="229">
        <v>3080</v>
      </c>
      <c r="M1254" s="55"/>
    </row>
    <row r="1255" spans="2:13" x14ac:dyDescent="0.3">
      <c r="B1255" s="223" t="s">
        <v>2474</v>
      </c>
      <c r="C1255" s="37">
        <v>6</v>
      </c>
      <c r="D1255" s="225">
        <v>12</v>
      </c>
      <c r="E1255" s="226">
        <v>22570</v>
      </c>
      <c r="F1255" s="227"/>
      <c r="G1255" s="1" t="str">
        <f>IFERROR(IF(ventas_b_mes12[[#This Row],[CUIT]]="","-",VLOOKUP(ventas_b_mes12[[#This Row],[CUIT]],Lista_CUIT[#All],2,0)),"CUIT NO CARGADO")</f>
        <v>-</v>
      </c>
      <c r="H1255" s="96">
        <f>ventas_b_mes12[[#This Row],[TOTAL]]/1.21</f>
        <v>1735.5371900826447</v>
      </c>
      <c r="I1255" s="60">
        <f>ventas_b_mes12[[#This Row],[IMPORTE NETO]]*0.21</f>
        <v>364.46280991735534</v>
      </c>
      <c r="J1255" s="229"/>
      <c r="K1255" s="229"/>
      <c r="L1255" s="229">
        <v>2100</v>
      </c>
      <c r="M1255" s="55"/>
    </row>
    <row r="1256" spans="2:13" x14ac:dyDescent="0.3">
      <c r="B1256" s="223" t="s">
        <v>2474</v>
      </c>
      <c r="C1256" s="37">
        <v>6</v>
      </c>
      <c r="D1256" s="225">
        <v>12</v>
      </c>
      <c r="E1256" s="226">
        <v>22561</v>
      </c>
      <c r="F1256" s="227"/>
      <c r="G1256" s="1" t="str">
        <f>IFERROR(IF(ventas_b_mes12[[#This Row],[CUIT]]="","-",VLOOKUP(ventas_b_mes12[[#This Row],[CUIT]],Lista_CUIT[#All],2,0)),"CUIT NO CARGADO")</f>
        <v>-</v>
      </c>
      <c r="H1256" s="96">
        <f>ventas_b_mes12[[#This Row],[TOTAL]]/1.21</f>
        <v>9256.2066115702492</v>
      </c>
      <c r="I1256" s="60">
        <f>ventas_b_mes12[[#This Row],[IMPORTE NETO]]*0.21</f>
        <v>1943.8033884297522</v>
      </c>
      <c r="J1256" s="229"/>
      <c r="K1256" s="229"/>
      <c r="L1256" s="229">
        <v>11200.01</v>
      </c>
      <c r="M1256" s="55"/>
    </row>
    <row r="1257" spans="2:13" x14ac:dyDescent="0.3">
      <c r="B1257" s="223" t="s">
        <v>2474</v>
      </c>
      <c r="C1257" s="37">
        <v>6</v>
      </c>
      <c r="D1257" s="225">
        <v>12</v>
      </c>
      <c r="E1257" s="226">
        <v>22555</v>
      </c>
      <c r="F1257" s="227"/>
      <c r="G1257" s="1" t="str">
        <f>IFERROR(IF(ventas_b_mes12[[#This Row],[CUIT]]="","-",VLOOKUP(ventas_b_mes12[[#This Row],[CUIT]],Lista_CUIT[#All],2,0)),"CUIT NO CARGADO")</f>
        <v>-</v>
      </c>
      <c r="H1257" s="96">
        <f>ventas_b_mes12[[#This Row],[TOTAL]]/1.21</f>
        <v>2181.818181818182</v>
      </c>
      <c r="I1257" s="60">
        <f>ventas_b_mes12[[#This Row],[IMPORTE NETO]]*0.21</f>
        <v>458.18181818181819</v>
      </c>
      <c r="J1257" s="229"/>
      <c r="K1257" s="229"/>
      <c r="L1257" s="229">
        <v>2640</v>
      </c>
      <c r="M1257" s="55"/>
    </row>
    <row r="1258" spans="2:13" x14ac:dyDescent="0.3">
      <c r="B1258" s="223" t="s">
        <v>2474</v>
      </c>
      <c r="C1258" s="37">
        <v>6</v>
      </c>
      <c r="D1258" s="225">
        <v>10</v>
      </c>
      <c r="E1258" s="226">
        <v>43933</v>
      </c>
      <c r="F1258" s="227"/>
      <c r="G1258" s="1" t="str">
        <f>IFERROR(IF(ventas_b_mes12[[#This Row],[CUIT]]="","-",VLOOKUP(ventas_b_mes12[[#This Row],[CUIT]],Lista_CUIT[#All],2,0)),"CUIT NO CARGADO")</f>
        <v>-</v>
      </c>
      <c r="H1258" s="96">
        <f>ventas_b_mes12[[#This Row],[TOTAL]]/1.21</f>
        <v>2809.9173553719011</v>
      </c>
      <c r="I1258" s="60">
        <f>ventas_b_mes12[[#This Row],[IMPORTE NETO]]*0.21</f>
        <v>590.08264462809916</v>
      </c>
      <c r="J1258" s="229"/>
      <c r="K1258" s="229"/>
      <c r="L1258" s="229">
        <v>3400</v>
      </c>
      <c r="M1258" s="55"/>
    </row>
    <row r="1259" spans="2:13" x14ac:dyDescent="0.3">
      <c r="B1259" s="223" t="s">
        <v>2474</v>
      </c>
      <c r="C1259" s="37">
        <v>6</v>
      </c>
      <c r="D1259" s="225">
        <v>11</v>
      </c>
      <c r="E1259" s="226">
        <v>30124</v>
      </c>
      <c r="F1259" s="227"/>
      <c r="G1259" s="1" t="str">
        <f>IFERROR(IF(ventas_b_mes12[[#This Row],[CUIT]]="","-",VLOOKUP(ventas_b_mes12[[#This Row],[CUIT]],Lista_CUIT[#All],2,0)),"CUIT NO CARGADO")</f>
        <v>-</v>
      </c>
      <c r="H1259" s="96">
        <f>ventas_b_mes12[[#This Row],[TOTAL]]/1.21</f>
        <v>1735.5371900826447</v>
      </c>
      <c r="I1259" s="60">
        <f>ventas_b_mes12[[#This Row],[IMPORTE NETO]]*0.21</f>
        <v>364.46280991735534</v>
      </c>
      <c r="J1259" s="229"/>
      <c r="K1259" s="229"/>
      <c r="L1259" s="229">
        <v>2100</v>
      </c>
      <c r="M1259" s="55"/>
    </row>
    <row r="1260" spans="2:13" x14ac:dyDescent="0.3">
      <c r="B1260" s="223" t="s">
        <v>2474</v>
      </c>
      <c r="C1260" s="37">
        <v>6</v>
      </c>
      <c r="D1260" s="225">
        <v>13</v>
      </c>
      <c r="E1260" s="226">
        <v>26785</v>
      </c>
      <c r="F1260" s="227"/>
      <c r="G1260" s="1" t="str">
        <f>IFERROR(IF(ventas_b_mes12[[#This Row],[CUIT]]="","-",VLOOKUP(ventas_b_mes12[[#This Row],[CUIT]],Lista_CUIT[#All],2,0)),"CUIT NO CARGADO")</f>
        <v>-</v>
      </c>
      <c r="H1260" s="96">
        <f>ventas_b_mes12[[#This Row],[TOTAL]]/1.21</f>
        <v>7107.4380165289258</v>
      </c>
      <c r="I1260" s="60">
        <f>ventas_b_mes12[[#This Row],[IMPORTE NETO]]*0.21</f>
        <v>1492.5619834710744</v>
      </c>
      <c r="J1260" s="229"/>
      <c r="K1260" s="229"/>
      <c r="L1260" s="229">
        <v>8600</v>
      </c>
      <c r="M1260" s="55"/>
    </row>
    <row r="1261" spans="2:13" x14ac:dyDescent="0.3">
      <c r="B1261" s="223" t="s">
        <v>2474</v>
      </c>
      <c r="C1261" s="37">
        <v>6</v>
      </c>
      <c r="D1261" s="225">
        <v>11</v>
      </c>
      <c r="E1261" s="226">
        <v>30121</v>
      </c>
      <c r="F1261" s="227"/>
      <c r="G1261" s="1" t="str">
        <f>IFERROR(IF(ventas_b_mes12[[#This Row],[CUIT]]="","-",VLOOKUP(ventas_b_mes12[[#This Row],[CUIT]],Lista_CUIT[#All],2,0)),"CUIT NO CARGADO")</f>
        <v>-</v>
      </c>
      <c r="H1261" s="96">
        <f>ventas_b_mes12[[#This Row],[TOTAL]]/1.21</f>
        <v>9223.1404958677685</v>
      </c>
      <c r="I1261" s="60">
        <f>ventas_b_mes12[[#This Row],[IMPORTE NETO]]*0.21</f>
        <v>1936.8595041322312</v>
      </c>
      <c r="J1261" s="229"/>
      <c r="K1261" s="229"/>
      <c r="L1261" s="229">
        <v>11160</v>
      </c>
      <c r="M1261" s="55"/>
    </row>
    <row r="1262" spans="2:13" x14ac:dyDescent="0.3">
      <c r="B1262" s="223" t="s">
        <v>2474</v>
      </c>
      <c r="C1262" s="37">
        <v>6</v>
      </c>
      <c r="D1262" s="225">
        <v>12</v>
      </c>
      <c r="E1262" s="226">
        <v>22552</v>
      </c>
      <c r="F1262" s="227"/>
      <c r="G1262" s="1" t="str">
        <f>IFERROR(IF(ventas_b_mes12[[#This Row],[CUIT]]="","-",VLOOKUP(ventas_b_mes12[[#This Row],[CUIT]],Lista_CUIT[#All],2,0)),"CUIT NO CARGADO")</f>
        <v>-</v>
      </c>
      <c r="H1262" s="96">
        <f>ventas_b_mes12[[#This Row],[TOTAL]]/1.21</f>
        <v>3719</v>
      </c>
      <c r="I1262" s="60">
        <f>ventas_b_mes12[[#This Row],[IMPORTE NETO]]*0.21</f>
        <v>780.99</v>
      </c>
      <c r="J1262" s="229"/>
      <c r="K1262" s="229"/>
      <c r="L1262" s="229">
        <v>4499.99</v>
      </c>
      <c r="M1262" s="55"/>
    </row>
    <row r="1263" spans="2:13" x14ac:dyDescent="0.3">
      <c r="B1263" s="223" t="s">
        <v>2474</v>
      </c>
      <c r="C1263" s="37">
        <v>6</v>
      </c>
      <c r="D1263" s="225">
        <v>11</v>
      </c>
      <c r="E1263" s="226">
        <v>30112</v>
      </c>
      <c r="F1263" s="227"/>
      <c r="G1263" s="1" t="str">
        <f>IFERROR(IF(ventas_b_mes12[[#This Row],[CUIT]]="","-",VLOOKUP(ventas_b_mes12[[#This Row],[CUIT]],Lista_CUIT[#All],2,0)),"CUIT NO CARGADO")</f>
        <v>-</v>
      </c>
      <c r="H1263" s="96">
        <f>ventas_b_mes12[[#This Row],[TOTAL]]/1.21</f>
        <v>2776.8595041322315</v>
      </c>
      <c r="I1263" s="60">
        <f>ventas_b_mes12[[#This Row],[IMPORTE NETO]]*0.21</f>
        <v>583.14049586776855</v>
      </c>
      <c r="J1263" s="229"/>
      <c r="K1263" s="229"/>
      <c r="L1263" s="229">
        <v>3360</v>
      </c>
      <c r="M1263" s="55"/>
    </row>
    <row r="1264" spans="2:13" x14ac:dyDescent="0.3">
      <c r="B1264" s="223" t="s">
        <v>2474</v>
      </c>
      <c r="C1264" s="37">
        <v>6</v>
      </c>
      <c r="D1264" s="225">
        <v>11</v>
      </c>
      <c r="E1264" s="226">
        <v>30126</v>
      </c>
      <c r="F1264" s="227"/>
      <c r="G1264" s="1" t="str">
        <f>IFERROR(IF(ventas_b_mes12[[#This Row],[CUIT]]="","-",VLOOKUP(ventas_b_mes12[[#This Row],[CUIT]],Lista_CUIT[#All],2,0)),"CUIT NO CARGADO")</f>
        <v>-</v>
      </c>
      <c r="H1264" s="96">
        <f>ventas_b_mes12[[#This Row],[TOTAL]]/1.21</f>
        <v>2892.5619834710747</v>
      </c>
      <c r="I1264" s="60">
        <f>ventas_b_mes12[[#This Row],[IMPORTE NETO]]*0.21</f>
        <v>607.43801652892569</v>
      </c>
      <c r="J1264" s="229"/>
      <c r="K1264" s="229"/>
      <c r="L1264" s="229">
        <v>3500</v>
      </c>
      <c r="M1264" s="55"/>
    </row>
    <row r="1265" spans="2:13" x14ac:dyDescent="0.3">
      <c r="B1265" s="223" t="s">
        <v>2474</v>
      </c>
      <c r="C1265" s="37">
        <v>6</v>
      </c>
      <c r="D1265" s="225">
        <v>15</v>
      </c>
      <c r="E1265" s="226">
        <v>7254</v>
      </c>
      <c r="F1265" s="227"/>
      <c r="G1265" s="1" t="str">
        <f>IFERROR(IF(ventas_b_mes12[[#This Row],[CUIT]]="","-",VLOOKUP(ventas_b_mes12[[#This Row],[CUIT]],Lista_CUIT[#All],2,0)),"CUIT NO CARGADO")</f>
        <v>-</v>
      </c>
      <c r="H1265" s="96">
        <f>ventas_b_mes12[[#This Row],[TOTAL]]/1.21</f>
        <v>892.56198347107443</v>
      </c>
      <c r="I1265" s="60">
        <f>ventas_b_mes12[[#This Row],[IMPORTE NETO]]*0.21</f>
        <v>187.43801652892563</v>
      </c>
      <c r="J1265" s="229"/>
      <c r="K1265" s="229"/>
      <c r="L1265" s="229">
        <v>1080</v>
      </c>
      <c r="M1265" s="55"/>
    </row>
    <row r="1266" spans="2:13" x14ac:dyDescent="0.3">
      <c r="B1266" s="223" t="s">
        <v>2474</v>
      </c>
      <c r="C1266" s="37">
        <v>6</v>
      </c>
      <c r="D1266" s="225">
        <v>12</v>
      </c>
      <c r="E1266" s="226">
        <v>22560</v>
      </c>
      <c r="F1266" s="227"/>
      <c r="G1266" s="1" t="str">
        <f>IFERROR(IF(ventas_b_mes12[[#This Row],[CUIT]]="","-",VLOOKUP(ventas_b_mes12[[#This Row],[CUIT]],Lista_CUIT[#All],2,0)),"CUIT NO CARGADO")</f>
        <v>-</v>
      </c>
      <c r="H1266" s="96">
        <f>ventas_b_mes12[[#This Row],[TOTAL]]/1.21</f>
        <v>10181.834710743802</v>
      </c>
      <c r="I1266" s="60">
        <f>ventas_b_mes12[[#This Row],[IMPORTE NETO]]*0.21</f>
        <v>2138.1852892561983</v>
      </c>
      <c r="J1266" s="229"/>
      <c r="K1266" s="229"/>
      <c r="L1266" s="229">
        <v>12320.02</v>
      </c>
      <c r="M1266" s="55"/>
    </row>
    <row r="1267" spans="2:13" x14ac:dyDescent="0.3">
      <c r="B1267" s="223" t="s">
        <v>2474</v>
      </c>
      <c r="C1267" s="37">
        <v>6</v>
      </c>
      <c r="D1267" s="225">
        <v>15</v>
      </c>
      <c r="E1267" s="226">
        <v>7257</v>
      </c>
      <c r="F1267" s="227"/>
      <c r="G1267" s="1" t="str">
        <f>IFERROR(IF(ventas_b_mes12[[#This Row],[CUIT]]="","-",VLOOKUP(ventas_b_mes12[[#This Row],[CUIT]],Lista_CUIT[#All],2,0)),"CUIT NO CARGADO")</f>
        <v>-</v>
      </c>
      <c r="H1267" s="96">
        <f>ventas_b_mes12[[#This Row],[TOTAL]]/1.21</f>
        <v>13674.611570247933</v>
      </c>
      <c r="I1267" s="60">
        <f>ventas_b_mes12[[#This Row],[IMPORTE NETO]]*0.21</f>
        <v>2871.668429752066</v>
      </c>
      <c r="J1267" s="229"/>
      <c r="K1267" s="229"/>
      <c r="L1267" s="229">
        <v>16546.28</v>
      </c>
      <c r="M1267" s="55"/>
    </row>
    <row r="1268" spans="2:13" x14ac:dyDescent="0.3">
      <c r="B1268" s="223" t="s">
        <v>2474</v>
      </c>
      <c r="C1268" s="37">
        <v>6</v>
      </c>
      <c r="D1268" s="225">
        <v>10</v>
      </c>
      <c r="E1268" s="226">
        <v>43931</v>
      </c>
      <c r="F1268" s="227"/>
      <c r="G1268" s="1" t="str">
        <f>IFERROR(IF(ventas_b_mes12[[#This Row],[CUIT]]="","-",VLOOKUP(ventas_b_mes12[[#This Row],[CUIT]],Lista_CUIT[#All],2,0)),"CUIT NO CARGADO")</f>
        <v>-</v>
      </c>
      <c r="H1268" s="96">
        <f>ventas_b_mes12[[#This Row],[TOTAL]]/1.21</f>
        <v>8404.9586776859505</v>
      </c>
      <c r="I1268" s="60">
        <f>ventas_b_mes12[[#This Row],[IMPORTE NETO]]*0.21</f>
        <v>1765.0413223140495</v>
      </c>
      <c r="J1268" s="229"/>
      <c r="K1268" s="229"/>
      <c r="L1268" s="229">
        <v>10170</v>
      </c>
      <c r="M1268" s="55"/>
    </row>
    <row r="1269" spans="2:13" x14ac:dyDescent="0.3">
      <c r="B1269" s="223" t="s">
        <v>2474</v>
      </c>
      <c r="C1269" s="37">
        <v>6</v>
      </c>
      <c r="D1269" s="225">
        <v>10</v>
      </c>
      <c r="E1269" s="226">
        <v>43932</v>
      </c>
      <c r="F1269" s="227"/>
      <c r="G1269" s="1" t="str">
        <f>IFERROR(IF(ventas_b_mes12[[#This Row],[CUIT]]="","-",VLOOKUP(ventas_b_mes12[[#This Row],[CUIT]],Lista_CUIT[#All],2,0)),"CUIT NO CARGADO")</f>
        <v>-</v>
      </c>
      <c r="H1269" s="96">
        <f>ventas_b_mes12[[#This Row],[TOTAL]]/1.21</f>
        <v>1289.2561983471076</v>
      </c>
      <c r="I1269" s="60">
        <f>ventas_b_mes12[[#This Row],[IMPORTE NETO]]*0.21</f>
        <v>270.74380165289256</v>
      </c>
      <c r="J1269" s="229"/>
      <c r="K1269" s="229"/>
      <c r="L1269" s="229">
        <v>1560</v>
      </c>
      <c r="M1269" s="55"/>
    </row>
    <row r="1270" spans="2:13" x14ac:dyDescent="0.3">
      <c r="B1270" s="223" t="s">
        <v>2474</v>
      </c>
      <c r="C1270" s="37">
        <v>6</v>
      </c>
      <c r="D1270" s="225">
        <v>13</v>
      </c>
      <c r="E1270" s="226">
        <v>26786</v>
      </c>
      <c r="F1270" s="227"/>
      <c r="G1270" s="1" t="str">
        <f>IFERROR(IF(ventas_b_mes12[[#This Row],[CUIT]]="","-",VLOOKUP(ventas_b_mes12[[#This Row],[CUIT]],Lista_CUIT[#All],2,0)),"CUIT NO CARGADO")</f>
        <v>-</v>
      </c>
      <c r="H1270" s="96">
        <f>ventas_b_mes12[[#This Row],[TOTAL]]/1.21</f>
        <v>2148.7603305785124</v>
      </c>
      <c r="I1270" s="60">
        <f>ventas_b_mes12[[#This Row],[IMPORTE NETO]]*0.21</f>
        <v>451.23966942148758</v>
      </c>
      <c r="J1270" s="229"/>
      <c r="K1270" s="229"/>
      <c r="L1270" s="229">
        <v>2600</v>
      </c>
      <c r="M1270" s="55"/>
    </row>
    <row r="1271" spans="2:13" x14ac:dyDescent="0.3">
      <c r="B1271" s="223" t="s">
        <v>2474</v>
      </c>
      <c r="C1271" s="37">
        <v>6</v>
      </c>
      <c r="D1271" s="225">
        <v>12</v>
      </c>
      <c r="E1271" s="226">
        <v>22574</v>
      </c>
      <c r="F1271" s="227"/>
      <c r="G1271" s="1" t="str">
        <f>IFERROR(IF(ventas_b_mes12[[#This Row],[CUIT]]="","-",VLOOKUP(ventas_b_mes12[[#This Row],[CUIT]],Lista_CUIT[#All],2,0)),"CUIT NO CARGADO")</f>
        <v>-</v>
      </c>
      <c r="H1271" s="96">
        <f>ventas_b_mes12[[#This Row],[TOTAL]]/1.21</f>
        <v>4144.6280991735539</v>
      </c>
      <c r="I1271" s="60">
        <f>ventas_b_mes12[[#This Row],[IMPORTE NETO]]*0.21</f>
        <v>870.37190082644634</v>
      </c>
      <c r="J1271" s="229"/>
      <c r="K1271" s="229"/>
      <c r="L1271" s="229">
        <v>5015</v>
      </c>
      <c r="M1271" s="55"/>
    </row>
    <row r="1272" spans="2:13" x14ac:dyDescent="0.3">
      <c r="B1272" s="223" t="s">
        <v>2474</v>
      </c>
      <c r="C1272" s="37">
        <v>6</v>
      </c>
      <c r="D1272" s="225">
        <v>12</v>
      </c>
      <c r="E1272" s="226">
        <v>22556</v>
      </c>
      <c r="F1272" s="227"/>
      <c r="G1272" s="1" t="str">
        <f>IFERROR(IF(ventas_b_mes12[[#This Row],[CUIT]]="","-",VLOOKUP(ventas_b_mes12[[#This Row],[CUIT]],Lista_CUIT[#All],2,0)),"CUIT NO CARGADO")</f>
        <v>-</v>
      </c>
      <c r="H1272" s="96">
        <f>ventas_b_mes12[[#This Row],[TOTAL]]/1.21</f>
        <v>1446.2809917355373</v>
      </c>
      <c r="I1272" s="60">
        <f>ventas_b_mes12[[#This Row],[IMPORTE NETO]]*0.21</f>
        <v>303.71900826446284</v>
      </c>
      <c r="J1272" s="229"/>
      <c r="K1272" s="229"/>
      <c r="L1272" s="229">
        <v>1750</v>
      </c>
      <c r="M1272" s="55"/>
    </row>
    <row r="1273" spans="2:13" x14ac:dyDescent="0.3">
      <c r="B1273" s="223" t="s">
        <v>2474</v>
      </c>
      <c r="C1273" s="37">
        <v>6</v>
      </c>
      <c r="D1273" s="225">
        <v>11</v>
      </c>
      <c r="E1273" s="226">
        <v>30123</v>
      </c>
      <c r="F1273" s="227"/>
      <c r="G1273" s="1" t="str">
        <f>IFERROR(IF(ventas_b_mes12[[#This Row],[CUIT]]="","-",VLOOKUP(ventas_b_mes12[[#This Row],[CUIT]],Lista_CUIT[#All],2,0)),"CUIT NO CARGADO")</f>
        <v>-</v>
      </c>
      <c r="H1273" s="96">
        <f>ventas_b_mes12[[#This Row],[TOTAL]]/1.21</f>
        <v>3140.504132231405</v>
      </c>
      <c r="I1273" s="60">
        <f>ventas_b_mes12[[#This Row],[IMPORTE NETO]]*0.21</f>
        <v>659.50586776859507</v>
      </c>
      <c r="J1273" s="229"/>
      <c r="K1273" s="229"/>
      <c r="L1273" s="229">
        <v>3800.01</v>
      </c>
      <c r="M1273" s="55"/>
    </row>
    <row r="1274" spans="2:13" x14ac:dyDescent="0.3">
      <c r="B1274" s="223" t="s">
        <v>2474</v>
      </c>
      <c r="C1274" s="37">
        <v>6</v>
      </c>
      <c r="D1274" s="225">
        <v>13</v>
      </c>
      <c r="E1274" s="226">
        <v>26778</v>
      </c>
      <c r="F1274" s="227"/>
      <c r="G1274" s="1" t="str">
        <f>IFERROR(IF(ventas_b_mes12[[#This Row],[CUIT]]="","-",VLOOKUP(ventas_b_mes12[[#This Row],[CUIT]],Lista_CUIT[#All],2,0)),"CUIT NO CARGADO")</f>
        <v>-</v>
      </c>
      <c r="H1274" s="96">
        <f>ventas_b_mes12[[#This Row],[TOTAL]]/1.21</f>
        <v>1214.8760330578514</v>
      </c>
      <c r="I1274" s="60">
        <f>ventas_b_mes12[[#This Row],[IMPORTE NETO]]*0.21</f>
        <v>255.12396694214877</v>
      </c>
      <c r="J1274" s="229"/>
      <c r="K1274" s="229"/>
      <c r="L1274" s="229">
        <v>1470</v>
      </c>
      <c r="M1274" s="55"/>
    </row>
    <row r="1275" spans="2:13" x14ac:dyDescent="0.3">
      <c r="B1275" s="223" t="s">
        <v>2474</v>
      </c>
      <c r="C1275" s="37">
        <v>6</v>
      </c>
      <c r="D1275" s="225">
        <v>12</v>
      </c>
      <c r="E1275" s="226">
        <v>22553</v>
      </c>
      <c r="F1275" s="227"/>
      <c r="G1275" s="1" t="str">
        <f>IFERROR(IF(ventas_b_mes12[[#This Row],[CUIT]]="","-",VLOOKUP(ventas_b_mes12[[#This Row],[CUIT]],Lista_CUIT[#All],2,0)),"CUIT NO CARGADO")</f>
        <v>-</v>
      </c>
      <c r="H1275" s="96">
        <f>ventas_b_mes12[[#This Row],[TOTAL]]/1.21</f>
        <v>4545.454545454546</v>
      </c>
      <c r="I1275" s="60">
        <f>ventas_b_mes12[[#This Row],[IMPORTE NETO]]*0.21</f>
        <v>954.54545454545462</v>
      </c>
      <c r="J1275" s="229"/>
      <c r="K1275" s="229"/>
      <c r="L1275" s="229">
        <v>5500</v>
      </c>
      <c r="M1275" s="55"/>
    </row>
    <row r="1276" spans="2:13" x14ac:dyDescent="0.3">
      <c r="B1276" s="223" t="s">
        <v>2474</v>
      </c>
      <c r="C1276" s="37">
        <v>6</v>
      </c>
      <c r="D1276" s="225">
        <v>11</v>
      </c>
      <c r="E1276" s="226">
        <v>30127</v>
      </c>
      <c r="F1276" s="227"/>
      <c r="G1276" s="1" t="str">
        <f>IFERROR(IF(ventas_b_mes12[[#This Row],[CUIT]]="","-",VLOOKUP(ventas_b_mes12[[#This Row],[CUIT]],Lista_CUIT[#All],2,0)),"CUIT NO CARGADO")</f>
        <v>-</v>
      </c>
      <c r="H1276" s="96">
        <f>ventas_b_mes12[[#This Row],[TOTAL]]/1.21</f>
        <v>2685.9504132231405</v>
      </c>
      <c r="I1276" s="60">
        <f>ventas_b_mes12[[#This Row],[IMPORTE NETO]]*0.21</f>
        <v>564.04958677685943</v>
      </c>
      <c r="J1276" s="229"/>
      <c r="K1276" s="229"/>
      <c r="L1276" s="229">
        <v>3250</v>
      </c>
      <c r="M1276" s="55"/>
    </row>
    <row r="1277" spans="2:13" x14ac:dyDescent="0.3">
      <c r="B1277" s="223" t="s">
        <v>2474</v>
      </c>
      <c r="C1277" s="37">
        <v>6</v>
      </c>
      <c r="D1277" s="225">
        <v>13</v>
      </c>
      <c r="E1277" s="226">
        <v>26784</v>
      </c>
      <c r="F1277" s="227"/>
      <c r="G1277" s="1" t="str">
        <f>IFERROR(IF(ventas_b_mes12[[#This Row],[CUIT]]="","-",VLOOKUP(ventas_b_mes12[[#This Row],[CUIT]],Lista_CUIT[#All],2,0)),"CUIT NO CARGADO")</f>
        <v>-</v>
      </c>
      <c r="H1277" s="96">
        <f>ventas_b_mes12[[#This Row],[TOTAL]]/1.21</f>
        <v>9252.0743801652898</v>
      </c>
      <c r="I1277" s="60">
        <f>ventas_b_mes12[[#This Row],[IMPORTE NETO]]*0.21</f>
        <v>1942.9356198347107</v>
      </c>
      <c r="J1277" s="229"/>
      <c r="K1277" s="229"/>
      <c r="L1277" s="229">
        <v>11195.01</v>
      </c>
      <c r="M1277" s="55"/>
    </row>
    <row r="1278" spans="2:13" x14ac:dyDescent="0.3">
      <c r="B1278" s="223" t="s">
        <v>2474</v>
      </c>
      <c r="C1278" s="37">
        <v>6</v>
      </c>
      <c r="D1278" s="225">
        <v>12</v>
      </c>
      <c r="E1278" s="226">
        <v>22571</v>
      </c>
      <c r="F1278" s="227"/>
      <c r="G1278" s="1" t="str">
        <f>IFERROR(IF(ventas_b_mes12[[#This Row],[CUIT]]="","-",VLOOKUP(ventas_b_mes12[[#This Row],[CUIT]],Lista_CUIT[#All],2,0)),"CUIT NO CARGADO")</f>
        <v>-</v>
      </c>
      <c r="H1278" s="96">
        <f>ventas_b_mes12[[#This Row],[TOTAL]]/1.21</f>
        <v>5491.7355371900831</v>
      </c>
      <c r="I1278" s="60">
        <f>ventas_b_mes12[[#This Row],[IMPORTE NETO]]*0.21</f>
        <v>1153.2644628099174</v>
      </c>
      <c r="J1278" s="229"/>
      <c r="K1278" s="229"/>
      <c r="L1278" s="229">
        <v>6645</v>
      </c>
      <c r="M1278" s="55"/>
    </row>
    <row r="1279" spans="2:13" x14ac:dyDescent="0.3">
      <c r="B1279" s="223" t="s">
        <v>2474</v>
      </c>
      <c r="C1279" s="37">
        <v>6</v>
      </c>
      <c r="D1279" s="225">
        <v>13</v>
      </c>
      <c r="E1279" s="226">
        <v>26783</v>
      </c>
      <c r="F1279" s="227"/>
      <c r="G1279" s="1" t="str">
        <f>IFERROR(IF(ventas_b_mes12[[#This Row],[CUIT]]="","-",VLOOKUP(ventas_b_mes12[[#This Row],[CUIT]],Lista_CUIT[#All],2,0)),"CUIT NO CARGADO")</f>
        <v>-</v>
      </c>
      <c r="H1279" s="96">
        <f>ventas_b_mes12[[#This Row],[TOTAL]]/1.21</f>
        <v>2739.6694214876034</v>
      </c>
      <c r="I1279" s="60">
        <f>ventas_b_mes12[[#This Row],[IMPORTE NETO]]*0.21</f>
        <v>575.33057851239664</v>
      </c>
      <c r="J1279" s="229"/>
      <c r="K1279" s="229"/>
      <c r="L1279" s="229">
        <v>3315</v>
      </c>
      <c r="M1279" s="55"/>
    </row>
    <row r="1280" spans="2:13" x14ac:dyDescent="0.3">
      <c r="B1280" s="223" t="s">
        <v>2474</v>
      </c>
      <c r="C1280" s="37">
        <v>6</v>
      </c>
      <c r="D1280" s="225">
        <v>11</v>
      </c>
      <c r="E1280" s="226">
        <v>30119</v>
      </c>
      <c r="F1280" s="227"/>
      <c r="G1280" s="1" t="str">
        <f>IFERROR(IF(ventas_b_mes12[[#This Row],[CUIT]]="","-",VLOOKUP(ventas_b_mes12[[#This Row],[CUIT]],Lista_CUIT[#All],2,0)),"CUIT NO CARGADO")</f>
        <v>-</v>
      </c>
      <c r="H1280" s="96">
        <f>ventas_b_mes12[[#This Row],[TOTAL]]/1.21</f>
        <v>11859.504132231405</v>
      </c>
      <c r="I1280" s="60">
        <f>ventas_b_mes12[[#This Row],[IMPORTE NETO]]*0.21</f>
        <v>2490.495867768595</v>
      </c>
      <c r="J1280" s="229"/>
      <c r="K1280" s="229"/>
      <c r="L1280" s="229">
        <v>14350</v>
      </c>
      <c r="M1280" s="55"/>
    </row>
    <row r="1281" spans="2:13" x14ac:dyDescent="0.3">
      <c r="B1281" s="223" t="s">
        <v>2474</v>
      </c>
      <c r="C1281" s="37">
        <v>6</v>
      </c>
      <c r="D1281" s="225">
        <v>15</v>
      </c>
      <c r="E1281" s="226">
        <v>7250</v>
      </c>
      <c r="F1281" s="227"/>
      <c r="G1281" s="1" t="str">
        <f>IFERROR(IF(ventas_b_mes12[[#This Row],[CUIT]]="","-",VLOOKUP(ventas_b_mes12[[#This Row],[CUIT]],Lista_CUIT[#All],2,0)),"CUIT NO CARGADO")</f>
        <v>-</v>
      </c>
      <c r="H1281" s="96">
        <f>ventas_b_mes12[[#This Row],[TOTAL]]/1.21</f>
        <v>4958.6776859504134</v>
      </c>
      <c r="I1281" s="60">
        <f>ventas_b_mes12[[#This Row],[IMPORTE NETO]]*0.21</f>
        <v>1041.3223140495868</v>
      </c>
      <c r="J1281" s="229"/>
      <c r="K1281" s="229"/>
      <c r="L1281" s="229">
        <v>6000</v>
      </c>
      <c r="M1281" s="55"/>
    </row>
    <row r="1282" spans="2:13" x14ac:dyDescent="0.3">
      <c r="B1282" s="223" t="s">
        <v>2474</v>
      </c>
      <c r="C1282" s="37">
        <v>6</v>
      </c>
      <c r="D1282" s="225">
        <v>13</v>
      </c>
      <c r="E1282" s="226">
        <v>26774</v>
      </c>
      <c r="F1282" s="227"/>
      <c r="G1282" s="1" t="str">
        <f>IFERROR(IF(ventas_b_mes12[[#This Row],[CUIT]]="","-",VLOOKUP(ventas_b_mes12[[#This Row],[CUIT]],Lista_CUIT[#All],2,0)),"CUIT NO CARGADO")</f>
        <v>-</v>
      </c>
      <c r="H1282" s="96">
        <f>ventas_b_mes12[[#This Row],[TOTAL]]/1.21</f>
        <v>4958.6776859504134</v>
      </c>
      <c r="I1282" s="60">
        <f>ventas_b_mes12[[#This Row],[IMPORTE NETO]]*0.21</f>
        <v>1041.3223140495868</v>
      </c>
      <c r="J1282" s="229"/>
      <c r="K1282" s="229"/>
      <c r="L1282" s="229">
        <v>6000</v>
      </c>
      <c r="M1282" s="55"/>
    </row>
    <row r="1283" spans="2:13" x14ac:dyDescent="0.3">
      <c r="B1283" s="223" t="s">
        <v>2474</v>
      </c>
      <c r="C1283" s="37">
        <v>6</v>
      </c>
      <c r="D1283" s="225">
        <v>11</v>
      </c>
      <c r="E1283" s="226">
        <v>30118</v>
      </c>
      <c r="F1283" s="227"/>
      <c r="G1283" s="1" t="str">
        <f>IFERROR(IF(ventas_b_mes12[[#This Row],[CUIT]]="","-",VLOOKUP(ventas_b_mes12[[#This Row],[CUIT]],Lista_CUIT[#All],2,0)),"CUIT NO CARGADO")</f>
        <v>-</v>
      </c>
      <c r="H1283" s="96">
        <f>ventas_b_mes12[[#This Row],[TOTAL]]/1.21</f>
        <v>3140.495867768595</v>
      </c>
      <c r="I1283" s="60">
        <f>ventas_b_mes12[[#This Row],[IMPORTE NETO]]*0.21</f>
        <v>659.50413223140492</v>
      </c>
      <c r="J1283" s="229"/>
      <c r="K1283" s="229"/>
      <c r="L1283" s="229">
        <v>3800</v>
      </c>
      <c r="M1283" s="55"/>
    </row>
    <row r="1284" spans="2:13" x14ac:dyDescent="0.3">
      <c r="B1284" s="223" t="s">
        <v>2474</v>
      </c>
      <c r="C1284" s="37">
        <v>6</v>
      </c>
      <c r="D1284" s="225">
        <v>12</v>
      </c>
      <c r="E1284" s="226">
        <v>22559</v>
      </c>
      <c r="F1284" s="227"/>
      <c r="G1284" s="1" t="str">
        <f>IFERROR(IF(ventas_b_mes12[[#This Row],[CUIT]]="","-",VLOOKUP(ventas_b_mes12[[#This Row],[CUIT]],Lista_CUIT[#All],2,0)),"CUIT NO CARGADO")</f>
        <v>-</v>
      </c>
      <c r="H1284" s="96">
        <f>ventas_b_mes12[[#This Row],[TOTAL]]/1.21</f>
        <v>7423.5619834710751</v>
      </c>
      <c r="I1284" s="60">
        <f>ventas_b_mes12[[#This Row],[IMPORTE NETO]]*0.21</f>
        <v>1558.9480165289258</v>
      </c>
      <c r="J1284" s="229"/>
      <c r="K1284" s="229"/>
      <c r="L1284" s="229">
        <v>8982.51</v>
      </c>
      <c r="M1284" s="55"/>
    </row>
    <row r="1285" spans="2:13" x14ac:dyDescent="0.3">
      <c r="B1285" s="223" t="s">
        <v>2474</v>
      </c>
      <c r="C1285" s="37">
        <v>6</v>
      </c>
      <c r="D1285" s="225">
        <v>13</v>
      </c>
      <c r="E1285" s="226">
        <v>26789</v>
      </c>
      <c r="F1285" s="227"/>
      <c r="G1285" s="1" t="str">
        <f>IFERROR(IF(ventas_b_mes12[[#This Row],[CUIT]]="","-",VLOOKUP(ventas_b_mes12[[#This Row],[CUIT]],Lista_CUIT[#All],2,0)),"CUIT NO CARGADO")</f>
        <v>-</v>
      </c>
      <c r="H1285" s="96">
        <f>ventas_b_mes12[[#This Row],[TOTAL]]/1.21</f>
        <v>9252.0743801652898</v>
      </c>
      <c r="I1285" s="60">
        <f>ventas_b_mes12[[#This Row],[IMPORTE NETO]]*0.21</f>
        <v>1942.9356198347107</v>
      </c>
      <c r="J1285" s="229"/>
      <c r="K1285" s="229"/>
      <c r="L1285" s="229">
        <v>11195.01</v>
      </c>
      <c r="M1285" s="55"/>
    </row>
    <row r="1286" spans="2:13" x14ac:dyDescent="0.3">
      <c r="B1286" s="223" t="s">
        <v>2474</v>
      </c>
      <c r="C1286" s="37">
        <v>6</v>
      </c>
      <c r="D1286" s="225">
        <v>10</v>
      </c>
      <c r="E1286" s="226">
        <v>43930</v>
      </c>
      <c r="F1286" s="227"/>
      <c r="G1286" s="1" t="str">
        <f>IFERROR(IF(ventas_b_mes12[[#This Row],[CUIT]]="","-",VLOOKUP(ventas_b_mes12[[#This Row],[CUIT]],Lista_CUIT[#All],2,0)),"CUIT NO CARGADO")</f>
        <v>-</v>
      </c>
      <c r="H1286" s="96">
        <f>ventas_b_mes12[[#This Row],[TOTAL]]/1.21</f>
        <v>2231.404958677686</v>
      </c>
      <c r="I1286" s="60">
        <f>ventas_b_mes12[[#This Row],[IMPORTE NETO]]*0.21</f>
        <v>468.59504132231405</v>
      </c>
      <c r="J1286" s="229"/>
      <c r="K1286" s="229"/>
      <c r="L1286" s="229">
        <v>2700</v>
      </c>
      <c r="M1286" s="55"/>
    </row>
    <row r="1287" spans="2:13" x14ac:dyDescent="0.3">
      <c r="B1287" s="223" t="s">
        <v>2474</v>
      </c>
      <c r="C1287" s="37">
        <v>6</v>
      </c>
      <c r="D1287" s="225">
        <v>12</v>
      </c>
      <c r="E1287" s="226">
        <v>22566</v>
      </c>
      <c r="F1287" s="227"/>
      <c r="G1287" s="1" t="str">
        <f>IFERROR(IF(ventas_b_mes12[[#This Row],[CUIT]]="","-",VLOOKUP(ventas_b_mes12[[#This Row],[CUIT]],Lista_CUIT[#All],2,0)),"CUIT NO CARGADO")</f>
        <v>-</v>
      </c>
      <c r="H1287" s="96">
        <f>ventas_b_mes12[[#This Row],[TOTAL]]/1.21</f>
        <v>322.31404958677689</v>
      </c>
      <c r="I1287" s="60">
        <f>ventas_b_mes12[[#This Row],[IMPORTE NETO]]*0.21</f>
        <v>67.685950413223139</v>
      </c>
      <c r="J1287" s="229"/>
      <c r="K1287" s="229"/>
      <c r="L1287" s="229">
        <v>390</v>
      </c>
      <c r="M1287" s="55"/>
    </row>
    <row r="1288" spans="2:13" x14ac:dyDescent="0.3">
      <c r="B1288" s="223" t="s">
        <v>2474</v>
      </c>
      <c r="C1288" s="37">
        <v>6</v>
      </c>
      <c r="D1288" s="225">
        <v>12</v>
      </c>
      <c r="E1288" s="226">
        <v>22562</v>
      </c>
      <c r="F1288" s="227"/>
      <c r="G1288" s="1" t="str">
        <f>IFERROR(IF(ventas_b_mes12[[#This Row],[CUIT]]="","-",VLOOKUP(ventas_b_mes12[[#This Row],[CUIT]],Lista_CUIT[#All],2,0)),"CUIT NO CARGADO")</f>
        <v>-</v>
      </c>
      <c r="H1288" s="96">
        <f>ventas_b_mes12[[#This Row],[TOTAL]]/1.21</f>
        <v>6157.0247933884302</v>
      </c>
      <c r="I1288" s="60">
        <f>ventas_b_mes12[[#This Row],[IMPORTE NETO]]*0.21</f>
        <v>1292.9752066115702</v>
      </c>
      <c r="J1288" s="229"/>
      <c r="K1288" s="229"/>
      <c r="L1288" s="229">
        <v>7450</v>
      </c>
      <c r="M1288" s="55"/>
    </row>
    <row r="1289" spans="2:13" x14ac:dyDescent="0.3">
      <c r="B1289" s="223" t="s">
        <v>2474</v>
      </c>
      <c r="C1289" s="37">
        <v>6</v>
      </c>
      <c r="D1289" s="225">
        <v>15</v>
      </c>
      <c r="E1289" s="226">
        <v>7253</v>
      </c>
      <c r="F1289" s="227"/>
      <c r="G1289" s="1" t="str">
        <f>IFERROR(IF(ventas_b_mes12[[#This Row],[CUIT]]="","-",VLOOKUP(ventas_b_mes12[[#This Row],[CUIT]],Lista_CUIT[#All],2,0)),"CUIT NO CARGADO")</f>
        <v>-</v>
      </c>
      <c r="H1289" s="96">
        <f>ventas_b_mes12[[#This Row],[TOTAL]]/1.21</f>
        <v>2253.7190082644629</v>
      </c>
      <c r="I1289" s="60">
        <f>ventas_b_mes12[[#This Row],[IMPORTE NETO]]*0.21</f>
        <v>473.28099173553721</v>
      </c>
      <c r="J1289" s="229"/>
      <c r="K1289" s="229"/>
      <c r="L1289" s="229">
        <v>2727</v>
      </c>
      <c r="M1289" s="55"/>
    </row>
    <row r="1290" spans="2:13" x14ac:dyDescent="0.3">
      <c r="B1290" s="223" t="s">
        <v>2474</v>
      </c>
      <c r="C1290" s="37">
        <v>6</v>
      </c>
      <c r="D1290" s="225">
        <v>10</v>
      </c>
      <c r="E1290" s="226">
        <v>43924</v>
      </c>
      <c r="F1290" s="227"/>
      <c r="G1290" s="1" t="str">
        <f>IFERROR(IF(ventas_b_mes12[[#This Row],[CUIT]]="","-",VLOOKUP(ventas_b_mes12[[#This Row],[CUIT]],Lista_CUIT[#All],2,0)),"CUIT NO CARGADO")</f>
        <v>-</v>
      </c>
      <c r="H1290" s="96">
        <f>ventas_b_mes12[[#This Row],[TOTAL]]/1.21</f>
        <v>2479.3388429752067</v>
      </c>
      <c r="I1290" s="60">
        <f>ventas_b_mes12[[#This Row],[IMPORTE NETO]]*0.21</f>
        <v>520.6611570247934</v>
      </c>
      <c r="J1290" s="229"/>
      <c r="K1290" s="229"/>
      <c r="L1290" s="229">
        <v>3000</v>
      </c>
      <c r="M1290" s="55"/>
    </row>
    <row r="1291" spans="2:13" x14ac:dyDescent="0.3">
      <c r="B1291" s="223" t="s">
        <v>2474</v>
      </c>
      <c r="C1291" s="37">
        <v>6</v>
      </c>
      <c r="D1291" s="225">
        <v>12</v>
      </c>
      <c r="E1291" s="226">
        <v>22565</v>
      </c>
      <c r="F1291" s="227"/>
      <c r="G1291" s="1" t="str">
        <f>IFERROR(IF(ventas_b_mes12[[#This Row],[CUIT]]="","-",VLOOKUP(ventas_b_mes12[[#This Row],[CUIT]],Lista_CUIT[#All],2,0)),"CUIT NO CARGADO")</f>
        <v>-</v>
      </c>
      <c r="H1291" s="96">
        <f>ventas_b_mes12[[#This Row],[TOTAL]]/1.21</f>
        <v>826.44628099173553</v>
      </c>
      <c r="I1291" s="60">
        <f>ventas_b_mes12[[#This Row],[IMPORTE NETO]]*0.21</f>
        <v>173.55371900826447</v>
      </c>
      <c r="J1291" s="229"/>
      <c r="K1291" s="229"/>
      <c r="L1291" s="229">
        <v>1000</v>
      </c>
      <c r="M1291" s="55"/>
    </row>
    <row r="1292" spans="2:13" x14ac:dyDescent="0.3">
      <c r="B1292" s="223" t="s">
        <v>2474</v>
      </c>
      <c r="C1292" s="37">
        <v>6</v>
      </c>
      <c r="D1292" s="225">
        <v>12</v>
      </c>
      <c r="E1292" s="226">
        <v>22557</v>
      </c>
      <c r="F1292" s="227"/>
      <c r="G1292" s="1" t="str">
        <f>IFERROR(IF(ventas_b_mes12[[#This Row],[CUIT]]="","-",VLOOKUP(ventas_b_mes12[[#This Row],[CUIT]],Lista_CUIT[#All],2,0)),"CUIT NO CARGADO")</f>
        <v>-</v>
      </c>
      <c r="H1292" s="96">
        <f>ventas_b_mes12[[#This Row],[TOTAL]]/1.21</f>
        <v>4545.454545454546</v>
      </c>
      <c r="I1292" s="60">
        <f>ventas_b_mes12[[#This Row],[IMPORTE NETO]]*0.21</f>
        <v>954.54545454545462</v>
      </c>
      <c r="J1292" s="229"/>
      <c r="K1292" s="229"/>
      <c r="L1292" s="229">
        <v>5500</v>
      </c>
      <c r="M1292" s="55"/>
    </row>
    <row r="1293" spans="2:13" x14ac:dyDescent="0.3">
      <c r="B1293" s="223" t="s">
        <v>2474</v>
      </c>
      <c r="C1293" s="37">
        <v>6</v>
      </c>
      <c r="D1293" s="225">
        <v>12</v>
      </c>
      <c r="E1293" s="226">
        <v>22558</v>
      </c>
      <c r="F1293" s="227"/>
      <c r="G1293" s="1" t="str">
        <f>IFERROR(IF(ventas_b_mes12[[#This Row],[CUIT]]="","-",VLOOKUP(ventas_b_mes12[[#This Row],[CUIT]],Lista_CUIT[#All],2,0)),"CUIT NO CARGADO")</f>
        <v>-</v>
      </c>
      <c r="H1293" s="96">
        <f>ventas_b_mes12[[#This Row],[TOTAL]]/1.21</f>
        <v>11636.363636363636</v>
      </c>
      <c r="I1293" s="60">
        <f>ventas_b_mes12[[#This Row],[IMPORTE NETO]]*0.21</f>
        <v>2443.6363636363635</v>
      </c>
      <c r="J1293" s="229"/>
      <c r="K1293" s="229"/>
      <c r="L1293" s="229">
        <v>14080</v>
      </c>
      <c r="M1293" s="55"/>
    </row>
    <row r="1294" spans="2:13" x14ac:dyDescent="0.3">
      <c r="B1294" s="223" t="s">
        <v>2474</v>
      </c>
      <c r="C1294" s="37">
        <v>6</v>
      </c>
      <c r="D1294" s="225">
        <v>12</v>
      </c>
      <c r="E1294" s="226">
        <v>22564</v>
      </c>
      <c r="F1294" s="227"/>
      <c r="G1294" s="1" t="str">
        <f>IFERROR(IF(ventas_b_mes12[[#This Row],[CUIT]]="","-",VLOOKUP(ventas_b_mes12[[#This Row],[CUIT]],Lista_CUIT[#All],2,0)),"CUIT NO CARGADO")</f>
        <v>-</v>
      </c>
      <c r="H1294" s="96">
        <f>ventas_b_mes12[[#This Row],[TOTAL]]/1.21</f>
        <v>4905.7851239669426</v>
      </c>
      <c r="I1294" s="60">
        <f>ventas_b_mes12[[#This Row],[IMPORTE NETO]]*0.21</f>
        <v>1030.2148760330579</v>
      </c>
      <c r="J1294" s="229"/>
      <c r="K1294" s="229"/>
      <c r="L1294" s="229">
        <v>5936</v>
      </c>
      <c r="M1294" s="55"/>
    </row>
    <row r="1295" spans="2:13" x14ac:dyDescent="0.3">
      <c r="B1295" s="223" t="s">
        <v>2474</v>
      </c>
      <c r="C1295" s="37">
        <v>6</v>
      </c>
      <c r="D1295" s="225">
        <v>13</v>
      </c>
      <c r="E1295" s="226">
        <v>26788</v>
      </c>
      <c r="F1295" s="227"/>
      <c r="G1295" s="1" t="str">
        <f>IFERROR(IF(ventas_b_mes12[[#This Row],[CUIT]]="","-",VLOOKUP(ventas_b_mes12[[#This Row],[CUIT]],Lista_CUIT[#All],2,0)),"CUIT NO CARGADO")</f>
        <v>-</v>
      </c>
      <c r="H1295" s="96">
        <f>ventas_b_mes12[[#This Row],[TOTAL]]/1.21</f>
        <v>1404.9586776859505</v>
      </c>
      <c r="I1295" s="60">
        <f>ventas_b_mes12[[#This Row],[IMPORTE NETO]]*0.21</f>
        <v>295.04132231404958</v>
      </c>
      <c r="J1295" s="229"/>
      <c r="K1295" s="229"/>
      <c r="L1295" s="229">
        <v>1700</v>
      </c>
      <c r="M1295" s="55"/>
    </row>
    <row r="1296" spans="2:13" x14ac:dyDescent="0.3">
      <c r="B1296" s="223" t="s">
        <v>2474</v>
      </c>
      <c r="C1296" s="37">
        <v>6</v>
      </c>
      <c r="D1296" s="225">
        <v>15</v>
      </c>
      <c r="E1296" s="226">
        <v>7260</v>
      </c>
      <c r="F1296" s="227"/>
      <c r="G1296" s="1" t="str">
        <f>IFERROR(IF(ventas_b_mes12[[#This Row],[CUIT]]="","-",VLOOKUP(ventas_b_mes12[[#This Row],[CUIT]],Lista_CUIT[#All],2,0)),"CUIT NO CARGADO")</f>
        <v>-</v>
      </c>
      <c r="H1296" s="96">
        <f>ventas_b_mes12[[#This Row],[TOTAL]]/1.21</f>
        <v>1214.8760330578514</v>
      </c>
      <c r="I1296" s="60">
        <f>ventas_b_mes12[[#This Row],[IMPORTE NETO]]*0.21</f>
        <v>255.12396694214877</v>
      </c>
      <c r="J1296" s="229"/>
      <c r="K1296" s="229"/>
      <c r="L1296" s="229">
        <v>1470</v>
      </c>
      <c r="M1296" s="55"/>
    </row>
    <row r="1297" spans="2:13" x14ac:dyDescent="0.3">
      <c r="B1297" s="223" t="s">
        <v>2474</v>
      </c>
      <c r="C1297" s="37">
        <v>6</v>
      </c>
      <c r="D1297" s="225">
        <v>12</v>
      </c>
      <c r="E1297" s="226">
        <v>22572</v>
      </c>
      <c r="F1297" s="227"/>
      <c r="G1297" s="1" t="str">
        <f>IFERROR(IF(ventas_b_mes12[[#This Row],[CUIT]]="","-",VLOOKUP(ventas_b_mes12[[#This Row],[CUIT]],Lista_CUIT[#All],2,0)),"CUIT NO CARGADO")</f>
        <v>-</v>
      </c>
      <c r="H1297" s="96">
        <f>ventas_b_mes12[[#This Row],[TOTAL]]/1.21</f>
        <v>2644.6280991735539</v>
      </c>
      <c r="I1297" s="60">
        <f>ventas_b_mes12[[#This Row],[IMPORTE NETO]]*0.21</f>
        <v>555.37190082644634</v>
      </c>
      <c r="J1297" s="229"/>
      <c r="K1297" s="229"/>
      <c r="L1297" s="229">
        <v>3200</v>
      </c>
      <c r="M1297" s="55"/>
    </row>
    <row r="1298" spans="2:13" x14ac:dyDescent="0.3">
      <c r="B1298" s="223" t="s">
        <v>2474</v>
      </c>
      <c r="C1298" s="37">
        <v>6</v>
      </c>
      <c r="D1298" s="225">
        <v>11</v>
      </c>
      <c r="E1298" s="226">
        <v>30125</v>
      </c>
      <c r="F1298" s="227"/>
      <c r="G1298" s="1" t="str">
        <f>IFERROR(IF(ventas_b_mes12[[#This Row],[CUIT]]="","-",VLOOKUP(ventas_b_mes12[[#This Row],[CUIT]],Lista_CUIT[#All],2,0)),"CUIT NO CARGADO")</f>
        <v>-</v>
      </c>
      <c r="H1298" s="96">
        <f>ventas_b_mes12[[#This Row],[TOTAL]]/1.21</f>
        <v>2944.6280991735539</v>
      </c>
      <c r="I1298" s="60">
        <f>ventas_b_mes12[[#This Row],[IMPORTE NETO]]*0.21</f>
        <v>618.37190082644634</v>
      </c>
      <c r="J1298" s="229"/>
      <c r="K1298" s="229"/>
      <c r="L1298" s="229">
        <v>3563</v>
      </c>
      <c r="M1298" s="55"/>
    </row>
    <row r="1299" spans="2:13" x14ac:dyDescent="0.3">
      <c r="B1299" s="223" t="s">
        <v>2474</v>
      </c>
      <c r="C1299" s="37">
        <v>6</v>
      </c>
      <c r="D1299" s="225">
        <v>11</v>
      </c>
      <c r="E1299" s="226">
        <v>30117</v>
      </c>
      <c r="F1299" s="227"/>
      <c r="G1299" s="1" t="str">
        <f>IFERROR(IF(ventas_b_mes12[[#This Row],[CUIT]]="","-",VLOOKUP(ventas_b_mes12[[#This Row],[CUIT]],Lista_CUIT[#All],2,0)),"CUIT NO CARGADO")</f>
        <v>-</v>
      </c>
      <c r="H1299" s="96">
        <f>ventas_b_mes12[[#This Row],[TOTAL]]/1.21</f>
        <v>1818.1818181818182</v>
      </c>
      <c r="I1299" s="60">
        <f>ventas_b_mes12[[#This Row],[IMPORTE NETO]]*0.21</f>
        <v>381.81818181818181</v>
      </c>
      <c r="J1299" s="229"/>
      <c r="K1299" s="229"/>
      <c r="L1299" s="229">
        <v>2200</v>
      </c>
      <c r="M1299" s="55"/>
    </row>
    <row r="1300" spans="2:13" x14ac:dyDescent="0.3">
      <c r="B1300" s="223" t="s">
        <v>2474</v>
      </c>
      <c r="C1300" s="37">
        <v>6</v>
      </c>
      <c r="D1300" s="225">
        <v>15</v>
      </c>
      <c r="E1300" s="226">
        <v>7252</v>
      </c>
      <c r="F1300" s="227"/>
      <c r="G1300" s="1" t="str">
        <f>IFERROR(IF(ventas_b_mes12[[#This Row],[CUIT]]="","-",VLOOKUP(ventas_b_mes12[[#This Row],[CUIT]],Lista_CUIT[#All],2,0)),"CUIT NO CARGADO")</f>
        <v>-</v>
      </c>
      <c r="H1300" s="96">
        <f>ventas_b_mes12[[#This Row],[TOTAL]]/1.21</f>
        <v>3384.2975206611573</v>
      </c>
      <c r="I1300" s="60">
        <f>ventas_b_mes12[[#This Row],[IMPORTE NETO]]*0.21</f>
        <v>710.70247933884298</v>
      </c>
      <c r="J1300" s="229"/>
      <c r="K1300" s="229"/>
      <c r="L1300" s="229">
        <v>4095</v>
      </c>
      <c r="M1300" s="55"/>
    </row>
    <row r="1301" spans="2:13" x14ac:dyDescent="0.3">
      <c r="B1301" s="223" t="s">
        <v>2474</v>
      </c>
      <c r="C1301" s="37">
        <v>6</v>
      </c>
      <c r="D1301" s="225">
        <v>10</v>
      </c>
      <c r="E1301" s="226">
        <v>43919</v>
      </c>
      <c r="F1301" s="227"/>
      <c r="G1301" s="1" t="str">
        <f>IFERROR(IF(ventas_b_mes12[[#This Row],[CUIT]]="","-",VLOOKUP(ventas_b_mes12[[#This Row],[CUIT]],Lista_CUIT[#All],2,0)),"CUIT NO CARGADO")</f>
        <v>-</v>
      </c>
      <c r="H1301" s="96">
        <f>ventas_b_mes12[[#This Row],[TOTAL]]/1.21</f>
        <v>4958.6776859504134</v>
      </c>
      <c r="I1301" s="60">
        <f>ventas_b_mes12[[#This Row],[IMPORTE NETO]]*0.21</f>
        <v>1041.3223140495868</v>
      </c>
      <c r="J1301" s="229"/>
      <c r="K1301" s="229"/>
      <c r="L1301" s="229">
        <v>6000</v>
      </c>
      <c r="M1301" s="55"/>
    </row>
    <row r="1302" spans="2:13" x14ac:dyDescent="0.3">
      <c r="B1302" s="223" t="s">
        <v>2474</v>
      </c>
      <c r="C1302" s="37">
        <v>6</v>
      </c>
      <c r="D1302" s="225">
        <v>10</v>
      </c>
      <c r="E1302" s="226">
        <v>43923</v>
      </c>
      <c r="F1302" s="227"/>
      <c r="G1302" s="1" t="str">
        <f>IFERROR(IF(ventas_b_mes12[[#This Row],[CUIT]]="","-",VLOOKUP(ventas_b_mes12[[#This Row],[CUIT]],Lista_CUIT[#All],2,0)),"CUIT NO CARGADO")</f>
        <v>-</v>
      </c>
      <c r="H1302" s="96">
        <f>ventas_b_mes12[[#This Row],[TOTAL]]/1.21</f>
        <v>2066.1157024793388</v>
      </c>
      <c r="I1302" s="60">
        <f>ventas_b_mes12[[#This Row],[IMPORTE NETO]]*0.21</f>
        <v>433.88429752066111</v>
      </c>
      <c r="J1302" s="229"/>
      <c r="K1302" s="229"/>
      <c r="L1302" s="229">
        <v>2500</v>
      </c>
      <c r="M1302" s="55"/>
    </row>
    <row r="1303" spans="2:13" x14ac:dyDescent="0.3">
      <c r="B1303" s="223" t="s">
        <v>2474</v>
      </c>
      <c r="C1303" s="37">
        <v>6</v>
      </c>
      <c r="D1303" s="225">
        <v>10</v>
      </c>
      <c r="E1303" s="226">
        <v>43921</v>
      </c>
      <c r="F1303" s="227"/>
      <c r="G1303" s="1" t="str">
        <f>IFERROR(IF(ventas_b_mes12[[#This Row],[CUIT]]="","-",VLOOKUP(ventas_b_mes12[[#This Row],[CUIT]],Lista_CUIT[#All],2,0)),"CUIT NO CARGADO")</f>
        <v>-</v>
      </c>
      <c r="H1303" s="96">
        <f>ventas_b_mes12[[#This Row],[TOTAL]]/1.21</f>
        <v>2066.1157024793388</v>
      </c>
      <c r="I1303" s="60">
        <f>ventas_b_mes12[[#This Row],[IMPORTE NETO]]*0.21</f>
        <v>433.88429752066111</v>
      </c>
      <c r="J1303" s="229"/>
      <c r="K1303" s="229"/>
      <c r="L1303" s="229">
        <v>2500</v>
      </c>
      <c r="M1303" s="55"/>
    </row>
    <row r="1304" spans="2:13" x14ac:dyDescent="0.3">
      <c r="B1304" s="223" t="s">
        <v>2474</v>
      </c>
      <c r="C1304" s="37">
        <v>6</v>
      </c>
      <c r="D1304" s="225">
        <v>10</v>
      </c>
      <c r="E1304" s="226">
        <v>43925</v>
      </c>
      <c r="F1304" s="227"/>
      <c r="G1304" s="1" t="str">
        <f>IFERROR(IF(ventas_b_mes12[[#This Row],[CUIT]]="","-",VLOOKUP(ventas_b_mes12[[#This Row],[CUIT]],Lista_CUIT[#All],2,0)),"CUIT NO CARGADO")</f>
        <v>-</v>
      </c>
      <c r="H1304" s="96">
        <f>ventas_b_mes12[[#This Row],[TOTAL]]/1.21</f>
        <v>4958.6776859504134</v>
      </c>
      <c r="I1304" s="60">
        <f>ventas_b_mes12[[#This Row],[IMPORTE NETO]]*0.21</f>
        <v>1041.3223140495868</v>
      </c>
      <c r="J1304" s="229"/>
      <c r="K1304" s="229"/>
      <c r="L1304" s="229">
        <v>6000</v>
      </c>
      <c r="M1304" s="55"/>
    </row>
    <row r="1305" spans="2:13" x14ac:dyDescent="0.3">
      <c r="B1305" s="223" t="s">
        <v>2474</v>
      </c>
      <c r="C1305" s="37">
        <v>6</v>
      </c>
      <c r="D1305" s="225">
        <v>13</v>
      </c>
      <c r="E1305" s="226">
        <v>26782</v>
      </c>
      <c r="F1305" s="227"/>
      <c r="G1305" s="1" t="str">
        <f>IFERROR(IF(ventas_b_mes12[[#This Row],[CUIT]]="","-",VLOOKUP(ventas_b_mes12[[#This Row],[CUIT]],Lista_CUIT[#All],2,0)),"CUIT NO CARGADO")</f>
        <v>-</v>
      </c>
      <c r="H1305" s="96">
        <f>ventas_b_mes12[[#This Row],[TOTAL]]/1.21</f>
        <v>2809.9173553719011</v>
      </c>
      <c r="I1305" s="60">
        <f>ventas_b_mes12[[#This Row],[IMPORTE NETO]]*0.21</f>
        <v>590.08264462809916</v>
      </c>
      <c r="J1305" s="229"/>
      <c r="K1305" s="229"/>
      <c r="L1305" s="229">
        <v>3400</v>
      </c>
      <c r="M1305" s="55"/>
    </row>
    <row r="1306" spans="2:13" x14ac:dyDescent="0.3">
      <c r="B1306" s="223" t="s">
        <v>2474</v>
      </c>
      <c r="C1306" s="37">
        <v>6</v>
      </c>
      <c r="D1306" s="225">
        <v>13</v>
      </c>
      <c r="E1306" s="226">
        <v>26787</v>
      </c>
      <c r="F1306" s="227"/>
      <c r="G1306" s="1" t="str">
        <f>IFERROR(IF(ventas_b_mes12[[#This Row],[CUIT]]="","-",VLOOKUP(ventas_b_mes12[[#This Row],[CUIT]],Lista_CUIT[#All],2,0)),"CUIT NO CARGADO")</f>
        <v>-</v>
      </c>
      <c r="H1306" s="96">
        <f>ventas_b_mes12[[#This Row],[TOTAL]]/1.21</f>
        <v>2892.5619834710747</v>
      </c>
      <c r="I1306" s="60">
        <f>ventas_b_mes12[[#This Row],[IMPORTE NETO]]*0.21</f>
        <v>607.43801652892569</v>
      </c>
      <c r="J1306" s="229"/>
      <c r="K1306" s="229"/>
      <c r="L1306" s="229">
        <v>3500</v>
      </c>
      <c r="M1306" s="55"/>
    </row>
    <row r="1307" spans="2:13" x14ac:dyDescent="0.3">
      <c r="B1307" s="223" t="s">
        <v>2474</v>
      </c>
      <c r="C1307" s="37">
        <v>6</v>
      </c>
      <c r="D1307" s="225">
        <v>12</v>
      </c>
      <c r="E1307" s="226">
        <v>22578</v>
      </c>
      <c r="F1307" s="227"/>
      <c r="G1307" s="1" t="str">
        <f>IFERROR(IF(ventas_b_mes12[[#This Row],[CUIT]]="","-",VLOOKUP(ventas_b_mes12[[#This Row],[CUIT]],Lista_CUIT[#All],2,0)),"CUIT NO CARGADO")</f>
        <v>-</v>
      </c>
      <c r="H1307" s="96">
        <f>ventas_b_mes12[[#This Row],[TOTAL]]/1.21</f>
        <v>4088.4297520661157</v>
      </c>
      <c r="I1307" s="60">
        <f>ventas_b_mes12[[#This Row],[IMPORTE NETO]]*0.21</f>
        <v>858.57024793388427</v>
      </c>
      <c r="J1307" s="229"/>
      <c r="K1307" s="229"/>
      <c r="L1307" s="229">
        <v>4947</v>
      </c>
      <c r="M1307" s="55"/>
    </row>
    <row r="1308" spans="2:13" x14ac:dyDescent="0.3">
      <c r="B1308" s="223" t="s">
        <v>2475</v>
      </c>
      <c r="C1308" s="37">
        <v>6</v>
      </c>
      <c r="D1308" s="225">
        <v>12</v>
      </c>
      <c r="E1308" s="226">
        <v>22584</v>
      </c>
      <c r="F1308" s="227"/>
      <c r="G1308" s="1" t="str">
        <f>IFERROR(IF(ventas_b_mes12[[#This Row],[CUIT]]="","-",VLOOKUP(ventas_b_mes12[[#This Row],[CUIT]],Lista_CUIT[#All],2,0)),"CUIT NO CARGADO")</f>
        <v>-</v>
      </c>
      <c r="H1308" s="96">
        <f>ventas_b_mes12[[#This Row],[TOTAL]]/1.21</f>
        <v>2768.6033057851241</v>
      </c>
      <c r="I1308" s="60">
        <f>ventas_b_mes12[[#This Row],[IMPORTE NETO]]*0.21</f>
        <v>581.4066942148761</v>
      </c>
      <c r="J1308" s="229"/>
      <c r="K1308" s="229"/>
      <c r="L1308" s="229">
        <v>3350.01</v>
      </c>
      <c r="M1308" s="55"/>
    </row>
    <row r="1309" spans="2:13" x14ac:dyDescent="0.3">
      <c r="B1309" s="223" t="s">
        <v>2475</v>
      </c>
      <c r="C1309" s="37">
        <v>6</v>
      </c>
      <c r="D1309" s="225">
        <v>11</v>
      </c>
      <c r="E1309" s="226">
        <v>30135</v>
      </c>
      <c r="F1309" s="227"/>
      <c r="G1309" s="1" t="str">
        <f>IFERROR(IF(ventas_b_mes12[[#This Row],[CUIT]]="","-",VLOOKUP(ventas_b_mes12[[#This Row],[CUIT]],Lista_CUIT[#All],2,0)),"CUIT NO CARGADO")</f>
        <v>-</v>
      </c>
      <c r="H1309" s="96">
        <f>ventas_b_mes12[[#This Row],[TOTAL]]/1.21</f>
        <v>3826.4462809917359</v>
      </c>
      <c r="I1309" s="60">
        <f>ventas_b_mes12[[#This Row],[IMPORTE NETO]]*0.21</f>
        <v>803.55371900826447</v>
      </c>
      <c r="J1309" s="229"/>
      <c r="K1309" s="229"/>
      <c r="L1309" s="229">
        <v>4630</v>
      </c>
      <c r="M1309" s="55"/>
    </row>
    <row r="1310" spans="2:13" x14ac:dyDescent="0.3">
      <c r="B1310" s="223" t="s">
        <v>2475</v>
      </c>
      <c r="C1310" s="37">
        <v>6</v>
      </c>
      <c r="D1310" s="225">
        <v>10</v>
      </c>
      <c r="E1310" s="226">
        <v>43948</v>
      </c>
      <c r="F1310" s="227"/>
      <c r="G1310" s="1" t="str">
        <f>IFERROR(IF(ventas_b_mes12[[#This Row],[CUIT]]="","-",VLOOKUP(ventas_b_mes12[[#This Row],[CUIT]],Lista_CUIT[#All],2,0)),"CUIT NO CARGADO")</f>
        <v>-</v>
      </c>
      <c r="H1310" s="96">
        <f>ventas_b_mes12[[#This Row],[TOTAL]]/1.21</f>
        <v>9004.8842975206608</v>
      </c>
      <c r="I1310" s="60">
        <f>ventas_b_mes12[[#This Row],[IMPORTE NETO]]*0.21</f>
        <v>1891.0257024793386</v>
      </c>
      <c r="J1310" s="229"/>
      <c r="K1310" s="229"/>
      <c r="L1310" s="229">
        <v>10895.91</v>
      </c>
      <c r="M1310" s="55"/>
    </row>
    <row r="1311" spans="2:13" x14ac:dyDescent="0.3">
      <c r="B1311" s="223" t="s">
        <v>2475</v>
      </c>
      <c r="C1311" s="37">
        <v>6</v>
      </c>
      <c r="D1311" s="225">
        <v>12</v>
      </c>
      <c r="E1311" s="226">
        <v>22600</v>
      </c>
      <c r="F1311" s="227"/>
      <c r="G1311" s="1" t="str">
        <f>IFERROR(IF(ventas_b_mes12[[#This Row],[CUIT]]="","-",VLOOKUP(ventas_b_mes12[[#This Row],[CUIT]],Lista_CUIT[#All],2,0)),"CUIT NO CARGADO")</f>
        <v>-</v>
      </c>
      <c r="H1311" s="96">
        <f>ventas_b_mes12[[#This Row],[TOTAL]]/1.21</f>
        <v>3785.1239669421489</v>
      </c>
      <c r="I1311" s="60">
        <f>ventas_b_mes12[[#This Row],[IMPORTE NETO]]*0.21</f>
        <v>794.87603305785126</v>
      </c>
      <c r="J1311" s="229"/>
      <c r="K1311" s="229"/>
      <c r="L1311" s="229">
        <v>4580</v>
      </c>
      <c r="M1311" s="55"/>
    </row>
    <row r="1312" spans="2:13" x14ac:dyDescent="0.3">
      <c r="B1312" s="223" t="s">
        <v>2475</v>
      </c>
      <c r="C1312" s="37">
        <v>6</v>
      </c>
      <c r="D1312" s="225">
        <v>12</v>
      </c>
      <c r="E1312" s="226">
        <v>22588</v>
      </c>
      <c r="F1312" s="227"/>
      <c r="G1312" s="1" t="str">
        <f>IFERROR(IF(ventas_b_mes12[[#This Row],[CUIT]]="","-",VLOOKUP(ventas_b_mes12[[#This Row],[CUIT]],Lista_CUIT[#All],2,0)),"CUIT NO CARGADO")</f>
        <v>-</v>
      </c>
      <c r="H1312" s="96">
        <f>ventas_b_mes12[[#This Row],[TOTAL]]/1.21</f>
        <v>5987.6033057851246</v>
      </c>
      <c r="I1312" s="60">
        <f>ventas_b_mes12[[#This Row],[IMPORTE NETO]]*0.21</f>
        <v>1257.3966942148761</v>
      </c>
      <c r="J1312" s="229"/>
      <c r="K1312" s="229"/>
      <c r="L1312" s="229">
        <v>7245</v>
      </c>
      <c r="M1312" s="55"/>
    </row>
    <row r="1313" spans="2:13" x14ac:dyDescent="0.3">
      <c r="B1313" s="223" t="s">
        <v>2475</v>
      </c>
      <c r="C1313" s="37">
        <v>6</v>
      </c>
      <c r="D1313" s="225">
        <v>10</v>
      </c>
      <c r="E1313" s="226">
        <v>43945</v>
      </c>
      <c r="F1313" s="227"/>
      <c r="G1313" s="1" t="str">
        <f>IFERROR(IF(ventas_b_mes12[[#This Row],[CUIT]]="","-",VLOOKUP(ventas_b_mes12[[#This Row],[CUIT]],Lista_CUIT[#All],2,0)),"CUIT NO CARGADO")</f>
        <v>-</v>
      </c>
      <c r="H1313" s="96">
        <f>ventas_b_mes12[[#This Row],[TOTAL]]/1.21</f>
        <v>4788.5867768595035</v>
      </c>
      <c r="I1313" s="60">
        <f>ventas_b_mes12[[#This Row],[IMPORTE NETO]]*0.21</f>
        <v>1005.6032231404957</v>
      </c>
      <c r="J1313" s="229"/>
      <c r="K1313" s="229"/>
      <c r="L1313" s="229">
        <v>5794.19</v>
      </c>
      <c r="M1313" s="55"/>
    </row>
    <row r="1314" spans="2:13" x14ac:dyDescent="0.3">
      <c r="B1314" s="223" t="s">
        <v>2475</v>
      </c>
      <c r="C1314" s="37">
        <v>6</v>
      </c>
      <c r="D1314" s="225">
        <v>12</v>
      </c>
      <c r="E1314" s="226">
        <v>22586</v>
      </c>
      <c r="F1314" s="227"/>
      <c r="G1314" s="1" t="str">
        <f>IFERROR(IF(ventas_b_mes12[[#This Row],[CUIT]]="","-",VLOOKUP(ventas_b_mes12[[#This Row],[CUIT]],Lista_CUIT[#All],2,0)),"CUIT NO CARGADO")</f>
        <v>-</v>
      </c>
      <c r="H1314" s="96">
        <f>ventas_b_mes12[[#This Row],[TOTAL]]/1.21</f>
        <v>2479.3388429752067</v>
      </c>
      <c r="I1314" s="60">
        <f>ventas_b_mes12[[#This Row],[IMPORTE NETO]]*0.21</f>
        <v>520.6611570247934</v>
      </c>
      <c r="J1314" s="229"/>
      <c r="K1314" s="229"/>
      <c r="L1314" s="229">
        <v>3000</v>
      </c>
      <c r="M1314" s="55"/>
    </row>
    <row r="1315" spans="2:13" x14ac:dyDescent="0.3">
      <c r="B1315" s="223" t="s">
        <v>2475</v>
      </c>
      <c r="C1315" s="37">
        <v>6</v>
      </c>
      <c r="D1315" s="225">
        <v>10</v>
      </c>
      <c r="E1315" s="226">
        <v>43946</v>
      </c>
      <c r="F1315" s="227"/>
      <c r="G1315" s="1" t="str">
        <f>IFERROR(IF(ventas_b_mes12[[#This Row],[CUIT]]="","-",VLOOKUP(ventas_b_mes12[[#This Row],[CUIT]],Lista_CUIT[#All],2,0)),"CUIT NO CARGADO")</f>
        <v>-</v>
      </c>
      <c r="H1315" s="96">
        <f>ventas_b_mes12[[#This Row],[TOTAL]]/1.21</f>
        <v>1144.6280991735537</v>
      </c>
      <c r="I1315" s="60">
        <f>ventas_b_mes12[[#This Row],[IMPORTE NETO]]*0.21</f>
        <v>240.37190082644625</v>
      </c>
      <c r="J1315" s="229"/>
      <c r="K1315" s="229"/>
      <c r="L1315" s="229">
        <v>1385</v>
      </c>
      <c r="M1315" s="55"/>
    </row>
    <row r="1316" spans="2:13" x14ac:dyDescent="0.3">
      <c r="B1316" s="223" t="s">
        <v>2475</v>
      </c>
      <c r="C1316" s="37">
        <v>6</v>
      </c>
      <c r="D1316" s="225">
        <v>12</v>
      </c>
      <c r="E1316" s="226">
        <v>22585</v>
      </c>
      <c r="F1316" s="227"/>
      <c r="G1316" s="1" t="str">
        <f>IFERROR(IF(ventas_b_mes12[[#This Row],[CUIT]]="","-",VLOOKUP(ventas_b_mes12[[#This Row],[CUIT]],Lista_CUIT[#All],2,0)),"CUIT NO CARGADO")</f>
        <v>-</v>
      </c>
      <c r="H1316" s="96">
        <f>ventas_b_mes12[[#This Row],[TOTAL]]/1.21</f>
        <v>3644.6280991735539</v>
      </c>
      <c r="I1316" s="60">
        <f>ventas_b_mes12[[#This Row],[IMPORTE NETO]]*0.21</f>
        <v>765.37190082644634</v>
      </c>
      <c r="J1316" s="229"/>
      <c r="K1316" s="229"/>
      <c r="L1316" s="229">
        <v>4410</v>
      </c>
      <c r="M1316" s="55"/>
    </row>
    <row r="1317" spans="2:13" x14ac:dyDescent="0.3">
      <c r="B1317" s="223" t="s">
        <v>2475</v>
      </c>
      <c r="C1317" s="37">
        <v>6</v>
      </c>
      <c r="D1317" s="225">
        <v>13</v>
      </c>
      <c r="E1317" s="226">
        <v>26795</v>
      </c>
      <c r="F1317" s="227"/>
      <c r="G1317" s="1" t="str">
        <f>IFERROR(IF(ventas_b_mes12[[#This Row],[CUIT]]="","-",VLOOKUP(ventas_b_mes12[[#This Row],[CUIT]],Lista_CUIT[#All],2,0)),"CUIT NO CARGADO")</f>
        <v>-</v>
      </c>
      <c r="H1317" s="96">
        <f>ventas_b_mes12[[#This Row],[TOTAL]]/1.21</f>
        <v>1239.6694214876034</v>
      </c>
      <c r="I1317" s="60">
        <f>ventas_b_mes12[[#This Row],[IMPORTE NETO]]*0.21</f>
        <v>260.3305785123967</v>
      </c>
      <c r="J1317" s="229"/>
      <c r="K1317" s="229"/>
      <c r="L1317" s="229">
        <v>1500</v>
      </c>
      <c r="M1317" s="55"/>
    </row>
    <row r="1318" spans="2:13" x14ac:dyDescent="0.3">
      <c r="B1318" s="223" t="s">
        <v>2475</v>
      </c>
      <c r="C1318" s="37">
        <v>6</v>
      </c>
      <c r="D1318" s="225">
        <v>10</v>
      </c>
      <c r="E1318" s="226">
        <v>43937</v>
      </c>
      <c r="F1318" s="227"/>
      <c r="G1318" s="1" t="str">
        <f>IFERROR(IF(ventas_b_mes12[[#This Row],[CUIT]]="","-",VLOOKUP(ventas_b_mes12[[#This Row],[CUIT]],Lista_CUIT[#All],2,0)),"CUIT NO CARGADO")</f>
        <v>-</v>
      </c>
      <c r="H1318" s="96">
        <f>ventas_b_mes12[[#This Row],[TOTAL]]/1.21</f>
        <v>2066.1157024793388</v>
      </c>
      <c r="I1318" s="60">
        <f>ventas_b_mes12[[#This Row],[IMPORTE NETO]]*0.21</f>
        <v>433.88429752066111</v>
      </c>
      <c r="J1318" s="229"/>
      <c r="K1318" s="229"/>
      <c r="L1318" s="229">
        <v>2500</v>
      </c>
      <c r="M1318" s="55"/>
    </row>
    <row r="1319" spans="2:13" x14ac:dyDescent="0.3">
      <c r="B1319" s="223" t="s">
        <v>2475</v>
      </c>
      <c r="C1319" s="37">
        <v>6</v>
      </c>
      <c r="D1319" s="225">
        <v>12</v>
      </c>
      <c r="E1319" s="226">
        <v>22589</v>
      </c>
      <c r="F1319" s="227"/>
      <c r="G1319" s="1" t="str">
        <f>IFERROR(IF(ventas_b_mes12[[#This Row],[CUIT]]="","-",VLOOKUP(ventas_b_mes12[[#This Row],[CUIT]],Lista_CUIT[#All],2,0)),"CUIT NO CARGADO")</f>
        <v>-</v>
      </c>
      <c r="H1319" s="96">
        <f>ventas_b_mes12[[#This Row],[TOTAL]]/1.21</f>
        <v>4958.6776859504134</v>
      </c>
      <c r="I1319" s="60">
        <f>ventas_b_mes12[[#This Row],[IMPORTE NETO]]*0.21</f>
        <v>1041.3223140495868</v>
      </c>
      <c r="J1319" s="229"/>
      <c r="K1319" s="229"/>
      <c r="L1319" s="229">
        <v>6000</v>
      </c>
      <c r="M1319" s="55"/>
    </row>
    <row r="1320" spans="2:13" x14ac:dyDescent="0.3">
      <c r="B1320" s="223" t="s">
        <v>2475</v>
      </c>
      <c r="C1320" s="37">
        <v>6</v>
      </c>
      <c r="D1320" s="225">
        <v>12</v>
      </c>
      <c r="E1320" s="226">
        <v>22596</v>
      </c>
      <c r="F1320" s="227"/>
      <c r="G1320" s="1" t="str">
        <f>IFERROR(IF(ventas_b_mes12[[#This Row],[CUIT]]="","-",VLOOKUP(ventas_b_mes12[[#This Row],[CUIT]],Lista_CUIT[#All],2,0)),"CUIT NO CARGADO")</f>
        <v>-</v>
      </c>
      <c r="H1320" s="96">
        <f>ventas_b_mes12[[#This Row],[TOTAL]]/1.21</f>
        <v>17165.289256198346</v>
      </c>
      <c r="I1320" s="60">
        <f>ventas_b_mes12[[#This Row],[IMPORTE NETO]]*0.21</f>
        <v>3604.7107438016524</v>
      </c>
      <c r="J1320" s="229"/>
      <c r="K1320" s="229"/>
      <c r="L1320" s="229">
        <v>20770</v>
      </c>
      <c r="M1320" s="55"/>
    </row>
    <row r="1321" spans="2:13" x14ac:dyDescent="0.3">
      <c r="B1321" s="223" t="s">
        <v>2475</v>
      </c>
      <c r="C1321" s="37">
        <v>6</v>
      </c>
      <c r="D1321" s="225">
        <v>13</v>
      </c>
      <c r="E1321" s="226">
        <v>26802</v>
      </c>
      <c r="F1321" s="227"/>
      <c r="G1321" s="1" t="str">
        <f>IFERROR(IF(ventas_b_mes12[[#This Row],[CUIT]]="","-",VLOOKUP(ventas_b_mes12[[#This Row],[CUIT]],Lista_CUIT[#All],2,0)),"CUIT NO CARGADO")</f>
        <v>-</v>
      </c>
      <c r="H1321" s="96">
        <f>ventas_b_mes12[[#This Row],[TOTAL]]/1.21</f>
        <v>3847.9338842975208</v>
      </c>
      <c r="I1321" s="60">
        <f>ventas_b_mes12[[#This Row],[IMPORTE NETO]]*0.21</f>
        <v>808.06611570247935</v>
      </c>
      <c r="J1321" s="229"/>
      <c r="K1321" s="229"/>
      <c r="L1321" s="229">
        <v>4656</v>
      </c>
      <c r="M1321" s="55"/>
    </row>
    <row r="1322" spans="2:13" x14ac:dyDescent="0.3">
      <c r="B1322" s="223" t="s">
        <v>2475</v>
      </c>
      <c r="C1322" s="37">
        <v>6</v>
      </c>
      <c r="D1322" s="225">
        <v>11</v>
      </c>
      <c r="E1322" s="226">
        <v>30129</v>
      </c>
      <c r="F1322" s="227"/>
      <c r="G1322" s="1" t="str">
        <f>IFERROR(IF(ventas_b_mes12[[#This Row],[CUIT]]="","-",VLOOKUP(ventas_b_mes12[[#This Row],[CUIT]],Lista_CUIT[#All],2,0)),"CUIT NO CARGADO")</f>
        <v>-</v>
      </c>
      <c r="H1322" s="96">
        <f>ventas_b_mes12[[#This Row],[TOTAL]]/1.21</f>
        <v>2570.2479338842977</v>
      </c>
      <c r="I1322" s="60">
        <f>ventas_b_mes12[[#This Row],[IMPORTE NETO]]*0.21</f>
        <v>539.75206611570252</v>
      </c>
      <c r="J1322" s="229"/>
      <c r="K1322" s="229"/>
      <c r="L1322" s="229">
        <v>3110</v>
      </c>
      <c r="M1322" s="55"/>
    </row>
    <row r="1323" spans="2:13" x14ac:dyDescent="0.3">
      <c r="B1323" s="223" t="s">
        <v>2475</v>
      </c>
      <c r="C1323" s="37">
        <v>6</v>
      </c>
      <c r="D1323" s="225">
        <v>11</v>
      </c>
      <c r="E1323" s="226">
        <v>30133</v>
      </c>
      <c r="F1323" s="227"/>
      <c r="G1323" s="1" t="str">
        <f>IFERROR(IF(ventas_b_mes12[[#This Row],[CUIT]]="","-",VLOOKUP(ventas_b_mes12[[#This Row],[CUIT]],Lista_CUIT[#All],2,0)),"CUIT NO CARGADO")</f>
        <v>-</v>
      </c>
      <c r="H1323" s="96">
        <f>ventas_b_mes12[[#This Row],[TOTAL]]/1.21</f>
        <v>4809.9173553719011</v>
      </c>
      <c r="I1323" s="60">
        <f>ventas_b_mes12[[#This Row],[IMPORTE NETO]]*0.21</f>
        <v>1010.0826446280992</v>
      </c>
      <c r="J1323" s="229"/>
      <c r="K1323" s="229"/>
      <c r="L1323" s="229">
        <v>5820</v>
      </c>
      <c r="M1323" s="55"/>
    </row>
    <row r="1324" spans="2:13" x14ac:dyDescent="0.3">
      <c r="B1324" s="223" t="s">
        <v>2475</v>
      </c>
      <c r="C1324" s="37">
        <v>6</v>
      </c>
      <c r="D1324" s="225">
        <v>10</v>
      </c>
      <c r="E1324" s="226">
        <v>43936</v>
      </c>
      <c r="F1324" s="227"/>
      <c r="G1324" s="1" t="str">
        <f>IFERROR(IF(ventas_b_mes12[[#This Row],[CUIT]]="","-",VLOOKUP(ventas_b_mes12[[#This Row],[CUIT]],Lista_CUIT[#All],2,0)),"CUIT NO CARGADO")</f>
        <v>-</v>
      </c>
      <c r="H1324" s="96">
        <f>ventas_b_mes12[[#This Row],[TOTAL]]/1.21</f>
        <v>8652.8925619834718</v>
      </c>
      <c r="I1324" s="60">
        <f>ventas_b_mes12[[#This Row],[IMPORTE NETO]]*0.21</f>
        <v>1817.1074380165289</v>
      </c>
      <c r="J1324" s="229"/>
      <c r="K1324" s="229"/>
      <c r="L1324" s="229">
        <v>10470</v>
      </c>
      <c r="M1324" s="55"/>
    </row>
    <row r="1325" spans="2:13" x14ac:dyDescent="0.3">
      <c r="B1325" s="223" t="s">
        <v>2475</v>
      </c>
      <c r="C1325" s="37">
        <v>6</v>
      </c>
      <c r="D1325" s="225">
        <v>15</v>
      </c>
      <c r="E1325" s="226">
        <v>7266</v>
      </c>
      <c r="F1325" s="227"/>
      <c r="G1325" s="1" t="str">
        <f>IFERROR(IF(ventas_b_mes12[[#This Row],[CUIT]]="","-",VLOOKUP(ventas_b_mes12[[#This Row],[CUIT]],Lista_CUIT[#All],2,0)),"CUIT NO CARGADO")</f>
        <v>-</v>
      </c>
      <c r="H1325" s="96">
        <f>ventas_b_mes12[[#This Row],[TOTAL]]/1.21</f>
        <v>1074.3801652892562</v>
      </c>
      <c r="I1325" s="60">
        <f>ventas_b_mes12[[#This Row],[IMPORTE NETO]]*0.21</f>
        <v>225.61983471074379</v>
      </c>
      <c r="J1325" s="229"/>
      <c r="K1325" s="229"/>
      <c r="L1325" s="229">
        <v>1300</v>
      </c>
      <c r="M1325" s="55"/>
    </row>
    <row r="1326" spans="2:13" x14ac:dyDescent="0.3">
      <c r="B1326" s="223" t="s">
        <v>2475</v>
      </c>
      <c r="C1326" s="37">
        <v>6</v>
      </c>
      <c r="D1326" s="225">
        <v>15</v>
      </c>
      <c r="E1326" s="226">
        <v>7264</v>
      </c>
      <c r="F1326" s="227"/>
      <c r="G1326" s="1" t="str">
        <f>IFERROR(IF(ventas_b_mes12[[#This Row],[CUIT]]="","-",VLOOKUP(ventas_b_mes12[[#This Row],[CUIT]],Lista_CUIT[#All],2,0)),"CUIT NO CARGADO")</f>
        <v>-</v>
      </c>
      <c r="H1326" s="96">
        <f>ventas_b_mes12[[#This Row],[TOTAL]]/1.21</f>
        <v>7190.0826446280989</v>
      </c>
      <c r="I1326" s="60">
        <f>ventas_b_mes12[[#This Row],[IMPORTE NETO]]*0.21</f>
        <v>1509.9173553719006</v>
      </c>
      <c r="J1326" s="229"/>
      <c r="K1326" s="229"/>
      <c r="L1326" s="229">
        <v>8700</v>
      </c>
      <c r="M1326" s="55"/>
    </row>
    <row r="1327" spans="2:13" x14ac:dyDescent="0.3">
      <c r="B1327" s="223" t="s">
        <v>2475</v>
      </c>
      <c r="C1327" s="37">
        <v>6</v>
      </c>
      <c r="D1327" s="225">
        <v>15</v>
      </c>
      <c r="E1327" s="226">
        <v>7271</v>
      </c>
      <c r="F1327" s="227"/>
      <c r="G1327" s="1" t="str">
        <f>IFERROR(IF(ventas_b_mes12[[#This Row],[CUIT]]="","-",VLOOKUP(ventas_b_mes12[[#This Row],[CUIT]],Lista_CUIT[#All],2,0)),"CUIT NO CARGADO")</f>
        <v>-</v>
      </c>
      <c r="H1327" s="96">
        <f>ventas_b_mes12[[#This Row],[TOTAL]]/1.21</f>
        <v>3553.7190082644629</v>
      </c>
      <c r="I1327" s="60">
        <f>ventas_b_mes12[[#This Row],[IMPORTE NETO]]*0.21</f>
        <v>746.28099173553721</v>
      </c>
      <c r="J1327" s="229"/>
      <c r="K1327" s="229"/>
      <c r="L1327" s="229">
        <v>4300</v>
      </c>
      <c r="M1327" s="55"/>
    </row>
    <row r="1328" spans="2:13" x14ac:dyDescent="0.3">
      <c r="B1328" s="223" t="s">
        <v>2475</v>
      </c>
      <c r="C1328" s="37">
        <v>6</v>
      </c>
      <c r="D1328" s="225">
        <v>12</v>
      </c>
      <c r="E1328" s="226">
        <v>22594</v>
      </c>
      <c r="F1328" s="227"/>
      <c r="G1328" s="1" t="str">
        <f>IFERROR(IF(ventas_b_mes12[[#This Row],[CUIT]]="","-",VLOOKUP(ventas_b_mes12[[#This Row],[CUIT]],Lista_CUIT[#All],2,0)),"CUIT NO CARGADO")</f>
        <v>-</v>
      </c>
      <c r="H1328" s="96">
        <f>ventas_b_mes12[[#This Row],[TOTAL]]/1.21</f>
        <v>6842.9834710743808</v>
      </c>
      <c r="I1328" s="60">
        <f>ventas_b_mes12[[#This Row],[IMPORTE NETO]]*0.21</f>
        <v>1437.0265289256199</v>
      </c>
      <c r="J1328" s="229"/>
      <c r="K1328" s="229"/>
      <c r="L1328" s="229">
        <v>8280.01</v>
      </c>
      <c r="M1328" s="55"/>
    </row>
    <row r="1329" spans="2:13" x14ac:dyDescent="0.3">
      <c r="B1329" s="223" t="s">
        <v>2475</v>
      </c>
      <c r="C1329" s="37">
        <v>6</v>
      </c>
      <c r="D1329" s="225">
        <v>12</v>
      </c>
      <c r="E1329" s="226">
        <v>22591</v>
      </c>
      <c r="F1329" s="227"/>
      <c r="G1329" s="1" t="str">
        <f>IFERROR(IF(ventas_b_mes12[[#This Row],[CUIT]]="","-",VLOOKUP(ventas_b_mes12[[#This Row],[CUIT]],Lista_CUIT[#All],2,0)),"CUIT NO CARGADO")</f>
        <v>-</v>
      </c>
      <c r="H1329" s="96">
        <f>ventas_b_mes12[[#This Row],[TOTAL]]/1.21</f>
        <v>6545.454545454546</v>
      </c>
      <c r="I1329" s="60">
        <f>ventas_b_mes12[[#This Row],[IMPORTE NETO]]*0.21</f>
        <v>1374.5454545454545</v>
      </c>
      <c r="J1329" s="229"/>
      <c r="K1329" s="229"/>
      <c r="L1329" s="229">
        <v>7920</v>
      </c>
      <c r="M1329" s="55"/>
    </row>
    <row r="1330" spans="2:13" x14ac:dyDescent="0.3">
      <c r="B1330" s="223" t="s">
        <v>2475</v>
      </c>
      <c r="C1330" s="37">
        <v>6</v>
      </c>
      <c r="D1330" s="225">
        <v>11</v>
      </c>
      <c r="E1330" s="226">
        <v>30128</v>
      </c>
      <c r="F1330" s="227"/>
      <c r="G1330" s="1" t="str">
        <f>IFERROR(IF(ventas_b_mes12[[#This Row],[CUIT]]="","-",VLOOKUP(ventas_b_mes12[[#This Row],[CUIT]],Lista_CUIT[#All],2,0)),"CUIT NO CARGADO")</f>
        <v>-</v>
      </c>
      <c r="H1330" s="96">
        <f>ventas_b_mes12[[#This Row],[TOTAL]]/1.21</f>
        <v>4958.6776859504134</v>
      </c>
      <c r="I1330" s="60">
        <f>ventas_b_mes12[[#This Row],[IMPORTE NETO]]*0.21</f>
        <v>1041.3223140495868</v>
      </c>
      <c r="J1330" s="229"/>
      <c r="K1330" s="229"/>
      <c r="L1330" s="229">
        <v>6000</v>
      </c>
      <c r="M1330" s="55"/>
    </row>
    <row r="1331" spans="2:13" x14ac:dyDescent="0.3">
      <c r="B1331" s="223" t="s">
        <v>2475</v>
      </c>
      <c r="C1331" s="37">
        <v>6</v>
      </c>
      <c r="D1331" s="225">
        <v>10</v>
      </c>
      <c r="E1331" s="226">
        <v>43938</v>
      </c>
      <c r="F1331" s="227"/>
      <c r="G1331" s="1" t="str">
        <f>IFERROR(IF(ventas_b_mes12[[#This Row],[CUIT]]="","-",VLOOKUP(ventas_b_mes12[[#This Row],[CUIT]],Lista_CUIT[#All],2,0)),"CUIT NO CARGADO")</f>
        <v>-</v>
      </c>
      <c r="H1331" s="96">
        <f>ventas_b_mes12[[#This Row],[TOTAL]]/1.21</f>
        <v>4834.7107438016528</v>
      </c>
      <c r="I1331" s="60">
        <f>ventas_b_mes12[[#This Row],[IMPORTE NETO]]*0.21</f>
        <v>1015.2892561983471</v>
      </c>
      <c r="J1331" s="229"/>
      <c r="K1331" s="229"/>
      <c r="L1331" s="229">
        <v>5850</v>
      </c>
      <c r="M1331" s="55"/>
    </row>
    <row r="1332" spans="2:13" x14ac:dyDescent="0.3">
      <c r="B1332" s="223" t="s">
        <v>2475</v>
      </c>
      <c r="C1332" s="37">
        <v>6</v>
      </c>
      <c r="D1332" s="225">
        <v>10</v>
      </c>
      <c r="E1332" s="226">
        <v>43943</v>
      </c>
      <c r="F1332" s="227"/>
      <c r="G1332" s="1" t="str">
        <f>IFERROR(IF(ventas_b_mes12[[#This Row],[CUIT]]="","-",VLOOKUP(ventas_b_mes12[[#This Row],[CUIT]],Lista_CUIT[#All],2,0)),"CUIT NO CARGADO")</f>
        <v>-</v>
      </c>
      <c r="H1332" s="96">
        <f>ventas_b_mes12[[#This Row],[TOTAL]]/1.21</f>
        <v>10326.446280991735</v>
      </c>
      <c r="I1332" s="60">
        <f>ventas_b_mes12[[#This Row],[IMPORTE NETO]]*0.21</f>
        <v>2168.5537190082641</v>
      </c>
      <c r="J1332" s="229"/>
      <c r="K1332" s="229"/>
      <c r="L1332" s="229">
        <v>12495</v>
      </c>
      <c r="M1332" s="55"/>
    </row>
    <row r="1333" spans="2:13" x14ac:dyDescent="0.3">
      <c r="B1333" s="223" t="s">
        <v>2475</v>
      </c>
      <c r="C1333" s="37">
        <v>6</v>
      </c>
      <c r="D1333" s="225">
        <v>11</v>
      </c>
      <c r="E1333" s="226">
        <v>30134</v>
      </c>
      <c r="F1333" s="227"/>
      <c r="G1333" s="1" t="str">
        <f>IFERROR(IF(ventas_b_mes12[[#This Row],[CUIT]]="","-",VLOOKUP(ventas_b_mes12[[#This Row],[CUIT]],Lista_CUIT[#All],2,0)),"CUIT NO CARGADO")</f>
        <v>-</v>
      </c>
      <c r="H1333" s="96">
        <f>ventas_b_mes12[[#This Row],[TOTAL]]/1.21</f>
        <v>9037.190082644629</v>
      </c>
      <c r="I1333" s="60">
        <f>ventas_b_mes12[[#This Row],[IMPORTE NETO]]*0.21</f>
        <v>1897.8099173553719</v>
      </c>
      <c r="J1333" s="229"/>
      <c r="K1333" s="229"/>
      <c r="L1333" s="229">
        <v>10935</v>
      </c>
      <c r="M1333" s="55"/>
    </row>
    <row r="1334" spans="2:13" x14ac:dyDescent="0.3">
      <c r="B1334" s="223" t="s">
        <v>2475</v>
      </c>
      <c r="C1334" s="37">
        <v>6</v>
      </c>
      <c r="D1334" s="225">
        <v>12</v>
      </c>
      <c r="E1334" s="226">
        <v>22595</v>
      </c>
      <c r="F1334" s="227"/>
      <c r="G1334" s="1" t="str">
        <f>IFERROR(IF(ventas_b_mes12[[#This Row],[CUIT]]="","-",VLOOKUP(ventas_b_mes12[[#This Row],[CUIT]],Lista_CUIT[#All],2,0)),"CUIT NO CARGADO")</f>
        <v>-</v>
      </c>
      <c r="H1334" s="96">
        <f>ventas_b_mes12[[#This Row],[TOTAL]]/1.21</f>
        <v>2148.7603305785124</v>
      </c>
      <c r="I1334" s="60">
        <f>ventas_b_mes12[[#This Row],[IMPORTE NETO]]*0.21</f>
        <v>451.23966942148758</v>
      </c>
      <c r="J1334" s="229"/>
      <c r="K1334" s="229"/>
      <c r="L1334" s="229">
        <v>2600</v>
      </c>
      <c r="M1334" s="55"/>
    </row>
    <row r="1335" spans="2:13" x14ac:dyDescent="0.3">
      <c r="B1335" s="223" t="s">
        <v>2475</v>
      </c>
      <c r="C1335" s="37">
        <v>6</v>
      </c>
      <c r="D1335" s="225">
        <v>15</v>
      </c>
      <c r="E1335" s="226">
        <v>7270</v>
      </c>
      <c r="F1335" s="227"/>
      <c r="G1335" s="1" t="str">
        <f>IFERROR(IF(ventas_b_mes12[[#This Row],[CUIT]]="","-",VLOOKUP(ventas_b_mes12[[#This Row],[CUIT]],Lista_CUIT[#All],2,0)),"CUIT NO CARGADO")</f>
        <v>-</v>
      </c>
      <c r="H1335" s="96">
        <f>ventas_b_mes12[[#This Row],[TOTAL]]/1.21</f>
        <v>2066.1157024793388</v>
      </c>
      <c r="I1335" s="60">
        <f>ventas_b_mes12[[#This Row],[IMPORTE NETO]]*0.21</f>
        <v>433.88429752066111</v>
      </c>
      <c r="J1335" s="229"/>
      <c r="K1335" s="229"/>
      <c r="L1335" s="229">
        <v>2500</v>
      </c>
      <c r="M1335" s="55"/>
    </row>
    <row r="1336" spans="2:13" x14ac:dyDescent="0.3">
      <c r="B1336" s="223" t="s">
        <v>2475</v>
      </c>
      <c r="C1336" s="37">
        <v>6</v>
      </c>
      <c r="D1336" s="225">
        <v>13</v>
      </c>
      <c r="E1336" s="226">
        <v>26804</v>
      </c>
      <c r="F1336" s="227"/>
      <c r="G1336" s="1" t="str">
        <f>IFERROR(IF(ventas_b_mes12[[#This Row],[CUIT]]="","-",VLOOKUP(ventas_b_mes12[[#This Row],[CUIT]],Lista_CUIT[#All],2,0)),"CUIT NO CARGADO")</f>
        <v>-</v>
      </c>
      <c r="H1336" s="96">
        <f>ventas_b_mes12[[#This Row],[TOTAL]]/1.21</f>
        <v>1088.8429752066115</v>
      </c>
      <c r="I1336" s="60">
        <f>ventas_b_mes12[[#This Row],[IMPORTE NETO]]*0.21</f>
        <v>228.65702479338842</v>
      </c>
      <c r="J1336" s="229"/>
      <c r="K1336" s="229"/>
      <c r="L1336" s="229">
        <v>1317.5</v>
      </c>
      <c r="M1336" s="55"/>
    </row>
    <row r="1337" spans="2:13" x14ac:dyDescent="0.3">
      <c r="B1337" s="223" t="s">
        <v>2475</v>
      </c>
      <c r="C1337" s="37">
        <v>6</v>
      </c>
      <c r="D1337" s="225">
        <v>12</v>
      </c>
      <c r="E1337" s="226">
        <v>22582</v>
      </c>
      <c r="F1337" s="227"/>
      <c r="G1337" s="1" t="str">
        <f>IFERROR(IF(ventas_b_mes12[[#This Row],[CUIT]]="","-",VLOOKUP(ventas_b_mes12[[#This Row],[CUIT]],Lista_CUIT[#All],2,0)),"CUIT NO CARGADO")</f>
        <v>-</v>
      </c>
      <c r="H1337" s="96">
        <f>ventas_b_mes12[[#This Row],[TOTAL]]/1.21</f>
        <v>3120.6611570247933</v>
      </c>
      <c r="I1337" s="60">
        <f>ventas_b_mes12[[#This Row],[IMPORTE NETO]]*0.21</f>
        <v>655.3388429752066</v>
      </c>
      <c r="J1337" s="229"/>
      <c r="K1337" s="229"/>
      <c r="L1337" s="229">
        <v>3776</v>
      </c>
      <c r="M1337" s="55"/>
    </row>
    <row r="1338" spans="2:13" x14ac:dyDescent="0.3">
      <c r="B1338" s="223" t="s">
        <v>2475</v>
      </c>
      <c r="C1338" s="37">
        <v>6</v>
      </c>
      <c r="D1338" s="225">
        <v>11</v>
      </c>
      <c r="E1338" s="226">
        <v>30130</v>
      </c>
      <c r="F1338" s="227"/>
      <c r="G1338" s="1" t="str">
        <f>IFERROR(IF(ventas_b_mes12[[#This Row],[CUIT]]="","-",VLOOKUP(ventas_b_mes12[[#This Row],[CUIT]],Lista_CUIT[#All],2,0)),"CUIT NO CARGADO")</f>
        <v>-</v>
      </c>
      <c r="H1338" s="96">
        <f>ventas_b_mes12[[#This Row],[TOTAL]]/1.21</f>
        <v>8694.2314049586785</v>
      </c>
      <c r="I1338" s="60">
        <f>ventas_b_mes12[[#This Row],[IMPORTE NETO]]*0.21</f>
        <v>1825.7885950413224</v>
      </c>
      <c r="J1338" s="229"/>
      <c r="K1338" s="229"/>
      <c r="L1338" s="229">
        <v>10520.02</v>
      </c>
      <c r="M1338" s="55"/>
    </row>
    <row r="1339" spans="2:13" x14ac:dyDescent="0.3">
      <c r="B1339" s="223" t="s">
        <v>2475</v>
      </c>
      <c r="C1339" s="37">
        <v>6</v>
      </c>
      <c r="D1339" s="225">
        <v>13</v>
      </c>
      <c r="E1339" s="226">
        <v>26805</v>
      </c>
      <c r="F1339" s="227"/>
      <c r="G1339" s="1" t="str">
        <f>IFERROR(IF(ventas_b_mes12[[#This Row],[CUIT]]="","-",VLOOKUP(ventas_b_mes12[[#This Row],[CUIT]],Lista_CUIT[#All],2,0)),"CUIT NO CARGADO")</f>
        <v>-</v>
      </c>
      <c r="H1339" s="96">
        <f>ventas_b_mes12[[#This Row],[TOTAL]]/1.21</f>
        <v>5760.3305785123966</v>
      </c>
      <c r="I1339" s="60">
        <f>ventas_b_mes12[[#This Row],[IMPORTE NETO]]*0.21</f>
        <v>1209.6694214876034</v>
      </c>
      <c r="J1339" s="229"/>
      <c r="K1339" s="229"/>
      <c r="L1339" s="229">
        <v>6970</v>
      </c>
      <c r="M1339" s="55"/>
    </row>
    <row r="1340" spans="2:13" x14ac:dyDescent="0.3">
      <c r="B1340" s="223" t="s">
        <v>2475</v>
      </c>
      <c r="C1340" s="37">
        <v>6</v>
      </c>
      <c r="D1340" s="225">
        <v>13</v>
      </c>
      <c r="E1340" s="226">
        <v>26810</v>
      </c>
      <c r="F1340" s="227"/>
      <c r="G1340" s="1" t="str">
        <f>IFERROR(IF(ventas_b_mes12[[#This Row],[CUIT]]="","-",VLOOKUP(ventas_b_mes12[[#This Row],[CUIT]],Lista_CUIT[#All],2,0)),"CUIT NO CARGADO")</f>
        <v>-</v>
      </c>
      <c r="H1340" s="96">
        <f>ventas_b_mes12[[#This Row],[TOTAL]]/1.21</f>
        <v>1088.8429752066115</v>
      </c>
      <c r="I1340" s="60">
        <f>ventas_b_mes12[[#This Row],[IMPORTE NETO]]*0.21</f>
        <v>228.65702479338842</v>
      </c>
      <c r="J1340" s="229"/>
      <c r="K1340" s="229"/>
      <c r="L1340" s="229">
        <v>1317.5</v>
      </c>
      <c r="M1340" s="55"/>
    </row>
    <row r="1341" spans="2:13" x14ac:dyDescent="0.3">
      <c r="B1341" s="223" t="s">
        <v>2475</v>
      </c>
      <c r="C1341" s="37">
        <v>6</v>
      </c>
      <c r="D1341" s="225">
        <v>10</v>
      </c>
      <c r="E1341" s="226">
        <v>43934</v>
      </c>
      <c r="F1341" s="227"/>
      <c r="G1341" s="1" t="str">
        <f>IFERROR(IF(ventas_b_mes12[[#This Row],[CUIT]]="","-",VLOOKUP(ventas_b_mes12[[#This Row],[CUIT]],Lista_CUIT[#All],2,0)),"CUIT NO CARGADO")</f>
        <v>-</v>
      </c>
      <c r="H1341" s="96">
        <f>ventas_b_mes12[[#This Row],[TOTAL]]/1.21</f>
        <v>4488.8429752066113</v>
      </c>
      <c r="I1341" s="60">
        <f>ventas_b_mes12[[#This Row],[IMPORTE NETO]]*0.21</f>
        <v>942.65702479338836</v>
      </c>
      <c r="J1341" s="229"/>
      <c r="K1341" s="229"/>
      <c r="L1341" s="229">
        <v>5431.5</v>
      </c>
      <c r="M1341" s="55"/>
    </row>
    <row r="1342" spans="2:13" x14ac:dyDescent="0.3">
      <c r="B1342" s="223" t="s">
        <v>2475</v>
      </c>
      <c r="C1342" s="37">
        <v>6</v>
      </c>
      <c r="D1342" s="225">
        <v>13</v>
      </c>
      <c r="E1342" s="226">
        <v>26794</v>
      </c>
      <c r="F1342" s="227"/>
      <c r="G1342" s="1" t="str">
        <f>IFERROR(IF(ventas_b_mes12[[#This Row],[CUIT]]="","-",VLOOKUP(ventas_b_mes12[[#This Row],[CUIT]],Lista_CUIT[#All],2,0)),"CUIT NO CARGADO")</f>
        <v>-</v>
      </c>
      <c r="H1342" s="96">
        <f>ventas_b_mes12[[#This Row],[TOTAL]]/1.21</f>
        <v>3388.4297520661157</v>
      </c>
      <c r="I1342" s="60">
        <f>ventas_b_mes12[[#This Row],[IMPORTE NETO]]*0.21</f>
        <v>711.57024793388427</v>
      </c>
      <c r="J1342" s="229"/>
      <c r="K1342" s="229"/>
      <c r="L1342" s="229">
        <v>4100</v>
      </c>
      <c r="M1342" s="55"/>
    </row>
    <row r="1343" spans="2:13" x14ac:dyDescent="0.3">
      <c r="B1343" s="223" t="s">
        <v>2475</v>
      </c>
      <c r="C1343" s="37">
        <v>6</v>
      </c>
      <c r="D1343" s="225">
        <v>13</v>
      </c>
      <c r="E1343" s="226">
        <v>26792</v>
      </c>
      <c r="F1343" s="227"/>
      <c r="G1343" s="1" t="str">
        <f>IFERROR(IF(ventas_b_mes12[[#This Row],[CUIT]]="","-",VLOOKUP(ventas_b_mes12[[#This Row],[CUIT]],Lista_CUIT[#All],2,0)),"CUIT NO CARGADO")</f>
        <v>-</v>
      </c>
      <c r="H1343" s="96">
        <f>ventas_b_mes12[[#This Row],[TOTAL]]/1.21</f>
        <v>3900.8264462809921</v>
      </c>
      <c r="I1343" s="60">
        <f>ventas_b_mes12[[#This Row],[IMPORTE NETO]]*0.21</f>
        <v>819.17355371900828</v>
      </c>
      <c r="J1343" s="229"/>
      <c r="K1343" s="229"/>
      <c r="L1343" s="229">
        <v>4720</v>
      </c>
      <c r="M1343" s="55"/>
    </row>
    <row r="1344" spans="2:13" x14ac:dyDescent="0.3">
      <c r="B1344" s="223" t="s">
        <v>2475</v>
      </c>
      <c r="C1344" s="37">
        <v>6</v>
      </c>
      <c r="D1344" s="225">
        <v>10</v>
      </c>
      <c r="E1344" s="226">
        <v>43941</v>
      </c>
      <c r="F1344" s="227"/>
      <c r="G1344" s="1" t="str">
        <f>IFERROR(IF(ventas_b_mes12[[#This Row],[CUIT]]="","-",VLOOKUP(ventas_b_mes12[[#This Row],[CUIT]],Lista_CUIT[#All],2,0)),"CUIT NO CARGADO")</f>
        <v>-</v>
      </c>
      <c r="H1344" s="96">
        <f>ventas_b_mes12[[#This Row],[TOTAL]]/1.21</f>
        <v>2892.5619834710747</v>
      </c>
      <c r="I1344" s="60">
        <f>ventas_b_mes12[[#This Row],[IMPORTE NETO]]*0.21</f>
        <v>607.43801652892569</v>
      </c>
      <c r="J1344" s="229"/>
      <c r="K1344" s="229"/>
      <c r="L1344" s="229">
        <v>3500</v>
      </c>
      <c r="M1344" s="55"/>
    </row>
    <row r="1345" spans="2:13" x14ac:dyDescent="0.3">
      <c r="B1345" s="223" t="s">
        <v>2475</v>
      </c>
      <c r="C1345" s="37">
        <v>6</v>
      </c>
      <c r="D1345" s="225">
        <v>12</v>
      </c>
      <c r="E1345" s="226">
        <v>22605</v>
      </c>
      <c r="F1345" s="227"/>
      <c r="G1345" s="1" t="str">
        <f>IFERROR(IF(ventas_b_mes12[[#This Row],[CUIT]]="","-",VLOOKUP(ventas_b_mes12[[#This Row],[CUIT]],Lista_CUIT[#All],2,0)),"CUIT NO CARGADO")</f>
        <v>-</v>
      </c>
      <c r="H1345" s="96">
        <f>ventas_b_mes12[[#This Row],[TOTAL]]/1.21</f>
        <v>4958.6776859504134</v>
      </c>
      <c r="I1345" s="60">
        <f>ventas_b_mes12[[#This Row],[IMPORTE NETO]]*0.21</f>
        <v>1041.3223140495868</v>
      </c>
      <c r="J1345" s="229"/>
      <c r="K1345" s="229"/>
      <c r="L1345" s="229">
        <v>6000</v>
      </c>
      <c r="M1345" s="55"/>
    </row>
    <row r="1346" spans="2:13" x14ac:dyDescent="0.3">
      <c r="B1346" s="223" t="s">
        <v>2475</v>
      </c>
      <c r="C1346" s="37">
        <v>6</v>
      </c>
      <c r="D1346" s="225">
        <v>10</v>
      </c>
      <c r="E1346" s="226">
        <v>43939</v>
      </c>
      <c r="F1346" s="227"/>
      <c r="G1346" s="1" t="str">
        <f>IFERROR(IF(ventas_b_mes12[[#This Row],[CUIT]]="","-",VLOOKUP(ventas_b_mes12[[#This Row],[CUIT]],Lista_CUIT[#All],2,0)),"CUIT NO CARGADO")</f>
        <v>-</v>
      </c>
      <c r="H1346" s="96">
        <f>ventas_b_mes12[[#This Row],[TOTAL]]/1.21</f>
        <v>2892.5619834710747</v>
      </c>
      <c r="I1346" s="60">
        <f>ventas_b_mes12[[#This Row],[IMPORTE NETO]]*0.21</f>
        <v>607.43801652892569</v>
      </c>
      <c r="J1346" s="229"/>
      <c r="K1346" s="229"/>
      <c r="L1346" s="229">
        <v>3500</v>
      </c>
      <c r="M1346" s="55"/>
    </row>
    <row r="1347" spans="2:13" x14ac:dyDescent="0.3">
      <c r="B1347" s="223" t="s">
        <v>2475</v>
      </c>
      <c r="C1347" s="37">
        <v>6</v>
      </c>
      <c r="D1347" s="225">
        <v>15</v>
      </c>
      <c r="E1347" s="226">
        <v>7268</v>
      </c>
      <c r="F1347" s="227"/>
      <c r="G1347" s="1" t="str">
        <f>IFERROR(IF(ventas_b_mes12[[#This Row],[CUIT]]="","-",VLOOKUP(ventas_b_mes12[[#This Row],[CUIT]],Lista_CUIT[#All],2,0)),"CUIT NO CARGADO")</f>
        <v>-</v>
      </c>
      <c r="H1347" s="96">
        <f>ventas_b_mes12[[#This Row],[TOTAL]]/1.21</f>
        <v>1735.5371900826447</v>
      </c>
      <c r="I1347" s="60">
        <f>ventas_b_mes12[[#This Row],[IMPORTE NETO]]*0.21</f>
        <v>364.46280991735534</v>
      </c>
      <c r="J1347" s="229"/>
      <c r="K1347" s="229"/>
      <c r="L1347" s="229">
        <v>2100</v>
      </c>
      <c r="M1347" s="55"/>
    </row>
    <row r="1348" spans="2:13" x14ac:dyDescent="0.3">
      <c r="B1348" s="223" t="s">
        <v>2475</v>
      </c>
      <c r="C1348" s="37">
        <v>6</v>
      </c>
      <c r="D1348" s="225">
        <v>13</v>
      </c>
      <c r="E1348" s="226">
        <v>26809</v>
      </c>
      <c r="F1348" s="227"/>
      <c r="G1348" s="1" t="str">
        <f>IFERROR(IF(ventas_b_mes12[[#This Row],[CUIT]]="","-",VLOOKUP(ventas_b_mes12[[#This Row],[CUIT]],Lista_CUIT[#All],2,0)),"CUIT NO CARGADO")</f>
        <v>-</v>
      </c>
      <c r="H1348" s="96">
        <f>ventas_b_mes12[[#This Row],[TOTAL]]/1.21</f>
        <v>5206.6115702479337</v>
      </c>
      <c r="I1348" s="60">
        <f>ventas_b_mes12[[#This Row],[IMPORTE NETO]]*0.21</f>
        <v>1093.388429752066</v>
      </c>
      <c r="J1348" s="229"/>
      <c r="K1348" s="229"/>
      <c r="L1348" s="229">
        <v>6300</v>
      </c>
      <c r="M1348" s="55"/>
    </row>
    <row r="1349" spans="2:13" x14ac:dyDescent="0.3">
      <c r="B1349" s="223" t="s">
        <v>2475</v>
      </c>
      <c r="C1349" s="37">
        <v>6</v>
      </c>
      <c r="D1349" s="225">
        <v>11</v>
      </c>
      <c r="E1349" s="226">
        <v>30131</v>
      </c>
      <c r="F1349" s="227"/>
      <c r="G1349" s="1" t="str">
        <f>IFERROR(IF(ventas_b_mes12[[#This Row],[CUIT]]="","-",VLOOKUP(ventas_b_mes12[[#This Row],[CUIT]],Lista_CUIT[#All],2,0)),"CUIT NO CARGADO")</f>
        <v>-</v>
      </c>
      <c r="H1349" s="96">
        <f>ventas_b_mes12[[#This Row],[TOTAL]]/1.21</f>
        <v>4198.3471074380168</v>
      </c>
      <c r="I1349" s="60">
        <f>ventas_b_mes12[[#This Row],[IMPORTE NETO]]*0.21</f>
        <v>881.65289256198355</v>
      </c>
      <c r="J1349" s="229"/>
      <c r="K1349" s="229"/>
      <c r="L1349" s="229">
        <v>5080</v>
      </c>
      <c r="M1349" s="55"/>
    </row>
    <row r="1350" spans="2:13" x14ac:dyDescent="0.3">
      <c r="B1350" s="223" t="s">
        <v>2475</v>
      </c>
      <c r="C1350" s="37">
        <v>6</v>
      </c>
      <c r="D1350" s="225">
        <v>13</v>
      </c>
      <c r="E1350" s="226">
        <v>26808</v>
      </c>
      <c r="F1350" s="227"/>
      <c r="G1350" s="1" t="str">
        <f>IFERROR(IF(ventas_b_mes12[[#This Row],[CUIT]]="","-",VLOOKUP(ventas_b_mes12[[#This Row],[CUIT]],Lista_CUIT[#All],2,0)),"CUIT NO CARGADO")</f>
        <v>-</v>
      </c>
      <c r="H1350" s="96">
        <f>ventas_b_mes12[[#This Row],[TOTAL]]/1.21</f>
        <v>3595.0413223140495</v>
      </c>
      <c r="I1350" s="60">
        <f>ventas_b_mes12[[#This Row],[IMPORTE NETO]]*0.21</f>
        <v>754.95867768595031</v>
      </c>
      <c r="J1350" s="229"/>
      <c r="K1350" s="229"/>
      <c r="L1350" s="229">
        <v>4350</v>
      </c>
      <c r="M1350" s="55"/>
    </row>
    <row r="1351" spans="2:13" x14ac:dyDescent="0.3">
      <c r="B1351" s="223" t="s">
        <v>2475</v>
      </c>
      <c r="C1351" s="37">
        <v>6</v>
      </c>
      <c r="D1351" s="225">
        <v>11</v>
      </c>
      <c r="E1351" s="226">
        <v>30136</v>
      </c>
      <c r="F1351" s="227"/>
      <c r="G1351" s="1" t="str">
        <f>IFERROR(IF(ventas_b_mes12[[#This Row],[CUIT]]="","-",VLOOKUP(ventas_b_mes12[[#This Row],[CUIT]],Lista_CUIT[#All],2,0)),"CUIT NO CARGADO")</f>
        <v>-</v>
      </c>
      <c r="H1351" s="96">
        <f>ventas_b_mes12[[#This Row],[TOTAL]]/1.21</f>
        <v>10809.925619834712</v>
      </c>
      <c r="I1351" s="60">
        <f>ventas_b_mes12[[#This Row],[IMPORTE NETO]]*0.21</f>
        <v>2270.0843801652895</v>
      </c>
      <c r="J1351" s="229"/>
      <c r="K1351" s="229"/>
      <c r="L1351" s="229">
        <v>13080.01</v>
      </c>
      <c r="M1351" s="55"/>
    </row>
    <row r="1352" spans="2:13" x14ac:dyDescent="0.3">
      <c r="B1352" s="223" t="s">
        <v>2475</v>
      </c>
      <c r="C1352" s="37">
        <v>6</v>
      </c>
      <c r="D1352" s="225">
        <v>12</v>
      </c>
      <c r="E1352" s="226">
        <v>22590</v>
      </c>
      <c r="F1352" s="227"/>
      <c r="G1352" s="1" t="str">
        <f>IFERROR(IF(ventas_b_mes12[[#This Row],[CUIT]]="","-",VLOOKUP(ventas_b_mes12[[#This Row],[CUIT]],Lista_CUIT[#All],2,0)),"CUIT NO CARGADO")</f>
        <v>-</v>
      </c>
      <c r="H1352" s="96">
        <f>ventas_b_mes12[[#This Row],[TOTAL]]/1.21</f>
        <v>18247.933884297519</v>
      </c>
      <c r="I1352" s="60">
        <f>ventas_b_mes12[[#This Row],[IMPORTE NETO]]*0.21</f>
        <v>3832.0661157024788</v>
      </c>
      <c r="J1352" s="229"/>
      <c r="K1352" s="229"/>
      <c r="L1352" s="229">
        <v>22080</v>
      </c>
      <c r="M1352" s="55"/>
    </row>
    <row r="1353" spans="2:13" x14ac:dyDescent="0.3">
      <c r="B1353" s="223" t="s">
        <v>2475</v>
      </c>
      <c r="C1353" s="37">
        <v>6</v>
      </c>
      <c r="D1353" s="225">
        <v>13</v>
      </c>
      <c r="E1353" s="226">
        <v>26801</v>
      </c>
      <c r="F1353" s="227"/>
      <c r="G1353" s="1" t="str">
        <f>IFERROR(IF(ventas_b_mes12[[#This Row],[CUIT]]="","-",VLOOKUP(ventas_b_mes12[[#This Row],[CUIT]],Lista_CUIT[#All],2,0)),"CUIT NO CARGADO")</f>
        <v>-</v>
      </c>
      <c r="H1353" s="96">
        <f>ventas_b_mes12[[#This Row],[TOTAL]]/1.21</f>
        <v>2789.2561983471073</v>
      </c>
      <c r="I1353" s="60">
        <f>ventas_b_mes12[[#This Row],[IMPORTE NETO]]*0.21</f>
        <v>585.74380165289256</v>
      </c>
      <c r="J1353" s="229"/>
      <c r="K1353" s="229"/>
      <c r="L1353" s="229">
        <v>3375</v>
      </c>
      <c r="M1353" s="55"/>
    </row>
    <row r="1354" spans="2:13" x14ac:dyDescent="0.3">
      <c r="B1354" s="223" t="s">
        <v>2475</v>
      </c>
      <c r="C1354" s="37">
        <v>6</v>
      </c>
      <c r="D1354" s="225">
        <v>12</v>
      </c>
      <c r="E1354" s="226">
        <v>22602</v>
      </c>
      <c r="F1354" s="227"/>
      <c r="G1354" s="1" t="str">
        <f>IFERROR(IF(ventas_b_mes12[[#This Row],[CUIT]]="","-",VLOOKUP(ventas_b_mes12[[#This Row],[CUIT]],Lista_CUIT[#All],2,0)),"CUIT NO CARGADO")</f>
        <v>-</v>
      </c>
      <c r="H1354" s="96">
        <f>ventas_b_mes12[[#This Row],[TOTAL]]/1.21</f>
        <v>4958.6776859504134</v>
      </c>
      <c r="I1354" s="60">
        <f>ventas_b_mes12[[#This Row],[IMPORTE NETO]]*0.21</f>
        <v>1041.3223140495868</v>
      </c>
      <c r="J1354" s="229"/>
      <c r="K1354" s="229"/>
      <c r="L1354" s="229">
        <v>6000</v>
      </c>
      <c r="M1354" s="55"/>
    </row>
    <row r="1355" spans="2:13" x14ac:dyDescent="0.3">
      <c r="B1355" s="223" t="s">
        <v>2475</v>
      </c>
      <c r="C1355" s="37">
        <v>6</v>
      </c>
      <c r="D1355" s="225">
        <v>15</v>
      </c>
      <c r="E1355" s="226">
        <v>7263</v>
      </c>
      <c r="F1355" s="227"/>
      <c r="G1355" s="1" t="str">
        <f>IFERROR(IF(ventas_b_mes12[[#This Row],[CUIT]]="","-",VLOOKUP(ventas_b_mes12[[#This Row],[CUIT]],Lista_CUIT[#All],2,0)),"CUIT NO CARGADO")</f>
        <v>-</v>
      </c>
      <c r="H1355" s="96">
        <f>ventas_b_mes12[[#This Row],[TOTAL]]/1.21</f>
        <v>6597.1157024793392</v>
      </c>
      <c r="I1355" s="60">
        <f>ventas_b_mes12[[#This Row],[IMPORTE NETO]]*0.21</f>
        <v>1385.3942975206612</v>
      </c>
      <c r="J1355" s="229"/>
      <c r="K1355" s="229"/>
      <c r="L1355" s="229">
        <v>7982.51</v>
      </c>
      <c r="M1355" s="55"/>
    </row>
    <row r="1356" spans="2:13" x14ac:dyDescent="0.3">
      <c r="B1356" s="223" t="s">
        <v>2475</v>
      </c>
      <c r="C1356" s="37">
        <v>6</v>
      </c>
      <c r="D1356" s="225">
        <v>13</v>
      </c>
      <c r="E1356" s="226">
        <v>26797</v>
      </c>
      <c r="F1356" s="227"/>
      <c r="G1356" s="1" t="str">
        <f>IFERROR(IF(ventas_b_mes12[[#This Row],[CUIT]]="","-",VLOOKUP(ventas_b_mes12[[#This Row],[CUIT]],Lista_CUIT[#All],2,0)),"CUIT NO CARGADO")</f>
        <v>-</v>
      </c>
      <c r="H1356" s="96">
        <f>ventas_b_mes12[[#This Row],[TOTAL]]/1.21</f>
        <v>8703.1983471074382</v>
      </c>
      <c r="I1356" s="60">
        <f>ventas_b_mes12[[#This Row],[IMPORTE NETO]]*0.21</f>
        <v>1827.671652892562</v>
      </c>
      <c r="J1356" s="229"/>
      <c r="K1356" s="229"/>
      <c r="L1356" s="229">
        <v>10530.87</v>
      </c>
      <c r="M1356" s="55"/>
    </row>
    <row r="1357" spans="2:13" x14ac:dyDescent="0.3">
      <c r="B1357" s="223" t="s">
        <v>2475</v>
      </c>
      <c r="C1357" s="37">
        <v>6</v>
      </c>
      <c r="D1357" s="225">
        <v>11</v>
      </c>
      <c r="E1357" s="226">
        <v>30138</v>
      </c>
      <c r="F1357" s="227"/>
      <c r="G1357" s="1" t="str">
        <f>IFERROR(IF(ventas_b_mes12[[#This Row],[CUIT]]="","-",VLOOKUP(ventas_b_mes12[[#This Row],[CUIT]],Lista_CUIT[#All],2,0)),"CUIT NO CARGADO")</f>
        <v>-</v>
      </c>
      <c r="H1357" s="96">
        <f>ventas_b_mes12[[#This Row],[TOTAL]]/1.21</f>
        <v>2669.4214876033056</v>
      </c>
      <c r="I1357" s="60">
        <f>ventas_b_mes12[[#This Row],[IMPORTE NETO]]*0.21</f>
        <v>560.57851239669412</v>
      </c>
      <c r="J1357" s="229"/>
      <c r="K1357" s="229"/>
      <c r="L1357" s="229">
        <v>3230</v>
      </c>
      <c r="M1357" s="55"/>
    </row>
    <row r="1358" spans="2:13" x14ac:dyDescent="0.3">
      <c r="B1358" s="223" t="s">
        <v>2475</v>
      </c>
      <c r="C1358" s="37">
        <v>6</v>
      </c>
      <c r="D1358" s="225">
        <v>15</v>
      </c>
      <c r="E1358" s="226">
        <v>7269</v>
      </c>
      <c r="F1358" s="227"/>
      <c r="G1358" s="1" t="str">
        <f>IFERROR(IF(ventas_b_mes12[[#This Row],[CUIT]]="","-",VLOOKUP(ventas_b_mes12[[#This Row],[CUIT]],Lista_CUIT[#All],2,0)),"CUIT NO CARGADO")</f>
        <v>-</v>
      </c>
      <c r="H1358" s="96">
        <f>ventas_b_mes12[[#This Row],[TOTAL]]/1.21</f>
        <v>4595.0413223140495</v>
      </c>
      <c r="I1358" s="60">
        <f>ventas_b_mes12[[#This Row],[IMPORTE NETO]]*0.21</f>
        <v>964.95867768595031</v>
      </c>
      <c r="J1358" s="229"/>
      <c r="K1358" s="229"/>
      <c r="L1358" s="229">
        <v>5560</v>
      </c>
      <c r="M1358" s="55"/>
    </row>
    <row r="1359" spans="2:13" x14ac:dyDescent="0.3">
      <c r="B1359" s="223" t="s">
        <v>2475</v>
      </c>
      <c r="C1359" s="37">
        <v>6</v>
      </c>
      <c r="D1359" s="225">
        <v>13</v>
      </c>
      <c r="E1359" s="226">
        <v>26803</v>
      </c>
      <c r="F1359" s="227"/>
      <c r="G1359" s="1" t="str">
        <f>IFERROR(IF(ventas_b_mes12[[#This Row],[CUIT]]="","-",VLOOKUP(ventas_b_mes12[[#This Row],[CUIT]],Lista_CUIT[#All],2,0)),"CUIT NO CARGADO")</f>
        <v>-</v>
      </c>
      <c r="H1359" s="96">
        <f>ventas_b_mes12[[#This Row],[TOTAL]]/1.21</f>
        <v>3772.727272727273</v>
      </c>
      <c r="I1359" s="60">
        <f>ventas_b_mes12[[#This Row],[IMPORTE NETO]]*0.21</f>
        <v>792.27272727272725</v>
      </c>
      <c r="J1359" s="229"/>
      <c r="K1359" s="229"/>
      <c r="L1359" s="229">
        <v>4565</v>
      </c>
      <c r="M1359" s="55"/>
    </row>
    <row r="1360" spans="2:13" x14ac:dyDescent="0.3">
      <c r="B1360" s="223" t="s">
        <v>2475</v>
      </c>
      <c r="C1360" s="37">
        <v>6</v>
      </c>
      <c r="D1360" s="225">
        <v>12</v>
      </c>
      <c r="E1360" s="226">
        <v>22583</v>
      </c>
      <c r="F1360" s="227"/>
      <c r="G1360" s="1" t="str">
        <f>IFERROR(IF(ventas_b_mes12[[#This Row],[CUIT]]="","-",VLOOKUP(ventas_b_mes12[[#This Row],[CUIT]],Lista_CUIT[#All],2,0)),"CUIT NO CARGADO")</f>
        <v>-</v>
      </c>
      <c r="H1360" s="96">
        <f>ventas_b_mes12[[#This Row],[TOTAL]]/1.21</f>
        <v>4545.454545454546</v>
      </c>
      <c r="I1360" s="60">
        <f>ventas_b_mes12[[#This Row],[IMPORTE NETO]]*0.21</f>
        <v>954.54545454545462</v>
      </c>
      <c r="J1360" s="229"/>
      <c r="K1360" s="229"/>
      <c r="L1360" s="229">
        <v>5500</v>
      </c>
      <c r="M1360" s="55"/>
    </row>
    <row r="1361" spans="2:13" x14ac:dyDescent="0.3">
      <c r="B1361" s="223" t="s">
        <v>2475</v>
      </c>
      <c r="C1361" s="37">
        <v>6</v>
      </c>
      <c r="D1361" s="225">
        <v>12</v>
      </c>
      <c r="E1361" s="226">
        <v>22593</v>
      </c>
      <c r="F1361" s="227"/>
      <c r="G1361" s="1" t="str">
        <f>IFERROR(IF(ventas_b_mes12[[#This Row],[CUIT]]="","-",VLOOKUP(ventas_b_mes12[[#This Row],[CUIT]],Lista_CUIT[#All],2,0)),"CUIT NO CARGADO")</f>
        <v>-</v>
      </c>
      <c r="H1361" s="96">
        <f>ventas_b_mes12[[#This Row],[TOTAL]]/1.21</f>
        <v>1115.702479338843</v>
      </c>
      <c r="I1361" s="60">
        <f>ventas_b_mes12[[#This Row],[IMPORTE NETO]]*0.21</f>
        <v>234.29752066115702</v>
      </c>
      <c r="J1361" s="229"/>
      <c r="K1361" s="229"/>
      <c r="L1361" s="229">
        <v>1350</v>
      </c>
      <c r="M1361" s="55"/>
    </row>
    <row r="1362" spans="2:13" x14ac:dyDescent="0.3">
      <c r="B1362" s="223" t="s">
        <v>2475</v>
      </c>
      <c r="C1362" s="37">
        <v>6</v>
      </c>
      <c r="D1362" s="225">
        <v>12</v>
      </c>
      <c r="E1362" s="226">
        <v>22592</v>
      </c>
      <c r="F1362" s="227"/>
      <c r="G1362" s="1" t="str">
        <f>IFERROR(IF(ventas_b_mes12[[#This Row],[CUIT]]="","-",VLOOKUP(ventas_b_mes12[[#This Row],[CUIT]],Lista_CUIT[#All],2,0)),"CUIT NO CARGADO")</f>
        <v>-</v>
      </c>
      <c r="H1362" s="96">
        <f>ventas_b_mes12[[#This Row],[TOTAL]]/1.21</f>
        <v>8277.6859504132226</v>
      </c>
      <c r="I1362" s="60">
        <f>ventas_b_mes12[[#This Row],[IMPORTE NETO]]*0.21</f>
        <v>1738.3140495867767</v>
      </c>
      <c r="J1362" s="229"/>
      <c r="K1362" s="229"/>
      <c r="L1362" s="229">
        <v>10016</v>
      </c>
      <c r="M1362" s="55"/>
    </row>
    <row r="1363" spans="2:13" x14ac:dyDescent="0.3">
      <c r="B1363" s="223" t="s">
        <v>2475</v>
      </c>
      <c r="C1363" s="37">
        <v>6</v>
      </c>
      <c r="D1363" s="225">
        <v>13</v>
      </c>
      <c r="E1363" s="226">
        <v>26800</v>
      </c>
      <c r="F1363" s="227"/>
      <c r="G1363" s="1" t="str">
        <f>IFERROR(IF(ventas_b_mes12[[#This Row],[CUIT]]="","-",VLOOKUP(ventas_b_mes12[[#This Row],[CUIT]],Lista_CUIT[#All],2,0)),"CUIT NO CARGADO")</f>
        <v>-</v>
      </c>
      <c r="H1363" s="96">
        <f>ventas_b_mes12[[#This Row],[TOTAL]]/1.21</f>
        <v>2066.1157024793388</v>
      </c>
      <c r="I1363" s="60">
        <f>ventas_b_mes12[[#This Row],[IMPORTE NETO]]*0.21</f>
        <v>433.88429752066111</v>
      </c>
      <c r="J1363" s="229"/>
      <c r="K1363" s="229"/>
      <c r="L1363" s="229">
        <v>2500</v>
      </c>
      <c r="M1363" s="55"/>
    </row>
    <row r="1364" spans="2:13" x14ac:dyDescent="0.3">
      <c r="B1364" s="223" t="s">
        <v>2475</v>
      </c>
      <c r="C1364" s="37">
        <v>6</v>
      </c>
      <c r="D1364" s="225">
        <v>12</v>
      </c>
      <c r="E1364" s="226">
        <v>22598</v>
      </c>
      <c r="F1364" s="227"/>
      <c r="G1364" s="1" t="str">
        <f>IFERROR(IF(ventas_b_mes12[[#This Row],[CUIT]]="","-",VLOOKUP(ventas_b_mes12[[#This Row],[CUIT]],Lista_CUIT[#All],2,0)),"CUIT NO CARGADO")</f>
        <v>-</v>
      </c>
      <c r="H1364" s="96">
        <f>ventas_b_mes12[[#This Row],[TOTAL]]/1.21</f>
        <v>826.44628099173553</v>
      </c>
      <c r="I1364" s="60">
        <f>ventas_b_mes12[[#This Row],[IMPORTE NETO]]*0.21</f>
        <v>173.55371900826447</v>
      </c>
      <c r="J1364" s="229"/>
      <c r="K1364" s="229"/>
      <c r="L1364" s="229">
        <v>1000</v>
      </c>
      <c r="M1364" s="55"/>
    </row>
    <row r="1365" spans="2:13" x14ac:dyDescent="0.3">
      <c r="B1365" s="223" t="s">
        <v>2475</v>
      </c>
      <c r="C1365" s="37">
        <v>6</v>
      </c>
      <c r="D1365" s="225">
        <v>12</v>
      </c>
      <c r="E1365" s="226">
        <v>22599</v>
      </c>
      <c r="F1365" s="227"/>
      <c r="G1365" s="1" t="str">
        <f>IFERROR(IF(ventas_b_mes12[[#This Row],[CUIT]]="","-",VLOOKUP(ventas_b_mes12[[#This Row],[CUIT]],Lista_CUIT[#All],2,0)),"CUIT NO CARGADO")</f>
        <v>-</v>
      </c>
      <c r="H1365" s="96">
        <f>ventas_b_mes12[[#This Row],[TOTAL]]/1.21</f>
        <v>10988.446280991737</v>
      </c>
      <c r="I1365" s="60">
        <f>ventas_b_mes12[[#This Row],[IMPORTE NETO]]*0.21</f>
        <v>2307.5737190082646</v>
      </c>
      <c r="J1365" s="229"/>
      <c r="K1365" s="229"/>
      <c r="L1365" s="229">
        <v>13296.02</v>
      </c>
      <c r="M1365" s="55"/>
    </row>
    <row r="1366" spans="2:13" x14ac:dyDescent="0.3">
      <c r="B1366" s="223" t="s">
        <v>2475</v>
      </c>
      <c r="C1366" s="37">
        <v>6</v>
      </c>
      <c r="D1366" s="225">
        <v>12</v>
      </c>
      <c r="E1366" s="226">
        <v>22587</v>
      </c>
      <c r="F1366" s="227"/>
      <c r="G1366" s="1" t="str">
        <f>IFERROR(IF(ventas_b_mes12[[#This Row],[CUIT]]="","-",VLOOKUP(ventas_b_mes12[[#This Row],[CUIT]],Lista_CUIT[#All],2,0)),"CUIT NO CARGADO")</f>
        <v>-</v>
      </c>
      <c r="H1366" s="96">
        <f>ventas_b_mes12[[#This Row],[TOTAL]]/1.21</f>
        <v>5743.8016528925618</v>
      </c>
      <c r="I1366" s="60">
        <f>ventas_b_mes12[[#This Row],[IMPORTE NETO]]*0.21</f>
        <v>1206.1983471074379</v>
      </c>
      <c r="J1366" s="229"/>
      <c r="K1366" s="229"/>
      <c r="L1366" s="229">
        <v>6950</v>
      </c>
      <c r="M1366" s="55"/>
    </row>
    <row r="1367" spans="2:13" x14ac:dyDescent="0.3">
      <c r="B1367" s="223" t="s">
        <v>2475</v>
      </c>
      <c r="C1367" s="37">
        <v>6</v>
      </c>
      <c r="D1367" s="225">
        <v>15</v>
      </c>
      <c r="E1367" s="226">
        <v>7265</v>
      </c>
      <c r="F1367" s="227"/>
      <c r="G1367" s="1" t="str">
        <f>IFERROR(IF(ventas_b_mes12[[#This Row],[CUIT]]="","-",VLOOKUP(ventas_b_mes12[[#This Row],[CUIT]],Lista_CUIT[#All],2,0)),"CUIT NO CARGADO")</f>
        <v>-</v>
      </c>
      <c r="H1367" s="96">
        <f>ventas_b_mes12[[#This Row],[TOTAL]]/1.21</f>
        <v>2892.5619834710747</v>
      </c>
      <c r="I1367" s="60">
        <f>ventas_b_mes12[[#This Row],[IMPORTE NETO]]*0.21</f>
        <v>607.43801652892569</v>
      </c>
      <c r="J1367" s="229"/>
      <c r="K1367" s="229"/>
      <c r="L1367" s="229">
        <v>3500</v>
      </c>
      <c r="M1367" s="55"/>
    </row>
    <row r="1368" spans="2:13" x14ac:dyDescent="0.3">
      <c r="B1368" s="223" t="s">
        <v>2475</v>
      </c>
      <c r="C1368" s="37">
        <v>6</v>
      </c>
      <c r="D1368" s="225">
        <v>15</v>
      </c>
      <c r="E1368" s="226">
        <v>7267</v>
      </c>
      <c r="F1368" s="227"/>
      <c r="G1368" s="1" t="str">
        <f>IFERROR(IF(ventas_b_mes12[[#This Row],[CUIT]]="","-",VLOOKUP(ventas_b_mes12[[#This Row],[CUIT]],Lista_CUIT[#All],2,0)),"CUIT NO CARGADO")</f>
        <v>-</v>
      </c>
      <c r="H1368" s="96">
        <f>ventas_b_mes12[[#This Row],[TOTAL]]/1.21</f>
        <v>3388.4132231404956</v>
      </c>
      <c r="I1368" s="60">
        <f>ventas_b_mes12[[#This Row],[IMPORTE NETO]]*0.21</f>
        <v>711.56677685950399</v>
      </c>
      <c r="J1368" s="229"/>
      <c r="K1368" s="229"/>
      <c r="L1368" s="229">
        <v>4099.9799999999996</v>
      </c>
      <c r="M1368" s="55"/>
    </row>
    <row r="1369" spans="2:13" x14ac:dyDescent="0.3">
      <c r="B1369" s="223" t="s">
        <v>2475</v>
      </c>
      <c r="C1369" s="37">
        <v>6</v>
      </c>
      <c r="D1369" s="225">
        <v>12</v>
      </c>
      <c r="E1369" s="226">
        <v>22601</v>
      </c>
      <c r="F1369" s="227"/>
      <c r="G1369" s="1" t="str">
        <f>IFERROR(IF(ventas_b_mes12[[#This Row],[CUIT]]="","-",VLOOKUP(ventas_b_mes12[[#This Row],[CUIT]],Lista_CUIT[#All],2,0)),"CUIT NO CARGADO")</f>
        <v>-</v>
      </c>
      <c r="H1369" s="96">
        <f>ventas_b_mes12[[#This Row],[TOTAL]]/1.21</f>
        <v>4958.6776859504134</v>
      </c>
      <c r="I1369" s="60">
        <f>ventas_b_mes12[[#This Row],[IMPORTE NETO]]*0.21</f>
        <v>1041.3223140495868</v>
      </c>
      <c r="J1369" s="229"/>
      <c r="K1369" s="229"/>
      <c r="L1369" s="229">
        <v>6000</v>
      </c>
      <c r="M1369" s="55"/>
    </row>
    <row r="1370" spans="2:13" x14ac:dyDescent="0.3">
      <c r="B1370" s="223" t="s">
        <v>2475</v>
      </c>
      <c r="C1370" s="37">
        <v>6</v>
      </c>
      <c r="D1370" s="225">
        <v>12</v>
      </c>
      <c r="E1370" s="226">
        <v>22606</v>
      </c>
      <c r="F1370" s="227"/>
      <c r="G1370" s="1" t="str">
        <f>IFERROR(IF(ventas_b_mes12[[#This Row],[CUIT]]="","-",VLOOKUP(ventas_b_mes12[[#This Row],[CUIT]],Lista_CUIT[#All],2,0)),"CUIT NO CARGADO")</f>
        <v>-</v>
      </c>
      <c r="H1370" s="96">
        <f>ventas_b_mes12[[#This Row],[TOTAL]]/1.21</f>
        <v>2479.3388429752067</v>
      </c>
      <c r="I1370" s="60">
        <f>ventas_b_mes12[[#This Row],[IMPORTE NETO]]*0.21</f>
        <v>520.6611570247934</v>
      </c>
      <c r="J1370" s="229"/>
      <c r="K1370" s="229"/>
      <c r="L1370" s="229">
        <v>3000</v>
      </c>
      <c r="M1370" s="55"/>
    </row>
    <row r="1371" spans="2:13" x14ac:dyDescent="0.3">
      <c r="B1371" s="223" t="s">
        <v>2475</v>
      </c>
      <c r="C1371" s="37">
        <v>6</v>
      </c>
      <c r="D1371" s="225">
        <v>10</v>
      </c>
      <c r="E1371" s="226">
        <v>43944</v>
      </c>
      <c r="F1371" s="227"/>
      <c r="G1371" s="1" t="str">
        <f>IFERROR(IF(ventas_b_mes12[[#This Row],[CUIT]]="","-",VLOOKUP(ventas_b_mes12[[#This Row],[CUIT]],Lista_CUIT[#All],2,0)),"CUIT NO CARGADO")</f>
        <v>-</v>
      </c>
      <c r="H1371" s="96">
        <f>ventas_b_mes12[[#This Row],[TOTAL]]/1.21</f>
        <v>5822.3140495867774</v>
      </c>
      <c r="I1371" s="60">
        <f>ventas_b_mes12[[#This Row],[IMPORTE NETO]]*0.21</f>
        <v>1222.6859504132233</v>
      </c>
      <c r="J1371" s="229"/>
      <c r="K1371" s="229"/>
      <c r="L1371" s="229">
        <v>7045</v>
      </c>
      <c r="M1371" s="55"/>
    </row>
    <row r="1372" spans="2:13" x14ac:dyDescent="0.3">
      <c r="B1372" s="223" t="s">
        <v>2475</v>
      </c>
      <c r="C1372" s="37">
        <v>6</v>
      </c>
      <c r="D1372" s="225">
        <v>15</v>
      </c>
      <c r="E1372" s="226">
        <v>7262</v>
      </c>
      <c r="F1372" s="227"/>
      <c r="G1372" s="1" t="str">
        <f>IFERROR(IF(ventas_b_mes12[[#This Row],[CUIT]]="","-",VLOOKUP(ventas_b_mes12[[#This Row],[CUIT]],Lista_CUIT[#All],2,0)),"CUIT NO CARGADO")</f>
        <v>-</v>
      </c>
      <c r="H1372" s="96">
        <f>ventas_b_mes12[[#This Row],[TOTAL]]/1.21</f>
        <v>2066.1157024793388</v>
      </c>
      <c r="I1372" s="60">
        <f>ventas_b_mes12[[#This Row],[IMPORTE NETO]]*0.21</f>
        <v>433.88429752066111</v>
      </c>
      <c r="J1372" s="229"/>
      <c r="K1372" s="229"/>
      <c r="L1372" s="229">
        <v>2500</v>
      </c>
      <c r="M1372" s="55"/>
    </row>
    <row r="1373" spans="2:13" x14ac:dyDescent="0.3">
      <c r="B1373" s="223" t="s">
        <v>2475</v>
      </c>
      <c r="C1373" s="37">
        <v>6</v>
      </c>
      <c r="D1373" s="225">
        <v>11</v>
      </c>
      <c r="E1373" s="226">
        <v>30132</v>
      </c>
      <c r="F1373" s="227"/>
      <c r="G1373" s="1" t="str">
        <f>IFERROR(IF(ventas_b_mes12[[#This Row],[CUIT]]="","-",VLOOKUP(ventas_b_mes12[[#This Row],[CUIT]],Lista_CUIT[#All],2,0)),"CUIT NO CARGADO")</f>
        <v>-</v>
      </c>
      <c r="H1373" s="96">
        <f>ventas_b_mes12[[#This Row],[TOTAL]]/1.21</f>
        <v>3421.4876033057853</v>
      </c>
      <c r="I1373" s="60">
        <f>ventas_b_mes12[[#This Row],[IMPORTE NETO]]*0.21</f>
        <v>718.51239669421489</v>
      </c>
      <c r="J1373" s="229"/>
      <c r="K1373" s="229"/>
      <c r="L1373" s="229">
        <v>4140</v>
      </c>
      <c r="M1373" s="55"/>
    </row>
    <row r="1374" spans="2:13" x14ac:dyDescent="0.3">
      <c r="B1374" s="223" t="s">
        <v>2475</v>
      </c>
      <c r="C1374" s="37">
        <v>6</v>
      </c>
      <c r="D1374" s="225">
        <v>13</v>
      </c>
      <c r="E1374" s="226">
        <v>26799</v>
      </c>
      <c r="F1374" s="227"/>
      <c r="G1374" s="1" t="str">
        <f>IFERROR(IF(ventas_b_mes12[[#This Row],[CUIT]]="","-",VLOOKUP(ventas_b_mes12[[#This Row],[CUIT]],Lista_CUIT[#All],2,0)),"CUIT NO CARGADO")</f>
        <v>-</v>
      </c>
      <c r="H1374" s="96">
        <f>ventas_b_mes12[[#This Row],[TOTAL]]/1.21</f>
        <v>17413.206611570247</v>
      </c>
      <c r="I1374" s="60">
        <f>ventas_b_mes12[[#This Row],[IMPORTE NETO]]*0.21</f>
        <v>3656.7733884297518</v>
      </c>
      <c r="J1374" s="229"/>
      <c r="K1374" s="229"/>
      <c r="L1374" s="229">
        <v>21069.98</v>
      </c>
      <c r="M1374" s="55"/>
    </row>
    <row r="1375" spans="2:13" x14ac:dyDescent="0.3">
      <c r="B1375" s="223" t="s">
        <v>2475</v>
      </c>
      <c r="C1375" s="37">
        <v>6</v>
      </c>
      <c r="D1375" s="225">
        <v>12</v>
      </c>
      <c r="E1375" s="226">
        <v>22604</v>
      </c>
      <c r="F1375" s="227"/>
      <c r="G1375" s="1" t="str">
        <f>IFERROR(IF(ventas_b_mes12[[#This Row],[CUIT]]="","-",VLOOKUP(ventas_b_mes12[[#This Row],[CUIT]],Lista_CUIT[#All],2,0)),"CUIT NO CARGADO")</f>
        <v>-</v>
      </c>
      <c r="H1375" s="96">
        <f>ventas_b_mes12[[#This Row],[TOTAL]]/1.21</f>
        <v>8454.545454545454</v>
      </c>
      <c r="I1375" s="60">
        <f>ventas_b_mes12[[#This Row],[IMPORTE NETO]]*0.21</f>
        <v>1775.4545454545453</v>
      </c>
      <c r="J1375" s="229"/>
      <c r="K1375" s="229"/>
      <c r="L1375" s="229">
        <v>10230</v>
      </c>
      <c r="M1375" s="55"/>
    </row>
    <row r="1376" spans="2:13" x14ac:dyDescent="0.3">
      <c r="B1376" s="223" t="s">
        <v>2475</v>
      </c>
      <c r="C1376" s="37">
        <v>6</v>
      </c>
      <c r="D1376" s="225">
        <v>13</v>
      </c>
      <c r="E1376" s="226">
        <v>26796</v>
      </c>
      <c r="F1376" s="227"/>
      <c r="G1376" s="1" t="str">
        <f>IFERROR(IF(ventas_b_mes12[[#This Row],[CUIT]]="","-",VLOOKUP(ventas_b_mes12[[#This Row],[CUIT]],Lista_CUIT[#All],2,0)),"CUIT NO CARGADO")</f>
        <v>-</v>
      </c>
      <c r="H1376" s="96">
        <f>ventas_b_mes12[[#This Row],[TOTAL]]/1.21</f>
        <v>17413.206611570247</v>
      </c>
      <c r="I1376" s="60">
        <f>ventas_b_mes12[[#This Row],[IMPORTE NETO]]*0.21</f>
        <v>3656.7733884297518</v>
      </c>
      <c r="J1376" s="229"/>
      <c r="K1376" s="229"/>
      <c r="L1376" s="229">
        <v>21069.98</v>
      </c>
      <c r="M1376" s="55"/>
    </row>
    <row r="1377" spans="2:13" x14ac:dyDescent="0.3">
      <c r="B1377" s="223" t="s">
        <v>2475</v>
      </c>
      <c r="C1377" s="37">
        <v>6</v>
      </c>
      <c r="D1377" s="225">
        <v>10</v>
      </c>
      <c r="E1377" s="226">
        <v>43940</v>
      </c>
      <c r="F1377" s="227"/>
      <c r="G1377" s="1" t="str">
        <f>IFERROR(IF(ventas_b_mes12[[#This Row],[CUIT]]="","-",VLOOKUP(ventas_b_mes12[[#This Row],[CUIT]],Lista_CUIT[#All],2,0)),"CUIT NO CARGADO")</f>
        <v>-</v>
      </c>
      <c r="H1377" s="96">
        <f>ventas_b_mes12[[#This Row],[TOTAL]]/1.21</f>
        <v>1239.6776859504132</v>
      </c>
      <c r="I1377" s="60">
        <f>ventas_b_mes12[[#This Row],[IMPORTE NETO]]*0.21</f>
        <v>260.33231404958678</v>
      </c>
      <c r="J1377" s="229"/>
      <c r="K1377" s="229"/>
      <c r="L1377" s="229">
        <v>1500.01</v>
      </c>
      <c r="M1377" s="55"/>
    </row>
    <row r="1378" spans="2:13" x14ac:dyDescent="0.3">
      <c r="B1378" s="223" t="s">
        <v>2475</v>
      </c>
      <c r="C1378" s="37">
        <v>6</v>
      </c>
      <c r="D1378" s="225">
        <v>12</v>
      </c>
      <c r="E1378" s="226">
        <v>22597</v>
      </c>
      <c r="F1378" s="227"/>
      <c r="G1378" s="1" t="str">
        <f>IFERROR(IF(ventas_b_mes12[[#This Row],[CUIT]]="","-",VLOOKUP(ventas_b_mes12[[#This Row],[CUIT]],Lista_CUIT[#All],2,0)),"CUIT NO CARGADO")</f>
        <v>-</v>
      </c>
      <c r="H1378" s="96">
        <f>ventas_b_mes12[[#This Row],[TOTAL]]/1.21</f>
        <v>9659.0909090909099</v>
      </c>
      <c r="I1378" s="60">
        <f>ventas_b_mes12[[#This Row],[IMPORTE NETO]]*0.21</f>
        <v>2028.409090909091</v>
      </c>
      <c r="J1378" s="229"/>
      <c r="K1378" s="229"/>
      <c r="L1378" s="229">
        <v>11687.5</v>
      </c>
      <c r="M1378" s="55"/>
    </row>
    <row r="1379" spans="2:13" x14ac:dyDescent="0.3">
      <c r="B1379" s="223" t="s">
        <v>2475</v>
      </c>
      <c r="C1379" s="37">
        <v>6</v>
      </c>
      <c r="D1379" s="225">
        <v>13</v>
      </c>
      <c r="E1379" s="226">
        <v>26806</v>
      </c>
      <c r="F1379" s="227"/>
      <c r="G1379" s="1" t="str">
        <f>IFERROR(IF(ventas_b_mes12[[#This Row],[CUIT]]="","-",VLOOKUP(ventas_b_mes12[[#This Row],[CUIT]],Lista_CUIT[#All],2,0)),"CUIT NO CARGADO")</f>
        <v>-</v>
      </c>
      <c r="H1379" s="96">
        <f>ventas_b_mes12[[#This Row],[TOTAL]]/1.21</f>
        <v>9917.3553719008269</v>
      </c>
      <c r="I1379" s="60">
        <f>ventas_b_mes12[[#This Row],[IMPORTE NETO]]*0.21</f>
        <v>2082.6446280991736</v>
      </c>
      <c r="J1379" s="229"/>
      <c r="K1379" s="229"/>
      <c r="L1379" s="229">
        <v>12000</v>
      </c>
      <c r="M1379" s="55"/>
    </row>
    <row r="1380" spans="2:13" x14ac:dyDescent="0.3">
      <c r="B1380" s="223" t="s">
        <v>2475</v>
      </c>
      <c r="C1380" s="37">
        <v>6</v>
      </c>
      <c r="D1380" s="225">
        <v>12</v>
      </c>
      <c r="E1380" s="226">
        <v>22603</v>
      </c>
      <c r="F1380" s="227"/>
      <c r="G1380" s="1" t="str">
        <f>IFERROR(IF(ventas_b_mes12[[#This Row],[CUIT]]="","-",VLOOKUP(ventas_b_mes12[[#This Row],[CUIT]],Lista_CUIT[#All],2,0)),"CUIT NO CARGADO")</f>
        <v>-</v>
      </c>
      <c r="H1380" s="96">
        <f>ventas_b_mes12[[#This Row],[TOTAL]]/1.21</f>
        <v>15768.578512396694</v>
      </c>
      <c r="I1380" s="60">
        <f>ventas_b_mes12[[#This Row],[IMPORTE NETO]]*0.21</f>
        <v>3311.4014876033057</v>
      </c>
      <c r="J1380" s="229"/>
      <c r="K1380" s="229"/>
      <c r="L1380" s="229">
        <v>19079.98</v>
      </c>
      <c r="M1380" s="55"/>
    </row>
    <row r="1381" spans="2:13" x14ac:dyDescent="0.3">
      <c r="B1381" s="223" t="s">
        <v>2475</v>
      </c>
      <c r="C1381" s="37">
        <v>6</v>
      </c>
      <c r="D1381" s="225">
        <v>13</v>
      </c>
      <c r="E1381" s="226">
        <v>26791</v>
      </c>
      <c r="F1381" s="227"/>
      <c r="G1381" s="1" t="str">
        <f>IFERROR(IF(ventas_b_mes12[[#This Row],[CUIT]]="","-",VLOOKUP(ventas_b_mes12[[#This Row],[CUIT]],Lista_CUIT[#All],2,0)),"CUIT NO CARGADO")</f>
        <v>-</v>
      </c>
      <c r="H1381" s="96">
        <f>ventas_b_mes12[[#This Row],[TOTAL]]/1.21</f>
        <v>2446.2809917355371</v>
      </c>
      <c r="I1381" s="60">
        <f>ventas_b_mes12[[#This Row],[IMPORTE NETO]]*0.21</f>
        <v>513.71900826446279</v>
      </c>
      <c r="J1381" s="229"/>
      <c r="K1381" s="229"/>
      <c r="L1381" s="229">
        <v>2960</v>
      </c>
      <c r="M1381" s="55"/>
    </row>
    <row r="1382" spans="2:13" x14ac:dyDescent="0.3">
      <c r="B1382" s="223" t="s">
        <v>2475</v>
      </c>
      <c r="C1382" s="37">
        <v>6</v>
      </c>
      <c r="D1382" s="225">
        <v>11</v>
      </c>
      <c r="E1382" s="226">
        <v>30137</v>
      </c>
      <c r="F1382" s="227"/>
      <c r="G1382" s="1" t="str">
        <f>IFERROR(IF(ventas_b_mes12[[#This Row],[CUIT]]="","-",VLOOKUP(ventas_b_mes12[[#This Row],[CUIT]],Lista_CUIT[#All],2,0)),"CUIT NO CARGADO")</f>
        <v>-</v>
      </c>
      <c r="H1382" s="96">
        <f>ventas_b_mes12[[#This Row],[TOTAL]]/1.21</f>
        <v>4710.7438016528931</v>
      </c>
      <c r="I1382" s="60">
        <f>ventas_b_mes12[[#This Row],[IMPORTE NETO]]*0.21</f>
        <v>989.25619834710756</v>
      </c>
      <c r="J1382" s="229"/>
      <c r="K1382" s="229"/>
      <c r="L1382" s="229">
        <v>5700</v>
      </c>
      <c r="M1382" s="55"/>
    </row>
    <row r="1383" spans="2:13" x14ac:dyDescent="0.3">
      <c r="B1383" s="223" t="s">
        <v>2475</v>
      </c>
      <c r="C1383" s="37">
        <v>6</v>
      </c>
      <c r="D1383" s="225">
        <v>13</v>
      </c>
      <c r="E1383" s="226">
        <v>26807</v>
      </c>
      <c r="F1383" s="227"/>
      <c r="G1383" s="1" t="str">
        <f>IFERROR(IF(ventas_b_mes12[[#This Row],[CUIT]]="","-",VLOOKUP(ventas_b_mes12[[#This Row],[CUIT]],Lista_CUIT[#All],2,0)),"CUIT NO CARGADO")</f>
        <v>-</v>
      </c>
      <c r="H1383" s="96">
        <f>ventas_b_mes12[[#This Row],[TOTAL]]/1.21</f>
        <v>4512.3966942148763</v>
      </c>
      <c r="I1383" s="60">
        <f>ventas_b_mes12[[#This Row],[IMPORTE NETO]]*0.21</f>
        <v>947.60330578512401</v>
      </c>
      <c r="J1383" s="229"/>
      <c r="K1383" s="229"/>
      <c r="L1383" s="229">
        <v>5460</v>
      </c>
      <c r="M1383" s="55"/>
    </row>
    <row r="1384" spans="2:13" x14ac:dyDescent="0.3">
      <c r="B1384" s="223" t="s">
        <v>2475</v>
      </c>
      <c r="C1384" s="37">
        <v>6</v>
      </c>
      <c r="D1384" s="225">
        <v>13</v>
      </c>
      <c r="E1384" s="226">
        <v>26793</v>
      </c>
      <c r="F1384" s="227"/>
      <c r="G1384" s="1" t="str">
        <f>IFERROR(IF(ventas_b_mes12[[#This Row],[CUIT]]="","-",VLOOKUP(ventas_b_mes12[[#This Row],[CUIT]],Lista_CUIT[#All],2,0)),"CUIT NO CARGADO")</f>
        <v>-</v>
      </c>
      <c r="H1384" s="96">
        <f>ventas_b_mes12[[#This Row],[TOTAL]]/1.21</f>
        <v>4917.3636363636369</v>
      </c>
      <c r="I1384" s="60">
        <f>ventas_b_mes12[[#This Row],[IMPORTE NETO]]*0.21</f>
        <v>1032.6463636363637</v>
      </c>
      <c r="J1384" s="229"/>
      <c r="K1384" s="229"/>
      <c r="L1384" s="229">
        <v>5950.01</v>
      </c>
      <c r="M1384" s="55"/>
    </row>
    <row r="1385" spans="2:13" x14ac:dyDescent="0.3">
      <c r="B1385" s="223" t="s">
        <v>2475</v>
      </c>
      <c r="C1385" s="37">
        <v>6</v>
      </c>
      <c r="D1385" s="225">
        <v>10</v>
      </c>
      <c r="E1385" s="226">
        <v>43935</v>
      </c>
      <c r="F1385" s="227"/>
      <c r="G1385" s="1" t="str">
        <f>IFERROR(IF(ventas_b_mes12[[#This Row],[CUIT]]="","-",VLOOKUP(ventas_b_mes12[[#This Row],[CUIT]],Lista_CUIT[#All],2,0)),"CUIT NO CARGADO")</f>
        <v>-</v>
      </c>
      <c r="H1385" s="96">
        <f>ventas_b_mes12[[#This Row],[TOTAL]]/1.21</f>
        <v>17358.264462809919</v>
      </c>
      <c r="I1385" s="60">
        <f>ventas_b_mes12[[#This Row],[IMPORTE NETO]]*0.21</f>
        <v>3645.2355371900826</v>
      </c>
      <c r="J1385" s="229"/>
      <c r="K1385" s="229"/>
      <c r="L1385" s="229">
        <v>21003.5</v>
      </c>
      <c r="M1385" s="55"/>
    </row>
    <row r="1386" spans="2:13" x14ac:dyDescent="0.3">
      <c r="B1386" s="223" t="s">
        <v>2475</v>
      </c>
      <c r="C1386" s="37">
        <v>6</v>
      </c>
      <c r="D1386" s="225">
        <v>10</v>
      </c>
      <c r="E1386" s="226">
        <v>43942</v>
      </c>
      <c r="F1386" s="227"/>
      <c r="G1386" s="1" t="str">
        <f>IFERROR(IF(ventas_b_mes12[[#This Row],[CUIT]]="","-",VLOOKUP(ventas_b_mes12[[#This Row],[CUIT]],Lista_CUIT[#All],2,0)),"CUIT NO CARGADO")</f>
        <v>-</v>
      </c>
      <c r="H1386" s="96">
        <f>ventas_b_mes12[[#This Row],[TOTAL]]/1.21</f>
        <v>2066.1157024793388</v>
      </c>
      <c r="I1386" s="60">
        <f>ventas_b_mes12[[#This Row],[IMPORTE NETO]]*0.21</f>
        <v>433.88429752066111</v>
      </c>
      <c r="J1386" s="229"/>
      <c r="K1386" s="229"/>
      <c r="L1386" s="229">
        <v>2500</v>
      </c>
      <c r="M1386" s="55"/>
    </row>
    <row r="1387" spans="2:13" x14ac:dyDescent="0.3">
      <c r="B1387" s="223" t="s">
        <v>2475</v>
      </c>
      <c r="C1387" s="37">
        <v>6</v>
      </c>
      <c r="D1387" s="225">
        <v>13</v>
      </c>
      <c r="E1387" s="226">
        <v>26798</v>
      </c>
      <c r="F1387" s="227"/>
      <c r="G1387" s="1" t="str">
        <f>IFERROR(IF(ventas_b_mes12[[#This Row],[CUIT]]="","-",VLOOKUP(ventas_b_mes12[[#This Row],[CUIT]],Lista_CUIT[#All],2,0)),"CUIT NO CARGADO")</f>
        <v>-</v>
      </c>
      <c r="H1387" s="96">
        <f>ventas_b_mes12[[#This Row],[TOTAL]]/1.21</f>
        <v>1735.5371900826447</v>
      </c>
      <c r="I1387" s="60">
        <f>ventas_b_mes12[[#This Row],[IMPORTE NETO]]*0.21</f>
        <v>364.46280991735534</v>
      </c>
      <c r="J1387" s="229"/>
      <c r="K1387" s="229"/>
      <c r="L1387" s="229">
        <v>2100</v>
      </c>
      <c r="M1387" s="55"/>
    </row>
    <row r="1388" spans="2:13" x14ac:dyDescent="0.3">
      <c r="B1388" s="223" t="s">
        <v>2475</v>
      </c>
      <c r="C1388" s="37">
        <v>6</v>
      </c>
      <c r="D1388" s="225">
        <v>10</v>
      </c>
      <c r="E1388" s="226">
        <v>43947</v>
      </c>
      <c r="F1388" s="227"/>
      <c r="G1388" s="1" t="str">
        <f>IFERROR(IF(ventas_b_mes12[[#This Row],[CUIT]]="","-",VLOOKUP(ventas_b_mes12[[#This Row],[CUIT]],Lista_CUIT[#All],2,0)),"CUIT NO CARGADO")</f>
        <v>-</v>
      </c>
      <c r="H1388" s="96">
        <f>ventas_b_mes12[[#This Row],[TOTAL]]/1.21</f>
        <v>25206.611570247933</v>
      </c>
      <c r="I1388" s="60">
        <f>ventas_b_mes12[[#This Row],[IMPORTE NETO]]*0.21</f>
        <v>5293.3884297520653</v>
      </c>
      <c r="J1388" s="229"/>
      <c r="K1388" s="229"/>
      <c r="L1388" s="229">
        <v>30500</v>
      </c>
      <c r="M1388" s="55"/>
    </row>
    <row r="1389" spans="2:13" x14ac:dyDescent="0.3">
      <c r="B1389" s="223" t="s">
        <v>2532</v>
      </c>
      <c r="C1389" s="37">
        <v>6</v>
      </c>
      <c r="D1389" s="225">
        <v>10</v>
      </c>
      <c r="E1389" s="226">
        <v>43952</v>
      </c>
      <c r="F1389" s="227"/>
      <c r="G1389" s="1" t="str">
        <f>IFERROR(IF(ventas_b_mes12[[#This Row],[CUIT]]="","-",VLOOKUP(ventas_b_mes12[[#This Row],[CUIT]],Lista_CUIT[#All],2,0)),"CUIT NO CARGADO")</f>
        <v>-</v>
      </c>
      <c r="H1389" s="96">
        <f>ventas_b_mes12[[#This Row],[TOTAL]]/1.21</f>
        <v>4958.6776859504134</v>
      </c>
      <c r="I1389" s="60">
        <f>ventas_b_mes12[[#This Row],[IMPORTE NETO]]*0.21</f>
        <v>1041.3223140495868</v>
      </c>
      <c r="J1389" s="229"/>
      <c r="K1389" s="229"/>
      <c r="L1389" s="229">
        <v>6000</v>
      </c>
      <c r="M1389" s="55"/>
    </row>
    <row r="1390" spans="2:13" x14ac:dyDescent="0.3">
      <c r="B1390" s="223" t="s">
        <v>2532</v>
      </c>
      <c r="C1390" s="37">
        <v>6</v>
      </c>
      <c r="D1390" s="225">
        <v>13</v>
      </c>
      <c r="E1390" s="226">
        <v>26816</v>
      </c>
      <c r="F1390" s="227"/>
      <c r="G1390" s="1" t="str">
        <f>IFERROR(IF(ventas_b_mes12[[#This Row],[CUIT]]="","-",VLOOKUP(ventas_b_mes12[[#This Row],[CUIT]],Lista_CUIT[#All],2,0)),"CUIT NO CARGADO")</f>
        <v>-</v>
      </c>
      <c r="H1390" s="96">
        <f>ventas_b_mes12[[#This Row],[TOTAL]]/1.21</f>
        <v>3867.7685950413224</v>
      </c>
      <c r="I1390" s="60">
        <f>ventas_b_mes12[[#This Row],[IMPORTE NETO]]*0.21</f>
        <v>812.23140495867767</v>
      </c>
      <c r="J1390" s="229"/>
      <c r="K1390" s="229"/>
      <c r="L1390" s="229">
        <v>4680</v>
      </c>
      <c r="M1390" s="55"/>
    </row>
    <row r="1391" spans="2:13" x14ac:dyDescent="0.3">
      <c r="B1391" s="223" t="s">
        <v>2532</v>
      </c>
      <c r="C1391" s="37">
        <v>6</v>
      </c>
      <c r="D1391" s="225">
        <v>10</v>
      </c>
      <c r="E1391" s="226">
        <v>43963</v>
      </c>
      <c r="F1391" s="227"/>
      <c r="G1391" s="1" t="str">
        <f>IFERROR(IF(ventas_b_mes12[[#This Row],[CUIT]]="","-",VLOOKUP(ventas_b_mes12[[#This Row],[CUIT]],Lista_CUIT[#All],2,0)),"CUIT NO CARGADO")</f>
        <v>-</v>
      </c>
      <c r="H1391" s="96">
        <f>ventas_b_mes12[[#This Row],[TOTAL]]/1.21</f>
        <v>12053.719008264463</v>
      </c>
      <c r="I1391" s="60">
        <f>ventas_b_mes12[[#This Row],[IMPORTE NETO]]*0.21</f>
        <v>2531.2809917355371</v>
      </c>
      <c r="J1391" s="229"/>
      <c r="K1391" s="229"/>
      <c r="L1391" s="229">
        <v>14585</v>
      </c>
      <c r="M1391" s="55"/>
    </row>
    <row r="1392" spans="2:13" x14ac:dyDescent="0.3">
      <c r="B1392" s="223" t="s">
        <v>2532</v>
      </c>
      <c r="C1392" s="37">
        <v>6</v>
      </c>
      <c r="D1392" s="225">
        <v>13</v>
      </c>
      <c r="E1392" s="226">
        <v>26818</v>
      </c>
      <c r="F1392" s="227"/>
      <c r="G1392" s="1" t="str">
        <f>IFERROR(IF(ventas_b_mes12[[#This Row],[CUIT]]="","-",VLOOKUP(ventas_b_mes12[[#This Row],[CUIT]],Lista_CUIT[#All],2,0)),"CUIT NO CARGADO")</f>
        <v>-</v>
      </c>
      <c r="H1392" s="96">
        <f>ventas_b_mes12[[#This Row],[TOTAL]]/1.21</f>
        <v>30181.801652892565</v>
      </c>
      <c r="I1392" s="60">
        <f>ventas_b_mes12[[#This Row],[IMPORTE NETO]]*0.21</f>
        <v>6338.1783471074386</v>
      </c>
      <c r="J1392" s="229"/>
      <c r="K1392" s="229"/>
      <c r="L1392" s="229">
        <v>36519.980000000003</v>
      </c>
      <c r="M1392" s="55"/>
    </row>
    <row r="1393" spans="2:13" x14ac:dyDescent="0.3">
      <c r="B1393" s="223" t="s">
        <v>2532</v>
      </c>
      <c r="C1393" s="37">
        <v>6</v>
      </c>
      <c r="D1393" s="225">
        <v>13</v>
      </c>
      <c r="E1393" s="226">
        <v>26817</v>
      </c>
      <c r="F1393" s="227"/>
      <c r="G1393" s="1" t="str">
        <f>IFERROR(IF(ventas_b_mes12[[#This Row],[CUIT]]="","-",VLOOKUP(ventas_b_mes12[[#This Row],[CUIT]],Lista_CUIT[#All],2,0)),"CUIT NO CARGADO")</f>
        <v>-</v>
      </c>
      <c r="H1393" s="96">
        <f>ventas_b_mes12[[#This Row],[TOTAL]]/1.21</f>
        <v>7876.0330578512403</v>
      </c>
      <c r="I1393" s="60">
        <f>ventas_b_mes12[[#This Row],[IMPORTE NETO]]*0.21</f>
        <v>1653.9669421487604</v>
      </c>
      <c r="J1393" s="229"/>
      <c r="K1393" s="229"/>
      <c r="L1393" s="229">
        <v>9530</v>
      </c>
      <c r="M1393" s="55"/>
    </row>
    <row r="1394" spans="2:13" x14ac:dyDescent="0.3">
      <c r="B1394" s="223" t="s">
        <v>2532</v>
      </c>
      <c r="C1394" s="37">
        <v>6</v>
      </c>
      <c r="D1394" s="225">
        <v>10</v>
      </c>
      <c r="E1394" s="226">
        <v>43951</v>
      </c>
      <c r="F1394" s="227"/>
      <c r="G1394" s="1" t="str">
        <f>IFERROR(IF(ventas_b_mes12[[#This Row],[CUIT]]="","-",VLOOKUP(ventas_b_mes12[[#This Row],[CUIT]],Lista_CUIT[#All],2,0)),"CUIT NO CARGADO")</f>
        <v>-</v>
      </c>
      <c r="H1394" s="96">
        <f>ventas_b_mes12[[#This Row],[TOTAL]]/1.21</f>
        <v>1933.8842975206612</v>
      </c>
      <c r="I1394" s="60">
        <f>ventas_b_mes12[[#This Row],[IMPORTE NETO]]*0.21</f>
        <v>406.11570247933884</v>
      </c>
      <c r="J1394" s="229"/>
      <c r="K1394" s="229"/>
      <c r="L1394" s="229">
        <v>2340</v>
      </c>
      <c r="M1394" s="55"/>
    </row>
    <row r="1395" spans="2:13" x14ac:dyDescent="0.3">
      <c r="B1395" s="223" t="s">
        <v>2532</v>
      </c>
      <c r="C1395" s="37">
        <v>6</v>
      </c>
      <c r="D1395" s="225">
        <v>11</v>
      </c>
      <c r="E1395" s="226">
        <v>30139</v>
      </c>
      <c r="F1395" s="227"/>
      <c r="G1395" s="1" t="str">
        <f>IFERROR(IF(ventas_b_mes12[[#This Row],[CUIT]]="","-",VLOOKUP(ventas_b_mes12[[#This Row],[CUIT]],Lista_CUIT[#All],2,0)),"CUIT NO CARGADO")</f>
        <v>-</v>
      </c>
      <c r="H1395" s="96">
        <f>ventas_b_mes12[[#This Row],[TOTAL]]/1.21</f>
        <v>5549.5867768595044</v>
      </c>
      <c r="I1395" s="60">
        <f>ventas_b_mes12[[#This Row],[IMPORTE NETO]]*0.21</f>
        <v>1165.4132231404958</v>
      </c>
      <c r="J1395" s="229"/>
      <c r="K1395" s="229"/>
      <c r="L1395" s="229">
        <v>6715</v>
      </c>
      <c r="M1395" s="55"/>
    </row>
    <row r="1396" spans="2:13" x14ac:dyDescent="0.3">
      <c r="B1396" s="223" t="s">
        <v>2532</v>
      </c>
      <c r="C1396" s="37">
        <v>6</v>
      </c>
      <c r="D1396" s="225">
        <v>15</v>
      </c>
      <c r="E1396" s="226">
        <v>7274</v>
      </c>
      <c r="F1396" s="227"/>
      <c r="G1396" s="1" t="str">
        <f>IFERROR(IF(ventas_b_mes12[[#This Row],[CUIT]]="","-",VLOOKUP(ventas_b_mes12[[#This Row],[CUIT]],Lista_CUIT[#All],2,0)),"CUIT NO CARGADO")</f>
        <v>-</v>
      </c>
      <c r="H1396" s="96">
        <f>ventas_b_mes12[[#This Row],[TOTAL]]/1.21</f>
        <v>4958.6776859504134</v>
      </c>
      <c r="I1396" s="60">
        <f>ventas_b_mes12[[#This Row],[IMPORTE NETO]]*0.21</f>
        <v>1041.3223140495868</v>
      </c>
      <c r="J1396" s="229"/>
      <c r="K1396" s="229"/>
      <c r="L1396" s="229">
        <v>6000</v>
      </c>
      <c r="M1396" s="55"/>
    </row>
    <row r="1397" spans="2:13" x14ac:dyDescent="0.3">
      <c r="B1397" s="223" t="s">
        <v>2532</v>
      </c>
      <c r="C1397" s="37">
        <v>6</v>
      </c>
      <c r="D1397" s="225">
        <v>15</v>
      </c>
      <c r="E1397" s="226">
        <v>7273</v>
      </c>
      <c r="F1397" s="227"/>
      <c r="G1397" s="1" t="str">
        <f>IFERROR(IF(ventas_b_mes12[[#This Row],[CUIT]]="","-",VLOOKUP(ventas_b_mes12[[#This Row],[CUIT]],Lista_CUIT[#All],2,0)),"CUIT NO CARGADO")</f>
        <v>-</v>
      </c>
      <c r="H1397" s="96">
        <f>ventas_b_mes12[[#This Row],[TOTAL]]/1.21</f>
        <v>3595.0413223140495</v>
      </c>
      <c r="I1397" s="60">
        <f>ventas_b_mes12[[#This Row],[IMPORTE NETO]]*0.21</f>
        <v>754.95867768595031</v>
      </c>
      <c r="J1397" s="229"/>
      <c r="K1397" s="229"/>
      <c r="L1397" s="229">
        <v>4350</v>
      </c>
      <c r="M1397" s="55"/>
    </row>
    <row r="1398" spans="2:13" x14ac:dyDescent="0.3">
      <c r="B1398" s="223" t="s">
        <v>2532</v>
      </c>
      <c r="C1398" s="37">
        <v>6</v>
      </c>
      <c r="D1398" s="225">
        <v>10</v>
      </c>
      <c r="E1398" s="226">
        <v>43960</v>
      </c>
      <c r="F1398" s="227"/>
      <c r="G1398" s="1" t="str">
        <f>IFERROR(IF(ventas_b_mes12[[#This Row],[CUIT]]="","-",VLOOKUP(ventas_b_mes12[[#This Row],[CUIT]],Lista_CUIT[#All],2,0)),"CUIT NO CARGADO")</f>
        <v>-</v>
      </c>
      <c r="H1398" s="96">
        <f>ventas_b_mes12[[#This Row],[TOTAL]]/1.21</f>
        <v>4297.5206611570247</v>
      </c>
      <c r="I1398" s="60">
        <f>ventas_b_mes12[[#This Row],[IMPORTE NETO]]*0.21</f>
        <v>902.47933884297515</v>
      </c>
      <c r="J1398" s="229"/>
      <c r="K1398" s="229"/>
      <c r="L1398" s="229">
        <v>5200</v>
      </c>
      <c r="M1398" s="55"/>
    </row>
    <row r="1399" spans="2:13" x14ac:dyDescent="0.3">
      <c r="B1399" s="223" t="s">
        <v>2532</v>
      </c>
      <c r="C1399" s="37">
        <v>6</v>
      </c>
      <c r="D1399" s="225">
        <v>12</v>
      </c>
      <c r="E1399" s="226">
        <v>22611</v>
      </c>
      <c r="F1399" s="227"/>
      <c r="G1399" s="1" t="str">
        <f>IFERROR(IF(ventas_b_mes12[[#This Row],[CUIT]]="","-",VLOOKUP(ventas_b_mes12[[#This Row],[CUIT]],Lista_CUIT[#All],2,0)),"CUIT NO CARGADO")</f>
        <v>-</v>
      </c>
      <c r="H1399" s="96">
        <f>ventas_b_mes12[[#This Row],[TOTAL]]/1.21</f>
        <v>7398.3471074380168</v>
      </c>
      <c r="I1399" s="60">
        <f>ventas_b_mes12[[#This Row],[IMPORTE NETO]]*0.21</f>
        <v>1553.6528925619834</v>
      </c>
      <c r="J1399" s="229"/>
      <c r="K1399" s="229"/>
      <c r="L1399" s="229">
        <v>8952</v>
      </c>
      <c r="M1399" s="55"/>
    </row>
    <row r="1400" spans="2:13" x14ac:dyDescent="0.3">
      <c r="B1400" s="223" t="s">
        <v>2532</v>
      </c>
      <c r="C1400" s="37">
        <v>6</v>
      </c>
      <c r="D1400" s="225">
        <v>13</v>
      </c>
      <c r="E1400" s="226">
        <v>26821</v>
      </c>
      <c r="F1400" s="227"/>
      <c r="G1400" s="1" t="str">
        <f>IFERROR(IF(ventas_b_mes12[[#This Row],[CUIT]]="","-",VLOOKUP(ventas_b_mes12[[#This Row],[CUIT]],Lista_CUIT[#All],2,0)),"CUIT NO CARGADO")</f>
        <v>-</v>
      </c>
      <c r="H1400" s="96">
        <f>ventas_b_mes12[[#This Row],[TOTAL]]/1.21</f>
        <v>4958.6776859504134</v>
      </c>
      <c r="I1400" s="60">
        <f>ventas_b_mes12[[#This Row],[IMPORTE NETO]]*0.21</f>
        <v>1041.3223140495868</v>
      </c>
      <c r="J1400" s="229"/>
      <c r="K1400" s="229"/>
      <c r="L1400" s="229">
        <v>6000</v>
      </c>
      <c r="M1400" s="55"/>
    </row>
    <row r="1401" spans="2:13" x14ac:dyDescent="0.3">
      <c r="B1401" s="223" t="s">
        <v>2532</v>
      </c>
      <c r="C1401" s="37">
        <v>6</v>
      </c>
      <c r="D1401" s="225">
        <v>13</v>
      </c>
      <c r="E1401" s="226">
        <v>26814</v>
      </c>
      <c r="F1401" s="227"/>
      <c r="G1401" s="1" t="str">
        <f>IFERROR(IF(ventas_b_mes12[[#This Row],[CUIT]]="","-",VLOOKUP(ventas_b_mes12[[#This Row],[CUIT]],Lista_CUIT[#All],2,0)),"CUIT NO CARGADO")</f>
        <v>-</v>
      </c>
      <c r="H1401" s="96">
        <f>ventas_b_mes12[[#This Row],[TOTAL]]/1.21</f>
        <v>3595.0413223140495</v>
      </c>
      <c r="I1401" s="60">
        <f>ventas_b_mes12[[#This Row],[IMPORTE NETO]]*0.21</f>
        <v>754.95867768595031</v>
      </c>
      <c r="J1401" s="229"/>
      <c r="K1401" s="229"/>
      <c r="L1401" s="229">
        <v>4350</v>
      </c>
      <c r="M1401" s="55"/>
    </row>
    <row r="1402" spans="2:13" x14ac:dyDescent="0.3">
      <c r="B1402" s="223" t="s">
        <v>2532</v>
      </c>
      <c r="C1402" s="37">
        <v>6</v>
      </c>
      <c r="D1402" s="225">
        <v>13</v>
      </c>
      <c r="E1402" s="226">
        <v>26815</v>
      </c>
      <c r="F1402" s="227"/>
      <c r="G1402" s="1" t="str">
        <f>IFERROR(IF(ventas_b_mes12[[#This Row],[CUIT]]="","-",VLOOKUP(ventas_b_mes12[[#This Row],[CUIT]],Lista_CUIT[#All],2,0)),"CUIT NO CARGADO")</f>
        <v>-</v>
      </c>
      <c r="H1402" s="96">
        <f>ventas_b_mes12[[#This Row],[TOTAL]]/1.21</f>
        <v>3595.0413223140495</v>
      </c>
      <c r="I1402" s="60">
        <f>ventas_b_mes12[[#This Row],[IMPORTE NETO]]*0.21</f>
        <v>754.95867768595031</v>
      </c>
      <c r="J1402" s="229"/>
      <c r="K1402" s="229"/>
      <c r="L1402" s="229">
        <v>4350</v>
      </c>
      <c r="M1402" s="55"/>
    </row>
    <row r="1403" spans="2:13" x14ac:dyDescent="0.3">
      <c r="B1403" s="223" t="s">
        <v>2532</v>
      </c>
      <c r="C1403" s="37">
        <v>6</v>
      </c>
      <c r="D1403" s="225">
        <v>11</v>
      </c>
      <c r="E1403" s="226">
        <v>30145</v>
      </c>
      <c r="F1403" s="227"/>
      <c r="G1403" s="1" t="str">
        <f>IFERROR(IF(ventas_b_mes12[[#This Row],[CUIT]]="","-",VLOOKUP(ventas_b_mes12[[#This Row],[CUIT]],Lista_CUIT[#All],2,0)),"CUIT NO CARGADO")</f>
        <v>-</v>
      </c>
      <c r="H1403" s="96">
        <f>ventas_b_mes12[[#This Row],[TOTAL]]/1.21</f>
        <v>2826.4462809917354</v>
      </c>
      <c r="I1403" s="60">
        <f>ventas_b_mes12[[#This Row],[IMPORTE NETO]]*0.21</f>
        <v>593.55371900826447</v>
      </c>
      <c r="J1403" s="229"/>
      <c r="K1403" s="229"/>
      <c r="L1403" s="229">
        <v>3420</v>
      </c>
      <c r="M1403" s="55"/>
    </row>
    <row r="1404" spans="2:13" x14ac:dyDescent="0.3">
      <c r="B1404" s="223" t="s">
        <v>2532</v>
      </c>
      <c r="C1404" s="37">
        <v>6</v>
      </c>
      <c r="D1404" s="225">
        <v>12</v>
      </c>
      <c r="E1404" s="226">
        <v>22609</v>
      </c>
      <c r="F1404" s="227"/>
      <c r="G1404" s="1" t="str">
        <f>IFERROR(IF(ventas_b_mes12[[#This Row],[CUIT]]="","-",VLOOKUP(ventas_b_mes12[[#This Row],[CUIT]],Lista_CUIT[#All],2,0)),"CUIT NO CARGADO")</f>
        <v>-</v>
      </c>
      <c r="H1404" s="96">
        <f>ventas_b_mes12[[#This Row],[TOTAL]]/1.21</f>
        <v>334.71074380165288</v>
      </c>
      <c r="I1404" s="60">
        <f>ventas_b_mes12[[#This Row],[IMPORTE NETO]]*0.21</f>
        <v>70.289256198347104</v>
      </c>
      <c r="J1404" s="229"/>
      <c r="K1404" s="229"/>
      <c r="L1404" s="229">
        <v>405</v>
      </c>
      <c r="M1404" s="55"/>
    </row>
    <row r="1405" spans="2:13" x14ac:dyDescent="0.3">
      <c r="B1405" s="223" t="s">
        <v>2532</v>
      </c>
      <c r="C1405" s="37">
        <v>6</v>
      </c>
      <c r="D1405" s="225">
        <v>12</v>
      </c>
      <c r="E1405" s="226">
        <v>22608</v>
      </c>
      <c r="F1405" s="227"/>
      <c r="G1405" s="1" t="str">
        <f>IFERROR(IF(ventas_b_mes12[[#This Row],[CUIT]]="","-",VLOOKUP(ventas_b_mes12[[#This Row],[CUIT]],Lista_CUIT[#All],2,0)),"CUIT NO CARGADO")</f>
        <v>-</v>
      </c>
      <c r="H1405" s="96">
        <f>ventas_b_mes12[[#This Row],[TOTAL]]/1.21</f>
        <v>7104.1322314049585</v>
      </c>
      <c r="I1405" s="60">
        <f>ventas_b_mes12[[#This Row],[IMPORTE NETO]]*0.21</f>
        <v>1491.8677685950413</v>
      </c>
      <c r="J1405" s="229"/>
      <c r="K1405" s="229"/>
      <c r="L1405" s="229">
        <v>8596</v>
      </c>
      <c r="M1405" s="55"/>
    </row>
    <row r="1406" spans="2:13" x14ac:dyDescent="0.3">
      <c r="B1406" s="223" t="s">
        <v>2532</v>
      </c>
      <c r="C1406" s="37">
        <v>6</v>
      </c>
      <c r="D1406" s="225">
        <v>12</v>
      </c>
      <c r="E1406" s="226">
        <v>22610</v>
      </c>
      <c r="F1406" s="227"/>
      <c r="G1406" s="1" t="str">
        <f>IFERROR(IF(ventas_b_mes12[[#This Row],[CUIT]]="","-",VLOOKUP(ventas_b_mes12[[#This Row],[CUIT]],Lista_CUIT[#All],2,0)),"CUIT NO CARGADO")</f>
        <v>-</v>
      </c>
      <c r="H1406" s="96">
        <f>ventas_b_mes12[[#This Row],[TOTAL]]/1.21</f>
        <v>4545.454545454546</v>
      </c>
      <c r="I1406" s="60">
        <f>ventas_b_mes12[[#This Row],[IMPORTE NETO]]*0.21</f>
        <v>954.54545454545462</v>
      </c>
      <c r="J1406" s="229"/>
      <c r="K1406" s="229"/>
      <c r="L1406" s="229">
        <v>5500</v>
      </c>
      <c r="M1406" s="55"/>
    </row>
    <row r="1407" spans="2:13" x14ac:dyDescent="0.3">
      <c r="B1407" s="223" t="s">
        <v>2532</v>
      </c>
      <c r="C1407" s="37">
        <v>6</v>
      </c>
      <c r="D1407" s="225">
        <v>13</v>
      </c>
      <c r="E1407" s="226">
        <v>26813</v>
      </c>
      <c r="F1407" s="227"/>
      <c r="G1407" s="1" t="str">
        <f>IFERROR(IF(ventas_b_mes12[[#This Row],[CUIT]]="","-",VLOOKUP(ventas_b_mes12[[#This Row],[CUIT]],Lista_CUIT[#All],2,0)),"CUIT NO CARGADO")</f>
        <v>-</v>
      </c>
      <c r="H1407" s="96">
        <f>ventas_b_mes12[[#This Row],[TOTAL]]/1.21</f>
        <v>8165.2892561983472</v>
      </c>
      <c r="I1407" s="60">
        <f>ventas_b_mes12[[#This Row],[IMPORTE NETO]]*0.21</f>
        <v>1714.7107438016528</v>
      </c>
      <c r="J1407" s="229"/>
      <c r="K1407" s="229"/>
      <c r="L1407" s="229">
        <v>9880</v>
      </c>
      <c r="M1407" s="55"/>
    </row>
    <row r="1408" spans="2:13" x14ac:dyDescent="0.3">
      <c r="B1408" s="223" t="s">
        <v>2532</v>
      </c>
      <c r="C1408" s="37">
        <v>6</v>
      </c>
      <c r="D1408" s="225">
        <v>11</v>
      </c>
      <c r="E1408" s="226">
        <v>30141</v>
      </c>
      <c r="F1408" s="227"/>
      <c r="G1408" s="1" t="str">
        <f>IFERROR(IF(ventas_b_mes12[[#This Row],[CUIT]]="","-",VLOOKUP(ventas_b_mes12[[#This Row],[CUIT]],Lista_CUIT[#All],2,0)),"CUIT NO CARGADO")</f>
        <v>-</v>
      </c>
      <c r="H1408" s="96">
        <f>ventas_b_mes12[[#This Row],[TOTAL]]/1.21</f>
        <v>6508.2644628099179</v>
      </c>
      <c r="I1408" s="60">
        <f>ventas_b_mes12[[#This Row],[IMPORTE NETO]]*0.21</f>
        <v>1366.7355371900826</v>
      </c>
      <c r="J1408" s="229"/>
      <c r="K1408" s="229"/>
      <c r="L1408" s="229">
        <v>7875</v>
      </c>
      <c r="M1408" s="55"/>
    </row>
    <row r="1409" spans="2:13" x14ac:dyDescent="0.3">
      <c r="B1409" s="223" t="s">
        <v>2532</v>
      </c>
      <c r="C1409" s="37">
        <v>6</v>
      </c>
      <c r="D1409" s="225">
        <v>13</v>
      </c>
      <c r="E1409" s="226">
        <v>26812</v>
      </c>
      <c r="F1409" s="227"/>
      <c r="G1409" s="1" t="str">
        <f>IFERROR(IF(ventas_b_mes12[[#This Row],[CUIT]]="","-",VLOOKUP(ventas_b_mes12[[#This Row],[CUIT]],Lista_CUIT[#All],2,0)),"CUIT NO CARGADO")</f>
        <v>-</v>
      </c>
      <c r="H1409" s="96">
        <f>ventas_b_mes12[[#This Row],[TOTAL]]/1.21</f>
        <v>5099.1735537190089</v>
      </c>
      <c r="I1409" s="60">
        <f>ventas_b_mes12[[#This Row],[IMPORTE NETO]]*0.21</f>
        <v>1070.8264462809918</v>
      </c>
      <c r="J1409" s="229"/>
      <c r="K1409" s="229"/>
      <c r="L1409" s="229">
        <v>6170</v>
      </c>
      <c r="M1409" s="55"/>
    </row>
    <row r="1410" spans="2:13" x14ac:dyDescent="0.3">
      <c r="B1410" s="223" t="s">
        <v>2532</v>
      </c>
      <c r="C1410" s="37">
        <v>6</v>
      </c>
      <c r="D1410" s="225">
        <v>10</v>
      </c>
      <c r="E1410" s="226">
        <v>43962</v>
      </c>
      <c r="F1410" s="227"/>
      <c r="G1410" s="1" t="str">
        <f>IFERROR(IF(ventas_b_mes12[[#This Row],[CUIT]]="","-",VLOOKUP(ventas_b_mes12[[#This Row],[CUIT]],Lista_CUIT[#All],2,0)),"CUIT NO CARGADO")</f>
        <v>-</v>
      </c>
      <c r="H1410" s="96">
        <f>ventas_b_mes12[[#This Row],[TOTAL]]/1.21</f>
        <v>9966.9421487603304</v>
      </c>
      <c r="I1410" s="60">
        <f>ventas_b_mes12[[#This Row],[IMPORTE NETO]]*0.21</f>
        <v>2093.0578512396692</v>
      </c>
      <c r="J1410" s="229"/>
      <c r="K1410" s="229"/>
      <c r="L1410" s="229">
        <v>12060</v>
      </c>
      <c r="M1410" s="55"/>
    </row>
    <row r="1411" spans="2:13" x14ac:dyDescent="0.3">
      <c r="B1411" s="223" t="s">
        <v>2532</v>
      </c>
      <c r="C1411" s="37">
        <v>6</v>
      </c>
      <c r="D1411" s="225">
        <v>10</v>
      </c>
      <c r="E1411" s="226">
        <v>43959</v>
      </c>
      <c r="F1411" s="227"/>
      <c r="G1411" s="1" t="str">
        <f>IFERROR(IF(ventas_b_mes12[[#This Row],[CUIT]]="","-",VLOOKUP(ventas_b_mes12[[#This Row],[CUIT]],Lista_CUIT[#All],2,0)),"CUIT NO CARGADO")</f>
        <v>-</v>
      </c>
      <c r="H1411" s="96">
        <f>ventas_b_mes12[[#This Row],[TOTAL]]/1.21</f>
        <v>6342.1487603305786</v>
      </c>
      <c r="I1411" s="60">
        <f>ventas_b_mes12[[#This Row],[IMPORTE NETO]]*0.21</f>
        <v>1331.8512396694214</v>
      </c>
      <c r="J1411" s="229"/>
      <c r="K1411" s="229"/>
      <c r="L1411" s="229">
        <v>7674</v>
      </c>
      <c r="M1411" s="55"/>
    </row>
    <row r="1412" spans="2:13" x14ac:dyDescent="0.3">
      <c r="B1412" s="223" t="s">
        <v>2532</v>
      </c>
      <c r="C1412" s="37">
        <v>6</v>
      </c>
      <c r="D1412" s="225">
        <v>10</v>
      </c>
      <c r="E1412" s="226">
        <v>43961</v>
      </c>
      <c r="F1412" s="227"/>
      <c r="G1412" s="1" t="str">
        <f>IFERROR(IF(ventas_b_mes12[[#This Row],[CUIT]]="","-",VLOOKUP(ventas_b_mes12[[#This Row],[CUIT]],Lista_CUIT[#All],2,0)),"CUIT NO CARGADO")</f>
        <v>-</v>
      </c>
      <c r="H1412" s="96">
        <f>ventas_b_mes12[[#This Row],[TOTAL]]/1.21</f>
        <v>3714.0495867768595</v>
      </c>
      <c r="I1412" s="60">
        <f>ventas_b_mes12[[#This Row],[IMPORTE NETO]]*0.21</f>
        <v>779.95041322314046</v>
      </c>
      <c r="J1412" s="229"/>
      <c r="K1412" s="229"/>
      <c r="L1412" s="229">
        <v>4494</v>
      </c>
      <c r="M1412" s="55"/>
    </row>
    <row r="1413" spans="2:13" x14ac:dyDescent="0.3">
      <c r="B1413" s="223" t="s">
        <v>2532</v>
      </c>
      <c r="C1413" s="37">
        <v>6</v>
      </c>
      <c r="D1413" s="225">
        <v>10</v>
      </c>
      <c r="E1413" s="226">
        <v>43950</v>
      </c>
      <c r="F1413" s="227"/>
      <c r="G1413" s="1" t="str">
        <f>IFERROR(IF(ventas_b_mes12[[#This Row],[CUIT]]="","-",VLOOKUP(ventas_b_mes12[[#This Row],[CUIT]],Lista_CUIT[#All],2,0)),"CUIT NO CARGADO")</f>
        <v>-</v>
      </c>
      <c r="H1413" s="96">
        <f>ventas_b_mes12[[#This Row],[TOTAL]]/1.21</f>
        <v>2107.4380165289258</v>
      </c>
      <c r="I1413" s="60">
        <f>ventas_b_mes12[[#This Row],[IMPORTE NETO]]*0.21</f>
        <v>442.56198347107443</v>
      </c>
      <c r="J1413" s="229"/>
      <c r="K1413" s="229"/>
      <c r="L1413" s="229">
        <v>2550</v>
      </c>
      <c r="M1413" s="55"/>
    </row>
    <row r="1414" spans="2:13" x14ac:dyDescent="0.3">
      <c r="B1414" s="223" t="s">
        <v>2532</v>
      </c>
      <c r="C1414" s="37">
        <v>6</v>
      </c>
      <c r="D1414" s="225">
        <v>12</v>
      </c>
      <c r="E1414" s="226">
        <v>22614</v>
      </c>
      <c r="F1414" s="227"/>
      <c r="G1414" s="1" t="str">
        <f>IFERROR(IF(ventas_b_mes12[[#This Row],[CUIT]]="","-",VLOOKUP(ventas_b_mes12[[#This Row],[CUIT]],Lista_CUIT[#All],2,0)),"CUIT NO CARGADO")</f>
        <v>-</v>
      </c>
      <c r="H1414" s="96">
        <f>ventas_b_mes12[[#This Row],[TOTAL]]/1.21</f>
        <v>4879.3388429752067</v>
      </c>
      <c r="I1414" s="60">
        <f>ventas_b_mes12[[#This Row],[IMPORTE NETO]]*0.21</f>
        <v>1024.6611570247933</v>
      </c>
      <c r="J1414" s="229"/>
      <c r="K1414" s="229"/>
      <c r="L1414" s="229">
        <v>5904</v>
      </c>
      <c r="M1414" s="55"/>
    </row>
    <row r="1415" spans="2:13" x14ac:dyDescent="0.3">
      <c r="B1415" s="223" t="s">
        <v>2532</v>
      </c>
      <c r="C1415" s="37">
        <v>6</v>
      </c>
      <c r="D1415" s="225">
        <v>11</v>
      </c>
      <c r="E1415" s="226">
        <v>30149</v>
      </c>
      <c r="F1415" s="227"/>
      <c r="G1415" s="1" t="str">
        <f>IFERROR(IF(ventas_b_mes12[[#This Row],[CUIT]]="","-",VLOOKUP(ventas_b_mes12[[#This Row],[CUIT]],Lista_CUIT[#All],2,0)),"CUIT NO CARGADO")</f>
        <v>-</v>
      </c>
      <c r="H1415" s="96">
        <f>ventas_b_mes12[[#This Row],[TOTAL]]/1.21</f>
        <v>6330.5785123966944</v>
      </c>
      <c r="I1415" s="60">
        <f>ventas_b_mes12[[#This Row],[IMPORTE NETO]]*0.21</f>
        <v>1329.4214876033059</v>
      </c>
      <c r="J1415" s="229"/>
      <c r="K1415" s="229"/>
      <c r="L1415" s="229">
        <v>7660</v>
      </c>
      <c r="M1415" s="55"/>
    </row>
    <row r="1416" spans="2:13" x14ac:dyDescent="0.3">
      <c r="B1416" s="223" t="s">
        <v>2532</v>
      </c>
      <c r="C1416" s="37">
        <v>6</v>
      </c>
      <c r="D1416" s="225">
        <v>10</v>
      </c>
      <c r="E1416" s="226">
        <v>43957</v>
      </c>
      <c r="F1416" s="227"/>
      <c r="G1416" s="1" t="str">
        <f>IFERROR(IF(ventas_b_mes12[[#This Row],[CUIT]]="","-",VLOOKUP(ventas_b_mes12[[#This Row],[CUIT]],Lista_CUIT[#All],2,0)),"CUIT NO CARGADO")</f>
        <v>-</v>
      </c>
      <c r="H1416" s="96">
        <f>ventas_b_mes12[[#This Row],[TOTAL]]/1.21</f>
        <v>3016.5289256198348</v>
      </c>
      <c r="I1416" s="60">
        <f>ventas_b_mes12[[#This Row],[IMPORTE NETO]]*0.21</f>
        <v>633.47107438016531</v>
      </c>
      <c r="J1416" s="229"/>
      <c r="K1416" s="229"/>
      <c r="L1416" s="229">
        <v>3650</v>
      </c>
      <c r="M1416" s="55"/>
    </row>
    <row r="1417" spans="2:13" x14ac:dyDescent="0.3">
      <c r="B1417" s="223" t="s">
        <v>2532</v>
      </c>
      <c r="C1417" s="37">
        <v>6</v>
      </c>
      <c r="D1417" s="225">
        <v>11</v>
      </c>
      <c r="E1417" s="226">
        <v>30148</v>
      </c>
      <c r="F1417" s="227"/>
      <c r="G1417" s="1" t="str">
        <f>IFERROR(IF(ventas_b_mes12[[#This Row],[CUIT]]="","-",VLOOKUP(ventas_b_mes12[[#This Row],[CUIT]],Lista_CUIT[#All],2,0)),"CUIT NO CARGADO")</f>
        <v>-</v>
      </c>
      <c r="H1417" s="96">
        <f>ventas_b_mes12[[#This Row],[TOTAL]]/1.21</f>
        <v>517.75206611570252</v>
      </c>
      <c r="I1417" s="60">
        <f>ventas_b_mes12[[#This Row],[IMPORTE NETO]]*0.21</f>
        <v>108.72793388429753</v>
      </c>
      <c r="J1417" s="229"/>
      <c r="K1417" s="229"/>
      <c r="L1417" s="229">
        <v>626.48</v>
      </c>
      <c r="M1417" s="55"/>
    </row>
    <row r="1418" spans="2:13" x14ac:dyDescent="0.3">
      <c r="B1418" s="223" t="s">
        <v>2532</v>
      </c>
      <c r="C1418" s="37">
        <v>6</v>
      </c>
      <c r="D1418" s="225">
        <v>10</v>
      </c>
      <c r="E1418" s="226">
        <v>43949</v>
      </c>
      <c r="F1418" s="227"/>
      <c r="G1418" s="1" t="str">
        <f>IFERROR(IF(ventas_b_mes12[[#This Row],[CUIT]]="","-",VLOOKUP(ventas_b_mes12[[#This Row],[CUIT]],Lista_CUIT[#All],2,0)),"CUIT NO CARGADO")</f>
        <v>-</v>
      </c>
      <c r="H1418" s="96">
        <f>ventas_b_mes12[[#This Row],[TOTAL]]/1.21</f>
        <v>1483.4710743801654</v>
      </c>
      <c r="I1418" s="60">
        <f>ventas_b_mes12[[#This Row],[IMPORTE NETO]]*0.21</f>
        <v>311.52892561983475</v>
      </c>
      <c r="J1418" s="229"/>
      <c r="K1418" s="229"/>
      <c r="L1418" s="229">
        <v>1795</v>
      </c>
      <c r="M1418" s="55"/>
    </row>
    <row r="1419" spans="2:13" x14ac:dyDescent="0.3">
      <c r="B1419" s="223" t="s">
        <v>2532</v>
      </c>
      <c r="C1419" s="37">
        <v>6</v>
      </c>
      <c r="D1419" s="225">
        <v>12</v>
      </c>
      <c r="E1419" s="226">
        <v>22607</v>
      </c>
      <c r="F1419" s="227"/>
      <c r="G1419" s="1" t="str">
        <f>IFERROR(IF(ventas_b_mes12[[#This Row],[CUIT]]="","-",VLOOKUP(ventas_b_mes12[[#This Row],[CUIT]],Lista_CUIT[#All],2,0)),"CUIT NO CARGADO")</f>
        <v>-</v>
      </c>
      <c r="H1419" s="96">
        <f>ventas_b_mes12[[#This Row],[TOTAL]]/1.21</f>
        <v>6694.2148760330583</v>
      </c>
      <c r="I1419" s="60">
        <f>ventas_b_mes12[[#This Row],[IMPORTE NETO]]*0.21</f>
        <v>1405.7851239669421</v>
      </c>
      <c r="J1419" s="229"/>
      <c r="K1419" s="229"/>
      <c r="L1419" s="229">
        <v>8100</v>
      </c>
      <c r="M1419" s="55"/>
    </row>
    <row r="1420" spans="2:13" x14ac:dyDescent="0.3">
      <c r="B1420" s="223" t="s">
        <v>2532</v>
      </c>
      <c r="C1420" s="37">
        <v>6</v>
      </c>
      <c r="D1420" s="225">
        <v>11</v>
      </c>
      <c r="E1420" s="226">
        <v>30144</v>
      </c>
      <c r="F1420" s="227"/>
      <c r="G1420" s="1" t="str">
        <f>IFERROR(IF(ventas_b_mes12[[#This Row],[CUIT]]="","-",VLOOKUP(ventas_b_mes12[[#This Row],[CUIT]],Lista_CUIT[#All],2,0)),"CUIT NO CARGADO")</f>
        <v>-</v>
      </c>
      <c r="H1420" s="96">
        <f>ventas_b_mes12[[#This Row],[TOTAL]]/1.21</f>
        <v>1264.4628099173553</v>
      </c>
      <c r="I1420" s="60">
        <f>ventas_b_mes12[[#This Row],[IMPORTE NETO]]*0.21</f>
        <v>265.5371900826446</v>
      </c>
      <c r="J1420" s="229"/>
      <c r="K1420" s="229"/>
      <c r="L1420" s="229">
        <v>1530</v>
      </c>
      <c r="M1420" s="55"/>
    </row>
    <row r="1421" spans="2:13" x14ac:dyDescent="0.3">
      <c r="B1421" s="223" t="s">
        <v>2532</v>
      </c>
      <c r="C1421" s="37">
        <v>6</v>
      </c>
      <c r="D1421" s="225">
        <v>10</v>
      </c>
      <c r="E1421" s="226">
        <v>43956</v>
      </c>
      <c r="F1421" s="227"/>
      <c r="G1421" s="1" t="str">
        <f>IFERROR(IF(ventas_b_mes12[[#This Row],[CUIT]]="","-",VLOOKUP(ventas_b_mes12[[#This Row],[CUIT]],Lista_CUIT[#All],2,0)),"CUIT NO CARGADO")</f>
        <v>-</v>
      </c>
      <c r="H1421" s="96">
        <f>ventas_b_mes12[[#This Row],[TOTAL]]/1.21</f>
        <v>4958.6776859504134</v>
      </c>
      <c r="I1421" s="60">
        <f>ventas_b_mes12[[#This Row],[IMPORTE NETO]]*0.21</f>
        <v>1041.3223140495868</v>
      </c>
      <c r="J1421" s="229"/>
      <c r="K1421" s="229"/>
      <c r="L1421" s="229">
        <v>6000</v>
      </c>
      <c r="M1421" s="55"/>
    </row>
    <row r="1422" spans="2:13" x14ac:dyDescent="0.3">
      <c r="B1422" s="223" t="s">
        <v>2532</v>
      </c>
      <c r="C1422" s="37">
        <v>6</v>
      </c>
      <c r="D1422" s="225">
        <v>10</v>
      </c>
      <c r="E1422" s="226">
        <v>43955</v>
      </c>
      <c r="F1422" s="227"/>
      <c r="G1422" s="1" t="str">
        <f>IFERROR(IF(ventas_b_mes12[[#This Row],[CUIT]]="","-",VLOOKUP(ventas_b_mes12[[#This Row],[CUIT]],Lista_CUIT[#All],2,0)),"CUIT NO CARGADO")</f>
        <v>-</v>
      </c>
      <c r="H1422" s="96">
        <f>ventas_b_mes12[[#This Row],[TOTAL]]/1.21</f>
        <v>2491.7355371900826</v>
      </c>
      <c r="I1422" s="60">
        <f>ventas_b_mes12[[#This Row],[IMPORTE NETO]]*0.21</f>
        <v>523.26446280991729</v>
      </c>
      <c r="J1422" s="229"/>
      <c r="K1422" s="229"/>
      <c r="L1422" s="229">
        <v>3015</v>
      </c>
      <c r="M1422" s="55"/>
    </row>
    <row r="1423" spans="2:13" x14ac:dyDescent="0.3">
      <c r="B1423" s="223" t="s">
        <v>2532</v>
      </c>
      <c r="C1423" s="37">
        <v>6</v>
      </c>
      <c r="D1423" s="225">
        <v>10</v>
      </c>
      <c r="E1423" s="226">
        <v>43968</v>
      </c>
      <c r="F1423" s="227"/>
      <c r="G1423" s="1" t="str">
        <f>IFERROR(IF(ventas_b_mes12[[#This Row],[CUIT]]="","-",VLOOKUP(ventas_b_mes12[[#This Row],[CUIT]],Lista_CUIT[#All],2,0)),"CUIT NO CARGADO")</f>
        <v>-</v>
      </c>
      <c r="H1423" s="96">
        <f>ventas_b_mes12[[#This Row],[TOTAL]]/1.21</f>
        <v>6396.7024793388437</v>
      </c>
      <c r="I1423" s="60">
        <f>ventas_b_mes12[[#This Row],[IMPORTE NETO]]*0.21</f>
        <v>1343.307520661157</v>
      </c>
      <c r="J1423" s="229"/>
      <c r="K1423" s="229"/>
      <c r="L1423" s="229">
        <v>7740.01</v>
      </c>
      <c r="M1423" s="55"/>
    </row>
    <row r="1424" spans="2:13" x14ac:dyDescent="0.3">
      <c r="B1424" s="223" t="s">
        <v>2532</v>
      </c>
      <c r="C1424" s="37">
        <v>6</v>
      </c>
      <c r="D1424" s="225">
        <v>13</v>
      </c>
      <c r="E1424" s="226">
        <v>26811</v>
      </c>
      <c r="F1424" s="227"/>
      <c r="G1424" s="1" t="str">
        <f>IFERROR(IF(ventas_b_mes12[[#This Row],[CUIT]]="","-",VLOOKUP(ventas_b_mes12[[#This Row],[CUIT]],Lista_CUIT[#All],2,0)),"CUIT NO CARGADO")</f>
        <v>-</v>
      </c>
      <c r="H1424" s="96">
        <f>ventas_b_mes12[[#This Row],[TOTAL]]/1.21</f>
        <v>3272.7438016528927</v>
      </c>
      <c r="I1424" s="60">
        <f>ventas_b_mes12[[#This Row],[IMPORTE NETO]]*0.21</f>
        <v>687.27619834710742</v>
      </c>
      <c r="J1424" s="229"/>
      <c r="K1424" s="229"/>
      <c r="L1424" s="229">
        <v>3960.02</v>
      </c>
      <c r="M1424" s="55"/>
    </row>
    <row r="1425" spans="2:13" x14ac:dyDescent="0.3">
      <c r="B1425" s="223" t="s">
        <v>2532</v>
      </c>
      <c r="C1425" s="37">
        <v>6</v>
      </c>
      <c r="D1425" s="225">
        <v>10</v>
      </c>
      <c r="E1425" s="226">
        <v>43954</v>
      </c>
      <c r="F1425" s="227"/>
      <c r="G1425" s="1" t="str">
        <f>IFERROR(IF(ventas_b_mes12[[#This Row],[CUIT]]="","-",VLOOKUP(ventas_b_mes12[[#This Row],[CUIT]],Lista_CUIT[#All],2,0)),"CUIT NO CARGADO")</f>
        <v>-</v>
      </c>
      <c r="H1425" s="96">
        <f>ventas_b_mes12[[#This Row],[TOTAL]]/1.21</f>
        <v>991.73553719008271</v>
      </c>
      <c r="I1425" s="60">
        <f>ventas_b_mes12[[#This Row],[IMPORTE NETO]]*0.21</f>
        <v>208.26446280991735</v>
      </c>
      <c r="J1425" s="229"/>
      <c r="K1425" s="229"/>
      <c r="L1425" s="229">
        <v>1200</v>
      </c>
      <c r="M1425" s="55"/>
    </row>
    <row r="1426" spans="2:13" x14ac:dyDescent="0.3">
      <c r="B1426" s="223" t="s">
        <v>2532</v>
      </c>
      <c r="C1426" s="37">
        <v>6</v>
      </c>
      <c r="D1426" s="225">
        <v>11</v>
      </c>
      <c r="E1426" s="226">
        <v>30143</v>
      </c>
      <c r="F1426" s="227"/>
      <c r="G1426" s="1" t="str">
        <f>IFERROR(IF(ventas_b_mes12[[#This Row],[CUIT]]="","-",VLOOKUP(ventas_b_mes12[[#This Row],[CUIT]],Lista_CUIT[#All],2,0)),"CUIT NO CARGADO")</f>
        <v>-</v>
      </c>
      <c r="H1426" s="96">
        <f>ventas_b_mes12[[#This Row],[TOTAL]]/1.21</f>
        <v>1652.8925619834711</v>
      </c>
      <c r="I1426" s="60">
        <f>ventas_b_mes12[[#This Row],[IMPORTE NETO]]*0.21</f>
        <v>347.10743801652893</v>
      </c>
      <c r="J1426" s="229"/>
      <c r="K1426" s="229"/>
      <c r="L1426" s="229">
        <v>2000</v>
      </c>
      <c r="M1426" s="55"/>
    </row>
    <row r="1427" spans="2:13" x14ac:dyDescent="0.3">
      <c r="B1427" s="223" t="s">
        <v>2532</v>
      </c>
      <c r="C1427" s="37">
        <v>6</v>
      </c>
      <c r="D1427" s="225">
        <v>10</v>
      </c>
      <c r="E1427" s="226">
        <v>43958</v>
      </c>
      <c r="F1427" s="227"/>
      <c r="G1427" s="1" t="str">
        <f>IFERROR(IF(ventas_b_mes12[[#This Row],[CUIT]]="","-",VLOOKUP(ventas_b_mes12[[#This Row],[CUIT]],Lista_CUIT[#All],2,0)),"CUIT NO CARGADO")</f>
        <v>-</v>
      </c>
      <c r="H1427" s="96">
        <f>ventas_b_mes12[[#This Row],[TOTAL]]/1.21</f>
        <v>4958.6776859504134</v>
      </c>
      <c r="I1427" s="60">
        <f>ventas_b_mes12[[#This Row],[IMPORTE NETO]]*0.21</f>
        <v>1041.3223140495868</v>
      </c>
      <c r="J1427" s="229"/>
      <c r="K1427" s="229"/>
      <c r="L1427" s="229">
        <v>6000</v>
      </c>
      <c r="M1427" s="55"/>
    </row>
    <row r="1428" spans="2:13" x14ac:dyDescent="0.3">
      <c r="B1428" s="223" t="s">
        <v>2532</v>
      </c>
      <c r="C1428" s="37">
        <v>6</v>
      </c>
      <c r="D1428" s="225">
        <v>11</v>
      </c>
      <c r="E1428" s="226">
        <v>30140</v>
      </c>
      <c r="F1428" s="227"/>
      <c r="G1428" s="1" t="str">
        <f>IFERROR(IF(ventas_b_mes12[[#This Row],[CUIT]]="","-",VLOOKUP(ventas_b_mes12[[#This Row],[CUIT]],Lista_CUIT[#All],2,0)),"CUIT NO CARGADO")</f>
        <v>-</v>
      </c>
      <c r="H1428" s="96">
        <f>ventas_b_mes12[[#This Row],[TOTAL]]/1.21</f>
        <v>1289.2561983471076</v>
      </c>
      <c r="I1428" s="60">
        <f>ventas_b_mes12[[#This Row],[IMPORTE NETO]]*0.21</f>
        <v>270.74380165289256</v>
      </c>
      <c r="J1428" s="229"/>
      <c r="K1428" s="229"/>
      <c r="L1428" s="229">
        <v>1560</v>
      </c>
      <c r="M1428" s="55"/>
    </row>
    <row r="1429" spans="2:13" x14ac:dyDescent="0.3">
      <c r="B1429" s="223" t="s">
        <v>2532</v>
      </c>
      <c r="C1429" s="37">
        <v>6</v>
      </c>
      <c r="D1429" s="225">
        <v>11</v>
      </c>
      <c r="E1429" s="226">
        <v>30147</v>
      </c>
      <c r="F1429" s="227"/>
      <c r="G1429" s="1" t="str">
        <f>IFERROR(IF(ventas_b_mes12[[#This Row],[CUIT]]="","-",VLOOKUP(ventas_b_mes12[[#This Row],[CUIT]],Lista_CUIT[#All],2,0)),"CUIT NO CARGADO")</f>
        <v>-</v>
      </c>
      <c r="H1429" s="96">
        <f>ventas_b_mes12[[#This Row],[TOTAL]]/1.21</f>
        <v>4876.0330578512394</v>
      </c>
      <c r="I1429" s="60">
        <f>ventas_b_mes12[[#This Row],[IMPORTE NETO]]*0.21</f>
        <v>1023.9669421487603</v>
      </c>
      <c r="J1429" s="229"/>
      <c r="K1429" s="229"/>
      <c r="L1429" s="229">
        <v>5900</v>
      </c>
      <c r="M1429" s="55"/>
    </row>
    <row r="1430" spans="2:13" x14ac:dyDescent="0.3">
      <c r="B1430" s="223" t="s">
        <v>2532</v>
      </c>
      <c r="C1430" s="37">
        <v>6</v>
      </c>
      <c r="D1430" s="225">
        <v>10</v>
      </c>
      <c r="E1430" s="226">
        <v>43967</v>
      </c>
      <c r="F1430" s="227"/>
      <c r="G1430" s="1" t="str">
        <f>IFERROR(IF(ventas_b_mes12[[#This Row],[CUIT]]="","-",VLOOKUP(ventas_b_mes12[[#This Row],[CUIT]],Lista_CUIT[#All],2,0)),"CUIT NO CARGADO")</f>
        <v>-</v>
      </c>
      <c r="H1430" s="96">
        <f>ventas_b_mes12[[#This Row],[TOTAL]]/1.21</f>
        <v>5578.5206611570247</v>
      </c>
      <c r="I1430" s="60">
        <f>ventas_b_mes12[[#This Row],[IMPORTE NETO]]*0.21</f>
        <v>1171.4893388429753</v>
      </c>
      <c r="J1430" s="229"/>
      <c r="K1430" s="229"/>
      <c r="L1430" s="229">
        <v>6750.01</v>
      </c>
      <c r="M1430" s="55"/>
    </row>
    <row r="1431" spans="2:13" x14ac:dyDescent="0.3">
      <c r="B1431" s="223" t="s">
        <v>2532</v>
      </c>
      <c r="C1431" s="37">
        <v>6</v>
      </c>
      <c r="D1431" s="225">
        <v>10</v>
      </c>
      <c r="E1431" s="226">
        <v>43966</v>
      </c>
      <c r="F1431" s="227"/>
      <c r="G1431" s="1" t="str">
        <f>IFERROR(IF(ventas_b_mes12[[#This Row],[CUIT]]="","-",VLOOKUP(ventas_b_mes12[[#This Row],[CUIT]],Lista_CUIT[#All],2,0)),"CUIT NO CARGADO")</f>
        <v>-</v>
      </c>
      <c r="H1431" s="96">
        <f>ventas_b_mes12[[#This Row],[TOTAL]]/1.21</f>
        <v>2677.6942148760331</v>
      </c>
      <c r="I1431" s="60">
        <f>ventas_b_mes12[[#This Row],[IMPORTE NETO]]*0.21</f>
        <v>562.31578512396698</v>
      </c>
      <c r="J1431" s="229"/>
      <c r="K1431" s="229"/>
      <c r="L1431" s="229">
        <v>3240.01</v>
      </c>
      <c r="M1431" s="55"/>
    </row>
    <row r="1432" spans="2:13" x14ac:dyDescent="0.3">
      <c r="B1432" s="223" t="s">
        <v>2532</v>
      </c>
      <c r="C1432" s="37">
        <v>6</v>
      </c>
      <c r="D1432" s="225">
        <v>11</v>
      </c>
      <c r="E1432" s="226">
        <v>30146</v>
      </c>
      <c r="F1432" s="227"/>
      <c r="G1432" s="1" t="str">
        <f>IFERROR(IF(ventas_b_mes12[[#This Row],[CUIT]]="","-",VLOOKUP(ventas_b_mes12[[#This Row],[CUIT]],Lista_CUIT[#All],2,0)),"CUIT NO CARGADO")</f>
        <v>-</v>
      </c>
      <c r="H1432" s="96">
        <f>ventas_b_mes12[[#This Row],[TOTAL]]/1.21</f>
        <v>694.21487603305786</v>
      </c>
      <c r="I1432" s="60">
        <f>ventas_b_mes12[[#This Row],[IMPORTE NETO]]*0.21</f>
        <v>145.78512396694214</v>
      </c>
      <c r="J1432" s="229"/>
      <c r="K1432" s="229"/>
      <c r="L1432" s="229">
        <v>840</v>
      </c>
      <c r="M1432" s="55"/>
    </row>
    <row r="1433" spans="2:13" x14ac:dyDescent="0.3">
      <c r="B1433" s="223" t="s">
        <v>2532</v>
      </c>
      <c r="C1433" s="37">
        <v>6</v>
      </c>
      <c r="D1433" s="225">
        <v>10</v>
      </c>
      <c r="E1433" s="226">
        <v>43953</v>
      </c>
      <c r="F1433" s="227"/>
      <c r="G1433" s="1" t="str">
        <f>IFERROR(IF(ventas_b_mes12[[#This Row],[CUIT]]="","-",VLOOKUP(ventas_b_mes12[[#This Row],[CUIT]],Lista_CUIT[#All],2,0)),"CUIT NO CARGADO")</f>
        <v>-</v>
      </c>
      <c r="H1433" s="96">
        <f>ventas_b_mes12[[#This Row],[TOTAL]]/1.21</f>
        <v>4958.6776859504134</v>
      </c>
      <c r="I1433" s="60">
        <f>ventas_b_mes12[[#This Row],[IMPORTE NETO]]*0.21</f>
        <v>1041.3223140495868</v>
      </c>
      <c r="J1433" s="229"/>
      <c r="K1433" s="229"/>
      <c r="L1433" s="229">
        <v>6000</v>
      </c>
      <c r="M1433" s="55"/>
    </row>
    <row r="1434" spans="2:13" x14ac:dyDescent="0.3">
      <c r="B1434" s="223" t="s">
        <v>2532</v>
      </c>
      <c r="C1434" s="37">
        <v>6</v>
      </c>
      <c r="D1434" s="225">
        <v>11</v>
      </c>
      <c r="E1434" s="226">
        <v>30142</v>
      </c>
      <c r="F1434" s="227"/>
      <c r="G1434" s="1" t="str">
        <f>IFERROR(IF(ventas_b_mes12[[#This Row],[CUIT]]="","-",VLOOKUP(ventas_b_mes12[[#This Row],[CUIT]],Lista_CUIT[#All],2,0)),"CUIT NO CARGADO")</f>
        <v>-</v>
      </c>
      <c r="H1434" s="96">
        <f>ventas_b_mes12[[#This Row],[TOTAL]]/1.21</f>
        <v>2743.8016528925623</v>
      </c>
      <c r="I1434" s="60">
        <f>ventas_b_mes12[[#This Row],[IMPORTE NETO]]*0.21</f>
        <v>576.19834710743805</v>
      </c>
      <c r="J1434" s="229"/>
      <c r="K1434" s="229"/>
      <c r="L1434" s="229">
        <v>3320</v>
      </c>
      <c r="M1434" s="55"/>
    </row>
    <row r="1435" spans="2:13" x14ac:dyDescent="0.3">
      <c r="B1435" s="223" t="s">
        <v>2532</v>
      </c>
      <c r="C1435" s="37">
        <v>6</v>
      </c>
      <c r="D1435" s="225">
        <v>12</v>
      </c>
      <c r="E1435" s="226">
        <v>22612</v>
      </c>
      <c r="F1435" s="227"/>
      <c r="G1435" s="1" t="str">
        <f>IFERROR(IF(ventas_b_mes12[[#This Row],[CUIT]]="","-",VLOOKUP(ventas_b_mes12[[#This Row],[CUIT]],Lista_CUIT[#All],2,0)),"CUIT NO CARGADO")</f>
        <v>-</v>
      </c>
      <c r="H1435" s="96">
        <f>ventas_b_mes12[[#This Row],[TOTAL]]/1.21</f>
        <v>2194.2148760330579</v>
      </c>
      <c r="I1435" s="60">
        <f>ventas_b_mes12[[#This Row],[IMPORTE NETO]]*0.21</f>
        <v>460.78512396694214</v>
      </c>
      <c r="J1435" s="229"/>
      <c r="K1435" s="229"/>
      <c r="L1435" s="229">
        <v>2655</v>
      </c>
      <c r="M1435" s="55"/>
    </row>
    <row r="1436" spans="2:13" x14ac:dyDescent="0.3">
      <c r="B1436" s="223" t="s">
        <v>2532</v>
      </c>
      <c r="C1436" s="37">
        <v>6</v>
      </c>
      <c r="D1436" s="225">
        <v>13</v>
      </c>
      <c r="E1436" s="226">
        <v>26819</v>
      </c>
      <c r="F1436" s="227"/>
      <c r="G1436" s="1" t="str">
        <f>IFERROR(IF(ventas_b_mes12[[#This Row],[CUIT]]="","-",VLOOKUP(ventas_b_mes12[[#This Row],[CUIT]],Lista_CUIT[#All],2,0)),"CUIT NO CARGADO")</f>
        <v>-</v>
      </c>
      <c r="H1436" s="96">
        <f>ventas_b_mes12[[#This Row],[TOTAL]]/1.21</f>
        <v>4958.6776859504134</v>
      </c>
      <c r="I1436" s="60">
        <f>ventas_b_mes12[[#This Row],[IMPORTE NETO]]*0.21</f>
        <v>1041.3223140495868</v>
      </c>
      <c r="J1436" s="229"/>
      <c r="K1436" s="229"/>
      <c r="L1436" s="229">
        <v>6000</v>
      </c>
      <c r="M1436" s="55"/>
    </row>
    <row r="1437" spans="2:13" x14ac:dyDescent="0.3">
      <c r="B1437" s="223" t="s">
        <v>2532</v>
      </c>
      <c r="C1437" s="37">
        <v>6</v>
      </c>
      <c r="D1437" s="225">
        <v>13</v>
      </c>
      <c r="E1437" s="226">
        <v>26820</v>
      </c>
      <c r="F1437" s="227"/>
      <c r="G1437" s="1" t="str">
        <f>IFERROR(IF(ventas_b_mes12[[#This Row],[CUIT]]="","-",VLOOKUP(ventas_b_mes12[[#This Row],[CUIT]],Lista_CUIT[#All],2,0)),"CUIT NO CARGADO")</f>
        <v>-</v>
      </c>
      <c r="H1437" s="96">
        <f>ventas_b_mes12[[#This Row],[TOTAL]]/1.21</f>
        <v>4958.6776859504134</v>
      </c>
      <c r="I1437" s="60">
        <f>ventas_b_mes12[[#This Row],[IMPORTE NETO]]*0.21</f>
        <v>1041.3223140495868</v>
      </c>
      <c r="J1437" s="229"/>
      <c r="K1437" s="229"/>
      <c r="L1437" s="229">
        <v>6000</v>
      </c>
      <c r="M1437" s="55"/>
    </row>
    <row r="1438" spans="2:13" x14ac:dyDescent="0.3">
      <c r="B1438" s="223" t="s">
        <v>2532</v>
      </c>
      <c r="C1438" s="37">
        <v>6</v>
      </c>
      <c r="D1438" s="225">
        <v>10</v>
      </c>
      <c r="E1438" s="226">
        <v>43965</v>
      </c>
      <c r="F1438" s="227"/>
      <c r="G1438" s="1" t="str">
        <f>IFERROR(IF(ventas_b_mes12[[#This Row],[CUIT]]="","-",VLOOKUP(ventas_b_mes12[[#This Row],[CUIT]],Lista_CUIT[#All],2,0)),"CUIT NO CARGADO")</f>
        <v>-</v>
      </c>
      <c r="H1438" s="96">
        <f>ventas_b_mes12[[#This Row],[TOTAL]]/1.21</f>
        <v>3957.0330578512398</v>
      </c>
      <c r="I1438" s="60">
        <f>ventas_b_mes12[[#This Row],[IMPORTE NETO]]*0.21</f>
        <v>830.97694214876037</v>
      </c>
      <c r="J1438" s="229"/>
      <c r="K1438" s="229"/>
      <c r="L1438" s="229">
        <v>4788.01</v>
      </c>
      <c r="M1438" s="55"/>
    </row>
    <row r="1439" spans="2:13" x14ac:dyDescent="0.3">
      <c r="B1439" s="223" t="s">
        <v>2532</v>
      </c>
      <c r="C1439" s="37">
        <v>6</v>
      </c>
      <c r="D1439" s="225">
        <v>10</v>
      </c>
      <c r="E1439" s="226">
        <v>43964</v>
      </c>
      <c r="F1439" s="227"/>
      <c r="G1439" s="1" t="str">
        <f>IFERROR(IF(ventas_b_mes12[[#This Row],[CUIT]]="","-",VLOOKUP(ventas_b_mes12[[#This Row],[CUIT]],Lista_CUIT[#All],2,0)),"CUIT NO CARGADO")</f>
        <v>-</v>
      </c>
      <c r="H1439" s="96">
        <f>ventas_b_mes12[[#This Row],[TOTAL]]/1.21</f>
        <v>6861.9834710743808</v>
      </c>
      <c r="I1439" s="60">
        <f>ventas_b_mes12[[#This Row],[IMPORTE NETO]]*0.21</f>
        <v>1441.0165289256199</v>
      </c>
      <c r="J1439" s="229"/>
      <c r="K1439" s="229"/>
      <c r="L1439" s="229">
        <v>8303</v>
      </c>
      <c r="M1439" s="55"/>
    </row>
    <row r="1440" spans="2:13" x14ac:dyDescent="0.3">
      <c r="B1440" s="223" t="s">
        <v>2532</v>
      </c>
      <c r="C1440" s="37">
        <v>6</v>
      </c>
      <c r="D1440" s="225">
        <v>15</v>
      </c>
      <c r="E1440" s="226">
        <v>7272</v>
      </c>
      <c r="F1440" s="227"/>
      <c r="G1440" s="1" t="str">
        <f>IFERROR(IF(ventas_b_mes12[[#This Row],[CUIT]]="","-",VLOOKUP(ventas_b_mes12[[#This Row],[CUIT]],Lista_CUIT[#All],2,0)),"CUIT NO CARGADO")</f>
        <v>-</v>
      </c>
      <c r="H1440" s="96">
        <f>ventas_b_mes12[[#This Row],[TOTAL]]/1.21</f>
        <v>1768.595041322314</v>
      </c>
      <c r="I1440" s="60">
        <f>ventas_b_mes12[[#This Row],[IMPORTE NETO]]*0.21</f>
        <v>371.40495867768595</v>
      </c>
      <c r="J1440" s="229"/>
      <c r="K1440" s="229"/>
      <c r="L1440" s="229">
        <v>2140</v>
      </c>
      <c r="M1440" s="55"/>
    </row>
    <row r="1441" spans="2:13" x14ac:dyDescent="0.3">
      <c r="B1441" s="223" t="s">
        <v>2532</v>
      </c>
      <c r="C1441" s="37">
        <v>6</v>
      </c>
      <c r="D1441" s="225">
        <v>12</v>
      </c>
      <c r="E1441" s="226">
        <v>22613</v>
      </c>
      <c r="F1441" s="227"/>
      <c r="G1441" s="1" t="str">
        <f>IFERROR(IF(ventas_b_mes12[[#This Row],[CUIT]]="","-",VLOOKUP(ventas_b_mes12[[#This Row],[CUIT]],Lista_CUIT[#All],2,0)),"CUIT NO CARGADO")</f>
        <v>-</v>
      </c>
      <c r="H1441" s="96">
        <f>ventas_b_mes12[[#This Row],[TOTAL]]/1.21</f>
        <v>1322.3140495867769</v>
      </c>
      <c r="I1441" s="60">
        <f>ventas_b_mes12[[#This Row],[IMPORTE NETO]]*0.21</f>
        <v>277.68595041322317</v>
      </c>
      <c r="J1441" s="229"/>
      <c r="K1441" s="229"/>
      <c r="L1441" s="229">
        <v>1600</v>
      </c>
      <c r="M1441" s="55"/>
    </row>
    <row r="1442" spans="2:13" x14ac:dyDescent="0.3">
      <c r="B1442" s="223" t="s">
        <v>2476</v>
      </c>
      <c r="C1442" s="37">
        <v>6</v>
      </c>
      <c r="D1442" s="225">
        <v>11</v>
      </c>
      <c r="E1442" s="226">
        <v>30161</v>
      </c>
      <c r="F1442" s="227"/>
      <c r="G1442" s="1" t="str">
        <f>IFERROR(IF(ventas_b_mes12[[#This Row],[CUIT]]="","-",VLOOKUP(ventas_b_mes12[[#This Row],[CUIT]],Lista_CUIT[#All],2,0)),"CUIT NO CARGADO")</f>
        <v>-</v>
      </c>
      <c r="H1442" s="96">
        <f>ventas_b_mes12[[#This Row],[TOTAL]]/1.21</f>
        <v>6644.6198347107438</v>
      </c>
      <c r="I1442" s="60">
        <f>ventas_b_mes12[[#This Row],[IMPORTE NETO]]*0.21</f>
        <v>1395.3701652892562</v>
      </c>
      <c r="J1442" s="229"/>
      <c r="K1442" s="229"/>
      <c r="L1442" s="229">
        <v>8039.99</v>
      </c>
      <c r="M1442" s="55"/>
    </row>
    <row r="1443" spans="2:13" x14ac:dyDescent="0.3">
      <c r="B1443" s="223" t="s">
        <v>2476</v>
      </c>
      <c r="C1443" s="37">
        <v>6</v>
      </c>
      <c r="D1443" s="225">
        <v>10</v>
      </c>
      <c r="E1443" s="226">
        <v>43987</v>
      </c>
      <c r="F1443" s="227"/>
      <c r="G1443" s="1" t="str">
        <f>IFERROR(IF(ventas_b_mes12[[#This Row],[CUIT]]="","-",VLOOKUP(ventas_b_mes12[[#This Row],[CUIT]],Lista_CUIT[#All],2,0)),"CUIT NO CARGADO")</f>
        <v>-</v>
      </c>
      <c r="H1443" s="96">
        <f>ventas_b_mes12[[#This Row],[TOTAL]]/1.21</f>
        <v>4958.6776859504134</v>
      </c>
      <c r="I1443" s="60">
        <f>ventas_b_mes12[[#This Row],[IMPORTE NETO]]*0.21</f>
        <v>1041.3223140495868</v>
      </c>
      <c r="J1443" s="229"/>
      <c r="K1443" s="229"/>
      <c r="L1443" s="229">
        <v>6000</v>
      </c>
      <c r="M1443" s="55"/>
    </row>
    <row r="1444" spans="2:13" x14ac:dyDescent="0.3">
      <c r="B1444" s="223" t="s">
        <v>2476</v>
      </c>
      <c r="C1444" s="37">
        <v>6</v>
      </c>
      <c r="D1444" s="225">
        <v>11</v>
      </c>
      <c r="E1444" s="226">
        <v>30154</v>
      </c>
      <c r="F1444" s="227"/>
      <c r="G1444" s="1" t="str">
        <f>IFERROR(IF(ventas_b_mes12[[#This Row],[CUIT]]="","-",VLOOKUP(ventas_b_mes12[[#This Row],[CUIT]],Lista_CUIT[#All],2,0)),"CUIT NO CARGADO")</f>
        <v>-</v>
      </c>
      <c r="H1444" s="96">
        <f>ventas_b_mes12[[#This Row],[TOTAL]]/1.21</f>
        <v>3855.3719008264466</v>
      </c>
      <c r="I1444" s="60">
        <f>ventas_b_mes12[[#This Row],[IMPORTE NETO]]*0.21</f>
        <v>809.62809917355378</v>
      </c>
      <c r="J1444" s="229"/>
      <c r="K1444" s="229"/>
      <c r="L1444" s="229">
        <v>4665</v>
      </c>
      <c r="M1444" s="55"/>
    </row>
    <row r="1445" spans="2:13" x14ac:dyDescent="0.3">
      <c r="B1445" s="223" t="s">
        <v>2476</v>
      </c>
      <c r="C1445" s="37">
        <v>6</v>
      </c>
      <c r="D1445" s="225">
        <v>15</v>
      </c>
      <c r="E1445" s="226">
        <v>7275</v>
      </c>
      <c r="F1445" s="227"/>
      <c r="G1445" s="1" t="str">
        <f>IFERROR(IF(ventas_b_mes12[[#This Row],[CUIT]]="","-",VLOOKUP(ventas_b_mes12[[#This Row],[CUIT]],Lista_CUIT[#All],2,0)),"CUIT NO CARGADO")</f>
        <v>-</v>
      </c>
      <c r="H1445" s="96">
        <f>ventas_b_mes12[[#This Row],[TOTAL]]/1.21</f>
        <v>9305.7851239669417</v>
      </c>
      <c r="I1445" s="60">
        <f>ventas_b_mes12[[#This Row],[IMPORTE NETO]]*0.21</f>
        <v>1954.2148760330576</v>
      </c>
      <c r="J1445" s="229"/>
      <c r="K1445" s="229"/>
      <c r="L1445" s="229">
        <v>11260</v>
      </c>
      <c r="M1445" s="55"/>
    </row>
    <row r="1446" spans="2:13" x14ac:dyDescent="0.3">
      <c r="B1446" s="223" t="s">
        <v>2476</v>
      </c>
      <c r="C1446" s="37">
        <v>6</v>
      </c>
      <c r="D1446" s="225">
        <v>12</v>
      </c>
      <c r="E1446" s="226">
        <v>22618</v>
      </c>
      <c r="F1446" s="227"/>
      <c r="G1446" s="1" t="str">
        <f>IFERROR(IF(ventas_b_mes12[[#This Row],[CUIT]]="","-",VLOOKUP(ventas_b_mes12[[#This Row],[CUIT]],Lista_CUIT[#All],2,0)),"CUIT NO CARGADO")</f>
        <v>-</v>
      </c>
      <c r="H1446" s="96">
        <f>ventas_b_mes12[[#This Row],[TOTAL]]/1.21</f>
        <v>2438.0165289256197</v>
      </c>
      <c r="I1446" s="60">
        <f>ventas_b_mes12[[#This Row],[IMPORTE NETO]]*0.21</f>
        <v>511.98347107438013</v>
      </c>
      <c r="J1446" s="229"/>
      <c r="K1446" s="229"/>
      <c r="L1446" s="229">
        <v>2950</v>
      </c>
      <c r="M1446" s="55"/>
    </row>
    <row r="1447" spans="2:13" x14ac:dyDescent="0.3">
      <c r="B1447" s="223" t="s">
        <v>2476</v>
      </c>
      <c r="C1447" s="37">
        <v>6</v>
      </c>
      <c r="D1447" s="225">
        <v>13</v>
      </c>
      <c r="E1447" s="226">
        <v>26828</v>
      </c>
      <c r="F1447" s="227"/>
      <c r="G1447" s="1" t="str">
        <f>IFERROR(IF(ventas_b_mes12[[#This Row],[CUIT]]="","-",VLOOKUP(ventas_b_mes12[[#This Row],[CUIT]],Lista_CUIT[#All],2,0)),"CUIT NO CARGADO")</f>
        <v>-</v>
      </c>
      <c r="H1447" s="96">
        <f>ventas_b_mes12[[#This Row],[TOTAL]]/1.21</f>
        <v>6359.5041322314055</v>
      </c>
      <c r="I1447" s="60">
        <f>ventas_b_mes12[[#This Row],[IMPORTE NETO]]*0.21</f>
        <v>1335.4958677685952</v>
      </c>
      <c r="J1447" s="229"/>
      <c r="K1447" s="229"/>
      <c r="L1447" s="229">
        <v>7695</v>
      </c>
      <c r="M1447" s="55"/>
    </row>
    <row r="1448" spans="2:13" x14ac:dyDescent="0.3">
      <c r="B1448" s="223" t="s">
        <v>2476</v>
      </c>
      <c r="C1448" s="37">
        <v>6</v>
      </c>
      <c r="D1448" s="225">
        <v>11</v>
      </c>
      <c r="E1448" s="226">
        <v>30173</v>
      </c>
      <c r="F1448" s="227"/>
      <c r="G1448" s="1" t="str">
        <f>IFERROR(IF(ventas_b_mes12[[#This Row],[CUIT]]="","-",VLOOKUP(ventas_b_mes12[[#This Row],[CUIT]],Lista_CUIT[#All],2,0)),"CUIT NO CARGADO")</f>
        <v>-</v>
      </c>
      <c r="H1448" s="96">
        <f>ventas_b_mes12[[#This Row],[TOTAL]]/1.21</f>
        <v>2231.404958677686</v>
      </c>
      <c r="I1448" s="60">
        <f>ventas_b_mes12[[#This Row],[IMPORTE NETO]]*0.21</f>
        <v>468.59504132231405</v>
      </c>
      <c r="J1448" s="229"/>
      <c r="K1448" s="229"/>
      <c r="L1448" s="229">
        <v>2700</v>
      </c>
      <c r="M1448" s="55"/>
    </row>
    <row r="1449" spans="2:13" x14ac:dyDescent="0.3">
      <c r="B1449" s="223" t="s">
        <v>2476</v>
      </c>
      <c r="C1449" s="37">
        <v>6</v>
      </c>
      <c r="D1449" s="225">
        <v>10</v>
      </c>
      <c r="E1449" s="226">
        <v>43980</v>
      </c>
      <c r="F1449" s="227"/>
      <c r="G1449" s="1" t="str">
        <f>IFERROR(IF(ventas_b_mes12[[#This Row],[CUIT]]="","-",VLOOKUP(ventas_b_mes12[[#This Row],[CUIT]],Lista_CUIT[#All],2,0)),"CUIT NO CARGADO")</f>
        <v>-</v>
      </c>
      <c r="H1449" s="96">
        <f>ventas_b_mes12[[#This Row],[TOTAL]]/1.21</f>
        <v>7512.3966942148763</v>
      </c>
      <c r="I1449" s="60">
        <f>ventas_b_mes12[[#This Row],[IMPORTE NETO]]*0.21</f>
        <v>1577.6033057851239</v>
      </c>
      <c r="J1449" s="229"/>
      <c r="K1449" s="229"/>
      <c r="L1449" s="229">
        <v>9090</v>
      </c>
      <c r="M1449" s="55"/>
    </row>
    <row r="1450" spans="2:13" x14ac:dyDescent="0.3">
      <c r="B1450" s="223" t="s">
        <v>2476</v>
      </c>
      <c r="C1450" s="37">
        <v>6</v>
      </c>
      <c r="D1450" s="225">
        <v>10</v>
      </c>
      <c r="E1450" s="226">
        <v>43979</v>
      </c>
      <c r="F1450" s="227"/>
      <c r="G1450" s="1" t="str">
        <f>IFERROR(IF(ventas_b_mes12[[#This Row],[CUIT]]="","-",VLOOKUP(ventas_b_mes12[[#This Row],[CUIT]],Lista_CUIT[#All],2,0)),"CUIT NO CARGADO")</f>
        <v>-</v>
      </c>
      <c r="H1450" s="96">
        <f>ventas_b_mes12[[#This Row],[TOTAL]]/1.21</f>
        <v>7512.3966942148763</v>
      </c>
      <c r="I1450" s="60">
        <f>ventas_b_mes12[[#This Row],[IMPORTE NETO]]*0.21</f>
        <v>1577.6033057851239</v>
      </c>
      <c r="J1450" s="229"/>
      <c r="K1450" s="229"/>
      <c r="L1450" s="229">
        <v>9090</v>
      </c>
      <c r="M1450" s="55"/>
    </row>
    <row r="1451" spans="2:13" x14ac:dyDescent="0.3">
      <c r="B1451" s="223" t="s">
        <v>2476</v>
      </c>
      <c r="C1451" s="37">
        <v>6</v>
      </c>
      <c r="D1451" s="225">
        <v>11</v>
      </c>
      <c r="E1451" s="226">
        <v>30158</v>
      </c>
      <c r="F1451" s="227"/>
      <c r="G1451" s="1" t="str">
        <f>IFERROR(IF(ventas_b_mes12[[#This Row],[CUIT]]="","-",VLOOKUP(ventas_b_mes12[[#This Row],[CUIT]],Lista_CUIT[#All],2,0)),"CUIT NO CARGADO")</f>
        <v>-</v>
      </c>
      <c r="H1451" s="96">
        <f>ventas_b_mes12[[#This Row],[TOTAL]]/1.21</f>
        <v>5057.8512396694214</v>
      </c>
      <c r="I1451" s="60">
        <f>ventas_b_mes12[[#This Row],[IMPORTE NETO]]*0.21</f>
        <v>1062.1487603305784</v>
      </c>
      <c r="J1451" s="229"/>
      <c r="K1451" s="229"/>
      <c r="L1451" s="229">
        <v>6120</v>
      </c>
      <c r="M1451" s="55"/>
    </row>
    <row r="1452" spans="2:13" x14ac:dyDescent="0.3">
      <c r="B1452" s="223" t="s">
        <v>2476</v>
      </c>
      <c r="C1452" s="37">
        <v>6</v>
      </c>
      <c r="D1452" s="225">
        <v>13</v>
      </c>
      <c r="E1452" s="226">
        <v>26827</v>
      </c>
      <c r="F1452" s="227"/>
      <c r="G1452" s="1" t="str">
        <f>IFERROR(IF(ventas_b_mes12[[#This Row],[CUIT]]="","-",VLOOKUP(ventas_b_mes12[[#This Row],[CUIT]],Lista_CUIT[#All],2,0)),"CUIT NO CARGADO")</f>
        <v>-</v>
      </c>
      <c r="H1452" s="96">
        <f>ventas_b_mes12[[#This Row],[TOTAL]]/1.21</f>
        <v>3223.1404958677685</v>
      </c>
      <c r="I1452" s="60">
        <f>ventas_b_mes12[[#This Row],[IMPORTE NETO]]*0.21</f>
        <v>676.85950413223134</v>
      </c>
      <c r="J1452" s="229"/>
      <c r="K1452" s="229"/>
      <c r="L1452" s="229">
        <v>3900</v>
      </c>
      <c r="M1452" s="55"/>
    </row>
    <row r="1453" spans="2:13" x14ac:dyDescent="0.3">
      <c r="B1453" s="223" t="s">
        <v>2476</v>
      </c>
      <c r="C1453" s="37">
        <v>6</v>
      </c>
      <c r="D1453" s="225">
        <v>11</v>
      </c>
      <c r="E1453" s="226">
        <v>30168</v>
      </c>
      <c r="F1453" s="227"/>
      <c r="G1453" s="1" t="str">
        <f>IFERROR(IF(ventas_b_mes12[[#This Row],[CUIT]]="","-",VLOOKUP(ventas_b_mes12[[#This Row],[CUIT]],Lista_CUIT[#All],2,0)),"CUIT NO CARGADO")</f>
        <v>-</v>
      </c>
      <c r="H1453" s="96">
        <f>ventas_b_mes12[[#This Row],[TOTAL]]/1.21</f>
        <v>739.66942148760336</v>
      </c>
      <c r="I1453" s="60">
        <f>ventas_b_mes12[[#This Row],[IMPORTE NETO]]*0.21</f>
        <v>155.3305785123967</v>
      </c>
      <c r="J1453" s="229"/>
      <c r="K1453" s="229"/>
      <c r="L1453" s="229">
        <v>895</v>
      </c>
      <c r="M1453" s="55"/>
    </row>
    <row r="1454" spans="2:13" x14ac:dyDescent="0.3">
      <c r="B1454" s="223" t="s">
        <v>2476</v>
      </c>
      <c r="C1454" s="37">
        <v>6</v>
      </c>
      <c r="D1454" s="225">
        <v>13</v>
      </c>
      <c r="E1454" s="226">
        <v>26829</v>
      </c>
      <c r="F1454" s="227"/>
      <c r="G1454" s="1" t="str">
        <f>IFERROR(IF(ventas_b_mes12[[#This Row],[CUIT]]="","-",VLOOKUP(ventas_b_mes12[[#This Row],[CUIT]],Lista_CUIT[#All],2,0)),"CUIT NO CARGADO")</f>
        <v>-</v>
      </c>
      <c r="H1454" s="96">
        <f>ventas_b_mes12[[#This Row],[TOTAL]]/1.21</f>
        <v>838.84297520661164</v>
      </c>
      <c r="I1454" s="60">
        <f>ventas_b_mes12[[#This Row],[IMPORTE NETO]]*0.21</f>
        <v>176.15702479338844</v>
      </c>
      <c r="J1454" s="229"/>
      <c r="K1454" s="229"/>
      <c r="L1454" s="229">
        <v>1015</v>
      </c>
      <c r="M1454" s="55"/>
    </row>
    <row r="1455" spans="2:13" x14ac:dyDescent="0.3">
      <c r="B1455" s="223" t="s">
        <v>2476</v>
      </c>
      <c r="C1455" s="37">
        <v>6</v>
      </c>
      <c r="D1455" s="225">
        <v>15</v>
      </c>
      <c r="E1455" s="226">
        <v>7279</v>
      </c>
      <c r="F1455" s="227"/>
      <c r="G1455" s="1" t="str">
        <f>IFERROR(IF(ventas_b_mes12[[#This Row],[CUIT]]="","-",VLOOKUP(ventas_b_mes12[[#This Row],[CUIT]],Lista_CUIT[#All],2,0)),"CUIT NO CARGADO")</f>
        <v>-</v>
      </c>
      <c r="H1455" s="96">
        <f>ventas_b_mes12[[#This Row],[TOTAL]]/1.21</f>
        <v>3198.3471074380168</v>
      </c>
      <c r="I1455" s="60">
        <f>ventas_b_mes12[[#This Row],[IMPORTE NETO]]*0.21</f>
        <v>671.65289256198355</v>
      </c>
      <c r="J1455" s="229"/>
      <c r="K1455" s="229"/>
      <c r="L1455" s="229">
        <v>3870</v>
      </c>
      <c r="M1455" s="55"/>
    </row>
    <row r="1456" spans="2:13" x14ac:dyDescent="0.3">
      <c r="B1456" s="223" t="s">
        <v>2476</v>
      </c>
      <c r="C1456" s="37">
        <v>6</v>
      </c>
      <c r="D1456" s="225">
        <v>11</v>
      </c>
      <c r="E1456" s="226">
        <v>30164</v>
      </c>
      <c r="F1456" s="227"/>
      <c r="G1456" s="1" t="str">
        <f>IFERROR(IF(ventas_b_mes12[[#This Row],[CUIT]]="","-",VLOOKUP(ventas_b_mes12[[#This Row],[CUIT]],Lista_CUIT[#All],2,0)),"CUIT NO CARGADO")</f>
        <v>-</v>
      </c>
      <c r="H1456" s="96">
        <f>ventas_b_mes12[[#This Row],[TOTAL]]/1.21</f>
        <v>48272.752066115703</v>
      </c>
      <c r="I1456" s="60">
        <f>ventas_b_mes12[[#This Row],[IMPORTE NETO]]*0.21</f>
        <v>10137.277933884297</v>
      </c>
      <c r="J1456" s="229"/>
      <c r="K1456" s="229"/>
      <c r="L1456" s="229">
        <v>58410.03</v>
      </c>
      <c r="M1456" s="55"/>
    </row>
    <row r="1457" spans="2:13" x14ac:dyDescent="0.3">
      <c r="B1457" s="223" t="s">
        <v>2476</v>
      </c>
      <c r="C1457" s="37">
        <v>6</v>
      </c>
      <c r="D1457" s="225">
        <v>13</v>
      </c>
      <c r="E1457" s="226">
        <v>26823</v>
      </c>
      <c r="F1457" s="227"/>
      <c r="G1457" s="1" t="str">
        <f>IFERROR(IF(ventas_b_mes12[[#This Row],[CUIT]]="","-",VLOOKUP(ventas_b_mes12[[#This Row],[CUIT]],Lista_CUIT[#All],2,0)),"CUIT NO CARGADO")</f>
        <v>-</v>
      </c>
      <c r="H1457" s="96">
        <f>ventas_b_mes12[[#This Row],[TOTAL]]/1.21</f>
        <v>5140.4958677685954</v>
      </c>
      <c r="I1457" s="60">
        <f>ventas_b_mes12[[#This Row],[IMPORTE NETO]]*0.21</f>
        <v>1079.504132231405</v>
      </c>
      <c r="J1457" s="229"/>
      <c r="K1457" s="229"/>
      <c r="L1457" s="229">
        <v>6220</v>
      </c>
      <c r="M1457" s="55"/>
    </row>
    <row r="1458" spans="2:13" x14ac:dyDescent="0.3">
      <c r="B1458" s="223" t="s">
        <v>2476</v>
      </c>
      <c r="C1458" s="37">
        <v>6</v>
      </c>
      <c r="D1458" s="225">
        <v>11</v>
      </c>
      <c r="E1458" s="226">
        <v>30152</v>
      </c>
      <c r="F1458" s="227"/>
      <c r="G1458" s="1" t="str">
        <f>IFERROR(IF(ventas_b_mes12[[#This Row],[CUIT]]="","-",VLOOKUP(ventas_b_mes12[[#This Row],[CUIT]],Lista_CUIT[#All],2,0)),"CUIT NO CARGADO")</f>
        <v>-</v>
      </c>
      <c r="H1458" s="96">
        <f>ventas_b_mes12[[#This Row],[TOTAL]]/1.21</f>
        <v>2396.6942148760331</v>
      </c>
      <c r="I1458" s="60">
        <f>ventas_b_mes12[[#This Row],[IMPORTE NETO]]*0.21</f>
        <v>503.30578512396693</v>
      </c>
      <c r="J1458" s="229"/>
      <c r="K1458" s="229"/>
      <c r="L1458" s="229">
        <v>2900</v>
      </c>
      <c r="M1458" s="55"/>
    </row>
    <row r="1459" spans="2:13" x14ac:dyDescent="0.3">
      <c r="B1459" s="223" t="s">
        <v>2476</v>
      </c>
      <c r="C1459" s="37">
        <v>6</v>
      </c>
      <c r="D1459" s="225">
        <v>10</v>
      </c>
      <c r="E1459" s="226">
        <v>43977</v>
      </c>
      <c r="F1459" s="227"/>
      <c r="G1459" s="1" t="str">
        <f>IFERROR(IF(ventas_b_mes12[[#This Row],[CUIT]]="","-",VLOOKUP(ventas_b_mes12[[#This Row],[CUIT]],Lista_CUIT[#All],2,0)),"CUIT NO CARGADO")</f>
        <v>-</v>
      </c>
      <c r="H1459" s="96">
        <f>ventas_b_mes12[[#This Row],[TOTAL]]/1.21</f>
        <v>1861.5702479338843</v>
      </c>
      <c r="I1459" s="60">
        <f>ventas_b_mes12[[#This Row],[IMPORTE NETO]]*0.21</f>
        <v>390.92975206611567</v>
      </c>
      <c r="J1459" s="229"/>
      <c r="K1459" s="229"/>
      <c r="L1459" s="229">
        <v>2252.5</v>
      </c>
      <c r="M1459" s="55"/>
    </row>
    <row r="1460" spans="2:13" x14ac:dyDescent="0.3">
      <c r="B1460" s="223" t="s">
        <v>2476</v>
      </c>
      <c r="C1460" s="37">
        <v>6</v>
      </c>
      <c r="D1460" s="225">
        <v>15</v>
      </c>
      <c r="E1460" s="226">
        <v>7277</v>
      </c>
      <c r="F1460" s="227"/>
      <c r="G1460" s="1" t="str">
        <f>IFERROR(IF(ventas_b_mes12[[#This Row],[CUIT]]="","-",VLOOKUP(ventas_b_mes12[[#This Row],[CUIT]],Lista_CUIT[#All],2,0)),"CUIT NO CARGADO")</f>
        <v>-</v>
      </c>
      <c r="H1460" s="96">
        <f>ventas_b_mes12[[#This Row],[TOTAL]]/1.21</f>
        <v>4958.6776859504134</v>
      </c>
      <c r="I1460" s="60">
        <f>ventas_b_mes12[[#This Row],[IMPORTE NETO]]*0.21</f>
        <v>1041.3223140495868</v>
      </c>
      <c r="J1460" s="229"/>
      <c r="K1460" s="229"/>
      <c r="L1460" s="229">
        <v>6000</v>
      </c>
      <c r="M1460" s="55"/>
    </row>
    <row r="1461" spans="2:13" x14ac:dyDescent="0.3">
      <c r="B1461" s="223" t="s">
        <v>2476</v>
      </c>
      <c r="C1461" s="37">
        <v>6</v>
      </c>
      <c r="D1461" s="225">
        <v>11</v>
      </c>
      <c r="E1461" s="226">
        <v>30160</v>
      </c>
      <c r="F1461" s="227"/>
      <c r="G1461" s="1" t="str">
        <f>IFERROR(IF(ventas_b_mes12[[#This Row],[CUIT]]="","-",VLOOKUP(ventas_b_mes12[[#This Row],[CUIT]],Lista_CUIT[#All],2,0)),"CUIT NO CARGADO")</f>
        <v>-</v>
      </c>
      <c r="H1461" s="96">
        <f>ventas_b_mes12[[#This Row],[TOTAL]]/1.21</f>
        <v>1917.3553719008264</v>
      </c>
      <c r="I1461" s="60">
        <f>ventas_b_mes12[[#This Row],[IMPORTE NETO]]*0.21</f>
        <v>402.64462809917353</v>
      </c>
      <c r="J1461" s="229"/>
      <c r="K1461" s="229"/>
      <c r="L1461" s="229">
        <v>2320</v>
      </c>
      <c r="M1461" s="55"/>
    </row>
    <row r="1462" spans="2:13" x14ac:dyDescent="0.3">
      <c r="B1462" s="223" t="s">
        <v>2476</v>
      </c>
      <c r="C1462" s="37">
        <v>6</v>
      </c>
      <c r="D1462" s="225">
        <v>11</v>
      </c>
      <c r="E1462" s="226">
        <v>30162</v>
      </c>
      <c r="F1462" s="227"/>
      <c r="G1462" s="1" t="str">
        <f>IFERROR(IF(ventas_b_mes12[[#This Row],[CUIT]]="","-",VLOOKUP(ventas_b_mes12[[#This Row],[CUIT]],Lista_CUIT[#All],2,0)),"CUIT NO CARGADO")</f>
        <v>-</v>
      </c>
      <c r="H1462" s="96">
        <f>ventas_b_mes12[[#This Row],[TOTAL]]/1.21</f>
        <v>7537.6033057851246</v>
      </c>
      <c r="I1462" s="60">
        <f>ventas_b_mes12[[#This Row],[IMPORTE NETO]]*0.21</f>
        <v>1582.8966942148761</v>
      </c>
      <c r="J1462" s="229"/>
      <c r="K1462" s="229"/>
      <c r="L1462" s="229">
        <v>9120.5</v>
      </c>
      <c r="M1462" s="55"/>
    </row>
    <row r="1463" spans="2:13" x14ac:dyDescent="0.3">
      <c r="B1463" s="223" t="s">
        <v>2476</v>
      </c>
      <c r="C1463" s="37">
        <v>6</v>
      </c>
      <c r="D1463" s="225">
        <v>12</v>
      </c>
      <c r="E1463" s="226">
        <v>22617</v>
      </c>
      <c r="F1463" s="227"/>
      <c r="G1463" s="1" t="str">
        <f>IFERROR(IF(ventas_b_mes12[[#This Row],[CUIT]]="","-",VLOOKUP(ventas_b_mes12[[#This Row],[CUIT]],Lista_CUIT[#All],2,0)),"CUIT NO CARGADO")</f>
        <v>-</v>
      </c>
      <c r="H1463" s="96">
        <f>ventas_b_mes12[[#This Row],[TOTAL]]/1.21</f>
        <v>11842.975206611571</v>
      </c>
      <c r="I1463" s="60">
        <f>ventas_b_mes12[[#This Row],[IMPORTE NETO]]*0.21</f>
        <v>2487.0247933884298</v>
      </c>
      <c r="J1463" s="229"/>
      <c r="K1463" s="229"/>
      <c r="L1463" s="229">
        <v>14330</v>
      </c>
      <c r="M1463" s="55"/>
    </row>
    <row r="1464" spans="2:13" x14ac:dyDescent="0.3">
      <c r="B1464" s="223" t="s">
        <v>2476</v>
      </c>
      <c r="C1464" s="37">
        <v>6</v>
      </c>
      <c r="D1464" s="225">
        <v>10</v>
      </c>
      <c r="E1464" s="226">
        <v>43969</v>
      </c>
      <c r="F1464" s="227"/>
      <c r="G1464" s="1" t="str">
        <f>IFERROR(IF(ventas_b_mes12[[#This Row],[CUIT]]="","-",VLOOKUP(ventas_b_mes12[[#This Row],[CUIT]],Lista_CUIT[#All],2,0)),"CUIT NO CARGADO")</f>
        <v>-</v>
      </c>
      <c r="H1464" s="96">
        <f>ventas_b_mes12[[#This Row],[TOTAL]]/1.21</f>
        <v>69218.909090909103</v>
      </c>
      <c r="I1464" s="60">
        <f>ventas_b_mes12[[#This Row],[IMPORTE NETO]]*0.21</f>
        <v>14535.970909090911</v>
      </c>
      <c r="J1464" s="229"/>
      <c r="K1464" s="229"/>
      <c r="L1464" s="229">
        <v>83754.880000000005</v>
      </c>
      <c r="M1464" s="55"/>
    </row>
    <row r="1465" spans="2:13" x14ac:dyDescent="0.3">
      <c r="B1465" s="223" t="s">
        <v>2476</v>
      </c>
      <c r="C1465" s="37">
        <v>6</v>
      </c>
      <c r="D1465" s="225">
        <v>11</v>
      </c>
      <c r="E1465" s="226">
        <v>30171</v>
      </c>
      <c r="F1465" s="227"/>
      <c r="G1465" s="1" t="str">
        <f>IFERROR(IF(ventas_b_mes12[[#This Row],[CUIT]]="","-",VLOOKUP(ventas_b_mes12[[#This Row],[CUIT]],Lista_CUIT[#All],2,0)),"CUIT NO CARGADO")</f>
        <v>-</v>
      </c>
      <c r="H1465" s="96">
        <f>ventas_b_mes12[[#This Row],[TOTAL]]/1.21</f>
        <v>2640.495867768595</v>
      </c>
      <c r="I1465" s="60">
        <f>ventas_b_mes12[[#This Row],[IMPORTE NETO]]*0.21</f>
        <v>554.50413223140492</v>
      </c>
      <c r="J1465" s="229"/>
      <c r="K1465" s="229"/>
      <c r="L1465" s="229">
        <v>3195</v>
      </c>
      <c r="M1465" s="55"/>
    </row>
    <row r="1466" spans="2:13" x14ac:dyDescent="0.3">
      <c r="B1466" s="223" t="s">
        <v>2476</v>
      </c>
      <c r="C1466" s="37">
        <v>6</v>
      </c>
      <c r="D1466" s="225">
        <v>10</v>
      </c>
      <c r="E1466" s="226">
        <v>43984</v>
      </c>
      <c r="F1466" s="227"/>
      <c r="G1466" s="1" t="str">
        <f>IFERROR(IF(ventas_b_mes12[[#This Row],[CUIT]]="","-",VLOOKUP(ventas_b_mes12[[#This Row],[CUIT]],Lista_CUIT[#All],2,0)),"CUIT NO CARGADO")</f>
        <v>-</v>
      </c>
      <c r="H1466" s="96">
        <f>ventas_b_mes12[[#This Row],[TOTAL]]/1.21</f>
        <v>4958.6776859504134</v>
      </c>
      <c r="I1466" s="60">
        <f>ventas_b_mes12[[#This Row],[IMPORTE NETO]]*0.21</f>
        <v>1041.3223140495868</v>
      </c>
      <c r="J1466" s="229"/>
      <c r="K1466" s="229"/>
      <c r="L1466" s="229">
        <v>6000</v>
      </c>
      <c r="M1466" s="55"/>
    </row>
    <row r="1467" spans="2:13" x14ac:dyDescent="0.3">
      <c r="B1467" s="223" t="s">
        <v>2476</v>
      </c>
      <c r="C1467" s="37">
        <v>6</v>
      </c>
      <c r="D1467" s="225">
        <v>11</v>
      </c>
      <c r="E1467" s="226">
        <v>30163</v>
      </c>
      <c r="F1467" s="227"/>
      <c r="G1467" s="1" t="str">
        <f>IFERROR(IF(ventas_b_mes12[[#This Row],[CUIT]]="","-",VLOOKUP(ventas_b_mes12[[#This Row],[CUIT]],Lista_CUIT[#All],2,0)),"CUIT NO CARGADO")</f>
        <v>-</v>
      </c>
      <c r="H1467" s="96">
        <f>ventas_b_mes12[[#This Row],[TOTAL]]/1.21</f>
        <v>55264.512396694212</v>
      </c>
      <c r="I1467" s="60">
        <f>ventas_b_mes12[[#This Row],[IMPORTE NETO]]*0.21</f>
        <v>11605.547603305784</v>
      </c>
      <c r="J1467" s="229"/>
      <c r="K1467" s="229"/>
      <c r="L1467" s="229">
        <v>66870.06</v>
      </c>
      <c r="M1467" s="55"/>
    </row>
    <row r="1468" spans="2:13" x14ac:dyDescent="0.3">
      <c r="B1468" s="223" t="s">
        <v>2476</v>
      </c>
      <c r="C1468" s="37">
        <v>6</v>
      </c>
      <c r="D1468" s="225">
        <v>11</v>
      </c>
      <c r="E1468" s="226">
        <v>30150</v>
      </c>
      <c r="F1468" s="227"/>
      <c r="G1468" s="1" t="str">
        <f>IFERROR(IF(ventas_b_mes12[[#This Row],[CUIT]]="","-",VLOOKUP(ventas_b_mes12[[#This Row],[CUIT]],Lista_CUIT[#All],2,0)),"CUIT NO CARGADO")</f>
        <v>-</v>
      </c>
      <c r="H1468" s="96">
        <f>ventas_b_mes12[[#This Row],[TOTAL]]/1.21</f>
        <v>7884.2975206611573</v>
      </c>
      <c r="I1468" s="60">
        <f>ventas_b_mes12[[#This Row],[IMPORTE NETO]]*0.21</f>
        <v>1655.702479338843</v>
      </c>
      <c r="J1468" s="229"/>
      <c r="K1468" s="229"/>
      <c r="L1468" s="229">
        <v>9540</v>
      </c>
      <c r="M1468" s="55"/>
    </row>
    <row r="1469" spans="2:13" x14ac:dyDescent="0.3">
      <c r="B1469" s="223" t="s">
        <v>2476</v>
      </c>
      <c r="C1469" s="37">
        <v>6</v>
      </c>
      <c r="D1469" s="225">
        <v>10</v>
      </c>
      <c r="E1469" s="226">
        <v>43981</v>
      </c>
      <c r="F1469" s="227"/>
      <c r="G1469" s="1" t="str">
        <f>IFERROR(IF(ventas_b_mes12[[#This Row],[CUIT]]="","-",VLOOKUP(ventas_b_mes12[[#This Row],[CUIT]],Lista_CUIT[#All],2,0)),"CUIT NO CARGADO")</f>
        <v>-</v>
      </c>
      <c r="H1469" s="96">
        <f>ventas_b_mes12[[#This Row],[TOTAL]]/1.21</f>
        <v>13980.991735537191</v>
      </c>
      <c r="I1469" s="60">
        <f>ventas_b_mes12[[#This Row],[IMPORTE NETO]]*0.21</f>
        <v>2936.0082644628101</v>
      </c>
      <c r="J1469" s="229"/>
      <c r="K1469" s="229"/>
      <c r="L1469" s="229">
        <v>16917</v>
      </c>
      <c r="M1469" s="55"/>
    </row>
    <row r="1470" spans="2:13" x14ac:dyDescent="0.3">
      <c r="B1470" s="223" t="s">
        <v>2476</v>
      </c>
      <c r="C1470" s="37">
        <v>6</v>
      </c>
      <c r="D1470" s="225">
        <v>12</v>
      </c>
      <c r="E1470" s="226">
        <v>22616</v>
      </c>
      <c r="F1470" s="227"/>
      <c r="G1470" s="1" t="str">
        <f>IFERROR(IF(ventas_b_mes12[[#This Row],[CUIT]]="","-",VLOOKUP(ventas_b_mes12[[#This Row],[CUIT]],Lista_CUIT[#All],2,0)),"CUIT NO CARGADO")</f>
        <v>-</v>
      </c>
      <c r="H1470" s="96">
        <f>ventas_b_mes12[[#This Row],[TOTAL]]/1.21</f>
        <v>4144.6280991735539</v>
      </c>
      <c r="I1470" s="60">
        <f>ventas_b_mes12[[#This Row],[IMPORTE NETO]]*0.21</f>
        <v>870.37190082644634</v>
      </c>
      <c r="J1470" s="229"/>
      <c r="K1470" s="229"/>
      <c r="L1470" s="229">
        <v>5015</v>
      </c>
      <c r="M1470" s="55"/>
    </row>
    <row r="1471" spans="2:13" x14ac:dyDescent="0.3">
      <c r="B1471" s="223" t="s">
        <v>2476</v>
      </c>
      <c r="C1471" s="37">
        <v>6</v>
      </c>
      <c r="D1471" s="225">
        <v>13</v>
      </c>
      <c r="E1471" s="226">
        <v>26826</v>
      </c>
      <c r="F1471" s="227"/>
      <c r="G1471" s="1" t="str">
        <f>IFERROR(IF(ventas_b_mes12[[#This Row],[CUIT]]="","-",VLOOKUP(ventas_b_mes12[[#This Row],[CUIT]],Lista_CUIT[#All],2,0)),"CUIT NO CARGADO")</f>
        <v>-</v>
      </c>
      <c r="H1471" s="96">
        <f>ventas_b_mes12[[#This Row],[TOTAL]]/1.21</f>
        <v>1652.8925619834711</v>
      </c>
      <c r="I1471" s="60">
        <f>ventas_b_mes12[[#This Row],[IMPORTE NETO]]*0.21</f>
        <v>347.10743801652893</v>
      </c>
      <c r="J1471" s="229"/>
      <c r="K1471" s="229"/>
      <c r="L1471" s="229">
        <v>2000</v>
      </c>
      <c r="M1471" s="55"/>
    </row>
    <row r="1472" spans="2:13" x14ac:dyDescent="0.3">
      <c r="B1472" s="223" t="s">
        <v>2476</v>
      </c>
      <c r="C1472" s="37">
        <v>6</v>
      </c>
      <c r="D1472" s="225">
        <v>11</v>
      </c>
      <c r="E1472" s="226">
        <v>30169</v>
      </c>
      <c r="F1472" s="227"/>
      <c r="G1472" s="1" t="str">
        <f>IFERROR(IF(ventas_b_mes12[[#This Row],[CUIT]]="","-",VLOOKUP(ventas_b_mes12[[#This Row],[CUIT]],Lista_CUIT[#All],2,0)),"CUIT NO CARGADO")</f>
        <v>-</v>
      </c>
      <c r="H1472" s="96">
        <f>ventas_b_mes12[[#This Row],[TOTAL]]/1.21</f>
        <v>11438.01652892562</v>
      </c>
      <c r="I1472" s="60">
        <f>ventas_b_mes12[[#This Row],[IMPORTE NETO]]*0.21</f>
        <v>2401.9834710743803</v>
      </c>
      <c r="J1472" s="229"/>
      <c r="K1472" s="229"/>
      <c r="L1472" s="229">
        <v>13840</v>
      </c>
      <c r="M1472" s="55"/>
    </row>
    <row r="1473" spans="2:13" x14ac:dyDescent="0.3">
      <c r="B1473" s="223" t="s">
        <v>2476</v>
      </c>
      <c r="C1473" s="37">
        <v>6</v>
      </c>
      <c r="D1473" s="225">
        <v>10</v>
      </c>
      <c r="E1473" s="226">
        <v>43989</v>
      </c>
      <c r="F1473" s="227"/>
      <c r="G1473" s="1" t="str">
        <f>IFERROR(IF(ventas_b_mes12[[#This Row],[CUIT]]="","-",VLOOKUP(ventas_b_mes12[[#This Row],[CUIT]],Lista_CUIT[#All],2,0)),"CUIT NO CARGADO")</f>
        <v>-</v>
      </c>
      <c r="H1473" s="96">
        <f>ventas_b_mes12[[#This Row],[TOTAL]]/1.21</f>
        <v>1227.2727272727273</v>
      </c>
      <c r="I1473" s="60">
        <f>ventas_b_mes12[[#This Row],[IMPORTE NETO]]*0.21</f>
        <v>257.72727272727269</v>
      </c>
      <c r="J1473" s="229"/>
      <c r="K1473" s="229"/>
      <c r="L1473" s="229">
        <v>1485</v>
      </c>
      <c r="M1473" s="55"/>
    </row>
    <row r="1474" spans="2:13" x14ac:dyDescent="0.3">
      <c r="B1474" s="223" t="s">
        <v>2476</v>
      </c>
      <c r="C1474" s="37">
        <v>6</v>
      </c>
      <c r="D1474" s="225">
        <v>12</v>
      </c>
      <c r="E1474" s="226">
        <v>22621</v>
      </c>
      <c r="F1474" s="227"/>
      <c r="G1474" s="1" t="str">
        <f>IFERROR(IF(ventas_b_mes12[[#This Row],[CUIT]]="","-",VLOOKUP(ventas_b_mes12[[#This Row],[CUIT]],Lista_CUIT[#All],2,0)),"CUIT NO CARGADO")</f>
        <v>-</v>
      </c>
      <c r="H1474" s="96">
        <f>ventas_b_mes12[[#This Row],[TOTAL]]/1.21</f>
        <v>8776.8429752066113</v>
      </c>
      <c r="I1474" s="60">
        <f>ventas_b_mes12[[#This Row],[IMPORTE NETO]]*0.21</f>
        <v>1843.1370247933883</v>
      </c>
      <c r="J1474" s="229"/>
      <c r="K1474" s="229"/>
      <c r="L1474" s="229">
        <v>10619.98</v>
      </c>
      <c r="M1474" s="55"/>
    </row>
    <row r="1475" spans="2:13" x14ac:dyDescent="0.3">
      <c r="B1475" s="223" t="s">
        <v>2476</v>
      </c>
      <c r="C1475" s="37">
        <v>6</v>
      </c>
      <c r="D1475" s="225">
        <v>10</v>
      </c>
      <c r="E1475" s="226">
        <v>43983</v>
      </c>
      <c r="F1475" s="227"/>
      <c r="G1475" s="1" t="str">
        <f>IFERROR(IF(ventas_b_mes12[[#This Row],[CUIT]]="","-",VLOOKUP(ventas_b_mes12[[#This Row],[CUIT]],Lista_CUIT[#All],2,0)),"CUIT NO CARGADO")</f>
        <v>-</v>
      </c>
      <c r="H1475" s="96">
        <f>ventas_b_mes12[[#This Row],[TOTAL]]/1.21</f>
        <v>4958.6776859504134</v>
      </c>
      <c r="I1475" s="60">
        <f>ventas_b_mes12[[#This Row],[IMPORTE NETO]]*0.21</f>
        <v>1041.3223140495868</v>
      </c>
      <c r="J1475" s="229"/>
      <c r="K1475" s="229"/>
      <c r="L1475" s="229">
        <v>6000</v>
      </c>
      <c r="M1475" s="55"/>
    </row>
    <row r="1476" spans="2:13" x14ac:dyDescent="0.3">
      <c r="B1476" s="223" t="s">
        <v>2476</v>
      </c>
      <c r="C1476" s="37">
        <v>6</v>
      </c>
      <c r="D1476" s="225">
        <v>12</v>
      </c>
      <c r="E1476" s="226">
        <v>22620</v>
      </c>
      <c r="F1476" s="227"/>
      <c r="G1476" s="1" t="str">
        <f>IFERROR(IF(ventas_b_mes12[[#This Row],[CUIT]]="","-",VLOOKUP(ventas_b_mes12[[#This Row],[CUIT]],Lista_CUIT[#All],2,0)),"CUIT NO CARGADO")</f>
        <v>-</v>
      </c>
      <c r="H1476" s="96">
        <f>ventas_b_mes12[[#This Row],[TOTAL]]/1.21</f>
        <v>3512.3966942148763</v>
      </c>
      <c r="I1476" s="60">
        <f>ventas_b_mes12[[#This Row],[IMPORTE NETO]]*0.21</f>
        <v>737.60330578512401</v>
      </c>
      <c r="J1476" s="229"/>
      <c r="K1476" s="229"/>
      <c r="L1476" s="229">
        <v>4250</v>
      </c>
      <c r="M1476" s="55"/>
    </row>
    <row r="1477" spans="2:13" x14ac:dyDescent="0.3">
      <c r="B1477" s="223" t="s">
        <v>2476</v>
      </c>
      <c r="C1477" s="37">
        <v>6</v>
      </c>
      <c r="D1477" s="225">
        <v>13</v>
      </c>
      <c r="E1477" s="226">
        <v>26822</v>
      </c>
      <c r="F1477" s="227"/>
      <c r="G1477" s="1" t="str">
        <f>IFERROR(IF(ventas_b_mes12[[#This Row],[CUIT]]="","-",VLOOKUP(ventas_b_mes12[[#This Row],[CUIT]],Lista_CUIT[#All],2,0)),"CUIT NO CARGADO")</f>
        <v>-</v>
      </c>
      <c r="H1477" s="96">
        <f>ventas_b_mes12[[#This Row],[TOTAL]]/1.21</f>
        <v>545.83471074380168</v>
      </c>
      <c r="I1477" s="60">
        <f>ventas_b_mes12[[#This Row],[IMPORTE NETO]]*0.21</f>
        <v>114.62528925619834</v>
      </c>
      <c r="J1477" s="229"/>
      <c r="K1477" s="229"/>
      <c r="L1477" s="229">
        <v>660.46</v>
      </c>
      <c r="M1477" s="55"/>
    </row>
    <row r="1478" spans="2:13" x14ac:dyDescent="0.3">
      <c r="B1478" s="223" t="s">
        <v>2476</v>
      </c>
      <c r="C1478" s="37">
        <v>6</v>
      </c>
      <c r="D1478" s="225">
        <v>12</v>
      </c>
      <c r="E1478" s="226">
        <v>22622</v>
      </c>
      <c r="F1478" s="227"/>
      <c r="G1478" s="1" t="str">
        <f>IFERROR(IF(ventas_b_mes12[[#This Row],[CUIT]]="","-",VLOOKUP(ventas_b_mes12[[#This Row],[CUIT]],Lista_CUIT[#All],2,0)),"CUIT NO CARGADO")</f>
        <v>-</v>
      </c>
      <c r="H1478" s="96">
        <f>ventas_b_mes12[[#This Row],[TOTAL]]/1.21</f>
        <v>5020.6611570247933</v>
      </c>
      <c r="I1478" s="60">
        <f>ventas_b_mes12[[#This Row],[IMPORTE NETO]]*0.21</f>
        <v>1054.3388429752065</v>
      </c>
      <c r="J1478" s="229"/>
      <c r="K1478" s="229"/>
      <c r="L1478" s="229">
        <v>6075</v>
      </c>
      <c r="M1478" s="55"/>
    </row>
    <row r="1479" spans="2:13" x14ac:dyDescent="0.3">
      <c r="B1479" s="223" t="s">
        <v>2476</v>
      </c>
      <c r="C1479" s="37">
        <v>6</v>
      </c>
      <c r="D1479" s="225">
        <v>10</v>
      </c>
      <c r="E1479" s="226">
        <v>43986</v>
      </c>
      <c r="F1479" s="227"/>
      <c r="G1479" s="1" t="str">
        <f>IFERROR(IF(ventas_b_mes12[[#This Row],[CUIT]]="","-",VLOOKUP(ventas_b_mes12[[#This Row],[CUIT]],Lista_CUIT[#All],2,0)),"CUIT NO CARGADO")</f>
        <v>-</v>
      </c>
      <c r="H1479" s="96">
        <f>ventas_b_mes12[[#This Row],[TOTAL]]/1.21</f>
        <v>5553.7190082644629</v>
      </c>
      <c r="I1479" s="60">
        <f>ventas_b_mes12[[#This Row],[IMPORTE NETO]]*0.21</f>
        <v>1166.2809917355371</v>
      </c>
      <c r="J1479" s="229"/>
      <c r="K1479" s="229"/>
      <c r="L1479" s="229">
        <v>6720</v>
      </c>
      <c r="M1479" s="55"/>
    </row>
    <row r="1480" spans="2:13" x14ac:dyDescent="0.3">
      <c r="B1480" s="223" t="s">
        <v>2476</v>
      </c>
      <c r="C1480" s="37">
        <v>6</v>
      </c>
      <c r="D1480" s="225">
        <v>11</v>
      </c>
      <c r="E1480" s="226">
        <v>30170</v>
      </c>
      <c r="F1480" s="227"/>
      <c r="G1480" s="1" t="str">
        <f>IFERROR(IF(ventas_b_mes12[[#This Row],[CUIT]]="","-",VLOOKUP(ventas_b_mes12[[#This Row],[CUIT]],Lista_CUIT[#All],2,0)),"CUIT NO CARGADO")</f>
        <v>-</v>
      </c>
      <c r="H1480" s="96">
        <f>ventas_b_mes12[[#This Row],[TOTAL]]/1.21</f>
        <v>1818.1818181818182</v>
      </c>
      <c r="I1480" s="60">
        <f>ventas_b_mes12[[#This Row],[IMPORTE NETO]]*0.21</f>
        <v>381.81818181818181</v>
      </c>
      <c r="J1480" s="229"/>
      <c r="K1480" s="229"/>
      <c r="L1480" s="229">
        <v>2200</v>
      </c>
      <c r="M1480" s="55"/>
    </row>
    <row r="1481" spans="2:13" x14ac:dyDescent="0.3">
      <c r="B1481" s="223" t="s">
        <v>2476</v>
      </c>
      <c r="C1481" s="37">
        <v>6</v>
      </c>
      <c r="D1481" s="225">
        <v>13</v>
      </c>
      <c r="E1481" s="226">
        <v>26825</v>
      </c>
      <c r="F1481" s="227"/>
      <c r="G1481" s="1" t="str">
        <f>IFERROR(IF(ventas_b_mes12[[#This Row],[CUIT]]="","-",VLOOKUP(ventas_b_mes12[[#This Row],[CUIT]],Lista_CUIT[#All],2,0)),"CUIT NO CARGADO")</f>
        <v>-</v>
      </c>
      <c r="H1481" s="96">
        <f>ventas_b_mes12[[#This Row],[TOTAL]]/1.21</f>
        <v>1570.2479338842975</v>
      </c>
      <c r="I1481" s="60">
        <f>ventas_b_mes12[[#This Row],[IMPORTE NETO]]*0.21</f>
        <v>329.75206611570246</v>
      </c>
      <c r="J1481" s="229"/>
      <c r="K1481" s="229"/>
      <c r="L1481" s="229">
        <v>1900</v>
      </c>
      <c r="M1481" s="55"/>
    </row>
    <row r="1482" spans="2:13" x14ac:dyDescent="0.3">
      <c r="B1482" s="223" t="s">
        <v>2476</v>
      </c>
      <c r="C1482" s="37">
        <v>6</v>
      </c>
      <c r="D1482" s="225">
        <v>11</v>
      </c>
      <c r="E1482" s="226">
        <v>30174</v>
      </c>
      <c r="F1482" s="227"/>
      <c r="G1482" s="1" t="str">
        <f>IFERROR(IF(ventas_b_mes12[[#This Row],[CUIT]]="","-",VLOOKUP(ventas_b_mes12[[#This Row],[CUIT]],Lista_CUIT[#All],2,0)),"CUIT NO CARGADO")</f>
        <v>-</v>
      </c>
      <c r="H1482" s="96">
        <f>ventas_b_mes12[[#This Row],[TOTAL]]/1.21</f>
        <v>1119.8347107438017</v>
      </c>
      <c r="I1482" s="60">
        <f>ventas_b_mes12[[#This Row],[IMPORTE NETO]]*0.21</f>
        <v>235.16528925619835</v>
      </c>
      <c r="J1482" s="229"/>
      <c r="K1482" s="229"/>
      <c r="L1482" s="229">
        <v>1355</v>
      </c>
      <c r="M1482" s="55"/>
    </row>
    <row r="1483" spans="2:13" x14ac:dyDescent="0.3">
      <c r="B1483" s="223" t="s">
        <v>2476</v>
      </c>
      <c r="C1483" s="37">
        <v>6</v>
      </c>
      <c r="D1483" s="225">
        <v>10</v>
      </c>
      <c r="E1483" s="226">
        <v>43997</v>
      </c>
      <c r="F1483" s="227"/>
      <c r="G1483" s="1" t="str">
        <f>IFERROR(IF(ventas_b_mes12[[#This Row],[CUIT]]="","-",VLOOKUP(ventas_b_mes12[[#This Row],[CUIT]],Lista_CUIT[#All],2,0)),"CUIT NO CARGADO")</f>
        <v>-</v>
      </c>
      <c r="H1483" s="96">
        <f>ventas_b_mes12[[#This Row],[TOTAL]]/1.21</f>
        <v>4425.6280991735539</v>
      </c>
      <c r="I1483" s="60">
        <f>ventas_b_mes12[[#This Row],[IMPORTE NETO]]*0.21</f>
        <v>929.38190082644633</v>
      </c>
      <c r="J1483" s="229"/>
      <c r="K1483" s="229"/>
      <c r="L1483" s="229">
        <v>5355.01</v>
      </c>
      <c r="M1483" s="55"/>
    </row>
    <row r="1484" spans="2:13" x14ac:dyDescent="0.3">
      <c r="B1484" s="223" t="s">
        <v>2476</v>
      </c>
      <c r="C1484" s="37">
        <v>6</v>
      </c>
      <c r="D1484" s="225">
        <v>11</v>
      </c>
      <c r="E1484" s="226">
        <v>30172</v>
      </c>
      <c r="F1484" s="227"/>
      <c r="G1484" s="1" t="str">
        <f>IFERROR(IF(ventas_b_mes12[[#This Row],[CUIT]]="","-",VLOOKUP(ventas_b_mes12[[#This Row],[CUIT]],Lista_CUIT[#All],2,0)),"CUIT NO CARGADO")</f>
        <v>-</v>
      </c>
      <c r="H1484" s="96">
        <f>ventas_b_mes12[[#This Row],[TOTAL]]/1.21</f>
        <v>7438.0165289256202</v>
      </c>
      <c r="I1484" s="60">
        <f>ventas_b_mes12[[#This Row],[IMPORTE NETO]]*0.21</f>
        <v>1561.9834710743801</v>
      </c>
      <c r="J1484" s="229"/>
      <c r="K1484" s="229"/>
      <c r="L1484" s="229">
        <v>9000</v>
      </c>
      <c r="M1484" s="55"/>
    </row>
    <row r="1485" spans="2:13" x14ac:dyDescent="0.3">
      <c r="B1485" s="223" t="s">
        <v>2476</v>
      </c>
      <c r="C1485" s="37">
        <v>6</v>
      </c>
      <c r="D1485" s="225">
        <v>10</v>
      </c>
      <c r="E1485" s="226">
        <v>43973</v>
      </c>
      <c r="F1485" s="227"/>
      <c r="G1485" s="1" t="str">
        <f>IFERROR(IF(ventas_b_mes12[[#This Row],[CUIT]]="","-",VLOOKUP(ventas_b_mes12[[#This Row],[CUIT]],Lista_CUIT[#All],2,0)),"CUIT NO CARGADO")</f>
        <v>-</v>
      </c>
      <c r="H1485" s="96">
        <f>ventas_b_mes12[[#This Row],[TOTAL]]/1.21</f>
        <v>3595.0413223140495</v>
      </c>
      <c r="I1485" s="60">
        <f>ventas_b_mes12[[#This Row],[IMPORTE NETO]]*0.21</f>
        <v>754.95867768595031</v>
      </c>
      <c r="J1485" s="229"/>
      <c r="K1485" s="229"/>
      <c r="L1485" s="229">
        <v>4350</v>
      </c>
      <c r="M1485" s="55"/>
    </row>
    <row r="1486" spans="2:13" x14ac:dyDescent="0.3">
      <c r="B1486" s="223" t="s">
        <v>2476</v>
      </c>
      <c r="C1486" s="37">
        <v>6</v>
      </c>
      <c r="D1486" s="225">
        <v>10</v>
      </c>
      <c r="E1486" s="226">
        <v>43988</v>
      </c>
      <c r="F1486" s="227"/>
      <c r="G1486" s="1" t="str">
        <f>IFERROR(IF(ventas_b_mes12[[#This Row],[CUIT]]="","-",VLOOKUP(ventas_b_mes12[[#This Row],[CUIT]],Lista_CUIT[#All],2,0)),"CUIT NO CARGADO")</f>
        <v>-</v>
      </c>
      <c r="H1486" s="96">
        <f>ventas_b_mes12[[#This Row],[TOTAL]]/1.21</f>
        <v>3595.04958677686</v>
      </c>
      <c r="I1486" s="60">
        <f>ventas_b_mes12[[#This Row],[IMPORTE NETO]]*0.21</f>
        <v>754.96041322314056</v>
      </c>
      <c r="J1486" s="229"/>
      <c r="K1486" s="229"/>
      <c r="L1486" s="229">
        <v>4350.01</v>
      </c>
      <c r="M1486" s="55"/>
    </row>
    <row r="1487" spans="2:13" x14ac:dyDescent="0.3">
      <c r="B1487" s="223" t="s">
        <v>2476</v>
      </c>
      <c r="C1487" s="37">
        <v>6</v>
      </c>
      <c r="D1487" s="225">
        <v>10</v>
      </c>
      <c r="E1487" s="226">
        <v>43996</v>
      </c>
      <c r="F1487" s="227"/>
      <c r="G1487" s="1" t="str">
        <f>IFERROR(IF(ventas_b_mes12[[#This Row],[CUIT]]="","-",VLOOKUP(ventas_b_mes12[[#This Row],[CUIT]],Lista_CUIT[#All],2,0)),"CUIT NO CARGADO")</f>
        <v>-</v>
      </c>
      <c r="H1487" s="96">
        <f>ventas_b_mes12[[#This Row],[TOTAL]]/1.21</f>
        <v>2194.2148760330579</v>
      </c>
      <c r="I1487" s="60">
        <f>ventas_b_mes12[[#This Row],[IMPORTE NETO]]*0.21</f>
        <v>460.78512396694214</v>
      </c>
      <c r="J1487" s="229"/>
      <c r="K1487" s="229"/>
      <c r="L1487" s="229">
        <v>2655</v>
      </c>
      <c r="M1487" s="55"/>
    </row>
    <row r="1488" spans="2:13" x14ac:dyDescent="0.3">
      <c r="B1488" s="223" t="s">
        <v>2476</v>
      </c>
      <c r="C1488" s="37">
        <v>6</v>
      </c>
      <c r="D1488" s="225">
        <v>10</v>
      </c>
      <c r="E1488" s="226">
        <v>43972</v>
      </c>
      <c r="F1488" s="227"/>
      <c r="G1488" s="1" t="str">
        <f>IFERROR(IF(ventas_b_mes12[[#This Row],[CUIT]]="","-",VLOOKUP(ventas_b_mes12[[#This Row],[CUIT]],Lista_CUIT[#All],2,0)),"CUIT NO CARGADO")</f>
        <v>-</v>
      </c>
      <c r="H1488" s="96">
        <f>ventas_b_mes12[[#This Row],[TOTAL]]/1.21</f>
        <v>4545.454545454546</v>
      </c>
      <c r="I1488" s="60">
        <f>ventas_b_mes12[[#This Row],[IMPORTE NETO]]*0.21</f>
        <v>954.54545454545462</v>
      </c>
      <c r="J1488" s="229"/>
      <c r="K1488" s="229"/>
      <c r="L1488" s="229">
        <v>5500</v>
      </c>
      <c r="M1488" s="55"/>
    </row>
    <row r="1489" spans="2:13" x14ac:dyDescent="0.3">
      <c r="B1489" s="223" t="s">
        <v>2476</v>
      </c>
      <c r="C1489" s="37">
        <v>6</v>
      </c>
      <c r="D1489" s="225">
        <v>10</v>
      </c>
      <c r="E1489" s="226">
        <v>43970</v>
      </c>
      <c r="F1489" s="227"/>
      <c r="G1489" s="1" t="str">
        <f>IFERROR(IF(ventas_b_mes12[[#This Row],[CUIT]]="","-",VLOOKUP(ventas_b_mes12[[#This Row],[CUIT]],Lista_CUIT[#All],2,0)),"CUIT NO CARGADO")</f>
        <v>-</v>
      </c>
      <c r="H1489" s="96">
        <f>ventas_b_mes12[[#This Row],[TOTAL]]/1.21</f>
        <v>5123.9669421487606</v>
      </c>
      <c r="I1489" s="60">
        <f>ventas_b_mes12[[#This Row],[IMPORTE NETO]]*0.21</f>
        <v>1076.0330578512396</v>
      </c>
      <c r="J1489" s="229"/>
      <c r="K1489" s="229"/>
      <c r="L1489" s="229">
        <v>6200</v>
      </c>
      <c r="M1489" s="55"/>
    </row>
    <row r="1490" spans="2:13" x14ac:dyDescent="0.3">
      <c r="B1490" s="223" t="s">
        <v>2476</v>
      </c>
      <c r="C1490" s="37">
        <v>6</v>
      </c>
      <c r="D1490" s="225">
        <v>15</v>
      </c>
      <c r="E1490" s="226">
        <v>7280</v>
      </c>
      <c r="F1490" s="227"/>
      <c r="G1490" s="1" t="str">
        <f>IFERROR(IF(ventas_b_mes12[[#This Row],[CUIT]]="","-",VLOOKUP(ventas_b_mes12[[#This Row],[CUIT]],Lista_CUIT[#All],2,0)),"CUIT NO CARGADO")</f>
        <v>-</v>
      </c>
      <c r="H1490" s="96">
        <f>ventas_b_mes12[[#This Row],[TOTAL]]/1.21</f>
        <v>1561.9834710743803</v>
      </c>
      <c r="I1490" s="60">
        <f>ventas_b_mes12[[#This Row],[IMPORTE NETO]]*0.21</f>
        <v>328.01652892561987</v>
      </c>
      <c r="J1490" s="229"/>
      <c r="K1490" s="229"/>
      <c r="L1490" s="229">
        <v>1890</v>
      </c>
      <c r="M1490" s="55"/>
    </row>
    <row r="1491" spans="2:13" x14ac:dyDescent="0.3">
      <c r="B1491" s="223" t="s">
        <v>2476</v>
      </c>
      <c r="C1491" s="37">
        <v>6</v>
      </c>
      <c r="D1491" s="225">
        <v>15</v>
      </c>
      <c r="E1491" s="226">
        <v>7281</v>
      </c>
      <c r="F1491" s="227"/>
      <c r="G1491" s="1" t="str">
        <f>IFERROR(IF(ventas_b_mes12[[#This Row],[CUIT]]="","-",VLOOKUP(ventas_b_mes12[[#This Row],[CUIT]],Lista_CUIT[#All],2,0)),"CUIT NO CARGADO")</f>
        <v>-</v>
      </c>
      <c r="H1491" s="96">
        <f>ventas_b_mes12[[#This Row],[TOTAL]]/1.21</f>
        <v>7754.1404958677685</v>
      </c>
      <c r="I1491" s="60">
        <f>ventas_b_mes12[[#This Row],[IMPORTE NETO]]*0.21</f>
        <v>1628.3695041322314</v>
      </c>
      <c r="J1491" s="229"/>
      <c r="K1491" s="229"/>
      <c r="L1491" s="229">
        <v>9382.51</v>
      </c>
      <c r="M1491" s="55"/>
    </row>
    <row r="1492" spans="2:13" x14ac:dyDescent="0.3">
      <c r="B1492" s="223" t="s">
        <v>2476</v>
      </c>
      <c r="C1492" s="37">
        <v>6</v>
      </c>
      <c r="D1492" s="225">
        <v>11</v>
      </c>
      <c r="E1492" s="226">
        <v>30167</v>
      </c>
      <c r="F1492" s="227"/>
      <c r="G1492" s="1" t="str">
        <f>IFERROR(IF(ventas_b_mes12[[#This Row],[CUIT]]="","-",VLOOKUP(ventas_b_mes12[[#This Row],[CUIT]],Lista_CUIT[#All],2,0)),"CUIT NO CARGADO")</f>
        <v>-</v>
      </c>
      <c r="H1492" s="96">
        <f>ventas_b_mes12[[#This Row],[TOTAL]]/1.21</f>
        <v>14462.809917355373</v>
      </c>
      <c r="I1492" s="60">
        <f>ventas_b_mes12[[#This Row],[IMPORTE NETO]]*0.21</f>
        <v>3037.1900826446281</v>
      </c>
      <c r="J1492" s="229"/>
      <c r="K1492" s="229"/>
      <c r="L1492" s="229">
        <v>17500</v>
      </c>
      <c r="M1492" s="55"/>
    </row>
    <row r="1493" spans="2:13" x14ac:dyDescent="0.3">
      <c r="B1493" s="223" t="s">
        <v>2476</v>
      </c>
      <c r="C1493" s="37">
        <v>6</v>
      </c>
      <c r="D1493" s="225">
        <v>10</v>
      </c>
      <c r="E1493" s="226">
        <v>43995</v>
      </c>
      <c r="F1493" s="227"/>
      <c r="G1493" s="1" t="str">
        <f>IFERROR(IF(ventas_b_mes12[[#This Row],[CUIT]]="","-",VLOOKUP(ventas_b_mes12[[#This Row],[CUIT]],Lista_CUIT[#All],2,0)),"CUIT NO CARGADO")</f>
        <v>-</v>
      </c>
      <c r="H1493" s="96">
        <f>ventas_b_mes12[[#This Row],[TOTAL]]/1.21</f>
        <v>7305.7851239669426</v>
      </c>
      <c r="I1493" s="60">
        <f>ventas_b_mes12[[#This Row],[IMPORTE NETO]]*0.21</f>
        <v>1534.2148760330579</v>
      </c>
      <c r="J1493" s="229"/>
      <c r="K1493" s="229"/>
      <c r="L1493" s="229">
        <v>8840</v>
      </c>
      <c r="M1493" s="55"/>
    </row>
    <row r="1494" spans="2:13" x14ac:dyDescent="0.3">
      <c r="B1494" s="223" t="s">
        <v>2476</v>
      </c>
      <c r="C1494" s="37">
        <v>6</v>
      </c>
      <c r="D1494" s="225">
        <v>10</v>
      </c>
      <c r="E1494" s="226">
        <v>43971</v>
      </c>
      <c r="F1494" s="227"/>
      <c r="G1494" s="1" t="str">
        <f>IFERROR(IF(ventas_b_mes12[[#This Row],[CUIT]]="","-",VLOOKUP(ventas_b_mes12[[#This Row],[CUIT]],Lista_CUIT[#All],2,0)),"CUIT NO CARGADO")</f>
        <v>-</v>
      </c>
      <c r="H1494" s="96">
        <f>ventas_b_mes12[[#This Row],[TOTAL]]/1.21</f>
        <v>11723.140495867769</v>
      </c>
      <c r="I1494" s="60">
        <f>ventas_b_mes12[[#This Row],[IMPORTE NETO]]*0.21</f>
        <v>2461.8595041322315</v>
      </c>
      <c r="J1494" s="229"/>
      <c r="K1494" s="229"/>
      <c r="L1494" s="229">
        <v>14185</v>
      </c>
      <c r="M1494" s="55"/>
    </row>
    <row r="1495" spans="2:13" x14ac:dyDescent="0.3">
      <c r="B1495" s="223" t="s">
        <v>2476</v>
      </c>
      <c r="C1495" s="37">
        <v>6</v>
      </c>
      <c r="D1495" s="225">
        <v>10</v>
      </c>
      <c r="E1495" s="226">
        <v>43985</v>
      </c>
      <c r="F1495" s="227"/>
      <c r="G1495" s="1" t="str">
        <f>IFERROR(IF(ventas_b_mes12[[#This Row],[CUIT]]="","-",VLOOKUP(ventas_b_mes12[[#This Row],[CUIT]],Lista_CUIT[#All],2,0)),"CUIT NO CARGADO")</f>
        <v>-</v>
      </c>
      <c r="H1495" s="96">
        <f>ventas_b_mes12[[#This Row],[TOTAL]]/1.21</f>
        <v>4958.6776859504134</v>
      </c>
      <c r="I1495" s="60">
        <f>ventas_b_mes12[[#This Row],[IMPORTE NETO]]*0.21</f>
        <v>1041.3223140495868</v>
      </c>
      <c r="J1495" s="229"/>
      <c r="K1495" s="229"/>
      <c r="L1495" s="229">
        <v>6000</v>
      </c>
      <c r="M1495" s="55"/>
    </row>
    <row r="1496" spans="2:13" x14ac:dyDescent="0.3">
      <c r="B1496" s="223" t="s">
        <v>2476</v>
      </c>
      <c r="C1496" s="37">
        <v>6</v>
      </c>
      <c r="D1496" s="225">
        <v>15</v>
      </c>
      <c r="E1496" s="226">
        <v>7276</v>
      </c>
      <c r="F1496" s="227"/>
      <c r="G1496" s="1" t="str">
        <f>IFERROR(IF(ventas_b_mes12[[#This Row],[CUIT]]="","-",VLOOKUP(ventas_b_mes12[[#This Row],[CUIT]],Lista_CUIT[#All],2,0)),"CUIT NO CARGADO")</f>
        <v>-</v>
      </c>
      <c r="H1496" s="96">
        <f>ventas_b_mes12[[#This Row],[TOTAL]]/1.21</f>
        <v>14921.487603305786</v>
      </c>
      <c r="I1496" s="60">
        <f>ventas_b_mes12[[#This Row],[IMPORTE NETO]]*0.21</f>
        <v>3133.5123966942151</v>
      </c>
      <c r="J1496" s="229"/>
      <c r="K1496" s="229"/>
      <c r="L1496" s="229">
        <v>18055</v>
      </c>
      <c r="M1496" s="55"/>
    </row>
    <row r="1497" spans="2:13" x14ac:dyDescent="0.3">
      <c r="B1497" s="223" t="s">
        <v>2476</v>
      </c>
      <c r="C1497" s="37">
        <v>6</v>
      </c>
      <c r="D1497" s="225">
        <v>10</v>
      </c>
      <c r="E1497" s="226">
        <v>43974</v>
      </c>
      <c r="F1497" s="227"/>
      <c r="G1497" s="1" t="str">
        <f>IFERROR(IF(ventas_b_mes12[[#This Row],[CUIT]]="","-",VLOOKUP(ventas_b_mes12[[#This Row],[CUIT]],Lista_CUIT[#All],2,0)),"CUIT NO CARGADO")</f>
        <v>-</v>
      </c>
      <c r="H1497" s="96">
        <f>ventas_b_mes12[[#This Row],[TOTAL]]/1.21</f>
        <v>4360.7438016528931</v>
      </c>
      <c r="I1497" s="60">
        <f>ventas_b_mes12[[#This Row],[IMPORTE NETO]]*0.21</f>
        <v>915.75619834710756</v>
      </c>
      <c r="J1497" s="229"/>
      <c r="K1497" s="229"/>
      <c r="L1497" s="229">
        <v>5276.5</v>
      </c>
      <c r="M1497" s="55"/>
    </row>
    <row r="1498" spans="2:13" x14ac:dyDescent="0.3">
      <c r="B1498" s="223" t="s">
        <v>2476</v>
      </c>
      <c r="C1498" s="37">
        <v>6</v>
      </c>
      <c r="D1498" s="225">
        <v>11</v>
      </c>
      <c r="E1498" s="226">
        <v>30151</v>
      </c>
      <c r="F1498" s="227"/>
      <c r="G1498" s="1" t="str">
        <f>IFERROR(IF(ventas_b_mes12[[#This Row],[CUIT]]="","-",VLOOKUP(ventas_b_mes12[[#This Row],[CUIT]],Lista_CUIT[#All],2,0)),"CUIT NO CARGADO")</f>
        <v>-</v>
      </c>
      <c r="H1498" s="96">
        <f>ventas_b_mes12[[#This Row],[TOTAL]]/1.21</f>
        <v>6942.1570247933887</v>
      </c>
      <c r="I1498" s="60">
        <f>ventas_b_mes12[[#This Row],[IMPORTE NETO]]*0.21</f>
        <v>1457.8529752066115</v>
      </c>
      <c r="J1498" s="229"/>
      <c r="K1498" s="229"/>
      <c r="L1498" s="229">
        <v>8400.01</v>
      </c>
      <c r="M1498" s="55"/>
    </row>
    <row r="1499" spans="2:13" x14ac:dyDescent="0.3">
      <c r="B1499" s="223" t="s">
        <v>2476</v>
      </c>
      <c r="C1499" s="37">
        <v>6</v>
      </c>
      <c r="D1499" s="225">
        <v>11</v>
      </c>
      <c r="E1499" s="226">
        <v>30156</v>
      </c>
      <c r="F1499" s="227"/>
      <c r="G1499" s="1" t="str">
        <f>IFERROR(IF(ventas_b_mes12[[#This Row],[CUIT]]="","-",VLOOKUP(ventas_b_mes12[[#This Row],[CUIT]],Lista_CUIT[#All],2,0)),"CUIT NO CARGADO")</f>
        <v>-</v>
      </c>
      <c r="H1499" s="96">
        <f>ventas_b_mes12[[#This Row],[TOTAL]]/1.21</f>
        <v>466.94214876033061</v>
      </c>
      <c r="I1499" s="60">
        <f>ventas_b_mes12[[#This Row],[IMPORTE NETO]]*0.21</f>
        <v>98.057851239669418</v>
      </c>
      <c r="J1499" s="229"/>
      <c r="K1499" s="229"/>
      <c r="L1499" s="229">
        <v>565</v>
      </c>
      <c r="M1499" s="55"/>
    </row>
    <row r="1500" spans="2:13" x14ac:dyDescent="0.3">
      <c r="B1500" s="223" t="s">
        <v>2476</v>
      </c>
      <c r="C1500" s="37">
        <v>6</v>
      </c>
      <c r="D1500" s="225">
        <v>10</v>
      </c>
      <c r="E1500" s="226">
        <v>43992</v>
      </c>
      <c r="F1500" s="227"/>
      <c r="G1500" s="1" t="str">
        <f>IFERROR(IF(ventas_b_mes12[[#This Row],[CUIT]]="","-",VLOOKUP(ventas_b_mes12[[#This Row],[CUIT]],Lista_CUIT[#All],2,0)),"CUIT NO CARGADO")</f>
        <v>-</v>
      </c>
      <c r="H1500" s="96">
        <f>ventas_b_mes12[[#This Row],[TOTAL]]/1.21</f>
        <v>4545.454545454546</v>
      </c>
      <c r="I1500" s="60">
        <f>ventas_b_mes12[[#This Row],[IMPORTE NETO]]*0.21</f>
        <v>954.54545454545462</v>
      </c>
      <c r="J1500" s="229"/>
      <c r="K1500" s="229"/>
      <c r="L1500" s="229">
        <v>5500</v>
      </c>
      <c r="M1500" s="55"/>
    </row>
    <row r="1501" spans="2:13" x14ac:dyDescent="0.3">
      <c r="B1501" s="223" t="s">
        <v>2476</v>
      </c>
      <c r="C1501" s="37">
        <v>6</v>
      </c>
      <c r="D1501" s="225">
        <v>10</v>
      </c>
      <c r="E1501" s="226">
        <v>43993</v>
      </c>
      <c r="F1501" s="227"/>
      <c r="G1501" s="1" t="str">
        <f>IFERROR(IF(ventas_b_mes12[[#This Row],[CUIT]]="","-",VLOOKUP(ventas_b_mes12[[#This Row],[CUIT]],Lista_CUIT[#All],2,0)),"CUIT NO CARGADO")</f>
        <v>-</v>
      </c>
      <c r="H1501" s="96">
        <f>ventas_b_mes12[[#This Row],[TOTAL]]/1.21</f>
        <v>4388.4297520661157</v>
      </c>
      <c r="I1501" s="60">
        <f>ventas_b_mes12[[#This Row],[IMPORTE NETO]]*0.21</f>
        <v>921.57024793388427</v>
      </c>
      <c r="J1501" s="229"/>
      <c r="K1501" s="229"/>
      <c r="L1501" s="229">
        <v>5310</v>
      </c>
      <c r="M1501" s="55"/>
    </row>
    <row r="1502" spans="2:13" x14ac:dyDescent="0.3">
      <c r="B1502" s="223" t="s">
        <v>2476</v>
      </c>
      <c r="C1502" s="37">
        <v>6</v>
      </c>
      <c r="D1502" s="225">
        <v>13</v>
      </c>
      <c r="E1502" s="226">
        <v>26824</v>
      </c>
      <c r="F1502" s="227"/>
      <c r="G1502" s="1" t="str">
        <f>IFERROR(IF(ventas_b_mes12[[#This Row],[CUIT]]="","-",VLOOKUP(ventas_b_mes12[[#This Row],[CUIT]],Lista_CUIT[#All],2,0)),"CUIT NO CARGADO")</f>
        <v>-</v>
      </c>
      <c r="H1502" s="96">
        <f>ventas_b_mes12[[#This Row],[TOTAL]]/1.21</f>
        <v>4845.2561983471078</v>
      </c>
      <c r="I1502" s="60">
        <f>ventas_b_mes12[[#This Row],[IMPORTE NETO]]*0.21</f>
        <v>1017.5038016528925</v>
      </c>
      <c r="J1502" s="229"/>
      <c r="K1502" s="229"/>
      <c r="L1502" s="229">
        <v>5862.76</v>
      </c>
      <c r="M1502" s="55"/>
    </row>
    <row r="1503" spans="2:13" x14ac:dyDescent="0.3">
      <c r="B1503" s="223" t="s">
        <v>2476</v>
      </c>
      <c r="C1503" s="37">
        <v>6</v>
      </c>
      <c r="D1503" s="225">
        <v>10</v>
      </c>
      <c r="E1503" s="226">
        <v>43978</v>
      </c>
      <c r="F1503" s="227"/>
      <c r="G1503" s="1" t="str">
        <f>IFERROR(IF(ventas_b_mes12[[#This Row],[CUIT]]="","-",VLOOKUP(ventas_b_mes12[[#This Row],[CUIT]],Lista_CUIT[#All],2,0)),"CUIT NO CARGADO")</f>
        <v>-</v>
      </c>
      <c r="H1503" s="96">
        <f>ventas_b_mes12[[#This Row],[TOTAL]]/1.21</f>
        <v>9041.3223140495866</v>
      </c>
      <c r="I1503" s="60">
        <f>ventas_b_mes12[[#This Row],[IMPORTE NETO]]*0.21</f>
        <v>1898.6776859504132</v>
      </c>
      <c r="J1503" s="229"/>
      <c r="K1503" s="229"/>
      <c r="L1503" s="229">
        <v>10940</v>
      </c>
      <c r="M1503" s="55"/>
    </row>
    <row r="1504" spans="2:13" x14ac:dyDescent="0.3">
      <c r="B1504" s="223" t="s">
        <v>2476</v>
      </c>
      <c r="C1504" s="37">
        <v>6</v>
      </c>
      <c r="D1504" s="225">
        <v>11</v>
      </c>
      <c r="E1504" s="226">
        <v>30159</v>
      </c>
      <c r="F1504" s="227"/>
      <c r="G1504" s="1" t="str">
        <f>IFERROR(IF(ventas_b_mes12[[#This Row],[CUIT]]="","-",VLOOKUP(ventas_b_mes12[[#This Row],[CUIT]],Lista_CUIT[#All],2,0)),"CUIT NO CARGADO")</f>
        <v>-</v>
      </c>
      <c r="H1504" s="96">
        <f>ventas_b_mes12[[#This Row],[TOTAL]]/1.21</f>
        <v>5092.9834710743808</v>
      </c>
      <c r="I1504" s="60">
        <f>ventas_b_mes12[[#This Row],[IMPORTE NETO]]*0.21</f>
        <v>1069.5265289256199</v>
      </c>
      <c r="J1504" s="229"/>
      <c r="K1504" s="229"/>
      <c r="L1504" s="229">
        <v>6162.51</v>
      </c>
      <c r="M1504" s="55"/>
    </row>
    <row r="1505" spans="2:13" x14ac:dyDescent="0.3">
      <c r="B1505" s="223" t="s">
        <v>2476</v>
      </c>
      <c r="C1505" s="37">
        <v>6</v>
      </c>
      <c r="D1505" s="225">
        <v>11</v>
      </c>
      <c r="E1505" s="226">
        <v>30166</v>
      </c>
      <c r="F1505" s="227"/>
      <c r="G1505" s="1" t="str">
        <f>IFERROR(IF(ventas_b_mes12[[#This Row],[CUIT]]="","-",VLOOKUP(ventas_b_mes12[[#This Row],[CUIT]],Lista_CUIT[#All],2,0)),"CUIT NO CARGADO")</f>
        <v>-</v>
      </c>
      <c r="H1505" s="96">
        <f>ventas_b_mes12[[#This Row],[TOTAL]]/1.21</f>
        <v>8082.644628099174</v>
      </c>
      <c r="I1505" s="60">
        <f>ventas_b_mes12[[#This Row],[IMPORTE NETO]]*0.21</f>
        <v>1697.3553719008264</v>
      </c>
      <c r="J1505" s="229"/>
      <c r="K1505" s="229"/>
      <c r="L1505" s="229">
        <v>9780</v>
      </c>
      <c r="M1505" s="55"/>
    </row>
    <row r="1506" spans="2:13" x14ac:dyDescent="0.3">
      <c r="B1506" s="223" t="s">
        <v>2476</v>
      </c>
      <c r="C1506" s="37">
        <v>6</v>
      </c>
      <c r="D1506" s="225">
        <v>12</v>
      </c>
      <c r="E1506" s="226">
        <v>22615</v>
      </c>
      <c r="F1506" s="227"/>
      <c r="G1506" s="1" t="str">
        <f>IFERROR(IF(ventas_b_mes12[[#This Row],[CUIT]]="","-",VLOOKUP(ventas_b_mes12[[#This Row],[CUIT]],Lista_CUIT[#All],2,0)),"CUIT NO CARGADO")</f>
        <v>-</v>
      </c>
      <c r="H1506" s="96">
        <f>ventas_b_mes12[[#This Row],[TOTAL]]/1.21</f>
        <v>3008.2727272727275</v>
      </c>
      <c r="I1506" s="60">
        <f>ventas_b_mes12[[#This Row],[IMPORTE NETO]]*0.21</f>
        <v>631.73727272727274</v>
      </c>
      <c r="J1506" s="229"/>
      <c r="K1506" s="229"/>
      <c r="L1506" s="229">
        <v>3640.01</v>
      </c>
      <c r="M1506" s="55"/>
    </row>
    <row r="1507" spans="2:13" x14ac:dyDescent="0.3">
      <c r="B1507" s="223" t="s">
        <v>2476</v>
      </c>
      <c r="C1507" s="37">
        <v>6</v>
      </c>
      <c r="D1507" s="225">
        <v>11</v>
      </c>
      <c r="E1507" s="226">
        <v>30153</v>
      </c>
      <c r="F1507" s="227"/>
      <c r="G1507" s="1" t="str">
        <f>IFERROR(IF(ventas_b_mes12[[#This Row],[CUIT]]="","-",VLOOKUP(ventas_b_mes12[[#This Row],[CUIT]],Lista_CUIT[#All],2,0)),"CUIT NO CARGADO")</f>
        <v>-</v>
      </c>
      <c r="H1507" s="96">
        <f>ventas_b_mes12[[#This Row],[TOTAL]]/1.21</f>
        <v>4971.0743801652898</v>
      </c>
      <c r="I1507" s="60">
        <f>ventas_b_mes12[[#This Row],[IMPORTE NETO]]*0.21</f>
        <v>1043.9256198347109</v>
      </c>
      <c r="J1507" s="229"/>
      <c r="K1507" s="229"/>
      <c r="L1507" s="229">
        <v>6015</v>
      </c>
      <c r="M1507" s="55"/>
    </row>
    <row r="1508" spans="2:13" x14ac:dyDescent="0.3">
      <c r="B1508" s="223" t="s">
        <v>2476</v>
      </c>
      <c r="C1508" s="37">
        <v>6</v>
      </c>
      <c r="D1508" s="225">
        <v>10</v>
      </c>
      <c r="E1508" s="226">
        <v>43976</v>
      </c>
      <c r="F1508" s="227"/>
      <c r="G1508" s="1" t="str">
        <f>IFERROR(IF(ventas_b_mes12[[#This Row],[CUIT]]="","-",VLOOKUP(ventas_b_mes12[[#This Row],[CUIT]],Lista_CUIT[#All],2,0)),"CUIT NO CARGADO")</f>
        <v>-</v>
      </c>
      <c r="H1508" s="96">
        <f>ventas_b_mes12[[#This Row],[TOTAL]]/1.21</f>
        <v>4648.7603305785124</v>
      </c>
      <c r="I1508" s="60">
        <f>ventas_b_mes12[[#This Row],[IMPORTE NETO]]*0.21</f>
        <v>976.23966942148752</v>
      </c>
      <c r="J1508" s="229"/>
      <c r="K1508" s="229"/>
      <c r="L1508" s="229">
        <v>5625</v>
      </c>
      <c r="M1508" s="55"/>
    </row>
    <row r="1509" spans="2:13" x14ac:dyDescent="0.3">
      <c r="B1509" s="223" t="s">
        <v>2476</v>
      </c>
      <c r="C1509" s="37">
        <v>6</v>
      </c>
      <c r="D1509" s="225">
        <v>10</v>
      </c>
      <c r="E1509" s="226">
        <v>43991</v>
      </c>
      <c r="F1509" s="227"/>
      <c r="G1509" s="1" t="str">
        <f>IFERROR(IF(ventas_b_mes12[[#This Row],[CUIT]]="","-",VLOOKUP(ventas_b_mes12[[#This Row],[CUIT]],Lista_CUIT[#All],2,0)),"CUIT NO CARGADO")</f>
        <v>-</v>
      </c>
      <c r="H1509" s="96">
        <f>ventas_b_mes12[[#This Row],[TOTAL]]/1.21</f>
        <v>743.80165289256206</v>
      </c>
      <c r="I1509" s="60">
        <f>ventas_b_mes12[[#This Row],[IMPORTE NETO]]*0.21</f>
        <v>156.19834710743802</v>
      </c>
      <c r="J1509" s="229"/>
      <c r="K1509" s="229"/>
      <c r="L1509" s="229">
        <v>900</v>
      </c>
      <c r="M1509" s="55"/>
    </row>
    <row r="1510" spans="2:13" x14ac:dyDescent="0.3">
      <c r="B1510" s="223" t="s">
        <v>2476</v>
      </c>
      <c r="C1510" s="37">
        <v>6</v>
      </c>
      <c r="D1510" s="225">
        <v>10</v>
      </c>
      <c r="E1510" s="226">
        <v>43990</v>
      </c>
      <c r="F1510" s="227"/>
      <c r="G1510" s="1" t="str">
        <f>IFERROR(IF(ventas_b_mes12[[#This Row],[CUIT]]="","-",VLOOKUP(ventas_b_mes12[[#This Row],[CUIT]],Lista_CUIT[#All],2,0)),"CUIT NO CARGADO")</f>
        <v>-</v>
      </c>
      <c r="H1510" s="96">
        <f>ventas_b_mes12[[#This Row],[TOTAL]]/1.21</f>
        <v>5385.1239669421493</v>
      </c>
      <c r="I1510" s="60">
        <f>ventas_b_mes12[[#This Row],[IMPORTE NETO]]*0.21</f>
        <v>1130.8760330578514</v>
      </c>
      <c r="J1510" s="229"/>
      <c r="K1510" s="229"/>
      <c r="L1510" s="229">
        <v>6516</v>
      </c>
      <c r="M1510" s="55"/>
    </row>
    <row r="1511" spans="2:13" x14ac:dyDescent="0.3">
      <c r="B1511" s="223" t="s">
        <v>2476</v>
      </c>
      <c r="C1511" s="37">
        <v>6</v>
      </c>
      <c r="D1511" s="225">
        <v>11</v>
      </c>
      <c r="E1511" s="226">
        <v>30155</v>
      </c>
      <c r="F1511" s="227"/>
      <c r="G1511" s="1" t="str">
        <f>IFERROR(IF(ventas_b_mes12[[#This Row],[CUIT]]="","-",VLOOKUP(ventas_b_mes12[[#This Row],[CUIT]],Lista_CUIT[#All],2,0)),"CUIT NO CARGADO")</f>
        <v>-</v>
      </c>
      <c r="H1511" s="96">
        <f>ventas_b_mes12[[#This Row],[TOTAL]]/1.21</f>
        <v>8462.8099173553728</v>
      </c>
      <c r="I1511" s="60">
        <f>ventas_b_mes12[[#This Row],[IMPORTE NETO]]*0.21</f>
        <v>1777.1900826446283</v>
      </c>
      <c r="J1511" s="229"/>
      <c r="K1511" s="229"/>
      <c r="L1511" s="229">
        <v>10240</v>
      </c>
      <c r="M1511" s="55"/>
    </row>
    <row r="1512" spans="2:13" x14ac:dyDescent="0.3">
      <c r="B1512" s="223" t="s">
        <v>2476</v>
      </c>
      <c r="C1512" s="37">
        <v>6</v>
      </c>
      <c r="D1512" s="225">
        <v>10</v>
      </c>
      <c r="E1512" s="226">
        <v>43982</v>
      </c>
      <c r="F1512" s="227"/>
      <c r="G1512" s="1" t="str">
        <f>IFERROR(IF(ventas_b_mes12[[#This Row],[CUIT]]="","-",VLOOKUP(ventas_b_mes12[[#This Row],[CUIT]],Lista_CUIT[#All],2,0)),"CUIT NO CARGADO")</f>
        <v>-</v>
      </c>
      <c r="H1512" s="96">
        <f>ventas_b_mes12[[#This Row],[TOTAL]]/1.21</f>
        <v>878.09917355371908</v>
      </c>
      <c r="I1512" s="60">
        <f>ventas_b_mes12[[#This Row],[IMPORTE NETO]]*0.21</f>
        <v>184.400826446281</v>
      </c>
      <c r="J1512" s="229"/>
      <c r="K1512" s="229"/>
      <c r="L1512" s="229">
        <v>1062.5</v>
      </c>
      <c r="M1512" s="55"/>
    </row>
    <row r="1513" spans="2:13" x14ac:dyDescent="0.3">
      <c r="B1513" s="223" t="s">
        <v>2476</v>
      </c>
      <c r="C1513" s="37">
        <v>6</v>
      </c>
      <c r="D1513" s="225">
        <v>11</v>
      </c>
      <c r="E1513" s="226">
        <v>30165</v>
      </c>
      <c r="F1513" s="227"/>
      <c r="G1513" s="1" t="str">
        <f>IFERROR(IF(ventas_b_mes12[[#This Row],[CUIT]]="","-",VLOOKUP(ventas_b_mes12[[#This Row],[CUIT]],Lista_CUIT[#All],2,0)),"CUIT NO CARGADO")</f>
        <v>-</v>
      </c>
      <c r="H1513" s="96">
        <f>ventas_b_mes12[[#This Row],[TOTAL]]/1.21</f>
        <v>7190.0826446280989</v>
      </c>
      <c r="I1513" s="60">
        <f>ventas_b_mes12[[#This Row],[IMPORTE NETO]]*0.21</f>
        <v>1509.9173553719006</v>
      </c>
      <c r="J1513" s="229"/>
      <c r="K1513" s="229"/>
      <c r="L1513" s="229">
        <v>8700</v>
      </c>
      <c r="M1513" s="55"/>
    </row>
    <row r="1514" spans="2:13" x14ac:dyDescent="0.3">
      <c r="B1514" s="223" t="s">
        <v>2476</v>
      </c>
      <c r="C1514" s="37">
        <v>6</v>
      </c>
      <c r="D1514" s="225">
        <v>12</v>
      </c>
      <c r="E1514" s="226">
        <v>22619</v>
      </c>
      <c r="F1514" s="227"/>
      <c r="G1514" s="1" t="str">
        <f>IFERROR(IF(ventas_b_mes12[[#This Row],[CUIT]]="","-",VLOOKUP(ventas_b_mes12[[#This Row],[CUIT]],Lista_CUIT[#All],2,0)),"CUIT NO CARGADO")</f>
        <v>-</v>
      </c>
      <c r="H1514" s="96">
        <f>ventas_b_mes12[[#This Row],[TOTAL]]/1.21</f>
        <v>4088.4297520661157</v>
      </c>
      <c r="I1514" s="60">
        <f>ventas_b_mes12[[#This Row],[IMPORTE NETO]]*0.21</f>
        <v>858.57024793388427</v>
      </c>
      <c r="J1514" s="229"/>
      <c r="K1514" s="229"/>
      <c r="L1514" s="229">
        <v>4947</v>
      </c>
      <c r="M1514" s="55"/>
    </row>
    <row r="1515" spans="2:13" x14ac:dyDescent="0.3">
      <c r="B1515" s="223" t="s">
        <v>2476</v>
      </c>
      <c r="C1515" s="37">
        <v>6</v>
      </c>
      <c r="D1515" s="225">
        <v>11</v>
      </c>
      <c r="E1515" s="226">
        <v>30157</v>
      </c>
      <c r="F1515" s="227"/>
      <c r="G1515" s="1" t="str">
        <f>IFERROR(IF(ventas_b_mes12[[#This Row],[CUIT]]="","-",VLOOKUP(ventas_b_mes12[[#This Row],[CUIT]],Lista_CUIT[#All],2,0)),"CUIT NO CARGADO")</f>
        <v>-</v>
      </c>
      <c r="H1515" s="96">
        <f>ventas_b_mes12[[#This Row],[TOTAL]]/1.21</f>
        <v>793.38842975206614</v>
      </c>
      <c r="I1515" s="60">
        <f>ventas_b_mes12[[#This Row],[IMPORTE NETO]]*0.21</f>
        <v>166.61157024793388</v>
      </c>
      <c r="J1515" s="229"/>
      <c r="K1515" s="229"/>
      <c r="L1515" s="229">
        <v>960</v>
      </c>
      <c r="M1515" s="55"/>
    </row>
    <row r="1516" spans="2:13" x14ac:dyDescent="0.3">
      <c r="B1516" s="223" t="s">
        <v>2476</v>
      </c>
      <c r="C1516" s="37">
        <v>6</v>
      </c>
      <c r="D1516" s="225">
        <v>15</v>
      </c>
      <c r="E1516" s="226">
        <v>7278</v>
      </c>
      <c r="F1516" s="227"/>
      <c r="G1516" s="1" t="str">
        <f>IFERROR(IF(ventas_b_mes12[[#This Row],[CUIT]]="","-",VLOOKUP(ventas_b_mes12[[#This Row],[CUIT]],Lista_CUIT[#All],2,0)),"CUIT NO CARGADO")</f>
        <v>-</v>
      </c>
      <c r="H1516" s="96">
        <f>ventas_b_mes12[[#This Row],[TOTAL]]/1.21</f>
        <v>1239.6694214876034</v>
      </c>
      <c r="I1516" s="60">
        <f>ventas_b_mes12[[#This Row],[IMPORTE NETO]]*0.21</f>
        <v>260.3305785123967</v>
      </c>
      <c r="J1516" s="229"/>
      <c r="K1516" s="229"/>
      <c r="L1516" s="229">
        <v>1500</v>
      </c>
      <c r="M1516" s="55"/>
    </row>
    <row r="1517" spans="2:13" x14ac:dyDescent="0.3">
      <c r="B1517" s="223" t="s">
        <v>2476</v>
      </c>
      <c r="C1517" s="37">
        <v>6</v>
      </c>
      <c r="D1517" s="225">
        <v>10</v>
      </c>
      <c r="E1517" s="226">
        <v>43975</v>
      </c>
      <c r="F1517" s="227"/>
      <c r="G1517" s="1" t="str">
        <f>IFERROR(IF(ventas_b_mes12[[#This Row],[CUIT]]="","-",VLOOKUP(ventas_b_mes12[[#This Row],[CUIT]],Lista_CUIT[#All],2,0)),"CUIT NO CARGADO")</f>
        <v>-</v>
      </c>
      <c r="H1517" s="96">
        <f>ventas_b_mes12[[#This Row],[TOTAL]]/1.21</f>
        <v>11776.859504132231</v>
      </c>
      <c r="I1517" s="60">
        <f>ventas_b_mes12[[#This Row],[IMPORTE NETO]]*0.21</f>
        <v>2473.1404958677685</v>
      </c>
      <c r="J1517" s="229"/>
      <c r="K1517" s="229"/>
      <c r="L1517" s="229">
        <v>14250</v>
      </c>
      <c r="M1517" s="55"/>
    </row>
    <row r="1518" spans="2:13" x14ac:dyDescent="0.3">
      <c r="B1518" s="223" t="s">
        <v>2476</v>
      </c>
      <c r="C1518" s="37">
        <v>6</v>
      </c>
      <c r="D1518" s="225">
        <v>10</v>
      </c>
      <c r="E1518" s="226">
        <v>43994</v>
      </c>
      <c r="F1518" s="227"/>
      <c r="G1518" s="1" t="str">
        <f>IFERROR(IF(ventas_b_mes12[[#This Row],[CUIT]]="","-",VLOOKUP(ventas_b_mes12[[#This Row],[CUIT]],Lista_CUIT[#All],2,0)),"CUIT NO CARGADO")</f>
        <v>-</v>
      </c>
      <c r="H1518" s="96">
        <f>ventas_b_mes12[[#This Row],[TOTAL]]/1.21</f>
        <v>1115.702479338843</v>
      </c>
      <c r="I1518" s="60">
        <f>ventas_b_mes12[[#This Row],[IMPORTE NETO]]*0.21</f>
        <v>234.29752066115702</v>
      </c>
      <c r="J1518" s="229"/>
      <c r="K1518" s="229"/>
      <c r="L1518" s="229">
        <v>1350</v>
      </c>
      <c r="M1518" s="55"/>
    </row>
    <row r="1519" spans="2:13" x14ac:dyDescent="0.3">
      <c r="B1519" s="223" t="s">
        <v>2476</v>
      </c>
      <c r="C1519" s="37">
        <v>6</v>
      </c>
      <c r="D1519" s="225">
        <v>10</v>
      </c>
      <c r="E1519" s="226">
        <v>43998</v>
      </c>
      <c r="F1519" s="227"/>
      <c r="G1519" s="1" t="str">
        <f>IFERROR(IF(ventas_b_mes12[[#This Row],[CUIT]]="","-",VLOOKUP(ventas_b_mes12[[#This Row],[CUIT]],Lista_CUIT[#All],2,0)),"CUIT NO CARGADO")</f>
        <v>-</v>
      </c>
      <c r="H1519" s="96">
        <f>ventas_b_mes12[[#This Row],[TOTAL]]/1.21</f>
        <v>3793.3966942148763</v>
      </c>
      <c r="I1519" s="60">
        <f>ventas_b_mes12[[#This Row],[IMPORTE NETO]]*0.21</f>
        <v>796.613305785124</v>
      </c>
      <c r="J1519" s="229"/>
      <c r="K1519" s="229"/>
      <c r="L1519" s="229">
        <v>4590.01</v>
      </c>
      <c r="M1519" s="55"/>
    </row>
    <row r="1520" spans="2:13" x14ac:dyDescent="0.3">
      <c r="B1520" s="223" t="s">
        <v>2477</v>
      </c>
      <c r="C1520" s="37">
        <v>6</v>
      </c>
      <c r="D1520" s="225">
        <v>11</v>
      </c>
      <c r="E1520" s="226">
        <v>30178</v>
      </c>
      <c r="F1520" s="227"/>
      <c r="G1520" s="1" t="str">
        <f>IFERROR(IF(ventas_b_mes12[[#This Row],[CUIT]]="","-",VLOOKUP(ventas_b_mes12[[#This Row],[CUIT]],Lista_CUIT[#All],2,0)),"CUIT NO CARGADO")</f>
        <v>-</v>
      </c>
      <c r="H1520" s="96">
        <f>ventas_b_mes12[[#This Row],[TOTAL]]/1.21</f>
        <v>6694.2148760330583</v>
      </c>
      <c r="I1520" s="60">
        <f>ventas_b_mes12[[#This Row],[IMPORTE NETO]]*0.21</f>
        <v>1405.7851239669421</v>
      </c>
      <c r="J1520" s="229"/>
      <c r="K1520" s="229"/>
      <c r="L1520" s="229">
        <v>8100</v>
      </c>
      <c r="M1520" s="55"/>
    </row>
    <row r="1521" spans="2:13" x14ac:dyDescent="0.3">
      <c r="B1521" s="223" t="s">
        <v>2477</v>
      </c>
      <c r="C1521" s="37">
        <v>6</v>
      </c>
      <c r="D1521" s="225">
        <v>15</v>
      </c>
      <c r="E1521" s="226">
        <v>7284</v>
      </c>
      <c r="F1521" s="227"/>
      <c r="G1521" s="1" t="str">
        <f>IFERROR(IF(ventas_b_mes12[[#This Row],[CUIT]]="","-",VLOOKUP(ventas_b_mes12[[#This Row],[CUIT]],Lista_CUIT[#All],2,0)),"CUIT NO CARGADO")</f>
        <v>-</v>
      </c>
      <c r="H1521" s="96">
        <f>ventas_b_mes12[[#This Row],[TOTAL]]/1.21</f>
        <v>14429.743801652894</v>
      </c>
      <c r="I1521" s="60">
        <f>ventas_b_mes12[[#This Row],[IMPORTE NETO]]*0.21</f>
        <v>3030.2461983471076</v>
      </c>
      <c r="J1521" s="229"/>
      <c r="K1521" s="229"/>
      <c r="L1521" s="229">
        <v>17459.990000000002</v>
      </c>
      <c r="M1521" s="55"/>
    </row>
    <row r="1522" spans="2:13" x14ac:dyDescent="0.3">
      <c r="B1522" s="223" t="s">
        <v>2477</v>
      </c>
      <c r="C1522" s="37">
        <v>6</v>
      </c>
      <c r="D1522" s="225">
        <v>13</v>
      </c>
      <c r="E1522" s="226">
        <v>26835</v>
      </c>
      <c r="F1522" s="227"/>
      <c r="G1522" s="1" t="str">
        <f>IFERROR(IF(ventas_b_mes12[[#This Row],[CUIT]]="","-",VLOOKUP(ventas_b_mes12[[#This Row],[CUIT]],Lista_CUIT[#All],2,0)),"CUIT NO CARGADO")</f>
        <v>-</v>
      </c>
      <c r="H1522" s="96">
        <f>ventas_b_mes12[[#This Row],[TOTAL]]/1.21</f>
        <v>5206.6115702479337</v>
      </c>
      <c r="I1522" s="60">
        <f>ventas_b_mes12[[#This Row],[IMPORTE NETO]]*0.21</f>
        <v>1093.388429752066</v>
      </c>
      <c r="J1522" s="229"/>
      <c r="K1522" s="229"/>
      <c r="L1522" s="229">
        <v>6300</v>
      </c>
      <c r="M1522" s="55"/>
    </row>
    <row r="1523" spans="2:13" x14ac:dyDescent="0.3">
      <c r="B1523" s="223" t="s">
        <v>2477</v>
      </c>
      <c r="C1523" s="37">
        <v>6</v>
      </c>
      <c r="D1523" s="225">
        <v>13</v>
      </c>
      <c r="E1523" s="226">
        <v>26830</v>
      </c>
      <c r="F1523" s="227"/>
      <c r="G1523" s="1" t="str">
        <f>IFERROR(IF(ventas_b_mes12[[#This Row],[CUIT]]="","-",VLOOKUP(ventas_b_mes12[[#This Row],[CUIT]],Lista_CUIT[#All],2,0)),"CUIT NO CARGADO")</f>
        <v>-</v>
      </c>
      <c r="H1523" s="96">
        <f>ventas_b_mes12[[#This Row],[TOTAL]]/1.21</f>
        <v>6353.7024793388427</v>
      </c>
      <c r="I1523" s="60">
        <f>ventas_b_mes12[[#This Row],[IMPORTE NETO]]*0.21</f>
        <v>1334.277520661157</v>
      </c>
      <c r="J1523" s="229"/>
      <c r="K1523" s="229"/>
      <c r="L1523" s="229">
        <v>7687.98</v>
      </c>
      <c r="M1523" s="55"/>
    </row>
    <row r="1524" spans="2:13" x14ac:dyDescent="0.3">
      <c r="B1524" s="223" t="s">
        <v>2477</v>
      </c>
      <c r="C1524" s="37">
        <v>6</v>
      </c>
      <c r="D1524" s="225">
        <v>11</v>
      </c>
      <c r="E1524" s="226">
        <v>30190</v>
      </c>
      <c r="F1524" s="227"/>
      <c r="G1524" s="1" t="str">
        <f>IFERROR(IF(ventas_b_mes12[[#This Row],[CUIT]]="","-",VLOOKUP(ventas_b_mes12[[#This Row],[CUIT]],Lista_CUIT[#All],2,0)),"CUIT NO CARGADO")</f>
        <v>-</v>
      </c>
      <c r="H1524" s="96">
        <f>ventas_b_mes12[[#This Row],[TOTAL]]/1.21</f>
        <v>5702.4876033057853</v>
      </c>
      <c r="I1524" s="60">
        <f>ventas_b_mes12[[#This Row],[IMPORTE NETO]]*0.21</f>
        <v>1197.5223966942149</v>
      </c>
      <c r="J1524" s="229"/>
      <c r="K1524" s="229"/>
      <c r="L1524" s="229">
        <v>6900.01</v>
      </c>
      <c r="M1524" s="55"/>
    </row>
    <row r="1525" spans="2:13" x14ac:dyDescent="0.3">
      <c r="B1525" s="223" t="s">
        <v>2477</v>
      </c>
      <c r="C1525" s="37">
        <v>6</v>
      </c>
      <c r="D1525" s="225">
        <v>11</v>
      </c>
      <c r="E1525" s="226">
        <v>30186</v>
      </c>
      <c r="F1525" s="227"/>
      <c r="G1525" s="1" t="str">
        <f>IFERROR(IF(ventas_b_mes12[[#This Row],[CUIT]]="","-",VLOOKUP(ventas_b_mes12[[#This Row],[CUIT]],Lista_CUIT[#All],2,0)),"CUIT NO CARGADO")</f>
        <v>-</v>
      </c>
      <c r="H1525" s="96">
        <f>ventas_b_mes12[[#This Row],[TOTAL]]/1.21</f>
        <v>15115.702479338843</v>
      </c>
      <c r="I1525" s="60">
        <f>ventas_b_mes12[[#This Row],[IMPORTE NETO]]*0.21</f>
        <v>3174.2975206611568</v>
      </c>
      <c r="J1525" s="229"/>
      <c r="K1525" s="229"/>
      <c r="L1525" s="229">
        <v>18290</v>
      </c>
      <c r="M1525" s="55"/>
    </row>
    <row r="1526" spans="2:13" x14ac:dyDescent="0.3">
      <c r="B1526" s="223" t="s">
        <v>2477</v>
      </c>
      <c r="C1526" s="37">
        <v>6</v>
      </c>
      <c r="D1526" s="225">
        <v>10</v>
      </c>
      <c r="E1526" s="226">
        <v>44012</v>
      </c>
      <c r="F1526" s="227"/>
      <c r="G1526" s="1" t="str">
        <f>IFERROR(IF(ventas_b_mes12[[#This Row],[CUIT]]="","-",VLOOKUP(ventas_b_mes12[[#This Row],[CUIT]],Lista_CUIT[#All],2,0)),"CUIT NO CARGADO")</f>
        <v>-</v>
      </c>
      <c r="H1526" s="96">
        <f>ventas_b_mes12[[#This Row],[TOTAL]]/1.21</f>
        <v>4958.6776859504134</v>
      </c>
      <c r="I1526" s="60">
        <f>ventas_b_mes12[[#This Row],[IMPORTE NETO]]*0.21</f>
        <v>1041.3223140495868</v>
      </c>
      <c r="J1526" s="229"/>
      <c r="K1526" s="229"/>
      <c r="L1526" s="229">
        <v>6000</v>
      </c>
      <c r="M1526" s="55"/>
    </row>
    <row r="1527" spans="2:13" x14ac:dyDescent="0.3">
      <c r="B1527" s="223" t="s">
        <v>2477</v>
      </c>
      <c r="C1527" s="37">
        <v>6</v>
      </c>
      <c r="D1527" s="225">
        <v>11</v>
      </c>
      <c r="E1527" s="226">
        <v>30182</v>
      </c>
      <c r="F1527" s="227"/>
      <c r="G1527" s="1" t="str">
        <f>IFERROR(IF(ventas_b_mes12[[#This Row],[CUIT]]="","-",VLOOKUP(ventas_b_mes12[[#This Row],[CUIT]],Lista_CUIT[#All],2,0)),"CUIT NO CARGADO")</f>
        <v>-</v>
      </c>
      <c r="H1527" s="96">
        <f>ventas_b_mes12[[#This Row],[TOTAL]]/1.21</f>
        <v>1074.3801652892562</v>
      </c>
      <c r="I1527" s="60">
        <f>ventas_b_mes12[[#This Row],[IMPORTE NETO]]*0.21</f>
        <v>225.61983471074379</v>
      </c>
      <c r="J1527" s="229"/>
      <c r="K1527" s="229"/>
      <c r="L1527" s="229">
        <v>1300</v>
      </c>
      <c r="M1527" s="55"/>
    </row>
    <row r="1528" spans="2:13" x14ac:dyDescent="0.3">
      <c r="B1528" s="223" t="s">
        <v>2477</v>
      </c>
      <c r="C1528" s="37">
        <v>6</v>
      </c>
      <c r="D1528" s="225">
        <v>10</v>
      </c>
      <c r="E1528" s="226">
        <v>44008</v>
      </c>
      <c r="F1528" s="227"/>
      <c r="G1528" s="1" t="str">
        <f>IFERROR(IF(ventas_b_mes12[[#This Row],[CUIT]]="","-",VLOOKUP(ventas_b_mes12[[#This Row],[CUIT]],Lista_CUIT[#All],2,0)),"CUIT NO CARGADO")</f>
        <v>-</v>
      </c>
      <c r="H1528" s="96">
        <f>ventas_b_mes12[[#This Row],[TOTAL]]/1.21</f>
        <v>1280.9917355371902</v>
      </c>
      <c r="I1528" s="60">
        <f>ventas_b_mes12[[#This Row],[IMPORTE NETO]]*0.21</f>
        <v>269.0082644628099</v>
      </c>
      <c r="J1528" s="229"/>
      <c r="K1528" s="229"/>
      <c r="L1528" s="229">
        <v>1550</v>
      </c>
      <c r="M1528" s="55"/>
    </row>
    <row r="1529" spans="2:13" x14ac:dyDescent="0.3">
      <c r="B1529" s="223" t="s">
        <v>2477</v>
      </c>
      <c r="C1529" s="37">
        <v>6</v>
      </c>
      <c r="D1529" s="225">
        <v>10</v>
      </c>
      <c r="E1529" s="226">
        <v>43999</v>
      </c>
      <c r="F1529" s="227"/>
      <c r="G1529" s="1" t="str">
        <f>IFERROR(IF(ventas_b_mes12[[#This Row],[CUIT]]="","-",VLOOKUP(ventas_b_mes12[[#This Row],[CUIT]],Lista_CUIT[#All],2,0)),"CUIT NO CARGADO")</f>
        <v>-</v>
      </c>
      <c r="H1529" s="96">
        <f>ventas_b_mes12[[#This Row],[TOTAL]]/1.21</f>
        <v>10956.198347107438</v>
      </c>
      <c r="I1529" s="60">
        <f>ventas_b_mes12[[#This Row],[IMPORTE NETO]]*0.21</f>
        <v>2300.8016528925618</v>
      </c>
      <c r="J1529" s="229"/>
      <c r="K1529" s="229"/>
      <c r="L1529" s="229">
        <v>13257</v>
      </c>
      <c r="M1529" s="55"/>
    </row>
    <row r="1530" spans="2:13" x14ac:dyDescent="0.3">
      <c r="B1530" s="223" t="s">
        <v>2477</v>
      </c>
      <c r="C1530" s="37">
        <v>6</v>
      </c>
      <c r="D1530" s="225">
        <v>10</v>
      </c>
      <c r="E1530" s="226">
        <v>44003</v>
      </c>
      <c r="F1530" s="227"/>
      <c r="G1530" s="1" t="str">
        <f>IFERROR(IF(ventas_b_mes12[[#This Row],[CUIT]]="","-",VLOOKUP(ventas_b_mes12[[#This Row],[CUIT]],Lista_CUIT[#All],2,0)),"CUIT NO CARGADO")</f>
        <v>-</v>
      </c>
      <c r="H1530" s="96">
        <f>ventas_b_mes12[[#This Row],[TOTAL]]/1.21</f>
        <v>4438.0165289256202</v>
      </c>
      <c r="I1530" s="60">
        <f>ventas_b_mes12[[#This Row],[IMPORTE NETO]]*0.21</f>
        <v>931.98347107438019</v>
      </c>
      <c r="J1530" s="229"/>
      <c r="K1530" s="229"/>
      <c r="L1530" s="229">
        <v>5370</v>
      </c>
      <c r="M1530" s="55"/>
    </row>
    <row r="1531" spans="2:13" x14ac:dyDescent="0.3">
      <c r="B1531" s="223" t="s">
        <v>2477</v>
      </c>
      <c r="C1531" s="37">
        <v>6</v>
      </c>
      <c r="D1531" s="225">
        <v>13</v>
      </c>
      <c r="E1531" s="226">
        <v>26833</v>
      </c>
      <c r="F1531" s="227"/>
      <c r="G1531" s="1" t="str">
        <f>IFERROR(IF(ventas_b_mes12[[#This Row],[CUIT]]="","-",VLOOKUP(ventas_b_mes12[[#This Row],[CUIT]],Lista_CUIT[#All],2,0)),"CUIT NO CARGADO")</f>
        <v>-</v>
      </c>
      <c r="H1531" s="96">
        <f>ventas_b_mes12[[#This Row],[TOTAL]]/1.21</f>
        <v>4421.4876033057853</v>
      </c>
      <c r="I1531" s="60">
        <f>ventas_b_mes12[[#This Row],[IMPORTE NETO]]*0.21</f>
        <v>928.51239669421489</v>
      </c>
      <c r="J1531" s="229"/>
      <c r="K1531" s="229"/>
      <c r="L1531" s="229">
        <v>5350</v>
      </c>
      <c r="M1531" s="55"/>
    </row>
    <row r="1532" spans="2:13" x14ac:dyDescent="0.3">
      <c r="B1532" s="223" t="s">
        <v>2477</v>
      </c>
      <c r="C1532" s="37">
        <v>6</v>
      </c>
      <c r="D1532" s="225">
        <v>11</v>
      </c>
      <c r="E1532" s="226">
        <v>30187</v>
      </c>
      <c r="F1532" s="227"/>
      <c r="G1532" s="1" t="str">
        <f>IFERROR(IF(ventas_b_mes12[[#This Row],[CUIT]]="","-",VLOOKUP(ventas_b_mes12[[#This Row],[CUIT]],Lista_CUIT[#All],2,0)),"CUIT NO CARGADO")</f>
        <v>-</v>
      </c>
      <c r="H1532" s="96">
        <f>ventas_b_mes12[[#This Row],[TOTAL]]/1.21</f>
        <v>7553.7190082644629</v>
      </c>
      <c r="I1532" s="60">
        <f>ventas_b_mes12[[#This Row],[IMPORTE NETO]]*0.21</f>
        <v>1586.2809917355371</v>
      </c>
      <c r="J1532" s="229"/>
      <c r="K1532" s="229"/>
      <c r="L1532" s="229">
        <v>9140</v>
      </c>
      <c r="M1532" s="55"/>
    </row>
    <row r="1533" spans="2:13" x14ac:dyDescent="0.3">
      <c r="B1533" s="223" t="s">
        <v>2477</v>
      </c>
      <c r="C1533" s="37">
        <v>6</v>
      </c>
      <c r="D1533" s="225">
        <v>11</v>
      </c>
      <c r="E1533" s="226">
        <v>30177</v>
      </c>
      <c r="F1533" s="227"/>
      <c r="G1533" s="1" t="str">
        <f>IFERROR(IF(ventas_b_mes12[[#This Row],[CUIT]]="","-",VLOOKUP(ventas_b_mes12[[#This Row],[CUIT]],Lista_CUIT[#All],2,0)),"CUIT NO CARGADO")</f>
        <v>-</v>
      </c>
      <c r="H1533" s="96">
        <f>ventas_b_mes12[[#This Row],[TOTAL]]/1.21</f>
        <v>5132.2314049586776</v>
      </c>
      <c r="I1533" s="60">
        <f>ventas_b_mes12[[#This Row],[IMPORTE NETO]]*0.21</f>
        <v>1077.7685950413222</v>
      </c>
      <c r="J1533" s="229"/>
      <c r="K1533" s="229"/>
      <c r="L1533" s="229">
        <v>6210</v>
      </c>
      <c r="M1533" s="55"/>
    </row>
    <row r="1534" spans="2:13" x14ac:dyDescent="0.3">
      <c r="B1534" s="223" t="s">
        <v>2477</v>
      </c>
      <c r="C1534" s="37">
        <v>6</v>
      </c>
      <c r="D1534" s="225">
        <v>15</v>
      </c>
      <c r="E1534" s="226">
        <v>7285</v>
      </c>
      <c r="F1534" s="227"/>
      <c r="G1534" s="1" t="str">
        <f>IFERROR(IF(ventas_b_mes12[[#This Row],[CUIT]]="","-",VLOOKUP(ventas_b_mes12[[#This Row],[CUIT]],Lista_CUIT[#All],2,0)),"CUIT NO CARGADO")</f>
        <v>-</v>
      </c>
      <c r="H1534" s="96">
        <f>ventas_b_mes12[[#This Row],[TOTAL]]/1.21</f>
        <v>5074.3801652892562</v>
      </c>
      <c r="I1534" s="60">
        <f>ventas_b_mes12[[#This Row],[IMPORTE NETO]]*0.21</f>
        <v>1065.6198347107438</v>
      </c>
      <c r="J1534" s="229"/>
      <c r="K1534" s="229"/>
      <c r="L1534" s="229">
        <v>6140</v>
      </c>
      <c r="M1534" s="55"/>
    </row>
    <row r="1535" spans="2:13" x14ac:dyDescent="0.3">
      <c r="B1535" s="223" t="s">
        <v>2477</v>
      </c>
      <c r="C1535" s="37">
        <v>6</v>
      </c>
      <c r="D1535" s="225">
        <v>11</v>
      </c>
      <c r="E1535" s="226">
        <v>30183</v>
      </c>
      <c r="F1535" s="227"/>
      <c r="G1535" s="1" t="str">
        <f>IFERROR(IF(ventas_b_mes12[[#This Row],[CUIT]]="","-",VLOOKUP(ventas_b_mes12[[#This Row],[CUIT]],Lista_CUIT[#All],2,0)),"CUIT NO CARGADO")</f>
        <v>-</v>
      </c>
      <c r="H1535" s="96">
        <f>ventas_b_mes12[[#This Row],[TOTAL]]/1.21</f>
        <v>1768.595041322314</v>
      </c>
      <c r="I1535" s="60">
        <f>ventas_b_mes12[[#This Row],[IMPORTE NETO]]*0.21</f>
        <v>371.40495867768595</v>
      </c>
      <c r="J1535" s="229"/>
      <c r="K1535" s="229"/>
      <c r="L1535" s="229">
        <v>2140</v>
      </c>
      <c r="M1535" s="55"/>
    </row>
    <row r="1536" spans="2:13" x14ac:dyDescent="0.3">
      <c r="B1536" s="223" t="s">
        <v>2477</v>
      </c>
      <c r="C1536" s="37">
        <v>6</v>
      </c>
      <c r="D1536" s="225">
        <v>10</v>
      </c>
      <c r="E1536" s="226">
        <v>44007</v>
      </c>
      <c r="F1536" s="227"/>
      <c r="G1536" s="1" t="str">
        <f>IFERROR(IF(ventas_b_mes12[[#This Row],[CUIT]]="","-",VLOOKUP(ventas_b_mes12[[#This Row],[CUIT]],Lista_CUIT[#All],2,0)),"CUIT NO CARGADO")</f>
        <v>-</v>
      </c>
      <c r="H1536" s="96">
        <f>ventas_b_mes12[[#This Row],[TOTAL]]/1.21</f>
        <v>7983.4710743801652</v>
      </c>
      <c r="I1536" s="60">
        <f>ventas_b_mes12[[#This Row],[IMPORTE NETO]]*0.21</f>
        <v>1676.5289256198346</v>
      </c>
      <c r="J1536" s="229"/>
      <c r="K1536" s="229"/>
      <c r="L1536" s="229">
        <v>9660</v>
      </c>
      <c r="M1536" s="55"/>
    </row>
    <row r="1537" spans="2:13" x14ac:dyDescent="0.3">
      <c r="B1537" s="223" t="s">
        <v>2477</v>
      </c>
      <c r="C1537" s="37">
        <v>6</v>
      </c>
      <c r="D1537" s="225">
        <v>15</v>
      </c>
      <c r="E1537" s="226">
        <v>7291</v>
      </c>
      <c r="F1537" s="227"/>
      <c r="G1537" s="1" t="str">
        <f>IFERROR(IF(ventas_b_mes12[[#This Row],[CUIT]]="","-",VLOOKUP(ventas_b_mes12[[#This Row],[CUIT]],Lista_CUIT[#All],2,0)),"CUIT NO CARGADO")</f>
        <v>-</v>
      </c>
      <c r="H1537" s="96">
        <f>ventas_b_mes12[[#This Row],[TOTAL]]/1.21</f>
        <v>456.19834710743805</v>
      </c>
      <c r="I1537" s="60">
        <f>ventas_b_mes12[[#This Row],[IMPORTE NETO]]*0.21</f>
        <v>95.801652892561989</v>
      </c>
      <c r="J1537" s="229"/>
      <c r="K1537" s="229"/>
      <c r="L1537" s="229">
        <v>552</v>
      </c>
      <c r="M1537" s="55"/>
    </row>
    <row r="1538" spans="2:13" x14ac:dyDescent="0.3">
      <c r="B1538" s="223" t="s">
        <v>2477</v>
      </c>
      <c r="C1538" s="37">
        <v>6</v>
      </c>
      <c r="D1538" s="225">
        <v>13</v>
      </c>
      <c r="E1538" s="226">
        <v>26832</v>
      </c>
      <c r="F1538" s="227"/>
      <c r="G1538" s="1" t="str">
        <f>IFERROR(IF(ventas_b_mes12[[#This Row],[CUIT]]="","-",VLOOKUP(ventas_b_mes12[[#This Row],[CUIT]],Lista_CUIT[#All],2,0)),"CUIT NO CARGADO")</f>
        <v>-</v>
      </c>
      <c r="H1538" s="96">
        <f>ventas_b_mes12[[#This Row],[TOTAL]]/1.21</f>
        <v>1570.2479338842975</v>
      </c>
      <c r="I1538" s="60">
        <f>ventas_b_mes12[[#This Row],[IMPORTE NETO]]*0.21</f>
        <v>329.75206611570246</v>
      </c>
      <c r="J1538" s="229"/>
      <c r="K1538" s="229"/>
      <c r="L1538" s="229">
        <v>1900</v>
      </c>
      <c r="M1538" s="55"/>
    </row>
    <row r="1539" spans="2:13" x14ac:dyDescent="0.3">
      <c r="B1539" s="223" t="s">
        <v>2477</v>
      </c>
      <c r="C1539" s="37">
        <v>6</v>
      </c>
      <c r="D1539" s="225">
        <v>12</v>
      </c>
      <c r="E1539" s="226">
        <v>22624</v>
      </c>
      <c r="F1539" s="227"/>
      <c r="G1539" s="1" t="str">
        <f>IFERROR(IF(ventas_b_mes12[[#This Row],[CUIT]]="","-",VLOOKUP(ventas_b_mes12[[#This Row],[CUIT]],Lista_CUIT[#All],2,0)),"CUIT NO CARGADO")</f>
        <v>-</v>
      </c>
      <c r="H1539" s="96">
        <f>ventas_b_mes12[[#This Row],[TOTAL]]/1.21</f>
        <v>8063.2561983471087</v>
      </c>
      <c r="I1539" s="60">
        <f>ventas_b_mes12[[#This Row],[IMPORTE NETO]]*0.21</f>
        <v>1693.2838016528929</v>
      </c>
      <c r="J1539" s="229"/>
      <c r="K1539" s="229"/>
      <c r="L1539" s="229">
        <v>9756.5400000000009</v>
      </c>
      <c r="M1539" s="55"/>
    </row>
    <row r="1540" spans="2:13" x14ac:dyDescent="0.3">
      <c r="B1540" s="223" t="s">
        <v>2477</v>
      </c>
      <c r="C1540" s="37">
        <v>6</v>
      </c>
      <c r="D1540" s="225">
        <v>15</v>
      </c>
      <c r="E1540" s="226">
        <v>7289</v>
      </c>
      <c r="F1540" s="227"/>
      <c r="G1540" s="1" t="str">
        <f>IFERROR(IF(ventas_b_mes12[[#This Row],[CUIT]]="","-",VLOOKUP(ventas_b_mes12[[#This Row],[CUIT]],Lista_CUIT[#All],2,0)),"CUIT NO CARGADO")</f>
        <v>-</v>
      </c>
      <c r="H1540" s="96">
        <f>ventas_b_mes12[[#This Row],[TOTAL]]/1.21</f>
        <v>4958.6776859504134</v>
      </c>
      <c r="I1540" s="60">
        <f>ventas_b_mes12[[#This Row],[IMPORTE NETO]]*0.21</f>
        <v>1041.3223140495868</v>
      </c>
      <c r="J1540" s="229"/>
      <c r="K1540" s="229"/>
      <c r="L1540" s="229">
        <v>6000</v>
      </c>
      <c r="M1540" s="55"/>
    </row>
    <row r="1541" spans="2:13" x14ac:dyDescent="0.3">
      <c r="B1541" s="223" t="s">
        <v>2477</v>
      </c>
      <c r="C1541" s="37">
        <v>6</v>
      </c>
      <c r="D1541" s="225">
        <v>12</v>
      </c>
      <c r="E1541" s="226">
        <v>22636</v>
      </c>
      <c r="F1541" s="227"/>
      <c r="G1541" s="1" t="str">
        <f>IFERROR(IF(ventas_b_mes12[[#This Row],[CUIT]]="","-",VLOOKUP(ventas_b_mes12[[#This Row],[CUIT]],Lista_CUIT[#All],2,0)),"CUIT NO CARGADO")</f>
        <v>-</v>
      </c>
      <c r="H1541" s="96">
        <f>ventas_b_mes12[[#This Row],[TOTAL]]/1.21</f>
        <v>3421.4876033057853</v>
      </c>
      <c r="I1541" s="60">
        <f>ventas_b_mes12[[#This Row],[IMPORTE NETO]]*0.21</f>
        <v>718.51239669421489</v>
      </c>
      <c r="J1541" s="229"/>
      <c r="K1541" s="229"/>
      <c r="L1541" s="229">
        <v>4140</v>
      </c>
      <c r="M1541" s="55"/>
    </row>
    <row r="1542" spans="2:13" x14ac:dyDescent="0.3">
      <c r="B1542" s="223" t="s">
        <v>2477</v>
      </c>
      <c r="C1542" s="37">
        <v>6</v>
      </c>
      <c r="D1542" s="225">
        <v>12</v>
      </c>
      <c r="E1542" s="226">
        <v>22632</v>
      </c>
      <c r="F1542" s="227"/>
      <c r="G1542" s="1" t="str">
        <f>IFERROR(IF(ventas_b_mes12[[#This Row],[CUIT]]="","-",VLOOKUP(ventas_b_mes12[[#This Row],[CUIT]],Lista_CUIT[#All],2,0)),"CUIT NO CARGADO")</f>
        <v>-</v>
      </c>
      <c r="H1542" s="96">
        <f>ventas_b_mes12[[#This Row],[TOTAL]]/1.21</f>
        <v>4545.454545454546</v>
      </c>
      <c r="I1542" s="60">
        <f>ventas_b_mes12[[#This Row],[IMPORTE NETO]]*0.21</f>
        <v>954.54545454545462</v>
      </c>
      <c r="J1542" s="229"/>
      <c r="K1542" s="229"/>
      <c r="L1542" s="229">
        <v>5500</v>
      </c>
      <c r="M1542" s="55"/>
    </row>
    <row r="1543" spans="2:13" x14ac:dyDescent="0.3">
      <c r="B1543" s="223" t="s">
        <v>2477</v>
      </c>
      <c r="C1543" s="37">
        <v>6</v>
      </c>
      <c r="D1543" s="225">
        <v>10</v>
      </c>
      <c r="E1543" s="226">
        <v>44006</v>
      </c>
      <c r="F1543" s="227"/>
      <c r="G1543" s="1" t="str">
        <f>IFERROR(IF(ventas_b_mes12[[#This Row],[CUIT]]="","-",VLOOKUP(ventas_b_mes12[[#This Row],[CUIT]],Lista_CUIT[#All],2,0)),"CUIT NO CARGADO")</f>
        <v>-</v>
      </c>
      <c r="H1543" s="96">
        <f>ventas_b_mes12[[#This Row],[TOTAL]]/1.21</f>
        <v>27603.314049586781</v>
      </c>
      <c r="I1543" s="60">
        <f>ventas_b_mes12[[#This Row],[IMPORTE NETO]]*0.21</f>
        <v>5796.6959504132237</v>
      </c>
      <c r="J1543" s="229"/>
      <c r="K1543" s="229"/>
      <c r="L1543" s="229">
        <v>33400.01</v>
      </c>
      <c r="M1543" s="55"/>
    </row>
    <row r="1544" spans="2:13" x14ac:dyDescent="0.3">
      <c r="B1544" s="223" t="s">
        <v>2477</v>
      </c>
      <c r="C1544" s="37">
        <v>6</v>
      </c>
      <c r="D1544" s="225">
        <v>10</v>
      </c>
      <c r="E1544" s="226">
        <v>44009</v>
      </c>
      <c r="F1544" s="227"/>
      <c r="G1544" s="1" t="str">
        <f>IFERROR(IF(ventas_b_mes12[[#This Row],[CUIT]]="","-",VLOOKUP(ventas_b_mes12[[#This Row],[CUIT]],Lista_CUIT[#All],2,0)),"CUIT NO CARGADO")</f>
        <v>-</v>
      </c>
      <c r="H1544" s="96">
        <f>ventas_b_mes12[[#This Row],[TOTAL]]/1.21</f>
        <v>4876.0413223140495</v>
      </c>
      <c r="I1544" s="60">
        <f>ventas_b_mes12[[#This Row],[IMPORTE NETO]]*0.21</f>
        <v>1023.9686776859503</v>
      </c>
      <c r="J1544" s="229"/>
      <c r="K1544" s="229"/>
      <c r="L1544" s="229">
        <v>5900.01</v>
      </c>
      <c r="M1544" s="55"/>
    </row>
    <row r="1545" spans="2:13" x14ac:dyDescent="0.3">
      <c r="B1545" s="223" t="s">
        <v>2477</v>
      </c>
      <c r="C1545" s="37">
        <v>6</v>
      </c>
      <c r="D1545" s="225">
        <v>13</v>
      </c>
      <c r="E1545" s="226">
        <v>26831</v>
      </c>
      <c r="F1545" s="227"/>
      <c r="G1545" s="1" t="str">
        <f>IFERROR(IF(ventas_b_mes12[[#This Row],[CUIT]]="","-",VLOOKUP(ventas_b_mes12[[#This Row],[CUIT]],Lista_CUIT[#All],2,0)),"CUIT NO CARGADO")</f>
        <v>-</v>
      </c>
      <c r="H1545" s="96">
        <f>ventas_b_mes12[[#This Row],[TOTAL]]/1.21</f>
        <v>2867.7685950413224</v>
      </c>
      <c r="I1545" s="60">
        <f>ventas_b_mes12[[#This Row],[IMPORTE NETO]]*0.21</f>
        <v>602.23140495867767</v>
      </c>
      <c r="J1545" s="229"/>
      <c r="K1545" s="229"/>
      <c r="L1545" s="229">
        <v>3470</v>
      </c>
      <c r="M1545" s="55"/>
    </row>
    <row r="1546" spans="2:13" x14ac:dyDescent="0.3">
      <c r="B1546" s="223" t="s">
        <v>2477</v>
      </c>
      <c r="C1546" s="37">
        <v>6</v>
      </c>
      <c r="D1546" s="225">
        <v>11</v>
      </c>
      <c r="E1546" s="226">
        <v>30185</v>
      </c>
      <c r="F1546" s="227"/>
      <c r="G1546" s="1" t="str">
        <f>IFERROR(IF(ventas_b_mes12[[#This Row],[CUIT]]="","-",VLOOKUP(ventas_b_mes12[[#This Row],[CUIT]],Lista_CUIT[#All],2,0)),"CUIT NO CARGADO")</f>
        <v>-</v>
      </c>
      <c r="H1546" s="96">
        <f>ventas_b_mes12[[#This Row],[TOTAL]]/1.21</f>
        <v>6677.6859504132235</v>
      </c>
      <c r="I1546" s="60">
        <f>ventas_b_mes12[[#This Row],[IMPORTE NETO]]*0.21</f>
        <v>1402.3140495867769</v>
      </c>
      <c r="J1546" s="229"/>
      <c r="K1546" s="229"/>
      <c r="L1546" s="229">
        <v>8080</v>
      </c>
      <c r="M1546" s="55"/>
    </row>
    <row r="1547" spans="2:13" x14ac:dyDescent="0.3">
      <c r="B1547" s="223" t="s">
        <v>2477</v>
      </c>
      <c r="C1547" s="37">
        <v>6</v>
      </c>
      <c r="D1547" s="225">
        <v>15</v>
      </c>
      <c r="E1547" s="226">
        <v>7288</v>
      </c>
      <c r="F1547" s="227"/>
      <c r="G1547" s="1" t="str">
        <f>IFERROR(IF(ventas_b_mes12[[#This Row],[CUIT]]="","-",VLOOKUP(ventas_b_mes12[[#This Row],[CUIT]],Lista_CUIT[#All],2,0)),"CUIT NO CARGADO")</f>
        <v>-</v>
      </c>
      <c r="H1547" s="96">
        <f>ventas_b_mes12[[#This Row],[TOTAL]]/1.21</f>
        <v>7545.454545454546</v>
      </c>
      <c r="I1547" s="60">
        <f>ventas_b_mes12[[#This Row],[IMPORTE NETO]]*0.21</f>
        <v>1584.5454545454545</v>
      </c>
      <c r="J1547" s="229"/>
      <c r="K1547" s="229"/>
      <c r="L1547" s="229">
        <v>9130</v>
      </c>
      <c r="M1547" s="55"/>
    </row>
    <row r="1548" spans="2:13" x14ac:dyDescent="0.3">
      <c r="B1548" s="223" t="s">
        <v>2477</v>
      </c>
      <c r="C1548" s="37">
        <v>6</v>
      </c>
      <c r="D1548" s="225">
        <v>12</v>
      </c>
      <c r="E1548" s="226">
        <v>22631</v>
      </c>
      <c r="F1548" s="227"/>
      <c r="G1548" s="1" t="str">
        <f>IFERROR(IF(ventas_b_mes12[[#This Row],[CUIT]]="","-",VLOOKUP(ventas_b_mes12[[#This Row],[CUIT]],Lista_CUIT[#All],2,0)),"CUIT NO CARGADO")</f>
        <v>-</v>
      </c>
      <c r="H1548" s="96">
        <f>ventas_b_mes12[[#This Row],[TOTAL]]/1.21</f>
        <v>1376.0413223140497</v>
      </c>
      <c r="I1548" s="60">
        <f>ventas_b_mes12[[#This Row],[IMPORTE NETO]]*0.21</f>
        <v>288.96867768595041</v>
      </c>
      <c r="J1548" s="229"/>
      <c r="K1548" s="229"/>
      <c r="L1548" s="229">
        <v>1665.01</v>
      </c>
      <c r="M1548" s="55"/>
    </row>
    <row r="1549" spans="2:13" x14ac:dyDescent="0.3">
      <c r="B1549" s="223" t="s">
        <v>2477</v>
      </c>
      <c r="C1549" s="37">
        <v>6</v>
      </c>
      <c r="D1549" s="225">
        <v>10</v>
      </c>
      <c r="E1549" s="226">
        <v>44010</v>
      </c>
      <c r="F1549" s="227"/>
      <c r="G1549" s="1" t="str">
        <f>IFERROR(IF(ventas_b_mes12[[#This Row],[CUIT]]="","-",VLOOKUP(ventas_b_mes12[[#This Row],[CUIT]],Lista_CUIT[#All],2,0)),"CUIT NO CARGADO")</f>
        <v>-</v>
      </c>
      <c r="H1549" s="96">
        <f>ventas_b_mes12[[#This Row],[TOTAL]]/1.21</f>
        <v>18231.413223140495</v>
      </c>
      <c r="I1549" s="60">
        <f>ventas_b_mes12[[#This Row],[IMPORTE NETO]]*0.21</f>
        <v>3828.5967768595037</v>
      </c>
      <c r="J1549" s="229"/>
      <c r="K1549" s="229"/>
      <c r="L1549" s="229">
        <v>22060.01</v>
      </c>
      <c r="M1549" s="55"/>
    </row>
    <row r="1550" spans="2:13" x14ac:dyDescent="0.3">
      <c r="B1550" s="223" t="s">
        <v>2477</v>
      </c>
      <c r="C1550" s="37">
        <v>6</v>
      </c>
      <c r="D1550" s="225">
        <v>12</v>
      </c>
      <c r="E1550" s="226">
        <v>22625</v>
      </c>
      <c r="F1550" s="227"/>
      <c r="G1550" s="1" t="str">
        <f>IFERROR(IF(ventas_b_mes12[[#This Row],[CUIT]]="","-",VLOOKUP(ventas_b_mes12[[#This Row],[CUIT]],Lista_CUIT[#All],2,0)),"CUIT NO CARGADO")</f>
        <v>-</v>
      </c>
      <c r="H1550" s="96">
        <f>ventas_b_mes12[[#This Row],[TOTAL]]/1.21</f>
        <v>4545.454545454546</v>
      </c>
      <c r="I1550" s="60">
        <f>ventas_b_mes12[[#This Row],[IMPORTE NETO]]*0.21</f>
        <v>954.54545454545462</v>
      </c>
      <c r="J1550" s="229"/>
      <c r="K1550" s="229"/>
      <c r="L1550" s="229">
        <v>5500</v>
      </c>
      <c r="M1550" s="55"/>
    </row>
    <row r="1551" spans="2:13" x14ac:dyDescent="0.3">
      <c r="B1551" s="223" t="s">
        <v>2477</v>
      </c>
      <c r="C1551" s="37">
        <v>6</v>
      </c>
      <c r="D1551" s="225">
        <v>13</v>
      </c>
      <c r="E1551" s="226">
        <v>26834</v>
      </c>
      <c r="F1551" s="227"/>
      <c r="G1551" s="1" t="str">
        <f>IFERROR(IF(ventas_b_mes12[[#This Row],[CUIT]]="","-",VLOOKUP(ventas_b_mes12[[#This Row],[CUIT]],Lista_CUIT[#All],2,0)),"CUIT NO CARGADO")</f>
        <v>-</v>
      </c>
      <c r="H1551" s="96">
        <f>ventas_b_mes12[[#This Row],[TOTAL]]/1.21</f>
        <v>3524.7933884297522</v>
      </c>
      <c r="I1551" s="60">
        <f>ventas_b_mes12[[#This Row],[IMPORTE NETO]]*0.21</f>
        <v>740.2066115702479</v>
      </c>
      <c r="J1551" s="229"/>
      <c r="K1551" s="229"/>
      <c r="L1551" s="229">
        <v>4265</v>
      </c>
      <c r="M1551" s="55"/>
    </row>
    <row r="1552" spans="2:13" x14ac:dyDescent="0.3">
      <c r="B1552" s="223" t="s">
        <v>2477</v>
      </c>
      <c r="C1552" s="37">
        <v>6</v>
      </c>
      <c r="D1552" s="225">
        <v>11</v>
      </c>
      <c r="E1552" s="226">
        <v>30189</v>
      </c>
      <c r="F1552" s="227"/>
      <c r="G1552" s="1" t="str">
        <f>IFERROR(IF(ventas_b_mes12[[#This Row],[CUIT]]="","-",VLOOKUP(ventas_b_mes12[[#This Row],[CUIT]],Lista_CUIT[#All],2,0)),"CUIT NO CARGADO")</f>
        <v>-</v>
      </c>
      <c r="H1552" s="96">
        <f>ventas_b_mes12[[#This Row],[TOTAL]]/1.21</f>
        <v>1404.9586776859505</v>
      </c>
      <c r="I1552" s="60">
        <f>ventas_b_mes12[[#This Row],[IMPORTE NETO]]*0.21</f>
        <v>295.04132231404958</v>
      </c>
      <c r="J1552" s="229"/>
      <c r="K1552" s="229"/>
      <c r="L1552" s="229">
        <v>1700</v>
      </c>
      <c r="M1552" s="55"/>
    </row>
    <row r="1553" spans="2:13" x14ac:dyDescent="0.3">
      <c r="B1553" s="223" t="s">
        <v>2477</v>
      </c>
      <c r="C1553" s="37">
        <v>6</v>
      </c>
      <c r="D1553" s="225">
        <v>13</v>
      </c>
      <c r="E1553" s="226">
        <v>26836</v>
      </c>
      <c r="F1553" s="227"/>
      <c r="G1553" s="1" t="str">
        <f>IFERROR(IF(ventas_b_mes12[[#This Row],[CUIT]]="","-",VLOOKUP(ventas_b_mes12[[#This Row],[CUIT]],Lista_CUIT[#All],2,0)),"CUIT NO CARGADO")</f>
        <v>-</v>
      </c>
      <c r="H1553" s="96">
        <f>ventas_b_mes12[[#This Row],[TOTAL]]/1.21</f>
        <v>3057.8512396694214</v>
      </c>
      <c r="I1553" s="60">
        <f>ventas_b_mes12[[#This Row],[IMPORTE NETO]]*0.21</f>
        <v>642.14876033057851</v>
      </c>
      <c r="J1553" s="229"/>
      <c r="K1553" s="229"/>
      <c r="L1553" s="229">
        <v>3700</v>
      </c>
      <c r="M1553" s="55"/>
    </row>
    <row r="1554" spans="2:13" x14ac:dyDescent="0.3">
      <c r="B1554" s="223" t="s">
        <v>2477</v>
      </c>
      <c r="C1554" s="37">
        <v>6</v>
      </c>
      <c r="D1554" s="225">
        <v>15</v>
      </c>
      <c r="E1554" s="226">
        <v>7290</v>
      </c>
      <c r="F1554" s="227"/>
      <c r="G1554" s="1" t="str">
        <f>IFERROR(IF(ventas_b_mes12[[#This Row],[CUIT]]="","-",VLOOKUP(ventas_b_mes12[[#This Row],[CUIT]],Lista_CUIT[#All],2,0)),"CUIT NO CARGADO")</f>
        <v>-</v>
      </c>
      <c r="H1554" s="96">
        <f>ventas_b_mes12[[#This Row],[TOTAL]]/1.21</f>
        <v>1264.4628099173553</v>
      </c>
      <c r="I1554" s="60">
        <f>ventas_b_mes12[[#This Row],[IMPORTE NETO]]*0.21</f>
        <v>265.5371900826446</v>
      </c>
      <c r="J1554" s="229"/>
      <c r="K1554" s="229"/>
      <c r="L1554" s="229">
        <v>1530</v>
      </c>
      <c r="M1554" s="55"/>
    </row>
    <row r="1555" spans="2:13" x14ac:dyDescent="0.3">
      <c r="B1555" s="223" t="s">
        <v>2477</v>
      </c>
      <c r="C1555" s="37">
        <v>6</v>
      </c>
      <c r="D1555" s="225">
        <v>12</v>
      </c>
      <c r="E1555" s="226">
        <v>22630</v>
      </c>
      <c r="F1555" s="227"/>
      <c r="G1555" s="1" t="str">
        <f>IFERROR(IF(ventas_b_mes12[[#This Row],[CUIT]]="","-",VLOOKUP(ventas_b_mes12[[#This Row],[CUIT]],Lista_CUIT[#All],2,0)),"CUIT NO CARGADO")</f>
        <v>-</v>
      </c>
      <c r="H1555" s="96">
        <f>ventas_b_mes12[[#This Row],[TOTAL]]/1.21</f>
        <v>669.42148760330576</v>
      </c>
      <c r="I1555" s="60">
        <f>ventas_b_mes12[[#This Row],[IMPORTE NETO]]*0.21</f>
        <v>140.57851239669421</v>
      </c>
      <c r="J1555" s="229"/>
      <c r="K1555" s="229"/>
      <c r="L1555" s="229">
        <v>810</v>
      </c>
      <c r="M1555" s="55"/>
    </row>
    <row r="1556" spans="2:13" x14ac:dyDescent="0.3">
      <c r="B1556" s="223" t="s">
        <v>2477</v>
      </c>
      <c r="C1556" s="37">
        <v>6</v>
      </c>
      <c r="D1556" s="225">
        <v>10</v>
      </c>
      <c r="E1556" s="226">
        <v>44002</v>
      </c>
      <c r="F1556" s="227"/>
      <c r="G1556" s="1" t="str">
        <f>IFERROR(IF(ventas_b_mes12[[#This Row],[CUIT]]="","-",VLOOKUP(ventas_b_mes12[[#This Row],[CUIT]],Lista_CUIT[#All],2,0)),"CUIT NO CARGADO")</f>
        <v>-</v>
      </c>
      <c r="H1556" s="96">
        <f>ventas_b_mes12[[#This Row],[TOTAL]]/1.21</f>
        <v>18181.818181818184</v>
      </c>
      <c r="I1556" s="60">
        <f>ventas_b_mes12[[#This Row],[IMPORTE NETO]]*0.21</f>
        <v>3818.1818181818185</v>
      </c>
      <c r="J1556" s="229"/>
      <c r="K1556" s="229"/>
      <c r="L1556" s="229">
        <v>22000</v>
      </c>
      <c r="M1556" s="55"/>
    </row>
    <row r="1557" spans="2:13" x14ac:dyDescent="0.3">
      <c r="B1557" s="223" t="s">
        <v>2477</v>
      </c>
      <c r="C1557" s="37">
        <v>6</v>
      </c>
      <c r="D1557" s="225">
        <v>15</v>
      </c>
      <c r="E1557" s="226">
        <v>7287</v>
      </c>
      <c r="F1557" s="227"/>
      <c r="G1557" s="1" t="str">
        <f>IFERROR(IF(ventas_b_mes12[[#This Row],[CUIT]]="","-",VLOOKUP(ventas_b_mes12[[#This Row],[CUIT]],Lista_CUIT[#All],2,0)),"CUIT NO CARGADO")</f>
        <v>-</v>
      </c>
      <c r="H1557" s="96">
        <f>ventas_b_mes12[[#This Row],[TOTAL]]/1.21</f>
        <v>11111.570247933885</v>
      </c>
      <c r="I1557" s="60">
        <f>ventas_b_mes12[[#This Row],[IMPORTE NETO]]*0.21</f>
        <v>2333.4297520661157</v>
      </c>
      <c r="J1557" s="229"/>
      <c r="K1557" s="229"/>
      <c r="L1557" s="229">
        <v>13445</v>
      </c>
      <c r="M1557" s="55"/>
    </row>
    <row r="1558" spans="2:13" x14ac:dyDescent="0.3">
      <c r="B1558" s="223" t="s">
        <v>2477</v>
      </c>
      <c r="C1558" s="37">
        <v>6</v>
      </c>
      <c r="D1558" s="225">
        <v>10</v>
      </c>
      <c r="E1558" s="226">
        <v>44004</v>
      </c>
      <c r="F1558" s="227"/>
      <c r="G1558" s="1" t="str">
        <f>IFERROR(IF(ventas_b_mes12[[#This Row],[CUIT]]="","-",VLOOKUP(ventas_b_mes12[[#This Row],[CUIT]],Lista_CUIT[#All],2,0)),"CUIT NO CARGADO")</f>
        <v>-</v>
      </c>
      <c r="H1558" s="96">
        <f>ventas_b_mes12[[#This Row],[TOTAL]]/1.21</f>
        <v>3859.5123966942151</v>
      </c>
      <c r="I1558" s="60">
        <f>ventas_b_mes12[[#This Row],[IMPORTE NETO]]*0.21</f>
        <v>810.49760330578511</v>
      </c>
      <c r="J1558" s="229"/>
      <c r="K1558" s="229"/>
      <c r="L1558" s="229">
        <v>4670.01</v>
      </c>
      <c r="M1558" s="55"/>
    </row>
    <row r="1559" spans="2:13" x14ac:dyDescent="0.3">
      <c r="B1559" s="223" t="s">
        <v>2477</v>
      </c>
      <c r="C1559" s="37">
        <v>6</v>
      </c>
      <c r="D1559" s="225">
        <v>12</v>
      </c>
      <c r="E1559" s="226">
        <v>22627</v>
      </c>
      <c r="F1559" s="227"/>
      <c r="G1559" s="1" t="str">
        <f>IFERROR(IF(ventas_b_mes12[[#This Row],[CUIT]]="","-",VLOOKUP(ventas_b_mes12[[#This Row],[CUIT]],Lista_CUIT[#All],2,0)),"CUIT NO CARGADO")</f>
        <v>-</v>
      </c>
      <c r="H1559" s="96">
        <f>ventas_b_mes12[[#This Row],[TOTAL]]/1.21</f>
        <v>4880.1652892561988</v>
      </c>
      <c r="I1559" s="60">
        <f>ventas_b_mes12[[#This Row],[IMPORTE NETO]]*0.21</f>
        <v>1024.8347107438017</v>
      </c>
      <c r="J1559" s="229"/>
      <c r="K1559" s="229"/>
      <c r="L1559" s="229">
        <v>5905</v>
      </c>
      <c r="M1559" s="55"/>
    </row>
    <row r="1560" spans="2:13" x14ac:dyDescent="0.3">
      <c r="B1560" s="223" t="s">
        <v>2477</v>
      </c>
      <c r="C1560" s="37">
        <v>6</v>
      </c>
      <c r="D1560" s="225">
        <v>15</v>
      </c>
      <c r="E1560" s="226">
        <v>7286</v>
      </c>
      <c r="F1560" s="227"/>
      <c r="G1560" s="1" t="str">
        <f>IFERROR(IF(ventas_b_mes12[[#This Row],[CUIT]]="","-",VLOOKUP(ventas_b_mes12[[#This Row],[CUIT]],Lista_CUIT[#All],2,0)),"CUIT NO CARGADO")</f>
        <v>-</v>
      </c>
      <c r="H1560" s="96">
        <f>ventas_b_mes12[[#This Row],[TOTAL]]/1.21</f>
        <v>4958.6776859504134</v>
      </c>
      <c r="I1560" s="60">
        <f>ventas_b_mes12[[#This Row],[IMPORTE NETO]]*0.21</f>
        <v>1041.3223140495868</v>
      </c>
      <c r="J1560" s="229"/>
      <c r="K1560" s="229"/>
      <c r="L1560" s="229">
        <v>6000</v>
      </c>
      <c r="M1560" s="55"/>
    </row>
    <row r="1561" spans="2:13" x14ac:dyDescent="0.3">
      <c r="B1561" s="223" t="s">
        <v>2477</v>
      </c>
      <c r="C1561" s="37">
        <v>6</v>
      </c>
      <c r="D1561" s="225">
        <v>10</v>
      </c>
      <c r="E1561" s="226">
        <v>44011</v>
      </c>
      <c r="F1561" s="227"/>
      <c r="G1561" s="1" t="str">
        <f>IFERROR(IF(ventas_b_mes12[[#This Row],[CUIT]]="","-",VLOOKUP(ventas_b_mes12[[#This Row],[CUIT]],Lista_CUIT[#All],2,0)),"CUIT NO CARGADO")</f>
        <v>-</v>
      </c>
      <c r="H1561" s="96">
        <f>ventas_b_mes12[[#This Row],[TOTAL]]/1.21</f>
        <v>4958.6776859504134</v>
      </c>
      <c r="I1561" s="60">
        <f>ventas_b_mes12[[#This Row],[IMPORTE NETO]]*0.21</f>
        <v>1041.3223140495868</v>
      </c>
      <c r="J1561" s="229"/>
      <c r="K1561" s="229"/>
      <c r="L1561" s="229">
        <v>6000</v>
      </c>
      <c r="M1561" s="55"/>
    </row>
    <row r="1562" spans="2:13" x14ac:dyDescent="0.3">
      <c r="B1562" s="223" t="s">
        <v>2477</v>
      </c>
      <c r="C1562" s="37">
        <v>6</v>
      </c>
      <c r="D1562" s="225">
        <v>11</v>
      </c>
      <c r="E1562" s="226">
        <v>30175</v>
      </c>
      <c r="F1562" s="227"/>
      <c r="G1562" s="1" t="str">
        <f>IFERROR(IF(ventas_b_mes12[[#This Row],[CUIT]]="","-",VLOOKUP(ventas_b_mes12[[#This Row],[CUIT]],Lista_CUIT[#All],2,0)),"CUIT NO CARGADO")</f>
        <v>-</v>
      </c>
      <c r="H1562" s="96">
        <f>ventas_b_mes12[[#This Row],[TOTAL]]/1.21</f>
        <v>22438.016528925622</v>
      </c>
      <c r="I1562" s="60">
        <f>ventas_b_mes12[[#This Row],[IMPORTE NETO]]*0.21</f>
        <v>4711.9834710743808</v>
      </c>
      <c r="J1562" s="229"/>
      <c r="K1562" s="229"/>
      <c r="L1562" s="229">
        <v>27150</v>
      </c>
      <c r="M1562" s="55"/>
    </row>
    <row r="1563" spans="2:13" x14ac:dyDescent="0.3">
      <c r="B1563" s="223" t="s">
        <v>2477</v>
      </c>
      <c r="C1563" s="37">
        <v>6</v>
      </c>
      <c r="D1563" s="225">
        <v>10</v>
      </c>
      <c r="E1563" s="226">
        <v>44000</v>
      </c>
      <c r="F1563" s="227"/>
      <c r="G1563" s="1" t="str">
        <f>IFERROR(IF(ventas_b_mes12[[#This Row],[CUIT]]="","-",VLOOKUP(ventas_b_mes12[[#This Row],[CUIT]],Lista_CUIT[#All],2,0)),"CUIT NO CARGADO")</f>
        <v>-</v>
      </c>
      <c r="H1563" s="96">
        <f>ventas_b_mes12[[#This Row],[TOTAL]]/1.21</f>
        <v>1859.504132231405</v>
      </c>
      <c r="I1563" s="60">
        <f>ventas_b_mes12[[#This Row],[IMPORTE NETO]]*0.21</f>
        <v>390.49586776859502</v>
      </c>
      <c r="J1563" s="229"/>
      <c r="K1563" s="229"/>
      <c r="L1563" s="229">
        <v>2250</v>
      </c>
      <c r="M1563" s="55"/>
    </row>
    <row r="1564" spans="2:13" x14ac:dyDescent="0.3">
      <c r="B1564" s="223" t="s">
        <v>2477</v>
      </c>
      <c r="C1564" s="37">
        <v>6</v>
      </c>
      <c r="D1564" s="225">
        <v>11</v>
      </c>
      <c r="E1564" s="226">
        <v>30191</v>
      </c>
      <c r="F1564" s="227"/>
      <c r="G1564" s="1" t="str">
        <f>IFERROR(IF(ventas_b_mes12[[#This Row],[CUIT]]="","-",VLOOKUP(ventas_b_mes12[[#This Row],[CUIT]],Lista_CUIT[#All],2,0)),"CUIT NO CARGADO")</f>
        <v>-</v>
      </c>
      <c r="H1564" s="96">
        <f>ventas_b_mes12[[#This Row],[TOTAL]]/1.21</f>
        <v>6322.3223140495875</v>
      </c>
      <c r="I1564" s="60">
        <f>ventas_b_mes12[[#This Row],[IMPORTE NETO]]*0.21</f>
        <v>1327.6876859504134</v>
      </c>
      <c r="J1564" s="229"/>
      <c r="K1564" s="229"/>
      <c r="L1564" s="229">
        <v>7650.01</v>
      </c>
      <c r="M1564" s="55"/>
    </row>
    <row r="1565" spans="2:13" x14ac:dyDescent="0.3">
      <c r="B1565" s="223" t="s">
        <v>2477</v>
      </c>
      <c r="C1565" s="37">
        <v>6</v>
      </c>
      <c r="D1565" s="225">
        <v>10</v>
      </c>
      <c r="E1565" s="226">
        <v>44005</v>
      </c>
      <c r="F1565" s="227"/>
      <c r="G1565" s="1" t="str">
        <f>IFERROR(IF(ventas_b_mes12[[#This Row],[CUIT]]="","-",VLOOKUP(ventas_b_mes12[[#This Row],[CUIT]],Lista_CUIT[#All],2,0)),"CUIT NO CARGADO")</f>
        <v>-</v>
      </c>
      <c r="H1565" s="96">
        <f>ventas_b_mes12[[#This Row],[TOTAL]]/1.21</f>
        <v>4892.5702479338843</v>
      </c>
      <c r="I1565" s="60">
        <f>ventas_b_mes12[[#This Row],[IMPORTE NETO]]*0.21</f>
        <v>1027.4397520661157</v>
      </c>
      <c r="J1565" s="229"/>
      <c r="K1565" s="229"/>
      <c r="L1565" s="229">
        <v>5920.01</v>
      </c>
      <c r="M1565" s="55"/>
    </row>
    <row r="1566" spans="2:13" x14ac:dyDescent="0.3">
      <c r="B1566" s="223" t="s">
        <v>2477</v>
      </c>
      <c r="C1566" s="37">
        <v>6</v>
      </c>
      <c r="D1566" s="225">
        <v>15</v>
      </c>
      <c r="E1566" s="226">
        <v>7283</v>
      </c>
      <c r="F1566" s="227"/>
      <c r="G1566" s="1" t="str">
        <f>IFERROR(IF(ventas_b_mes12[[#This Row],[CUIT]]="","-",VLOOKUP(ventas_b_mes12[[#This Row],[CUIT]],Lista_CUIT[#All],2,0)),"CUIT NO CARGADO")</f>
        <v>-</v>
      </c>
      <c r="H1566" s="96">
        <f>ventas_b_mes12[[#This Row],[TOTAL]]/1.21</f>
        <v>826.44628099173553</v>
      </c>
      <c r="I1566" s="60">
        <f>ventas_b_mes12[[#This Row],[IMPORTE NETO]]*0.21</f>
        <v>173.55371900826447</v>
      </c>
      <c r="J1566" s="229"/>
      <c r="K1566" s="229"/>
      <c r="L1566" s="229">
        <v>1000</v>
      </c>
      <c r="M1566" s="55"/>
    </row>
    <row r="1567" spans="2:13" x14ac:dyDescent="0.3">
      <c r="B1567" s="223" t="s">
        <v>2477</v>
      </c>
      <c r="C1567" s="37">
        <v>6</v>
      </c>
      <c r="D1567" s="225">
        <v>12</v>
      </c>
      <c r="E1567" s="226">
        <v>22635</v>
      </c>
      <c r="F1567" s="227"/>
      <c r="G1567" s="1" t="str">
        <f>IFERROR(IF(ventas_b_mes12[[#This Row],[CUIT]]="","-",VLOOKUP(ventas_b_mes12[[#This Row],[CUIT]],Lista_CUIT[#All],2,0)),"CUIT NO CARGADO")</f>
        <v>-</v>
      </c>
      <c r="H1567" s="96">
        <f>ventas_b_mes12[[#This Row],[TOTAL]]/1.21</f>
        <v>5243.8016528925618</v>
      </c>
      <c r="I1567" s="60">
        <f>ventas_b_mes12[[#This Row],[IMPORTE NETO]]*0.21</f>
        <v>1101.1983471074379</v>
      </c>
      <c r="J1567" s="229"/>
      <c r="K1567" s="229"/>
      <c r="L1567" s="229">
        <v>6345</v>
      </c>
      <c r="M1567" s="55"/>
    </row>
    <row r="1568" spans="2:13" x14ac:dyDescent="0.3">
      <c r="B1568" s="223" t="s">
        <v>2477</v>
      </c>
      <c r="C1568" s="37">
        <v>6</v>
      </c>
      <c r="D1568" s="225">
        <v>15</v>
      </c>
      <c r="E1568" s="226">
        <v>7292</v>
      </c>
      <c r="F1568" s="227"/>
      <c r="G1568" s="1" t="str">
        <f>IFERROR(IF(ventas_b_mes12[[#This Row],[CUIT]]="","-",VLOOKUP(ventas_b_mes12[[#This Row],[CUIT]],Lista_CUIT[#All],2,0)),"CUIT NO CARGADO")</f>
        <v>-</v>
      </c>
      <c r="H1568" s="96">
        <f>ventas_b_mes12[[#This Row],[TOTAL]]/1.21</f>
        <v>1053.7190082644629</v>
      </c>
      <c r="I1568" s="60">
        <f>ventas_b_mes12[[#This Row],[IMPORTE NETO]]*0.21</f>
        <v>221.28099173553721</v>
      </c>
      <c r="J1568" s="229"/>
      <c r="K1568" s="229"/>
      <c r="L1568" s="229">
        <v>1275</v>
      </c>
      <c r="M1568" s="55"/>
    </row>
    <row r="1569" spans="2:13" x14ac:dyDescent="0.3">
      <c r="B1569" s="223" t="s">
        <v>2477</v>
      </c>
      <c r="C1569" s="37">
        <v>6</v>
      </c>
      <c r="D1569" s="225">
        <v>11</v>
      </c>
      <c r="E1569" s="226">
        <v>30181</v>
      </c>
      <c r="F1569" s="227"/>
      <c r="G1569" s="1" t="str">
        <f>IFERROR(IF(ventas_b_mes12[[#This Row],[CUIT]]="","-",VLOOKUP(ventas_b_mes12[[#This Row],[CUIT]],Lista_CUIT[#All],2,0)),"CUIT NO CARGADO")</f>
        <v>-</v>
      </c>
      <c r="H1569" s="96">
        <f>ventas_b_mes12[[#This Row],[TOTAL]]/1.21</f>
        <v>5801.6528925619832</v>
      </c>
      <c r="I1569" s="60">
        <f>ventas_b_mes12[[#This Row],[IMPORTE NETO]]*0.21</f>
        <v>1218.3471074380163</v>
      </c>
      <c r="J1569" s="229"/>
      <c r="K1569" s="229"/>
      <c r="L1569" s="229">
        <v>7020</v>
      </c>
      <c r="M1569" s="55"/>
    </row>
    <row r="1570" spans="2:13" x14ac:dyDescent="0.3">
      <c r="B1570" s="223" t="s">
        <v>2477</v>
      </c>
      <c r="C1570" s="37">
        <v>6</v>
      </c>
      <c r="D1570" s="225">
        <v>13</v>
      </c>
      <c r="E1570" s="226">
        <v>26837</v>
      </c>
      <c r="F1570" s="227"/>
      <c r="G1570" s="1" t="str">
        <f>IFERROR(IF(ventas_b_mes12[[#This Row],[CUIT]]="","-",VLOOKUP(ventas_b_mes12[[#This Row],[CUIT]],Lista_CUIT[#All],2,0)),"CUIT NO CARGADO")</f>
        <v>-</v>
      </c>
      <c r="H1570" s="96">
        <f>ventas_b_mes12[[#This Row],[TOTAL]]/1.21</f>
        <v>4753.8429752066113</v>
      </c>
      <c r="I1570" s="60">
        <f>ventas_b_mes12[[#This Row],[IMPORTE NETO]]*0.21</f>
        <v>998.30702479338834</v>
      </c>
      <c r="J1570" s="229"/>
      <c r="K1570" s="229"/>
      <c r="L1570" s="229">
        <v>5752.15</v>
      </c>
      <c r="M1570" s="55"/>
    </row>
    <row r="1571" spans="2:13" x14ac:dyDescent="0.3">
      <c r="B1571" s="223" t="s">
        <v>2477</v>
      </c>
      <c r="C1571" s="37">
        <v>6</v>
      </c>
      <c r="D1571" s="225">
        <v>12</v>
      </c>
      <c r="E1571" s="226">
        <v>22623</v>
      </c>
      <c r="F1571" s="227"/>
      <c r="G1571" s="1" t="str">
        <f>IFERROR(IF(ventas_b_mes12[[#This Row],[CUIT]]="","-",VLOOKUP(ventas_b_mes12[[#This Row],[CUIT]],Lista_CUIT[#All],2,0)),"CUIT NO CARGADO")</f>
        <v>-</v>
      </c>
      <c r="H1571" s="96">
        <f>ventas_b_mes12[[#This Row],[TOTAL]]/1.21</f>
        <v>6210.7520661157032</v>
      </c>
      <c r="I1571" s="60">
        <f>ventas_b_mes12[[#This Row],[IMPORTE NETO]]*0.21</f>
        <v>1304.2579338842977</v>
      </c>
      <c r="J1571" s="229"/>
      <c r="K1571" s="229"/>
      <c r="L1571" s="229">
        <v>7515.01</v>
      </c>
      <c r="M1571" s="55"/>
    </row>
    <row r="1572" spans="2:13" x14ac:dyDescent="0.3">
      <c r="B1572" s="223" t="s">
        <v>2477</v>
      </c>
      <c r="C1572" s="37">
        <v>6</v>
      </c>
      <c r="D1572" s="225">
        <v>12</v>
      </c>
      <c r="E1572" s="226">
        <v>22626</v>
      </c>
      <c r="F1572" s="227"/>
      <c r="G1572" s="1" t="str">
        <f>IFERROR(IF(ventas_b_mes12[[#This Row],[CUIT]]="","-",VLOOKUP(ventas_b_mes12[[#This Row],[CUIT]],Lista_CUIT[#All],2,0)),"CUIT NO CARGADO")</f>
        <v>-</v>
      </c>
      <c r="H1572" s="96">
        <f>ventas_b_mes12[[#This Row],[TOTAL]]/1.21</f>
        <v>2396.6942148760331</v>
      </c>
      <c r="I1572" s="60">
        <f>ventas_b_mes12[[#This Row],[IMPORTE NETO]]*0.21</f>
        <v>503.30578512396693</v>
      </c>
      <c r="J1572" s="229"/>
      <c r="K1572" s="229"/>
      <c r="L1572" s="229">
        <v>2900</v>
      </c>
      <c r="M1572" s="55"/>
    </row>
    <row r="1573" spans="2:13" x14ac:dyDescent="0.3">
      <c r="B1573" s="223" t="s">
        <v>2477</v>
      </c>
      <c r="C1573" s="37">
        <v>6</v>
      </c>
      <c r="D1573" s="225">
        <v>12</v>
      </c>
      <c r="E1573" s="226">
        <v>22628</v>
      </c>
      <c r="F1573" s="227"/>
      <c r="G1573" s="1" t="str">
        <f>IFERROR(IF(ventas_b_mes12[[#This Row],[CUIT]]="","-",VLOOKUP(ventas_b_mes12[[#This Row],[CUIT]],Lista_CUIT[#All],2,0)),"CUIT NO CARGADO")</f>
        <v>-</v>
      </c>
      <c r="H1573" s="96">
        <f>ventas_b_mes12[[#This Row],[TOTAL]]/1.21</f>
        <v>2045.4545454545455</v>
      </c>
      <c r="I1573" s="60">
        <f>ventas_b_mes12[[#This Row],[IMPORTE NETO]]*0.21</f>
        <v>429.54545454545456</v>
      </c>
      <c r="J1573" s="229"/>
      <c r="K1573" s="229"/>
      <c r="L1573" s="229">
        <v>2475</v>
      </c>
      <c r="M1573" s="55"/>
    </row>
    <row r="1574" spans="2:13" x14ac:dyDescent="0.3">
      <c r="B1574" s="223" t="s">
        <v>2477</v>
      </c>
      <c r="C1574" s="37">
        <v>6</v>
      </c>
      <c r="D1574" s="225">
        <v>12</v>
      </c>
      <c r="E1574" s="226">
        <v>22633</v>
      </c>
      <c r="F1574" s="227"/>
      <c r="G1574" s="1" t="str">
        <f>IFERROR(IF(ventas_b_mes12[[#This Row],[CUIT]]="","-",VLOOKUP(ventas_b_mes12[[#This Row],[CUIT]],Lista_CUIT[#All],2,0)),"CUIT NO CARGADO")</f>
        <v>-</v>
      </c>
      <c r="H1574" s="96">
        <f>ventas_b_mes12[[#This Row],[TOTAL]]/1.21</f>
        <v>4545.454545454546</v>
      </c>
      <c r="I1574" s="60">
        <f>ventas_b_mes12[[#This Row],[IMPORTE NETO]]*0.21</f>
        <v>954.54545454545462</v>
      </c>
      <c r="J1574" s="229"/>
      <c r="K1574" s="229"/>
      <c r="L1574" s="229">
        <v>5500</v>
      </c>
      <c r="M1574" s="55"/>
    </row>
    <row r="1575" spans="2:13" x14ac:dyDescent="0.3">
      <c r="B1575" s="223" t="s">
        <v>2477</v>
      </c>
      <c r="C1575" s="37">
        <v>6</v>
      </c>
      <c r="D1575" s="225">
        <v>15</v>
      </c>
      <c r="E1575" s="226">
        <v>7282</v>
      </c>
      <c r="F1575" s="227"/>
      <c r="G1575" s="1" t="str">
        <f>IFERROR(IF(ventas_b_mes12[[#This Row],[CUIT]]="","-",VLOOKUP(ventas_b_mes12[[#This Row],[CUIT]],Lista_CUIT[#All],2,0)),"CUIT NO CARGADO")</f>
        <v>-</v>
      </c>
      <c r="H1575" s="96">
        <f>ventas_b_mes12[[#This Row],[TOTAL]]/1.21</f>
        <v>5900.8099173553719</v>
      </c>
      <c r="I1575" s="60">
        <f>ventas_b_mes12[[#This Row],[IMPORTE NETO]]*0.21</f>
        <v>1239.1700826446281</v>
      </c>
      <c r="J1575" s="229"/>
      <c r="K1575" s="229"/>
      <c r="L1575" s="229">
        <v>7139.98</v>
      </c>
      <c r="M1575" s="55"/>
    </row>
    <row r="1576" spans="2:13" x14ac:dyDescent="0.3">
      <c r="B1576" s="223" t="s">
        <v>2477</v>
      </c>
      <c r="C1576" s="37">
        <v>6</v>
      </c>
      <c r="D1576" s="225">
        <v>11</v>
      </c>
      <c r="E1576" s="226">
        <v>30180</v>
      </c>
      <c r="F1576" s="227"/>
      <c r="G1576" s="1" t="str">
        <f>IFERROR(IF(ventas_b_mes12[[#This Row],[CUIT]]="","-",VLOOKUP(ventas_b_mes12[[#This Row],[CUIT]],Lista_CUIT[#All],2,0)),"CUIT NO CARGADO")</f>
        <v>-</v>
      </c>
      <c r="H1576" s="96">
        <f>ventas_b_mes12[[#This Row],[TOTAL]]/1.21</f>
        <v>1723.1404958677685</v>
      </c>
      <c r="I1576" s="60">
        <f>ventas_b_mes12[[#This Row],[IMPORTE NETO]]*0.21</f>
        <v>361.85950413223139</v>
      </c>
      <c r="J1576" s="229"/>
      <c r="K1576" s="229"/>
      <c r="L1576" s="229">
        <v>2085</v>
      </c>
      <c r="M1576" s="55"/>
    </row>
    <row r="1577" spans="2:13" x14ac:dyDescent="0.3">
      <c r="B1577" s="223" t="s">
        <v>2477</v>
      </c>
      <c r="C1577" s="37">
        <v>6</v>
      </c>
      <c r="D1577" s="225">
        <v>12</v>
      </c>
      <c r="E1577" s="226">
        <v>22629</v>
      </c>
      <c r="F1577" s="227"/>
      <c r="G1577" s="1" t="str">
        <f>IFERROR(IF(ventas_b_mes12[[#This Row],[CUIT]]="","-",VLOOKUP(ventas_b_mes12[[#This Row],[CUIT]],Lista_CUIT[#All],2,0)),"CUIT NO CARGADO")</f>
        <v>-</v>
      </c>
      <c r="H1577" s="96">
        <f>ventas_b_mes12[[#This Row],[TOTAL]]/1.21</f>
        <v>5727.272727272727</v>
      </c>
      <c r="I1577" s="60">
        <f>ventas_b_mes12[[#This Row],[IMPORTE NETO]]*0.21</f>
        <v>1202.7272727272725</v>
      </c>
      <c r="J1577" s="229"/>
      <c r="K1577" s="229"/>
      <c r="L1577" s="229">
        <v>6930</v>
      </c>
      <c r="M1577" s="55"/>
    </row>
    <row r="1578" spans="2:13" x14ac:dyDescent="0.3">
      <c r="B1578" s="223" t="s">
        <v>2477</v>
      </c>
      <c r="C1578" s="37">
        <v>6</v>
      </c>
      <c r="D1578" s="225">
        <v>11</v>
      </c>
      <c r="E1578" s="226">
        <v>30188</v>
      </c>
      <c r="F1578" s="227"/>
      <c r="G1578" s="1" t="str">
        <f>IFERROR(IF(ventas_b_mes12[[#This Row],[CUIT]]="","-",VLOOKUP(ventas_b_mes12[[#This Row],[CUIT]],Lista_CUIT[#All],2,0)),"CUIT NO CARGADO")</f>
        <v>-</v>
      </c>
      <c r="H1578" s="96">
        <f>ventas_b_mes12[[#This Row],[TOTAL]]/1.21</f>
        <v>802.08264462809916</v>
      </c>
      <c r="I1578" s="60">
        <f>ventas_b_mes12[[#This Row],[IMPORTE NETO]]*0.21</f>
        <v>168.43735537190082</v>
      </c>
      <c r="J1578" s="229"/>
      <c r="K1578" s="229"/>
      <c r="L1578" s="229">
        <v>970.52</v>
      </c>
      <c r="M1578" s="55"/>
    </row>
    <row r="1579" spans="2:13" x14ac:dyDescent="0.3">
      <c r="B1579" s="223" t="s">
        <v>2477</v>
      </c>
      <c r="C1579" s="37">
        <v>6</v>
      </c>
      <c r="D1579" s="225">
        <v>11</v>
      </c>
      <c r="E1579" s="226">
        <v>30176</v>
      </c>
      <c r="F1579" s="227"/>
      <c r="G1579" s="1" t="str">
        <f>IFERROR(IF(ventas_b_mes12[[#This Row],[CUIT]]="","-",VLOOKUP(ventas_b_mes12[[#This Row],[CUIT]],Lista_CUIT[#All],2,0)),"CUIT NO CARGADO")</f>
        <v>-</v>
      </c>
      <c r="H1579" s="96">
        <f>ventas_b_mes12[[#This Row],[TOTAL]]/1.21</f>
        <v>7074.3801652892562</v>
      </c>
      <c r="I1579" s="60">
        <f>ventas_b_mes12[[#This Row],[IMPORTE NETO]]*0.21</f>
        <v>1485.6198347107438</v>
      </c>
      <c r="J1579" s="229"/>
      <c r="K1579" s="229"/>
      <c r="L1579" s="229">
        <v>8560</v>
      </c>
      <c r="M1579" s="55"/>
    </row>
    <row r="1580" spans="2:13" x14ac:dyDescent="0.3">
      <c r="B1580" s="223" t="s">
        <v>2477</v>
      </c>
      <c r="C1580" s="37">
        <v>6</v>
      </c>
      <c r="D1580" s="225">
        <v>10</v>
      </c>
      <c r="E1580" s="226">
        <v>44001</v>
      </c>
      <c r="F1580" s="227"/>
      <c r="G1580" s="1" t="str">
        <f>IFERROR(IF(ventas_b_mes12[[#This Row],[CUIT]]="","-",VLOOKUP(ventas_b_mes12[[#This Row],[CUIT]],Lista_CUIT[#All],2,0)),"CUIT NO CARGADO")</f>
        <v>-</v>
      </c>
      <c r="H1580" s="96">
        <f>ventas_b_mes12[[#This Row],[TOTAL]]/1.21</f>
        <v>681.81818181818187</v>
      </c>
      <c r="I1580" s="60">
        <f>ventas_b_mes12[[#This Row],[IMPORTE NETO]]*0.21</f>
        <v>143.18181818181819</v>
      </c>
      <c r="J1580" s="229"/>
      <c r="K1580" s="229"/>
      <c r="L1580" s="229">
        <v>825</v>
      </c>
      <c r="M1580" s="55"/>
    </row>
    <row r="1581" spans="2:13" x14ac:dyDescent="0.3">
      <c r="B1581" s="223" t="s">
        <v>2477</v>
      </c>
      <c r="C1581" s="37">
        <v>6</v>
      </c>
      <c r="D1581" s="225">
        <v>11</v>
      </c>
      <c r="E1581" s="226">
        <v>30184</v>
      </c>
      <c r="F1581" s="227"/>
      <c r="G1581" s="1" t="str">
        <f>IFERROR(IF(ventas_b_mes12[[#This Row],[CUIT]]="","-",VLOOKUP(ventas_b_mes12[[#This Row],[CUIT]],Lista_CUIT[#All],2,0)),"CUIT NO CARGADO")</f>
        <v>-</v>
      </c>
      <c r="H1581" s="96">
        <f>ventas_b_mes12[[#This Row],[TOTAL]]/1.21</f>
        <v>1450.4132231404958</v>
      </c>
      <c r="I1581" s="60">
        <f>ventas_b_mes12[[#This Row],[IMPORTE NETO]]*0.21</f>
        <v>304.58677685950408</v>
      </c>
      <c r="J1581" s="229"/>
      <c r="K1581" s="229"/>
      <c r="L1581" s="229">
        <v>1755</v>
      </c>
      <c r="M1581" s="55"/>
    </row>
    <row r="1582" spans="2:13" x14ac:dyDescent="0.3">
      <c r="B1582" s="223" t="s">
        <v>2477</v>
      </c>
      <c r="C1582" s="37">
        <v>6</v>
      </c>
      <c r="D1582" s="225">
        <v>12</v>
      </c>
      <c r="E1582" s="226">
        <v>22634</v>
      </c>
      <c r="F1582" s="227"/>
      <c r="G1582" s="1" t="str">
        <f>IFERROR(IF(ventas_b_mes12[[#This Row],[CUIT]]="","-",VLOOKUP(ventas_b_mes12[[#This Row],[CUIT]],Lista_CUIT[#All],2,0)),"CUIT NO CARGADO")</f>
        <v>-</v>
      </c>
      <c r="H1582" s="96">
        <f>ventas_b_mes12[[#This Row],[TOTAL]]/1.21</f>
        <v>6285.1322314049594</v>
      </c>
      <c r="I1582" s="60">
        <f>ventas_b_mes12[[#This Row],[IMPORTE NETO]]*0.21</f>
        <v>1319.8777685950415</v>
      </c>
      <c r="J1582" s="229"/>
      <c r="K1582" s="229"/>
      <c r="L1582" s="229">
        <v>7605.01</v>
      </c>
      <c r="M1582" s="55"/>
    </row>
    <row r="1583" spans="2:13" x14ac:dyDescent="0.3">
      <c r="B1583" s="223" t="s">
        <v>2477</v>
      </c>
      <c r="C1583" s="37">
        <v>6</v>
      </c>
      <c r="D1583" s="225">
        <v>11</v>
      </c>
      <c r="E1583" s="226">
        <v>30179</v>
      </c>
      <c r="F1583" s="227"/>
      <c r="G1583" s="1" t="str">
        <f>IFERROR(IF(ventas_b_mes12[[#This Row],[CUIT]]="","-",VLOOKUP(ventas_b_mes12[[#This Row],[CUIT]],Lista_CUIT[#All],2,0)),"CUIT NO CARGADO")</f>
        <v>-</v>
      </c>
      <c r="H1583" s="96">
        <f>ventas_b_mes12[[#This Row],[TOTAL]]/1.21</f>
        <v>4793.3884297520663</v>
      </c>
      <c r="I1583" s="60">
        <f>ventas_b_mes12[[#This Row],[IMPORTE NETO]]*0.21</f>
        <v>1006.6115702479339</v>
      </c>
      <c r="J1583" s="229"/>
      <c r="K1583" s="229"/>
      <c r="L1583" s="229">
        <v>5800</v>
      </c>
      <c r="M1583" s="55"/>
    </row>
    <row r="1584" spans="2:13" x14ac:dyDescent="0.3">
      <c r="B1584" s="223" t="s">
        <v>2478</v>
      </c>
      <c r="C1584" s="37">
        <v>6</v>
      </c>
      <c r="D1584" s="225">
        <v>11</v>
      </c>
      <c r="E1584" s="226">
        <v>30194</v>
      </c>
      <c r="F1584" s="227"/>
      <c r="G1584" s="1" t="str">
        <f>IFERROR(IF(ventas_b_mes12[[#This Row],[CUIT]]="","-",VLOOKUP(ventas_b_mes12[[#This Row],[CUIT]],Lista_CUIT[#All],2,0)),"CUIT NO CARGADO")</f>
        <v>-</v>
      </c>
      <c r="H1584" s="96">
        <f>ventas_b_mes12[[#This Row],[TOTAL]]/1.21</f>
        <v>10776.867768595042</v>
      </c>
      <c r="I1584" s="60">
        <f>ventas_b_mes12[[#This Row],[IMPORTE NETO]]*0.21</f>
        <v>2263.1422314049587</v>
      </c>
      <c r="J1584" s="229"/>
      <c r="K1584" s="229"/>
      <c r="L1584" s="229">
        <v>13040.01</v>
      </c>
      <c r="M1584" s="55"/>
    </row>
    <row r="1585" spans="2:13" x14ac:dyDescent="0.3">
      <c r="B1585" s="223" t="s">
        <v>2478</v>
      </c>
      <c r="C1585" s="37">
        <v>6</v>
      </c>
      <c r="D1585" s="225">
        <v>10</v>
      </c>
      <c r="E1585" s="226">
        <v>44023</v>
      </c>
      <c r="F1585" s="227"/>
      <c r="G1585" s="1" t="str">
        <f>IFERROR(IF(ventas_b_mes12[[#This Row],[CUIT]]="","-",VLOOKUP(ventas_b_mes12[[#This Row],[CUIT]],Lista_CUIT[#All],2,0)),"CUIT NO CARGADO")</f>
        <v>-</v>
      </c>
      <c r="H1585" s="96">
        <f>ventas_b_mes12[[#This Row],[TOTAL]]/1.21</f>
        <v>13994.214876033058</v>
      </c>
      <c r="I1585" s="60">
        <f>ventas_b_mes12[[#This Row],[IMPORTE NETO]]*0.21</f>
        <v>2938.7851239669421</v>
      </c>
      <c r="J1585" s="229"/>
      <c r="K1585" s="229"/>
      <c r="L1585" s="229">
        <v>16933</v>
      </c>
      <c r="M1585" s="55"/>
    </row>
    <row r="1586" spans="2:13" x14ac:dyDescent="0.3">
      <c r="B1586" s="223" t="s">
        <v>2478</v>
      </c>
      <c r="C1586" s="37">
        <v>6</v>
      </c>
      <c r="D1586" s="225">
        <v>15</v>
      </c>
      <c r="E1586" s="226">
        <v>7302</v>
      </c>
      <c r="F1586" s="227"/>
      <c r="G1586" s="1" t="str">
        <f>IFERROR(IF(ventas_b_mes12[[#This Row],[CUIT]]="","-",VLOOKUP(ventas_b_mes12[[#This Row],[CUIT]],Lista_CUIT[#All],2,0)),"CUIT NO CARGADO")</f>
        <v>-</v>
      </c>
      <c r="H1586" s="96">
        <f>ventas_b_mes12[[#This Row],[TOTAL]]/1.21</f>
        <v>4545.454545454546</v>
      </c>
      <c r="I1586" s="60">
        <f>ventas_b_mes12[[#This Row],[IMPORTE NETO]]*0.21</f>
        <v>954.54545454545462</v>
      </c>
      <c r="J1586" s="229"/>
      <c r="K1586" s="229"/>
      <c r="L1586" s="229">
        <v>5500</v>
      </c>
      <c r="M1586" s="55"/>
    </row>
    <row r="1587" spans="2:13" x14ac:dyDescent="0.3">
      <c r="B1587" s="223" t="s">
        <v>2478</v>
      </c>
      <c r="C1587" s="37">
        <v>6</v>
      </c>
      <c r="D1587" s="225">
        <v>15</v>
      </c>
      <c r="E1587" s="226">
        <v>7299</v>
      </c>
      <c r="F1587" s="227"/>
      <c r="G1587" s="1" t="str">
        <f>IFERROR(IF(ventas_b_mes12[[#This Row],[CUIT]]="","-",VLOOKUP(ventas_b_mes12[[#This Row],[CUIT]],Lista_CUIT[#All],2,0)),"CUIT NO CARGADO")</f>
        <v>-</v>
      </c>
      <c r="H1587" s="96">
        <f>ventas_b_mes12[[#This Row],[TOTAL]]/1.21</f>
        <v>7126.4462809917359</v>
      </c>
      <c r="I1587" s="60">
        <f>ventas_b_mes12[[#This Row],[IMPORTE NETO]]*0.21</f>
        <v>1496.5537190082646</v>
      </c>
      <c r="J1587" s="229"/>
      <c r="K1587" s="229"/>
      <c r="L1587" s="229">
        <v>8623</v>
      </c>
      <c r="M1587" s="55"/>
    </row>
    <row r="1588" spans="2:13" x14ac:dyDescent="0.3">
      <c r="B1588" s="223" t="s">
        <v>2478</v>
      </c>
      <c r="C1588" s="37">
        <v>6</v>
      </c>
      <c r="D1588" s="225">
        <v>12</v>
      </c>
      <c r="E1588" s="226">
        <v>22644</v>
      </c>
      <c r="F1588" s="227"/>
      <c r="G1588" s="1" t="str">
        <f>IFERROR(IF(ventas_b_mes12[[#This Row],[CUIT]]="","-",VLOOKUP(ventas_b_mes12[[#This Row],[CUIT]],Lista_CUIT[#All],2,0)),"CUIT NO CARGADO")</f>
        <v>-</v>
      </c>
      <c r="H1588" s="96">
        <f>ventas_b_mes12[[#This Row],[TOTAL]]/1.21</f>
        <v>6380.1487603305786</v>
      </c>
      <c r="I1588" s="60">
        <f>ventas_b_mes12[[#This Row],[IMPORTE NETO]]*0.21</f>
        <v>1339.8312396694214</v>
      </c>
      <c r="J1588" s="229"/>
      <c r="K1588" s="229"/>
      <c r="L1588" s="229">
        <v>7719.98</v>
      </c>
      <c r="M1588" s="55"/>
    </row>
    <row r="1589" spans="2:13" x14ac:dyDescent="0.3">
      <c r="B1589" s="223" t="s">
        <v>2478</v>
      </c>
      <c r="C1589" s="37">
        <v>6</v>
      </c>
      <c r="D1589" s="225">
        <v>12</v>
      </c>
      <c r="E1589" s="226">
        <v>22638</v>
      </c>
      <c r="F1589" s="227"/>
      <c r="G1589" s="1" t="str">
        <f>IFERROR(IF(ventas_b_mes12[[#This Row],[CUIT]]="","-",VLOOKUP(ventas_b_mes12[[#This Row],[CUIT]],Lista_CUIT[#All],2,0)),"CUIT NO CARGADO")</f>
        <v>-</v>
      </c>
      <c r="H1589" s="96">
        <f>ventas_b_mes12[[#This Row],[TOTAL]]/1.21</f>
        <v>19504.140495867767</v>
      </c>
      <c r="I1589" s="60">
        <f>ventas_b_mes12[[#This Row],[IMPORTE NETO]]*0.21</f>
        <v>4095.8695041322308</v>
      </c>
      <c r="J1589" s="229"/>
      <c r="K1589" s="229"/>
      <c r="L1589" s="229">
        <v>23600.01</v>
      </c>
      <c r="M1589" s="55"/>
    </row>
    <row r="1590" spans="2:13" x14ac:dyDescent="0.3">
      <c r="B1590" s="223" t="s">
        <v>2478</v>
      </c>
      <c r="C1590" s="37">
        <v>6</v>
      </c>
      <c r="D1590" s="225">
        <v>12</v>
      </c>
      <c r="E1590" s="226">
        <v>22653</v>
      </c>
      <c r="F1590" s="227"/>
      <c r="G1590" s="1" t="str">
        <f>IFERROR(IF(ventas_b_mes12[[#This Row],[CUIT]]="","-",VLOOKUP(ventas_b_mes12[[#This Row],[CUIT]],Lista_CUIT[#All],2,0)),"CUIT NO CARGADO")</f>
        <v>-</v>
      </c>
      <c r="H1590" s="96">
        <f>ventas_b_mes12[[#This Row],[TOTAL]]/1.21</f>
        <v>6285.1239669421493</v>
      </c>
      <c r="I1590" s="60">
        <f>ventas_b_mes12[[#This Row],[IMPORTE NETO]]*0.21</f>
        <v>1319.8760330578514</v>
      </c>
      <c r="J1590" s="229"/>
      <c r="K1590" s="229"/>
      <c r="L1590" s="229">
        <v>7605</v>
      </c>
      <c r="M1590" s="55"/>
    </row>
    <row r="1591" spans="2:13" x14ac:dyDescent="0.3">
      <c r="B1591" s="223" t="s">
        <v>2478</v>
      </c>
      <c r="C1591" s="37">
        <v>6</v>
      </c>
      <c r="D1591" s="225">
        <v>12</v>
      </c>
      <c r="E1591" s="226">
        <v>22639</v>
      </c>
      <c r="F1591" s="227"/>
      <c r="G1591" s="1" t="str">
        <f>IFERROR(IF(ventas_b_mes12[[#This Row],[CUIT]]="","-",VLOOKUP(ventas_b_mes12[[#This Row],[CUIT]],Lista_CUIT[#All],2,0)),"CUIT NO CARGADO")</f>
        <v>-</v>
      </c>
      <c r="H1591" s="96">
        <f>ventas_b_mes12[[#This Row],[TOTAL]]/1.21</f>
        <v>8271.0826446280989</v>
      </c>
      <c r="I1591" s="60">
        <f>ventas_b_mes12[[#This Row],[IMPORTE NETO]]*0.21</f>
        <v>1736.9273553719006</v>
      </c>
      <c r="J1591" s="229"/>
      <c r="K1591" s="229"/>
      <c r="L1591" s="229">
        <v>10008.01</v>
      </c>
      <c r="M1591" s="55"/>
    </row>
    <row r="1592" spans="2:13" x14ac:dyDescent="0.3">
      <c r="B1592" s="223" t="s">
        <v>2478</v>
      </c>
      <c r="C1592" s="37">
        <v>6</v>
      </c>
      <c r="D1592" s="225">
        <v>13</v>
      </c>
      <c r="E1592" s="226">
        <v>26842</v>
      </c>
      <c r="F1592" s="227"/>
      <c r="G1592" s="1" t="str">
        <f>IFERROR(IF(ventas_b_mes12[[#This Row],[CUIT]]="","-",VLOOKUP(ventas_b_mes12[[#This Row],[CUIT]],Lista_CUIT[#All],2,0)),"CUIT NO CARGADO")</f>
        <v>-</v>
      </c>
      <c r="H1592" s="96">
        <f>ventas_b_mes12[[#This Row],[TOTAL]]/1.21</f>
        <v>4256.1983471074382</v>
      </c>
      <c r="I1592" s="60">
        <f>ventas_b_mes12[[#This Row],[IMPORTE NETO]]*0.21</f>
        <v>893.80165289256195</v>
      </c>
      <c r="J1592" s="229"/>
      <c r="K1592" s="229"/>
      <c r="L1592" s="229">
        <v>5150</v>
      </c>
      <c r="M1592" s="55"/>
    </row>
    <row r="1593" spans="2:13" x14ac:dyDescent="0.3">
      <c r="B1593" s="223" t="s">
        <v>2478</v>
      </c>
      <c r="C1593" s="37">
        <v>6</v>
      </c>
      <c r="D1593" s="225">
        <v>12</v>
      </c>
      <c r="E1593" s="226">
        <v>22648</v>
      </c>
      <c r="F1593" s="227"/>
      <c r="G1593" s="1" t="str">
        <f>IFERROR(IF(ventas_b_mes12[[#This Row],[CUIT]]="","-",VLOOKUP(ventas_b_mes12[[#This Row],[CUIT]],Lista_CUIT[#All],2,0)),"CUIT NO CARGADO")</f>
        <v>-</v>
      </c>
      <c r="H1593" s="96">
        <f>ventas_b_mes12[[#This Row],[TOTAL]]/1.21</f>
        <v>3595.0413223140495</v>
      </c>
      <c r="I1593" s="60">
        <f>ventas_b_mes12[[#This Row],[IMPORTE NETO]]*0.21</f>
        <v>754.95867768595031</v>
      </c>
      <c r="J1593" s="229"/>
      <c r="K1593" s="229"/>
      <c r="L1593" s="229">
        <v>4350</v>
      </c>
      <c r="M1593" s="55"/>
    </row>
    <row r="1594" spans="2:13" x14ac:dyDescent="0.3">
      <c r="B1594" s="223" t="s">
        <v>2478</v>
      </c>
      <c r="C1594" s="37">
        <v>6</v>
      </c>
      <c r="D1594" s="225">
        <v>12</v>
      </c>
      <c r="E1594" s="226">
        <v>22649</v>
      </c>
      <c r="F1594" s="227"/>
      <c r="G1594" s="1" t="str">
        <f>IFERROR(IF(ventas_b_mes12[[#This Row],[CUIT]]="","-",VLOOKUP(ventas_b_mes12[[#This Row],[CUIT]],Lista_CUIT[#All],2,0)),"CUIT NO CARGADO")</f>
        <v>-</v>
      </c>
      <c r="H1594" s="96">
        <f>ventas_b_mes12[[#This Row],[TOTAL]]/1.21</f>
        <v>1404.9586776859505</v>
      </c>
      <c r="I1594" s="60">
        <f>ventas_b_mes12[[#This Row],[IMPORTE NETO]]*0.21</f>
        <v>295.04132231404958</v>
      </c>
      <c r="J1594" s="229"/>
      <c r="K1594" s="229"/>
      <c r="L1594" s="229">
        <v>1700</v>
      </c>
      <c r="M1594" s="55"/>
    </row>
    <row r="1595" spans="2:13" x14ac:dyDescent="0.3">
      <c r="B1595" s="223" t="s">
        <v>2478</v>
      </c>
      <c r="C1595" s="37">
        <v>6</v>
      </c>
      <c r="D1595" s="225">
        <v>13</v>
      </c>
      <c r="E1595" s="226">
        <v>26839</v>
      </c>
      <c r="F1595" s="227"/>
      <c r="G1595" s="1" t="str">
        <f>IFERROR(IF(ventas_b_mes12[[#This Row],[CUIT]]="","-",VLOOKUP(ventas_b_mes12[[#This Row],[CUIT]],Lista_CUIT[#All],2,0)),"CUIT NO CARGADO")</f>
        <v>-</v>
      </c>
      <c r="H1595" s="96">
        <f>ventas_b_mes12[[#This Row],[TOTAL]]/1.21</f>
        <v>2677.6859504132231</v>
      </c>
      <c r="I1595" s="60">
        <f>ventas_b_mes12[[#This Row],[IMPORTE NETO]]*0.21</f>
        <v>562.31404958677683</v>
      </c>
      <c r="J1595" s="229"/>
      <c r="K1595" s="229"/>
      <c r="L1595" s="229">
        <v>3240</v>
      </c>
      <c r="M1595" s="55"/>
    </row>
    <row r="1596" spans="2:13" x14ac:dyDescent="0.3">
      <c r="B1596" s="223" t="s">
        <v>2478</v>
      </c>
      <c r="C1596" s="37">
        <v>6</v>
      </c>
      <c r="D1596" s="225">
        <v>11</v>
      </c>
      <c r="E1596" s="226">
        <v>30199</v>
      </c>
      <c r="F1596" s="227"/>
      <c r="G1596" s="1" t="str">
        <f>IFERROR(IF(ventas_b_mes12[[#This Row],[CUIT]]="","-",VLOOKUP(ventas_b_mes12[[#This Row],[CUIT]],Lista_CUIT[#All],2,0)),"CUIT NO CARGADO")</f>
        <v>-</v>
      </c>
      <c r="H1596" s="96">
        <v>4986.43</v>
      </c>
      <c r="I1596" s="60"/>
      <c r="J1596" s="229">
        <f>ventas_b_mes12[[#This Row],[IMPORTE NETO]]*0.105</f>
        <v>523.57515000000001</v>
      </c>
      <c r="K1596" s="229"/>
      <c r="L1596" s="229">
        <v>5510</v>
      </c>
      <c r="M1596" s="55"/>
    </row>
    <row r="1597" spans="2:13" x14ac:dyDescent="0.3">
      <c r="B1597" s="223" t="s">
        <v>2478</v>
      </c>
      <c r="C1597" s="37">
        <v>6</v>
      </c>
      <c r="D1597" s="225">
        <v>11</v>
      </c>
      <c r="E1597" s="226">
        <v>30196</v>
      </c>
      <c r="F1597" s="227"/>
      <c r="G1597" s="1" t="str">
        <f>IFERROR(IF(ventas_b_mes12[[#This Row],[CUIT]]="","-",VLOOKUP(ventas_b_mes12[[#This Row],[CUIT]],Lista_CUIT[#All],2,0)),"CUIT NO CARGADO")</f>
        <v>-</v>
      </c>
      <c r="H1597" s="96">
        <f>ventas_b_mes12[[#This Row],[TOTAL]]/1.21</f>
        <v>859.50413223140504</v>
      </c>
      <c r="I1597" s="60">
        <f>ventas_b_mes12[[#This Row],[IMPORTE NETO]]*0.21</f>
        <v>180.49586776859505</v>
      </c>
      <c r="J1597" s="229"/>
      <c r="K1597" s="229"/>
      <c r="L1597" s="229">
        <v>1040</v>
      </c>
      <c r="M1597" s="55"/>
    </row>
    <row r="1598" spans="2:13" x14ac:dyDescent="0.3">
      <c r="B1598" s="223" t="s">
        <v>2478</v>
      </c>
      <c r="C1598" s="37">
        <v>6</v>
      </c>
      <c r="D1598" s="225">
        <v>10</v>
      </c>
      <c r="E1598" s="226">
        <v>44020</v>
      </c>
      <c r="F1598" s="227"/>
      <c r="G1598" s="1" t="str">
        <f>IFERROR(IF(ventas_b_mes12[[#This Row],[CUIT]]="","-",VLOOKUP(ventas_b_mes12[[#This Row],[CUIT]],Lista_CUIT[#All],2,0)),"CUIT NO CARGADO")</f>
        <v>-</v>
      </c>
      <c r="H1598" s="96">
        <f>ventas_b_mes12[[#This Row],[TOTAL]]/1.21</f>
        <v>7830.5867768595044</v>
      </c>
      <c r="I1598" s="60">
        <f>ventas_b_mes12[[#This Row],[IMPORTE NETO]]*0.21</f>
        <v>1644.4232231404958</v>
      </c>
      <c r="J1598" s="229"/>
      <c r="K1598" s="229"/>
      <c r="L1598" s="229">
        <v>9475.01</v>
      </c>
      <c r="M1598" s="55"/>
    </row>
    <row r="1599" spans="2:13" x14ac:dyDescent="0.3">
      <c r="B1599" s="223" t="s">
        <v>2478</v>
      </c>
      <c r="C1599" s="37">
        <v>6</v>
      </c>
      <c r="D1599" s="225">
        <v>10</v>
      </c>
      <c r="E1599" s="226">
        <v>44014</v>
      </c>
      <c r="F1599" s="227"/>
      <c r="G1599" s="1" t="str">
        <f>IFERROR(IF(ventas_b_mes12[[#This Row],[CUIT]]="","-",VLOOKUP(ventas_b_mes12[[#This Row],[CUIT]],Lista_CUIT[#All],2,0)),"CUIT NO CARGADO")</f>
        <v>-</v>
      </c>
      <c r="H1599" s="96">
        <f>ventas_b_mes12[[#This Row],[TOTAL]]/1.21</f>
        <v>8256.1983471074382</v>
      </c>
      <c r="I1599" s="60">
        <f>ventas_b_mes12[[#This Row],[IMPORTE NETO]]*0.21</f>
        <v>1733.8016528925621</v>
      </c>
      <c r="J1599" s="229"/>
      <c r="K1599" s="229"/>
      <c r="L1599" s="229">
        <v>9990</v>
      </c>
      <c r="M1599" s="55"/>
    </row>
    <row r="1600" spans="2:13" x14ac:dyDescent="0.3">
      <c r="B1600" s="223" t="s">
        <v>2478</v>
      </c>
      <c r="C1600" s="37">
        <v>6</v>
      </c>
      <c r="D1600" s="225">
        <v>11</v>
      </c>
      <c r="E1600" s="226">
        <v>30193</v>
      </c>
      <c r="F1600" s="227"/>
      <c r="G1600" s="1" t="str">
        <f>IFERROR(IF(ventas_b_mes12[[#This Row],[CUIT]]="","-",VLOOKUP(ventas_b_mes12[[#This Row],[CUIT]],Lista_CUIT[#All],2,0)),"CUIT NO CARGADO")</f>
        <v>-</v>
      </c>
      <c r="H1600" s="96">
        <f>ventas_b_mes12[[#This Row],[TOTAL]]/1.21</f>
        <v>4088.4297520661157</v>
      </c>
      <c r="I1600" s="60">
        <f>ventas_b_mes12[[#This Row],[IMPORTE NETO]]*0.21</f>
        <v>858.57024793388427</v>
      </c>
      <c r="J1600" s="229"/>
      <c r="K1600" s="229"/>
      <c r="L1600" s="229">
        <v>4947</v>
      </c>
      <c r="M1600" s="55"/>
    </row>
    <row r="1601" spans="2:13" x14ac:dyDescent="0.3">
      <c r="B1601" s="223" t="s">
        <v>2478</v>
      </c>
      <c r="C1601" s="37">
        <v>6</v>
      </c>
      <c r="D1601" s="225">
        <v>12</v>
      </c>
      <c r="E1601" s="226">
        <v>22646</v>
      </c>
      <c r="F1601" s="227"/>
      <c r="G1601" s="1" t="str">
        <f>IFERROR(IF(ventas_b_mes12[[#This Row],[CUIT]]="","-",VLOOKUP(ventas_b_mes12[[#This Row],[CUIT]],Lista_CUIT[#All],2,0)),"CUIT NO CARGADO")</f>
        <v>-</v>
      </c>
      <c r="H1601" s="96">
        <f>ventas_b_mes12[[#This Row],[TOTAL]]/1.21</f>
        <v>1446.2809917355373</v>
      </c>
      <c r="I1601" s="60">
        <f>ventas_b_mes12[[#This Row],[IMPORTE NETO]]*0.21</f>
        <v>303.71900826446284</v>
      </c>
      <c r="J1601" s="229"/>
      <c r="K1601" s="229"/>
      <c r="L1601" s="229">
        <v>1750</v>
      </c>
      <c r="M1601" s="55"/>
    </row>
    <row r="1602" spans="2:13" x14ac:dyDescent="0.3">
      <c r="B1602" s="223" t="s">
        <v>2478</v>
      </c>
      <c r="C1602" s="37">
        <v>6</v>
      </c>
      <c r="D1602" s="225">
        <v>11</v>
      </c>
      <c r="E1602" s="226">
        <v>30206</v>
      </c>
      <c r="F1602" s="227"/>
      <c r="G1602" s="1" t="str">
        <f>IFERROR(IF(ventas_b_mes12[[#This Row],[CUIT]]="","-",VLOOKUP(ventas_b_mes12[[#This Row],[CUIT]],Lista_CUIT[#All],2,0)),"CUIT NO CARGADO")</f>
        <v>-</v>
      </c>
      <c r="H1602" s="96">
        <f>ventas_b_mes12[[#This Row],[TOTAL]]/1.21</f>
        <v>15214.884297520661</v>
      </c>
      <c r="I1602" s="60">
        <f>ventas_b_mes12[[#This Row],[IMPORTE NETO]]*0.21</f>
        <v>3195.1257024793385</v>
      </c>
      <c r="J1602" s="229"/>
      <c r="K1602" s="229"/>
      <c r="L1602" s="229">
        <v>18410.009999999998</v>
      </c>
      <c r="M1602" s="55"/>
    </row>
    <row r="1603" spans="2:13" x14ac:dyDescent="0.3">
      <c r="B1603" s="223" t="s">
        <v>2478</v>
      </c>
      <c r="C1603" s="37">
        <v>6</v>
      </c>
      <c r="D1603" s="225">
        <v>11</v>
      </c>
      <c r="E1603" s="226">
        <v>30207</v>
      </c>
      <c r="F1603" s="227"/>
      <c r="G1603" s="1" t="str">
        <f>IFERROR(IF(ventas_b_mes12[[#This Row],[CUIT]]="","-",VLOOKUP(ventas_b_mes12[[#This Row],[CUIT]],Lista_CUIT[#All],2,0)),"CUIT NO CARGADO")</f>
        <v>-</v>
      </c>
      <c r="H1603" s="96">
        <f>ventas_b_mes12[[#This Row],[TOTAL]]/1.21</f>
        <v>9049.5867768595035</v>
      </c>
      <c r="I1603" s="60">
        <f>ventas_b_mes12[[#This Row],[IMPORTE NETO]]*0.21</f>
        <v>1900.4132231404956</v>
      </c>
      <c r="J1603" s="229"/>
      <c r="K1603" s="229"/>
      <c r="L1603" s="229">
        <v>10950</v>
      </c>
      <c r="M1603" s="55"/>
    </row>
    <row r="1604" spans="2:13" x14ac:dyDescent="0.3">
      <c r="B1604" s="223" t="s">
        <v>2478</v>
      </c>
      <c r="C1604" s="37">
        <v>6</v>
      </c>
      <c r="D1604" s="225">
        <v>11</v>
      </c>
      <c r="E1604" s="226">
        <v>30205</v>
      </c>
      <c r="F1604" s="227"/>
      <c r="G1604" s="1" t="str">
        <f>IFERROR(IF(ventas_b_mes12[[#This Row],[CUIT]]="","-",VLOOKUP(ventas_b_mes12[[#This Row],[CUIT]],Lista_CUIT[#All],2,0)),"CUIT NO CARGADO")</f>
        <v>-</v>
      </c>
      <c r="H1604" s="96">
        <f>ventas_b_mes12[[#This Row],[TOTAL]]/1.21</f>
        <v>4859.5041322314055</v>
      </c>
      <c r="I1604" s="60">
        <f>ventas_b_mes12[[#This Row],[IMPORTE NETO]]*0.21</f>
        <v>1020.4958677685951</v>
      </c>
      <c r="J1604" s="229"/>
      <c r="K1604" s="229"/>
      <c r="L1604" s="229">
        <v>5880</v>
      </c>
      <c r="M1604" s="55"/>
    </row>
    <row r="1605" spans="2:13" x14ac:dyDescent="0.3">
      <c r="B1605" s="223" t="s">
        <v>2478</v>
      </c>
      <c r="C1605" s="37">
        <v>6</v>
      </c>
      <c r="D1605" s="225">
        <v>11</v>
      </c>
      <c r="E1605" s="226">
        <v>30215</v>
      </c>
      <c r="F1605" s="227"/>
      <c r="G1605" s="1" t="str">
        <f>IFERROR(IF(ventas_b_mes12[[#This Row],[CUIT]]="","-",VLOOKUP(ventas_b_mes12[[#This Row],[CUIT]],Lista_CUIT[#All],2,0)),"CUIT NO CARGADO")</f>
        <v>-</v>
      </c>
      <c r="H1605" s="96">
        <f>ventas_b_mes12[[#This Row],[TOTAL]]/1.21</f>
        <v>1148.7603305785124</v>
      </c>
      <c r="I1605" s="60">
        <f>ventas_b_mes12[[#This Row],[IMPORTE NETO]]*0.21</f>
        <v>241.23966942148758</v>
      </c>
      <c r="J1605" s="229"/>
      <c r="K1605" s="229"/>
      <c r="L1605" s="229">
        <v>1390</v>
      </c>
      <c r="M1605" s="55"/>
    </row>
    <row r="1606" spans="2:13" x14ac:dyDescent="0.3">
      <c r="B1606" s="223" t="s">
        <v>2478</v>
      </c>
      <c r="C1606" s="37">
        <v>6</v>
      </c>
      <c r="D1606" s="225">
        <v>11</v>
      </c>
      <c r="E1606" s="226">
        <v>30216</v>
      </c>
      <c r="F1606" s="227"/>
      <c r="G1606" s="1" t="str">
        <f>IFERROR(IF(ventas_b_mes12[[#This Row],[CUIT]]="","-",VLOOKUP(ventas_b_mes12[[#This Row],[CUIT]],Lista_CUIT[#All],2,0)),"CUIT NO CARGADO")</f>
        <v>-</v>
      </c>
      <c r="H1606" s="96">
        <f>ventas_b_mes12[[#This Row],[TOTAL]]/1.21</f>
        <v>3371.9008264462809</v>
      </c>
      <c r="I1606" s="60">
        <f>ventas_b_mes12[[#This Row],[IMPORTE NETO]]*0.21</f>
        <v>708.09917355371897</v>
      </c>
      <c r="J1606" s="229"/>
      <c r="K1606" s="229"/>
      <c r="L1606" s="229">
        <v>4080</v>
      </c>
      <c r="M1606" s="55"/>
    </row>
    <row r="1607" spans="2:13" x14ac:dyDescent="0.3">
      <c r="B1607" s="223" t="s">
        <v>2478</v>
      </c>
      <c r="C1607" s="37">
        <v>6</v>
      </c>
      <c r="D1607" s="225">
        <v>10</v>
      </c>
      <c r="E1607" s="226">
        <v>44019</v>
      </c>
      <c r="F1607" s="227"/>
      <c r="G1607" s="1" t="str">
        <f>IFERROR(IF(ventas_b_mes12[[#This Row],[CUIT]]="","-",VLOOKUP(ventas_b_mes12[[#This Row],[CUIT]],Lista_CUIT[#All],2,0)),"CUIT NO CARGADO")</f>
        <v>-</v>
      </c>
      <c r="H1607" s="96">
        <f>ventas_b_mes12[[#This Row],[TOTAL]]/1.21</f>
        <v>1446.2809917355373</v>
      </c>
      <c r="I1607" s="60">
        <f>ventas_b_mes12[[#This Row],[IMPORTE NETO]]*0.21</f>
        <v>303.71900826446284</v>
      </c>
      <c r="J1607" s="229"/>
      <c r="K1607" s="229"/>
      <c r="L1607" s="229">
        <v>1750</v>
      </c>
      <c r="M1607" s="55"/>
    </row>
    <row r="1608" spans="2:13" x14ac:dyDescent="0.3">
      <c r="B1608" s="223" t="s">
        <v>2478</v>
      </c>
      <c r="C1608" s="37">
        <v>6</v>
      </c>
      <c r="D1608" s="225">
        <v>15</v>
      </c>
      <c r="E1608" s="226">
        <v>7304</v>
      </c>
      <c r="F1608" s="227"/>
      <c r="G1608" s="1" t="str">
        <f>IFERROR(IF(ventas_b_mes12[[#This Row],[CUIT]]="","-",VLOOKUP(ventas_b_mes12[[#This Row],[CUIT]],Lista_CUIT[#All],2,0)),"CUIT NO CARGADO")</f>
        <v>-</v>
      </c>
      <c r="H1608" s="96">
        <f>ventas_b_mes12[[#This Row],[TOTAL]]/1.21</f>
        <v>3760.3223140495866</v>
      </c>
      <c r="I1608" s="60">
        <f>ventas_b_mes12[[#This Row],[IMPORTE NETO]]*0.21</f>
        <v>789.6676859504131</v>
      </c>
      <c r="J1608" s="229"/>
      <c r="K1608" s="229"/>
      <c r="L1608" s="229">
        <v>4549.99</v>
      </c>
      <c r="M1608" s="55"/>
    </row>
    <row r="1609" spans="2:13" x14ac:dyDescent="0.3">
      <c r="B1609" s="223" t="s">
        <v>2478</v>
      </c>
      <c r="C1609" s="37">
        <v>6</v>
      </c>
      <c r="D1609" s="225">
        <v>15</v>
      </c>
      <c r="E1609" s="226">
        <v>7300</v>
      </c>
      <c r="F1609" s="227"/>
      <c r="G1609" s="1" t="str">
        <f>IFERROR(IF(ventas_b_mes12[[#This Row],[CUIT]]="","-",VLOOKUP(ventas_b_mes12[[#This Row],[CUIT]],Lista_CUIT[#All],2,0)),"CUIT NO CARGADO")</f>
        <v>-</v>
      </c>
      <c r="H1609" s="96">
        <f>ventas_b_mes12[[#This Row],[TOTAL]]/1.21</f>
        <v>5206.6115702479337</v>
      </c>
      <c r="I1609" s="60">
        <f>ventas_b_mes12[[#This Row],[IMPORTE NETO]]*0.21</f>
        <v>1093.388429752066</v>
      </c>
      <c r="J1609" s="229"/>
      <c r="K1609" s="229"/>
      <c r="L1609" s="229">
        <v>6300</v>
      </c>
      <c r="M1609" s="55"/>
    </row>
    <row r="1610" spans="2:13" x14ac:dyDescent="0.3">
      <c r="B1610" s="223" t="s">
        <v>2478</v>
      </c>
      <c r="C1610" s="37">
        <v>6</v>
      </c>
      <c r="D1610" s="225">
        <v>15</v>
      </c>
      <c r="E1610" s="226">
        <v>7303</v>
      </c>
      <c r="F1610" s="227"/>
      <c r="G1610" s="1" t="str">
        <f>IFERROR(IF(ventas_b_mes12[[#This Row],[CUIT]]="","-",VLOOKUP(ventas_b_mes12[[#This Row],[CUIT]],Lista_CUIT[#All],2,0)),"CUIT NO CARGADO")</f>
        <v>-</v>
      </c>
      <c r="H1610" s="96">
        <f>ventas_b_mes12[[#This Row],[TOTAL]]/1.21</f>
        <v>9917.3553719008269</v>
      </c>
      <c r="I1610" s="60">
        <f>ventas_b_mes12[[#This Row],[IMPORTE NETO]]*0.21</f>
        <v>2082.6446280991736</v>
      </c>
      <c r="J1610" s="229"/>
      <c r="K1610" s="229"/>
      <c r="L1610" s="229">
        <v>12000</v>
      </c>
      <c r="M1610" s="55"/>
    </row>
    <row r="1611" spans="2:13" x14ac:dyDescent="0.3">
      <c r="B1611" s="223" t="s">
        <v>2478</v>
      </c>
      <c r="C1611" s="37">
        <v>6</v>
      </c>
      <c r="D1611" s="225">
        <v>12</v>
      </c>
      <c r="E1611" s="226">
        <v>22651</v>
      </c>
      <c r="F1611" s="227"/>
      <c r="G1611" s="1" t="str">
        <f>IFERROR(IF(ventas_b_mes12[[#This Row],[CUIT]]="","-",VLOOKUP(ventas_b_mes12[[#This Row],[CUIT]],Lista_CUIT[#All],2,0)),"CUIT NO CARGADO")</f>
        <v>-</v>
      </c>
      <c r="H1611" s="96">
        <f>ventas_b_mes12[[#This Row],[TOTAL]]/1.21</f>
        <v>13206.611570247935</v>
      </c>
      <c r="I1611" s="60">
        <f>ventas_b_mes12[[#This Row],[IMPORTE NETO]]*0.21</f>
        <v>2773.3884297520663</v>
      </c>
      <c r="J1611" s="229"/>
      <c r="K1611" s="229"/>
      <c r="L1611" s="229">
        <v>15980</v>
      </c>
      <c r="M1611" s="55"/>
    </row>
    <row r="1612" spans="2:13" x14ac:dyDescent="0.3">
      <c r="B1612" s="223" t="s">
        <v>2478</v>
      </c>
      <c r="C1612" s="37">
        <v>6</v>
      </c>
      <c r="D1612" s="225">
        <v>11</v>
      </c>
      <c r="E1612" s="226">
        <v>30202</v>
      </c>
      <c r="F1612" s="227"/>
      <c r="G1612" s="1" t="str">
        <f>IFERROR(IF(ventas_b_mes12[[#This Row],[CUIT]]="","-",VLOOKUP(ventas_b_mes12[[#This Row],[CUIT]],Lista_CUIT[#All],2,0)),"CUIT NO CARGADO")</f>
        <v>-</v>
      </c>
      <c r="H1612" s="96">
        <f>ventas_b_mes12[[#This Row],[TOTAL]]/1.21</f>
        <v>8677.6859504132226</v>
      </c>
      <c r="I1612" s="60">
        <f>ventas_b_mes12[[#This Row],[IMPORTE NETO]]*0.21</f>
        <v>1822.3140495867767</v>
      </c>
      <c r="J1612" s="229"/>
      <c r="K1612" s="229"/>
      <c r="L1612" s="229">
        <v>10500</v>
      </c>
      <c r="M1612" s="55"/>
    </row>
    <row r="1613" spans="2:13" x14ac:dyDescent="0.3">
      <c r="B1613" s="223" t="s">
        <v>2478</v>
      </c>
      <c r="C1613" s="37">
        <v>6</v>
      </c>
      <c r="D1613" s="225">
        <v>13</v>
      </c>
      <c r="E1613" s="226">
        <v>26840</v>
      </c>
      <c r="F1613" s="227"/>
      <c r="G1613" s="1" t="str">
        <f>IFERROR(IF(ventas_b_mes12[[#This Row],[CUIT]]="","-",VLOOKUP(ventas_b_mes12[[#This Row],[CUIT]],Lista_CUIT[#All],2,0)),"CUIT NO CARGADO")</f>
        <v>-</v>
      </c>
      <c r="H1613" s="96">
        <f>ventas_b_mes12[[#This Row],[TOTAL]]/1.21</f>
        <v>2314.0495867768595</v>
      </c>
      <c r="I1613" s="60">
        <f>ventas_b_mes12[[#This Row],[IMPORTE NETO]]*0.21</f>
        <v>485.95041322314046</v>
      </c>
      <c r="J1613" s="229"/>
      <c r="K1613" s="229"/>
      <c r="L1613" s="229">
        <v>2800</v>
      </c>
      <c r="M1613" s="55"/>
    </row>
    <row r="1614" spans="2:13" x14ac:dyDescent="0.3">
      <c r="B1614" s="223" t="s">
        <v>2478</v>
      </c>
      <c r="C1614" s="37">
        <v>6</v>
      </c>
      <c r="D1614" s="225">
        <v>12</v>
      </c>
      <c r="E1614" s="226">
        <v>22640</v>
      </c>
      <c r="F1614" s="227"/>
      <c r="G1614" s="1" t="str">
        <f>IFERROR(IF(ventas_b_mes12[[#This Row],[CUIT]]="","-",VLOOKUP(ventas_b_mes12[[#This Row],[CUIT]],Lista_CUIT[#All],2,0)),"CUIT NO CARGADO")</f>
        <v>-</v>
      </c>
      <c r="H1614" s="96">
        <f>ventas_b_mes12[[#This Row],[TOTAL]]/1.21</f>
        <v>1033.0578512396694</v>
      </c>
      <c r="I1614" s="60">
        <f>ventas_b_mes12[[#This Row],[IMPORTE NETO]]*0.21</f>
        <v>216.94214876033055</v>
      </c>
      <c r="J1614" s="229"/>
      <c r="K1614" s="229"/>
      <c r="L1614" s="229">
        <v>1250</v>
      </c>
      <c r="M1614" s="55"/>
    </row>
    <row r="1615" spans="2:13" x14ac:dyDescent="0.3">
      <c r="B1615" s="223" t="s">
        <v>2478</v>
      </c>
      <c r="C1615" s="37">
        <v>6</v>
      </c>
      <c r="D1615" s="225">
        <v>12</v>
      </c>
      <c r="E1615" s="226">
        <v>22652</v>
      </c>
      <c r="F1615" s="227"/>
      <c r="G1615" s="1" t="str">
        <f>IFERROR(IF(ventas_b_mes12[[#This Row],[CUIT]]="","-",VLOOKUP(ventas_b_mes12[[#This Row],[CUIT]],Lista_CUIT[#All],2,0)),"CUIT NO CARGADO")</f>
        <v>-</v>
      </c>
      <c r="H1615" s="96">
        <f>ventas_b_mes12[[#This Row],[TOTAL]]/1.21</f>
        <v>1361.1570247933885</v>
      </c>
      <c r="I1615" s="60">
        <f>ventas_b_mes12[[#This Row],[IMPORTE NETO]]*0.21</f>
        <v>285.84297520661158</v>
      </c>
      <c r="J1615" s="229"/>
      <c r="K1615" s="229"/>
      <c r="L1615" s="229">
        <v>1647</v>
      </c>
      <c r="M1615" s="55"/>
    </row>
    <row r="1616" spans="2:13" x14ac:dyDescent="0.3">
      <c r="B1616" s="223" t="s">
        <v>2478</v>
      </c>
      <c r="C1616" s="37">
        <v>6</v>
      </c>
      <c r="D1616" s="225">
        <v>11</v>
      </c>
      <c r="E1616" s="226">
        <v>30198</v>
      </c>
      <c r="F1616" s="227"/>
      <c r="G1616" s="1" t="str">
        <f>IFERROR(IF(ventas_b_mes12[[#This Row],[CUIT]]="","-",VLOOKUP(ventas_b_mes12[[#This Row],[CUIT]],Lista_CUIT[#All],2,0)),"CUIT NO CARGADO")</f>
        <v>-</v>
      </c>
      <c r="H1616" s="96">
        <f>ventas_b_mes12[[#This Row],[TOTAL]]/1.21</f>
        <v>7661.1570247933887</v>
      </c>
      <c r="I1616" s="60">
        <f>ventas_b_mes12[[#This Row],[IMPORTE NETO]]*0.21</f>
        <v>1608.8429752066115</v>
      </c>
      <c r="J1616" s="229"/>
      <c r="K1616" s="229"/>
      <c r="L1616" s="229">
        <v>9270</v>
      </c>
      <c r="M1616" s="55"/>
    </row>
    <row r="1617" spans="2:13" x14ac:dyDescent="0.3">
      <c r="B1617" s="223" t="s">
        <v>2478</v>
      </c>
      <c r="C1617" s="37">
        <v>6</v>
      </c>
      <c r="D1617" s="225">
        <v>12</v>
      </c>
      <c r="E1617" s="226">
        <v>22637</v>
      </c>
      <c r="F1617" s="227"/>
      <c r="G1617" s="1" t="str">
        <f>IFERROR(IF(ventas_b_mes12[[#This Row],[CUIT]]="","-",VLOOKUP(ventas_b_mes12[[#This Row],[CUIT]],Lista_CUIT[#All],2,0)),"CUIT NO CARGADO")</f>
        <v>-</v>
      </c>
      <c r="H1617" s="96">
        <f>ventas_b_mes12[[#This Row],[TOTAL]]/1.21</f>
        <v>4132.2396694214876</v>
      </c>
      <c r="I1617" s="60">
        <f>ventas_b_mes12[[#This Row],[IMPORTE NETO]]*0.21</f>
        <v>867.77033057851236</v>
      </c>
      <c r="J1617" s="229"/>
      <c r="K1617" s="229"/>
      <c r="L1617" s="229">
        <v>5000.01</v>
      </c>
      <c r="M1617" s="55"/>
    </row>
    <row r="1618" spans="2:13" x14ac:dyDescent="0.3">
      <c r="B1618" s="223" t="s">
        <v>2478</v>
      </c>
      <c r="C1618" s="37">
        <v>6</v>
      </c>
      <c r="D1618" s="225">
        <v>10</v>
      </c>
      <c r="E1618" s="226">
        <v>44018</v>
      </c>
      <c r="F1618" s="227"/>
      <c r="G1618" s="1" t="str">
        <f>IFERROR(IF(ventas_b_mes12[[#This Row],[CUIT]]="","-",VLOOKUP(ventas_b_mes12[[#This Row],[CUIT]],Lista_CUIT[#All],2,0)),"CUIT NO CARGADO")</f>
        <v>-</v>
      </c>
      <c r="H1618" s="96">
        <f>ventas_b_mes12[[#This Row],[TOTAL]]/1.21</f>
        <v>2479.3388429752067</v>
      </c>
      <c r="I1618" s="60">
        <f>ventas_b_mes12[[#This Row],[IMPORTE NETO]]*0.21</f>
        <v>520.6611570247934</v>
      </c>
      <c r="J1618" s="229"/>
      <c r="K1618" s="229"/>
      <c r="L1618" s="229">
        <v>3000</v>
      </c>
      <c r="M1618" s="55"/>
    </row>
    <row r="1619" spans="2:13" x14ac:dyDescent="0.3">
      <c r="B1619" s="223" t="s">
        <v>2478</v>
      </c>
      <c r="C1619" s="37">
        <v>6</v>
      </c>
      <c r="D1619" s="225">
        <v>11</v>
      </c>
      <c r="E1619" s="226">
        <v>30210</v>
      </c>
      <c r="F1619" s="227"/>
      <c r="G1619" s="1" t="str">
        <f>IFERROR(IF(ventas_b_mes12[[#This Row],[CUIT]]="","-",VLOOKUP(ventas_b_mes12[[#This Row],[CUIT]],Lista_CUIT[#All],2,0)),"CUIT NO CARGADO")</f>
        <v>-</v>
      </c>
      <c r="H1619" s="96">
        <f>ventas_b_mes12[[#This Row],[TOTAL]]/1.21</f>
        <v>9090.9090909090919</v>
      </c>
      <c r="I1619" s="60">
        <f>ventas_b_mes12[[#This Row],[IMPORTE NETO]]*0.21</f>
        <v>1909.0909090909092</v>
      </c>
      <c r="J1619" s="229"/>
      <c r="K1619" s="229"/>
      <c r="L1619" s="229">
        <v>11000</v>
      </c>
      <c r="M1619" s="55"/>
    </row>
    <row r="1620" spans="2:13" x14ac:dyDescent="0.3">
      <c r="B1620" s="223" t="s">
        <v>2478</v>
      </c>
      <c r="C1620" s="37">
        <v>6</v>
      </c>
      <c r="D1620" s="225">
        <v>10</v>
      </c>
      <c r="E1620" s="226">
        <v>44013</v>
      </c>
      <c r="F1620" s="227"/>
      <c r="G1620" s="1" t="str">
        <f>IFERROR(IF(ventas_b_mes12[[#This Row],[CUIT]]="","-",VLOOKUP(ventas_b_mes12[[#This Row],[CUIT]],Lista_CUIT[#All],2,0)),"CUIT NO CARGADO")</f>
        <v>-</v>
      </c>
      <c r="H1620" s="96">
        <f>ventas_b_mes12[[#This Row],[TOTAL]]/1.21</f>
        <v>4804.1735537190089</v>
      </c>
      <c r="I1620" s="60">
        <f>ventas_b_mes12[[#This Row],[IMPORTE NETO]]*0.21</f>
        <v>1008.8764462809918</v>
      </c>
      <c r="J1620" s="229"/>
      <c r="K1620" s="229"/>
      <c r="L1620" s="229">
        <v>5813.05</v>
      </c>
      <c r="M1620" s="55"/>
    </row>
    <row r="1621" spans="2:13" x14ac:dyDescent="0.3">
      <c r="B1621" s="223" t="s">
        <v>2478</v>
      </c>
      <c r="C1621" s="37">
        <v>6</v>
      </c>
      <c r="D1621" s="225">
        <v>11</v>
      </c>
      <c r="E1621" s="226">
        <v>30214</v>
      </c>
      <c r="F1621" s="227"/>
      <c r="G1621" s="1" t="str">
        <f>IFERROR(IF(ventas_b_mes12[[#This Row],[CUIT]]="","-",VLOOKUP(ventas_b_mes12[[#This Row],[CUIT]],Lista_CUIT[#All],2,0)),"CUIT NO CARGADO")</f>
        <v>-</v>
      </c>
      <c r="H1621" s="96">
        <f>ventas_b_mes12[[#This Row],[TOTAL]]/1.21</f>
        <v>3231.413223140496</v>
      </c>
      <c r="I1621" s="60">
        <f>ventas_b_mes12[[#This Row],[IMPORTE NETO]]*0.21</f>
        <v>678.59677685950419</v>
      </c>
      <c r="J1621" s="229"/>
      <c r="K1621" s="229"/>
      <c r="L1621" s="229">
        <v>3910.01</v>
      </c>
      <c r="M1621" s="55"/>
    </row>
    <row r="1622" spans="2:13" x14ac:dyDescent="0.3">
      <c r="B1622" s="223" t="s">
        <v>2478</v>
      </c>
      <c r="C1622" s="37">
        <v>6</v>
      </c>
      <c r="D1622" s="225">
        <v>12</v>
      </c>
      <c r="E1622" s="226">
        <v>22643</v>
      </c>
      <c r="F1622" s="227"/>
      <c r="G1622" s="1" t="str">
        <f>IFERROR(IF(ventas_b_mes12[[#This Row],[CUIT]]="","-",VLOOKUP(ventas_b_mes12[[#This Row],[CUIT]],Lista_CUIT[#All],2,0)),"CUIT NO CARGADO")</f>
        <v>-</v>
      </c>
      <c r="H1622" s="96">
        <f>ventas_b_mes12[[#This Row],[TOTAL]]/1.21</f>
        <v>6446.2809917355371</v>
      </c>
      <c r="I1622" s="60">
        <f>ventas_b_mes12[[#This Row],[IMPORTE NETO]]*0.21</f>
        <v>1353.7190082644627</v>
      </c>
      <c r="J1622" s="229"/>
      <c r="K1622" s="229"/>
      <c r="L1622" s="229">
        <v>7800</v>
      </c>
      <c r="M1622" s="55"/>
    </row>
    <row r="1623" spans="2:13" x14ac:dyDescent="0.3">
      <c r="B1623" s="223" t="s">
        <v>2478</v>
      </c>
      <c r="C1623" s="37">
        <v>6</v>
      </c>
      <c r="D1623" s="225">
        <v>10</v>
      </c>
      <c r="E1623" s="226">
        <v>44026</v>
      </c>
      <c r="F1623" s="227"/>
      <c r="G1623" s="1" t="str">
        <f>IFERROR(IF(ventas_b_mes12[[#This Row],[CUIT]]="","-",VLOOKUP(ventas_b_mes12[[#This Row],[CUIT]],Lista_CUIT[#All],2,0)),"CUIT NO CARGADO")</f>
        <v>-</v>
      </c>
      <c r="H1623" s="96">
        <f>ventas_b_mes12[[#This Row],[TOTAL]]/1.21</f>
        <v>4958.6776859504134</v>
      </c>
      <c r="I1623" s="60">
        <f>ventas_b_mes12[[#This Row],[IMPORTE NETO]]*0.21</f>
        <v>1041.3223140495868</v>
      </c>
      <c r="J1623" s="229"/>
      <c r="K1623" s="229"/>
      <c r="L1623" s="229">
        <v>6000</v>
      </c>
      <c r="M1623" s="55"/>
    </row>
    <row r="1624" spans="2:13" x14ac:dyDescent="0.3">
      <c r="B1624" s="223" t="s">
        <v>2478</v>
      </c>
      <c r="C1624" s="37">
        <v>6</v>
      </c>
      <c r="D1624" s="225">
        <v>11</v>
      </c>
      <c r="E1624" s="226">
        <v>30212</v>
      </c>
      <c r="F1624" s="227"/>
      <c r="G1624" s="1" t="str">
        <f>IFERROR(IF(ventas_b_mes12[[#This Row],[CUIT]]="","-",VLOOKUP(ventas_b_mes12[[#This Row],[CUIT]],Lista_CUIT[#All],2,0)),"CUIT NO CARGADO")</f>
        <v>-</v>
      </c>
      <c r="H1624" s="96">
        <f>ventas_b_mes12[[#This Row],[TOTAL]]/1.21</f>
        <v>1487.6033057851241</v>
      </c>
      <c r="I1624" s="60">
        <f>ventas_b_mes12[[#This Row],[IMPORTE NETO]]*0.21</f>
        <v>312.39669421487605</v>
      </c>
      <c r="J1624" s="229"/>
      <c r="K1624" s="229"/>
      <c r="L1624" s="229">
        <v>1800</v>
      </c>
      <c r="M1624" s="55"/>
    </row>
    <row r="1625" spans="2:13" x14ac:dyDescent="0.3">
      <c r="B1625" s="223" t="s">
        <v>2478</v>
      </c>
      <c r="C1625" s="37">
        <v>6</v>
      </c>
      <c r="D1625" s="225">
        <v>10</v>
      </c>
      <c r="E1625" s="226">
        <v>44017</v>
      </c>
      <c r="F1625" s="227"/>
      <c r="G1625" s="1" t="str">
        <f>IFERROR(IF(ventas_b_mes12[[#This Row],[CUIT]]="","-",VLOOKUP(ventas_b_mes12[[#This Row],[CUIT]],Lista_CUIT[#All],2,0)),"CUIT NO CARGADO")</f>
        <v>-</v>
      </c>
      <c r="H1625" s="96">
        <f>ventas_b_mes12[[#This Row],[TOTAL]]/1.21</f>
        <v>9530.9917355371908</v>
      </c>
      <c r="I1625" s="60">
        <f>ventas_b_mes12[[#This Row],[IMPORTE NETO]]*0.21</f>
        <v>2001.5082644628101</v>
      </c>
      <c r="J1625" s="229"/>
      <c r="K1625" s="229"/>
      <c r="L1625" s="229">
        <v>11532.5</v>
      </c>
      <c r="M1625" s="55"/>
    </row>
    <row r="1626" spans="2:13" x14ac:dyDescent="0.3">
      <c r="B1626" s="223" t="s">
        <v>2478</v>
      </c>
      <c r="C1626" s="37">
        <v>6</v>
      </c>
      <c r="D1626" s="225">
        <v>11</v>
      </c>
      <c r="E1626" s="226">
        <v>30192</v>
      </c>
      <c r="F1626" s="227"/>
      <c r="G1626" s="1" t="str">
        <f>IFERROR(IF(ventas_b_mes12[[#This Row],[CUIT]]="","-",VLOOKUP(ventas_b_mes12[[#This Row],[CUIT]],Lista_CUIT[#All],2,0)),"CUIT NO CARGADO")</f>
        <v>-</v>
      </c>
      <c r="H1626" s="96">
        <f>ventas_b_mes12[[#This Row],[TOTAL]]/1.21</f>
        <v>14380.165289256198</v>
      </c>
      <c r="I1626" s="60">
        <f>ventas_b_mes12[[#This Row],[IMPORTE NETO]]*0.21</f>
        <v>3019.8347107438012</v>
      </c>
      <c r="J1626" s="229"/>
      <c r="K1626" s="229"/>
      <c r="L1626" s="229">
        <v>17400</v>
      </c>
      <c r="M1626" s="55"/>
    </row>
    <row r="1627" spans="2:13" x14ac:dyDescent="0.3">
      <c r="B1627" s="223" t="s">
        <v>2478</v>
      </c>
      <c r="C1627" s="37">
        <v>6</v>
      </c>
      <c r="D1627" s="225">
        <v>13</v>
      </c>
      <c r="E1627" s="226">
        <v>26841</v>
      </c>
      <c r="F1627" s="227"/>
      <c r="G1627" s="1" t="str">
        <f>IFERROR(IF(ventas_b_mes12[[#This Row],[CUIT]]="","-",VLOOKUP(ventas_b_mes12[[#This Row],[CUIT]],Lista_CUIT[#All],2,0)),"CUIT NO CARGADO")</f>
        <v>-</v>
      </c>
      <c r="H1627" s="96">
        <f>ventas_b_mes12[[#This Row],[TOTAL]]/1.21</f>
        <v>4380.1570247933887</v>
      </c>
      <c r="I1627" s="60">
        <f>ventas_b_mes12[[#This Row],[IMPORTE NETO]]*0.21</f>
        <v>919.83297520661165</v>
      </c>
      <c r="J1627" s="229"/>
      <c r="K1627" s="229"/>
      <c r="L1627" s="229">
        <v>5299.99</v>
      </c>
      <c r="M1627" s="55"/>
    </row>
    <row r="1628" spans="2:13" x14ac:dyDescent="0.3">
      <c r="B1628" s="223" t="s">
        <v>2478</v>
      </c>
      <c r="C1628" s="37">
        <v>6</v>
      </c>
      <c r="D1628" s="225">
        <v>11</v>
      </c>
      <c r="E1628" s="226">
        <v>30195</v>
      </c>
      <c r="F1628" s="227"/>
      <c r="G1628" s="1" t="str">
        <f>IFERROR(IF(ventas_b_mes12[[#This Row],[CUIT]]="","-",VLOOKUP(ventas_b_mes12[[#This Row],[CUIT]],Lista_CUIT[#All],2,0)),"CUIT NO CARGADO")</f>
        <v>-</v>
      </c>
      <c r="H1628" s="96">
        <f>ventas_b_mes12[[#This Row],[TOTAL]]/1.21</f>
        <v>6586.7768595041325</v>
      </c>
      <c r="I1628" s="60">
        <f>ventas_b_mes12[[#This Row],[IMPORTE NETO]]*0.21</f>
        <v>1383.2231404958677</v>
      </c>
      <c r="J1628" s="229"/>
      <c r="K1628" s="229"/>
      <c r="L1628" s="229">
        <v>7970</v>
      </c>
      <c r="M1628" s="55"/>
    </row>
    <row r="1629" spans="2:13" x14ac:dyDescent="0.3">
      <c r="B1629" s="223" t="s">
        <v>2478</v>
      </c>
      <c r="C1629" s="37">
        <v>6</v>
      </c>
      <c r="D1629" s="225">
        <v>11</v>
      </c>
      <c r="E1629" s="226">
        <v>30208</v>
      </c>
      <c r="F1629" s="227"/>
      <c r="G1629" s="1" t="str">
        <f>IFERROR(IF(ventas_b_mes12[[#This Row],[CUIT]]="","-",VLOOKUP(ventas_b_mes12[[#This Row],[CUIT]],Lista_CUIT[#All],2,0)),"CUIT NO CARGADO")</f>
        <v>-</v>
      </c>
      <c r="H1629" s="96">
        <f>ventas_b_mes12[[#This Row],[TOTAL]]/1.21</f>
        <v>1818.1818181818182</v>
      </c>
      <c r="I1629" s="60">
        <f>ventas_b_mes12[[#This Row],[IMPORTE NETO]]*0.21</f>
        <v>381.81818181818181</v>
      </c>
      <c r="J1629" s="229"/>
      <c r="K1629" s="229"/>
      <c r="L1629" s="229">
        <v>2200</v>
      </c>
      <c r="M1629" s="55"/>
    </row>
    <row r="1630" spans="2:13" x14ac:dyDescent="0.3">
      <c r="B1630" s="223" t="s">
        <v>2478</v>
      </c>
      <c r="C1630" s="37">
        <v>6</v>
      </c>
      <c r="D1630" s="225">
        <v>11</v>
      </c>
      <c r="E1630" s="226">
        <v>30197</v>
      </c>
      <c r="F1630" s="227"/>
      <c r="G1630" s="1" t="str">
        <f>IFERROR(IF(ventas_b_mes12[[#This Row],[CUIT]]="","-",VLOOKUP(ventas_b_mes12[[#This Row],[CUIT]],Lista_CUIT[#All],2,0)),"CUIT NO CARGADO")</f>
        <v>-</v>
      </c>
      <c r="H1630" s="96">
        <f>ventas_b_mes12[[#This Row],[TOTAL]]/1.21</f>
        <v>2512.3966942148763</v>
      </c>
      <c r="I1630" s="60">
        <f>ventas_b_mes12[[#This Row],[IMPORTE NETO]]*0.21</f>
        <v>527.60330578512401</v>
      </c>
      <c r="J1630" s="229"/>
      <c r="K1630" s="229"/>
      <c r="L1630" s="229">
        <v>3040</v>
      </c>
      <c r="M1630" s="55"/>
    </row>
    <row r="1631" spans="2:13" x14ac:dyDescent="0.3">
      <c r="B1631" s="223" t="s">
        <v>2478</v>
      </c>
      <c r="C1631" s="37">
        <v>6</v>
      </c>
      <c r="D1631" s="225">
        <v>10</v>
      </c>
      <c r="E1631" s="226">
        <v>44015</v>
      </c>
      <c r="F1631" s="227"/>
      <c r="G1631" s="1" t="str">
        <f>IFERROR(IF(ventas_b_mes12[[#This Row],[CUIT]]="","-",VLOOKUP(ventas_b_mes12[[#This Row],[CUIT]],Lista_CUIT[#All],2,0)),"CUIT NO CARGADO")</f>
        <v>-</v>
      </c>
      <c r="H1631" s="96">
        <f>ventas_b_mes12[[#This Row],[TOTAL]]/1.21</f>
        <v>4545.454545454546</v>
      </c>
      <c r="I1631" s="60">
        <f>ventas_b_mes12[[#This Row],[IMPORTE NETO]]*0.21</f>
        <v>954.54545454545462</v>
      </c>
      <c r="J1631" s="229"/>
      <c r="K1631" s="229"/>
      <c r="L1631" s="229">
        <v>5500</v>
      </c>
      <c r="M1631" s="55"/>
    </row>
    <row r="1632" spans="2:13" x14ac:dyDescent="0.3">
      <c r="B1632" s="223" t="s">
        <v>2478</v>
      </c>
      <c r="C1632" s="37">
        <v>6</v>
      </c>
      <c r="D1632" s="225">
        <v>11</v>
      </c>
      <c r="E1632" s="226">
        <v>30213</v>
      </c>
      <c r="F1632" s="227"/>
      <c r="G1632" s="1" t="str">
        <f>IFERROR(IF(ventas_b_mes12[[#This Row],[CUIT]]="","-",VLOOKUP(ventas_b_mes12[[#This Row],[CUIT]],Lista_CUIT[#All],2,0)),"CUIT NO CARGADO")</f>
        <v>-</v>
      </c>
      <c r="H1632" s="96">
        <f>ventas_b_mes12[[#This Row],[TOTAL]]/1.21</f>
        <v>4545.454545454546</v>
      </c>
      <c r="I1632" s="60">
        <f>ventas_b_mes12[[#This Row],[IMPORTE NETO]]*0.21</f>
        <v>954.54545454545462</v>
      </c>
      <c r="J1632" s="229"/>
      <c r="K1632" s="229"/>
      <c r="L1632" s="229">
        <v>5500</v>
      </c>
      <c r="M1632" s="55"/>
    </row>
    <row r="1633" spans="2:13" x14ac:dyDescent="0.3">
      <c r="B1633" s="223" t="s">
        <v>2478</v>
      </c>
      <c r="C1633" s="37">
        <v>6</v>
      </c>
      <c r="D1633" s="225">
        <v>11</v>
      </c>
      <c r="E1633" s="226">
        <v>30203</v>
      </c>
      <c r="F1633" s="227"/>
      <c r="G1633" s="1" t="str">
        <f>IFERROR(IF(ventas_b_mes12[[#This Row],[CUIT]]="","-",VLOOKUP(ventas_b_mes12[[#This Row],[CUIT]],Lista_CUIT[#All],2,0)),"CUIT NO CARGADO")</f>
        <v>-</v>
      </c>
      <c r="H1633" s="96">
        <f>ventas_b_mes12[[#This Row],[TOTAL]]/1.21</f>
        <v>7834.7107438016528</v>
      </c>
      <c r="I1633" s="60">
        <f>ventas_b_mes12[[#This Row],[IMPORTE NETO]]*0.21</f>
        <v>1645.2892561983469</v>
      </c>
      <c r="J1633" s="229"/>
      <c r="K1633" s="229"/>
      <c r="L1633" s="229">
        <v>9480</v>
      </c>
      <c r="M1633" s="55"/>
    </row>
    <row r="1634" spans="2:13" x14ac:dyDescent="0.3">
      <c r="B1634" s="223" t="s">
        <v>2478</v>
      </c>
      <c r="C1634" s="37">
        <v>6</v>
      </c>
      <c r="D1634" s="225">
        <v>15</v>
      </c>
      <c r="E1634" s="226">
        <v>7297</v>
      </c>
      <c r="F1634" s="227"/>
      <c r="G1634" s="1" t="str">
        <f>IFERROR(IF(ventas_b_mes12[[#This Row],[CUIT]]="","-",VLOOKUP(ventas_b_mes12[[#This Row],[CUIT]],Lista_CUIT[#All],2,0)),"CUIT NO CARGADO")</f>
        <v>-</v>
      </c>
      <c r="H1634" s="96">
        <f>ventas_b_mes12[[#This Row],[TOTAL]]/1.21</f>
        <v>7272.727272727273</v>
      </c>
      <c r="I1634" s="60">
        <f>ventas_b_mes12[[#This Row],[IMPORTE NETO]]*0.21</f>
        <v>1527.2727272727273</v>
      </c>
      <c r="J1634" s="229"/>
      <c r="K1634" s="229"/>
      <c r="L1634" s="229">
        <v>8800</v>
      </c>
      <c r="M1634" s="55"/>
    </row>
    <row r="1635" spans="2:13" x14ac:dyDescent="0.3">
      <c r="B1635" s="223" t="s">
        <v>2478</v>
      </c>
      <c r="C1635" s="37">
        <v>6</v>
      </c>
      <c r="D1635" s="225">
        <v>12</v>
      </c>
      <c r="E1635" s="226">
        <v>22647</v>
      </c>
      <c r="F1635" s="227"/>
      <c r="G1635" s="1" t="str">
        <f>IFERROR(IF(ventas_b_mes12[[#This Row],[CUIT]]="","-",VLOOKUP(ventas_b_mes12[[#This Row],[CUIT]],Lista_CUIT[#All],2,0)),"CUIT NO CARGADO")</f>
        <v>-</v>
      </c>
      <c r="H1635" s="96">
        <f>ventas_b_mes12[[#This Row],[TOTAL]]/1.21</f>
        <v>10611.570247933885</v>
      </c>
      <c r="I1635" s="60">
        <f>ventas_b_mes12[[#This Row],[IMPORTE NETO]]*0.21</f>
        <v>2228.4297520661157</v>
      </c>
      <c r="J1635" s="229"/>
      <c r="K1635" s="229"/>
      <c r="L1635" s="229">
        <v>12840</v>
      </c>
      <c r="M1635" s="55"/>
    </row>
    <row r="1636" spans="2:13" x14ac:dyDescent="0.3">
      <c r="B1636" s="223" t="s">
        <v>2478</v>
      </c>
      <c r="C1636" s="37">
        <v>6</v>
      </c>
      <c r="D1636" s="225">
        <v>11</v>
      </c>
      <c r="E1636" s="226">
        <v>30200</v>
      </c>
      <c r="F1636" s="227"/>
      <c r="G1636" s="1" t="str">
        <f>IFERROR(IF(ventas_b_mes12[[#This Row],[CUIT]]="","-",VLOOKUP(ventas_b_mes12[[#This Row],[CUIT]],Lista_CUIT[#All],2,0)),"CUIT NO CARGADO")</f>
        <v>-</v>
      </c>
      <c r="H1636" s="96">
        <f>ventas_b_mes12[[#This Row],[TOTAL]]/1.21</f>
        <v>5842.9752066115707</v>
      </c>
      <c r="I1636" s="60">
        <f>ventas_b_mes12[[#This Row],[IMPORTE NETO]]*0.21</f>
        <v>1227.0247933884298</v>
      </c>
      <c r="J1636" s="229"/>
      <c r="K1636" s="229"/>
      <c r="L1636" s="229">
        <v>7070</v>
      </c>
      <c r="M1636" s="55"/>
    </row>
    <row r="1637" spans="2:13" x14ac:dyDescent="0.3">
      <c r="B1637" s="223" t="s">
        <v>2478</v>
      </c>
      <c r="C1637" s="37">
        <v>6</v>
      </c>
      <c r="D1637" s="225">
        <v>10</v>
      </c>
      <c r="E1637" s="226">
        <v>44025</v>
      </c>
      <c r="F1637" s="227"/>
      <c r="G1637" s="1" t="str">
        <f>IFERROR(IF(ventas_b_mes12[[#This Row],[CUIT]]="","-",VLOOKUP(ventas_b_mes12[[#This Row],[CUIT]],Lista_CUIT[#All],2,0)),"CUIT NO CARGADO")</f>
        <v>-</v>
      </c>
      <c r="H1637" s="96">
        <f>ventas_b_mes12[[#This Row],[TOTAL]]/1.21</f>
        <v>4958.6776859504134</v>
      </c>
      <c r="I1637" s="60">
        <f>ventas_b_mes12[[#This Row],[IMPORTE NETO]]*0.21</f>
        <v>1041.3223140495868</v>
      </c>
      <c r="J1637" s="229"/>
      <c r="K1637" s="229"/>
      <c r="L1637" s="229">
        <v>6000</v>
      </c>
      <c r="M1637" s="55"/>
    </row>
    <row r="1638" spans="2:13" x14ac:dyDescent="0.3">
      <c r="B1638" s="223" t="s">
        <v>2478</v>
      </c>
      <c r="C1638" s="37">
        <v>6</v>
      </c>
      <c r="D1638" s="225">
        <v>12</v>
      </c>
      <c r="E1638" s="226">
        <v>22642</v>
      </c>
      <c r="F1638" s="227"/>
      <c r="G1638" s="1" t="str">
        <f>IFERROR(IF(ventas_b_mes12[[#This Row],[CUIT]]="","-",VLOOKUP(ventas_b_mes12[[#This Row],[CUIT]],Lista_CUIT[#All],2,0)),"CUIT NO CARGADO")</f>
        <v>-</v>
      </c>
      <c r="H1638" s="96">
        <f>ventas_b_mes12[[#This Row],[TOTAL]]/1.21</f>
        <v>8851.2479338842986</v>
      </c>
      <c r="I1638" s="60">
        <f>ventas_b_mes12[[#This Row],[IMPORTE NETO]]*0.21</f>
        <v>1858.7620661157027</v>
      </c>
      <c r="J1638" s="229"/>
      <c r="K1638" s="229"/>
      <c r="L1638" s="229">
        <v>10710.01</v>
      </c>
      <c r="M1638" s="55"/>
    </row>
    <row r="1639" spans="2:13" x14ac:dyDescent="0.3">
      <c r="B1639" s="223" t="s">
        <v>2478</v>
      </c>
      <c r="C1639" s="37">
        <v>6</v>
      </c>
      <c r="D1639" s="225">
        <v>13</v>
      </c>
      <c r="E1639" s="226">
        <v>26838</v>
      </c>
      <c r="F1639" s="227"/>
      <c r="G1639" s="1" t="str">
        <f>IFERROR(IF(ventas_b_mes12[[#This Row],[CUIT]]="","-",VLOOKUP(ventas_b_mes12[[#This Row],[CUIT]],Lista_CUIT[#All],2,0)),"CUIT NO CARGADO")</f>
        <v>-</v>
      </c>
      <c r="H1639" s="96">
        <f>ventas_b_mes12[[#This Row],[TOTAL]]/1.21</f>
        <v>826.44628099173553</v>
      </c>
      <c r="I1639" s="60">
        <f>ventas_b_mes12[[#This Row],[IMPORTE NETO]]*0.21</f>
        <v>173.55371900826447</v>
      </c>
      <c r="J1639" s="229"/>
      <c r="K1639" s="229"/>
      <c r="L1639" s="229">
        <v>1000</v>
      </c>
      <c r="M1639" s="55"/>
    </row>
    <row r="1640" spans="2:13" x14ac:dyDescent="0.3">
      <c r="B1640" s="223" t="s">
        <v>2478</v>
      </c>
      <c r="C1640" s="37">
        <v>6</v>
      </c>
      <c r="D1640" s="225">
        <v>11</v>
      </c>
      <c r="E1640" s="226">
        <v>30204</v>
      </c>
      <c r="F1640" s="227"/>
      <c r="G1640" s="1" t="str">
        <f>IFERROR(IF(ventas_b_mes12[[#This Row],[CUIT]]="","-",VLOOKUP(ventas_b_mes12[[#This Row],[CUIT]],Lista_CUIT[#All],2,0)),"CUIT NO CARGADO")</f>
        <v>-</v>
      </c>
      <c r="H1640" s="96">
        <f>ventas_b_mes12[[#This Row],[TOTAL]]/1.21</f>
        <v>16086.776859504133</v>
      </c>
      <c r="I1640" s="60">
        <f>ventas_b_mes12[[#This Row],[IMPORTE NETO]]*0.21</f>
        <v>3378.2231404958675</v>
      </c>
      <c r="J1640" s="229"/>
      <c r="K1640" s="229"/>
      <c r="L1640" s="229">
        <v>19465</v>
      </c>
      <c r="M1640" s="55"/>
    </row>
    <row r="1641" spans="2:13" x14ac:dyDescent="0.3">
      <c r="B1641" s="223" t="s">
        <v>2478</v>
      </c>
      <c r="C1641" s="37">
        <v>6</v>
      </c>
      <c r="D1641" s="225">
        <v>10</v>
      </c>
      <c r="E1641" s="226">
        <v>44021</v>
      </c>
      <c r="F1641" s="227"/>
      <c r="G1641" s="1" t="str">
        <f>IFERROR(IF(ventas_b_mes12[[#This Row],[CUIT]]="","-",VLOOKUP(ventas_b_mes12[[#This Row],[CUIT]],Lista_CUIT[#All],2,0)),"CUIT NO CARGADO")</f>
        <v>-</v>
      </c>
      <c r="H1641" s="96">
        <f>ventas_b_mes12[[#This Row],[TOTAL]]/1.21</f>
        <v>6776.8512396694214</v>
      </c>
      <c r="I1641" s="60">
        <f>ventas_b_mes12[[#This Row],[IMPORTE NETO]]*0.21</f>
        <v>1423.1387603305784</v>
      </c>
      <c r="J1641" s="229"/>
      <c r="K1641" s="229"/>
      <c r="L1641" s="229">
        <v>8199.99</v>
      </c>
      <c r="M1641" s="55"/>
    </row>
    <row r="1642" spans="2:13" x14ac:dyDescent="0.3">
      <c r="B1642" s="223" t="s">
        <v>2478</v>
      </c>
      <c r="C1642" s="37">
        <v>6</v>
      </c>
      <c r="D1642" s="225">
        <v>10</v>
      </c>
      <c r="E1642" s="226">
        <v>44022</v>
      </c>
      <c r="F1642" s="227"/>
      <c r="G1642" s="1" t="str">
        <f>IFERROR(IF(ventas_b_mes12[[#This Row],[CUIT]]="","-",VLOOKUP(ventas_b_mes12[[#This Row],[CUIT]],Lista_CUIT[#All],2,0)),"CUIT NO CARGADO")</f>
        <v>-</v>
      </c>
      <c r="H1642" s="96">
        <f>ventas_b_mes12[[#This Row],[TOTAL]]/1.21</f>
        <v>24660.471074380166</v>
      </c>
      <c r="I1642" s="60">
        <f>ventas_b_mes12[[#This Row],[IMPORTE NETO]]*0.21</f>
        <v>5178.6989256198349</v>
      </c>
      <c r="J1642" s="229"/>
      <c r="K1642" s="229"/>
      <c r="L1642" s="229">
        <v>29839.17</v>
      </c>
      <c r="M1642" s="55"/>
    </row>
    <row r="1643" spans="2:13" x14ac:dyDescent="0.3">
      <c r="B1643" s="223" t="s">
        <v>2478</v>
      </c>
      <c r="C1643" s="37">
        <v>6</v>
      </c>
      <c r="D1643" s="225">
        <v>15</v>
      </c>
      <c r="E1643" s="226">
        <v>7298</v>
      </c>
      <c r="F1643" s="227"/>
      <c r="G1643" s="1" t="str">
        <f>IFERROR(IF(ventas_b_mes12[[#This Row],[CUIT]]="","-",VLOOKUP(ventas_b_mes12[[#This Row],[CUIT]],Lista_CUIT[#All],2,0)),"CUIT NO CARGADO")</f>
        <v>-</v>
      </c>
      <c r="H1643" s="96">
        <f>ventas_b_mes12[[#This Row],[TOTAL]]/1.21</f>
        <v>7727.2727272727279</v>
      </c>
      <c r="I1643" s="60">
        <f>ventas_b_mes12[[#This Row],[IMPORTE NETO]]*0.21</f>
        <v>1622.7272727272727</v>
      </c>
      <c r="J1643" s="229"/>
      <c r="K1643" s="229"/>
      <c r="L1643" s="229">
        <v>9350</v>
      </c>
      <c r="M1643" s="55"/>
    </row>
    <row r="1644" spans="2:13" x14ac:dyDescent="0.3">
      <c r="B1644" s="223" t="s">
        <v>2478</v>
      </c>
      <c r="C1644" s="37">
        <v>6</v>
      </c>
      <c r="D1644" s="225">
        <v>10</v>
      </c>
      <c r="E1644" s="226">
        <v>44016</v>
      </c>
      <c r="F1644" s="227"/>
      <c r="G1644" s="1" t="str">
        <f>IFERROR(IF(ventas_b_mes12[[#This Row],[CUIT]]="","-",VLOOKUP(ventas_b_mes12[[#This Row],[CUIT]],Lista_CUIT[#All],2,0)),"CUIT NO CARGADO")</f>
        <v>-</v>
      </c>
      <c r="H1644" s="96">
        <f>ventas_b_mes12[[#This Row],[TOTAL]]/1.21</f>
        <v>895.04132231404958</v>
      </c>
      <c r="I1644" s="60">
        <f>ventas_b_mes12[[#This Row],[IMPORTE NETO]]*0.21</f>
        <v>187.95867768595039</v>
      </c>
      <c r="J1644" s="229"/>
      <c r="K1644" s="229"/>
      <c r="L1644" s="229">
        <v>1083</v>
      </c>
      <c r="M1644" s="55"/>
    </row>
    <row r="1645" spans="2:13" x14ac:dyDescent="0.3">
      <c r="B1645" s="223" t="s">
        <v>2478</v>
      </c>
      <c r="C1645" s="37">
        <v>6</v>
      </c>
      <c r="D1645" s="225">
        <v>11</v>
      </c>
      <c r="E1645" s="226">
        <v>30201</v>
      </c>
      <c r="F1645" s="227"/>
      <c r="G1645" s="1" t="str">
        <f>IFERROR(IF(ventas_b_mes12[[#This Row],[CUIT]]="","-",VLOOKUP(ventas_b_mes12[[#This Row],[CUIT]],Lista_CUIT[#All],2,0)),"CUIT NO CARGADO")</f>
        <v>-</v>
      </c>
      <c r="H1645" s="96">
        <f>ventas_b_mes12[[#This Row],[TOTAL]]/1.21</f>
        <v>4925.6198347107438</v>
      </c>
      <c r="I1645" s="60">
        <f>ventas_b_mes12[[#This Row],[IMPORTE NETO]]*0.21</f>
        <v>1034.3801652892562</v>
      </c>
      <c r="J1645" s="229"/>
      <c r="K1645" s="229"/>
      <c r="L1645" s="229">
        <v>5960</v>
      </c>
      <c r="M1645" s="55"/>
    </row>
    <row r="1646" spans="2:13" x14ac:dyDescent="0.3">
      <c r="B1646" s="223" t="s">
        <v>2478</v>
      </c>
      <c r="C1646" s="37">
        <v>6</v>
      </c>
      <c r="D1646" s="225">
        <v>11</v>
      </c>
      <c r="E1646" s="226">
        <v>30209</v>
      </c>
      <c r="F1646" s="227"/>
      <c r="G1646" s="1" t="str">
        <f>IFERROR(IF(ventas_b_mes12[[#This Row],[CUIT]]="","-",VLOOKUP(ventas_b_mes12[[#This Row],[CUIT]],Lista_CUIT[#All],2,0)),"CUIT NO CARGADO")</f>
        <v>-</v>
      </c>
      <c r="H1646" s="96">
        <f>ventas_b_mes12[[#This Row],[TOTAL]]/1.21</f>
        <v>6282.644628099174</v>
      </c>
      <c r="I1646" s="60">
        <f>ventas_b_mes12[[#This Row],[IMPORTE NETO]]*0.21</f>
        <v>1319.3553719008264</v>
      </c>
      <c r="J1646" s="229"/>
      <c r="K1646" s="229"/>
      <c r="L1646" s="229">
        <v>7602</v>
      </c>
      <c r="M1646" s="55"/>
    </row>
    <row r="1647" spans="2:13" x14ac:dyDescent="0.3">
      <c r="B1647" s="223" t="s">
        <v>2478</v>
      </c>
      <c r="C1647" s="37">
        <v>6</v>
      </c>
      <c r="D1647" s="225">
        <v>13</v>
      </c>
      <c r="E1647" s="226">
        <v>26843</v>
      </c>
      <c r="F1647" s="227"/>
      <c r="G1647" s="1" t="str">
        <f>IFERROR(IF(ventas_b_mes12[[#This Row],[CUIT]]="","-",VLOOKUP(ventas_b_mes12[[#This Row],[CUIT]],Lista_CUIT[#All],2,0)),"CUIT NO CARGADO")</f>
        <v>-</v>
      </c>
      <c r="H1647" s="96">
        <f>ventas_b_mes12[[#This Row],[TOTAL]]/1.21</f>
        <v>10909.09090909091</v>
      </c>
      <c r="I1647" s="60">
        <f>ventas_b_mes12[[#This Row],[IMPORTE NETO]]*0.21</f>
        <v>2290.909090909091</v>
      </c>
      <c r="J1647" s="229"/>
      <c r="K1647" s="229"/>
      <c r="L1647" s="229">
        <v>13200</v>
      </c>
      <c r="M1647" s="55"/>
    </row>
    <row r="1648" spans="2:13" x14ac:dyDescent="0.3">
      <c r="B1648" s="223" t="s">
        <v>2478</v>
      </c>
      <c r="C1648" s="37">
        <v>6</v>
      </c>
      <c r="D1648" s="225">
        <v>15</v>
      </c>
      <c r="E1648" s="226">
        <v>7295</v>
      </c>
      <c r="F1648" s="227"/>
      <c r="G1648" s="1" t="str">
        <f>IFERROR(IF(ventas_b_mes12[[#This Row],[CUIT]]="","-",VLOOKUP(ventas_b_mes12[[#This Row],[CUIT]],Lista_CUIT[#All],2,0)),"CUIT NO CARGADO")</f>
        <v>-</v>
      </c>
      <c r="H1648" s="96">
        <f>ventas_b_mes12[[#This Row],[TOTAL]]/1.21</f>
        <v>6798.3471074380168</v>
      </c>
      <c r="I1648" s="60">
        <f>ventas_b_mes12[[#This Row],[IMPORTE NETO]]*0.21</f>
        <v>1427.6528925619834</v>
      </c>
      <c r="J1648" s="229"/>
      <c r="K1648" s="229"/>
      <c r="L1648" s="229">
        <v>8226</v>
      </c>
      <c r="M1648" s="55"/>
    </row>
    <row r="1649" spans="2:13" x14ac:dyDescent="0.3">
      <c r="B1649" s="223" t="s">
        <v>2478</v>
      </c>
      <c r="C1649" s="37">
        <v>6</v>
      </c>
      <c r="D1649" s="225">
        <v>10</v>
      </c>
      <c r="E1649" s="226">
        <v>44024</v>
      </c>
      <c r="F1649" s="227"/>
      <c r="G1649" s="1" t="str">
        <f>IFERROR(IF(ventas_b_mes12[[#This Row],[CUIT]]="","-",VLOOKUP(ventas_b_mes12[[#This Row],[CUIT]],Lista_CUIT[#All],2,0)),"CUIT NO CARGADO")</f>
        <v>-</v>
      </c>
      <c r="H1649" s="96">
        <f>ventas_b_mes12[[#This Row],[TOTAL]]/1.21</f>
        <v>8380.1652892561979</v>
      </c>
      <c r="I1649" s="60">
        <f>ventas_b_mes12[[#This Row],[IMPORTE NETO]]*0.21</f>
        <v>1759.8347107438015</v>
      </c>
      <c r="J1649" s="229"/>
      <c r="K1649" s="229"/>
      <c r="L1649" s="229">
        <v>10140</v>
      </c>
      <c r="M1649" s="55"/>
    </row>
    <row r="1650" spans="2:13" x14ac:dyDescent="0.3">
      <c r="B1650" s="223" t="s">
        <v>2478</v>
      </c>
      <c r="C1650" s="37">
        <v>6</v>
      </c>
      <c r="D1650" s="225">
        <v>15</v>
      </c>
      <c r="E1650" s="226">
        <v>7296</v>
      </c>
      <c r="F1650" s="227"/>
      <c r="G1650" s="1" t="str">
        <f>IFERROR(IF(ventas_b_mes12[[#This Row],[CUIT]]="","-",VLOOKUP(ventas_b_mes12[[#This Row],[CUIT]],Lista_CUIT[#All],2,0)),"CUIT NO CARGADO")</f>
        <v>-</v>
      </c>
      <c r="H1650" s="96">
        <f>ventas_b_mes12[[#This Row],[TOTAL]]/1.21</f>
        <v>2454.5371900826444</v>
      </c>
      <c r="I1650" s="60">
        <f>ventas_b_mes12[[#This Row],[IMPORTE NETO]]*0.21</f>
        <v>515.45280991735535</v>
      </c>
      <c r="J1650" s="229"/>
      <c r="K1650" s="229"/>
      <c r="L1650" s="229">
        <v>2969.99</v>
      </c>
      <c r="M1650" s="55"/>
    </row>
    <row r="1651" spans="2:13" x14ac:dyDescent="0.3">
      <c r="B1651" s="223" t="s">
        <v>2478</v>
      </c>
      <c r="C1651" s="37">
        <v>6</v>
      </c>
      <c r="D1651" s="225">
        <v>12</v>
      </c>
      <c r="E1651" s="226">
        <v>22645</v>
      </c>
      <c r="F1651" s="227"/>
      <c r="G1651" s="1" t="str">
        <f>IFERROR(IF(ventas_b_mes12[[#This Row],[CUIT]]="","-",VLOOKUP(ventas_b_mes12[[#This Row],[CUIT]],Lista_CUIT[#All],2,0)),"CUIT NO CARGADO")</f>
        <v>-</v>
      </c>
      <c r="H1651" s="96">
        <f>ventas_b_mes12[[#This Row],[TOTAL]]/1.21</f>
        <v>1735.5371900826447</v>
      </c>
      <c r="I1651" s="60">
        <f>ventas_b_mes12[[#This Row],[IMPORTE NETO]]*0.21</f>
        <v>364.46280991735534</v>
      </c>
      <c r="J1651" s="229"/>
      <c r="K1651" s="229"/>
      <c r="L1651" s="229">
        <v>2100</v>
      </c>
      <c r="M1651" s="55"/>
    </row>
    <row r="1652" spans="2:13" x14ac:dyDescent="0.3">
      <c r="B1652" s="223" t="s">
        <v>2478</v>
      </c>
      <c r="C1652" s="37">
        <v>6</v>
      </c>
      <c r="D1652" s="225">
        <v>12</v>
      </c>
      <c r="E1652" s="226">
        <v>22654</v>
      </c>
      <c r="F1652" s="227"/>
      <c r="G1652" s="1" t="str">
        <f>IFERROR(IF(ventas_b_mes12[[#This Row],[CUIT]]="","-",VLOOKUP(ventas_b_mes12[[#This Row],[CUIT]],Lista_CUIT[#All],2,0)),"CUIT NO CARGADO")</f>
        <v>-</v>
      </c>
      <c r="H1652" s="96">
        <f>ventas_b_mes12[[#This Row],[TOTAL]]/1.21</f>
        <v>1694.2066115702478</v>
      </c>
      <c r="I1652" s="60">
        <f>ventas_b_mes12[[#This Row],[IMPORTE NETO]]*0.21</f>
        <v>355.78338842975199</v>
      </c>
      <c r="J1652" s="229"/>
      <c r="K1652" s="229"/>
      <c r="L1652" s="229">
        <v>2049.9899999999998</v>
      </c>
      <c r="M1652" s="55"/>
    </row>
    <row r="1653" spans="2:13" x14ac:dyDescent="0.3">
      <c r="B1653" s="223" t="s">
        <v>2478</v>
      </c>
      <c r="C1653" s="37">
        <v>6</v>
      </c>
      <c r="D1653" s="225">
        <v>11</v>
      </c>
      <c r="E1653" s="226">
        <v>30211</v>
      </c>
      <c r="F1653" s="227"/>
      <c r="G1653" s="1" t="str">
        <f>IFERROR(IF(ventas_b_mes12[[#This Row],[CUIT]]="","-",VLOOKUP(ventas_b_mes12[[#This Row],[CUIT]],Lista_CUIT[#All],2,0)),"CUIT NO CARGADO")</f>
        <v>-</v>
      </c>
      <c r="H1653" s="96">
        <f>ventas_b_mes12[[#This Row],[TOTAL]]/1.21</f>
        <v>1123.9669421487604</v>
      </c>
      <c r="I1653" s="60">
        <f>ventas_b_mes12[[#This Row],[IMPORTE NETO]]*0.21</f>
        <v>236.03305785123968</v>
      </c>
      <c r="J1653" s="229"/>
      <c r="K1653" s="229"/>
      <c r="L1653" s="229">
        <v>1360</v>
      </c>
      <c r="M1653" s="55"/>
    </row>
    <row r="1654" spans="2:13" x14ac:dyDescent="0.3">
      <c r="B1654" s="223" t="s">
        <v>2478</v>
      </c>
      <c r="C1654" s="37">
        <v>6</v>
      </c>
      <c r="D1654" s="225">
        <v>15</v>
      </c>
      <c r="E1654" s="226">
        <v>7294</v>
      </c>
      <c r="F1654" s="227"/>
      <c r="G1654" s="1" t="str">
        <f>IFERROR(IF(ventas_b_mes12[[#This Row],[CUIT]]="","-",VLOOKUP(ventas_b_mes12[[#This Row],[CUIT]],Lista_CUIT[#All],2,0)),"CUIT NO CARGADO")</f>
        <v>-</v>
      </c>
      <c r="H1654" s="96">
        <f>ventas_b_mes12[[#This Row],[TOTAL]]/1.21</f>
        <v>2392.5619834710747</v>
      </c>
      <c r="I1654" s="60">
        <f>ventas_b_mes12[[#This Row],[IMPORTE NETO]]*0.21</f>
        <v>502.43801652892569</v>
      </c>
      <c r="J1654" s="229"/>
      <c r="K1654" s="229"/>
      <c r="L1654" s="229">
        <v>2895</v>
      </c>
      <c r="M1654" s="55"/>
    </row>
    <row r="1655" spans="2:13" x14ac:dyDescent="0.3">
      <c r="B1655" s="223" t="s">
        <v>2478</v>
      </c>
      <c r="C1655" s="37">
        <v>6</v>
      </c>
      <c r="D1655" s="225">
        <v>15</v>
      </c>
      <c r="E1655" s="226">
        <v>7293</v>
      </c>
      <c r="F1655" s="227"/>
      <c r="G1655" s="1" t="str">
        <f>IFERROR(IF(ventas_b_mes12[[#This Row],[CUIT]]="","-",VLOOKUP(ventas_b_mes12[[#This Row],[CUIT]],Lista_CUIT[#All],2,0)),"CUIT NO CARGADO")</f>
        <v>-</v>
      </c>
      <c r="H1655" s="96">
        <f>ventas_b_mes12[[#This Row],[TOTAL]]/1.21</f>
        <v>3223.1404958677685</v>
      </c>
      <c r="I1655" s="60">
        <f>ventas_b_mes12[[#This Row],[IMPORTE NETO]]*0.21</f>
        <v>676.85950413223134</v>
      </c>
      <c r="J1655" s="229"/>
      <c r="K1655" s="229"/>
      <c r="L1655" s="229">
        <v>3900</v>
      </c>
      <c r="M1655" s="55"/>
    </row>
    <row r="1656" spans="2:13" x14ac:dyDescent="0.3">
      <c r="B1656" s="223" t="s">
        <v>2478</v>
      </c>
      <c r="C1656" s="37">
        <v>6</v>
      </c>
      <c r="D1656" s="225">
        <v>15</v>
      </c>
      <c r="E1656" s="226">
        <v>7305</v>
      </c>
      <c r="F1656" s="227"/>
      <c r="G1656" s="1" t="str">
        <f>IFERROR(IF(ventas_b_mes12[[#This Row],[CUIT]]="","-",VLOOKUP(ventas_b_mes12[[#This Row],[CUIT]],Lista_CUIT[#All],2,0)),"CUIT NO CARGADO")</f>
        <v>-</v>
      </c>
      <c r="H1656" s="96">
        <f>ventas_b_mes12[[#This Row],[TOTAL]]/1.21</f>
        <v>4545.454545454546</v>
      </c>
      <c r="I1656" s="60">
        <f>ventas_b_mes12[[#This Row],[IMPORTE NETO]]*0.21</f>
        <v>954.54545454545462</v>
      </c>
      <c r="J1656" s="229"/>
      <c r="K1656" s="229"/>
      <c r="L1656" s="229">
        <v>5500</v>
      </c>
      <c r="M1656" s="55"/>
    </row>
    <row r="1657" spans="2:13" x14ac:dyDescent="0.3">
      <c r="B1657" s="223" t="s">
        <v>2478</v>
      </c>
      <c r="C1657" s="37">
        <v>6</v>
      </c>
      <c r="D1657" s="225">
        <v>12</v>
      </c>
      <c r="E1657" s="226">
        <v>22650</v>
      </c>
      <c r="F1657" s="227"/>
      <c r="G1657" s="1" t="str">
        <f>IFERROR(IF(ventas_b_mes12[[#This Row],[CUIT]]="","-",VLOOKUP(ventas_b_mes12[[#This Row],[CUIT]],Lista_CUIT[#All],2,0)),"CUIT NO CARGADO")</f>
        <v>-</v>
      </c>
      <c r="H1657" s="96">
        <f>ventas_b_mes12[[#This Row],[TOTAL]]/1.21</f>
        <v>4628.1074380165292</v>
      </c>
      <c r="I1657" s="60">
        <f>ventas_b_mes12[[#This Row],[IMPORTE NETO]]*0.21</f>
        <v>971.90256198347106</v>
      </c>
      <c r="J1657" s="229"/>
      <c r="K1657" s="229"/>
      <c r="L1657" s="229">
        <v>5600.01</v>
      </c>
      <c r="M1657" s="55"/>
    </row>
    <row r="1658" spans="2:13" x14ac:dyDescent="0.3">
      <c r="B1658" s="223" t="s">
        <v>2478</v>
      </c>
      <c r="C1658" s="37">
        <v>6</v>
      </c>
      <c r="D1658" s="225">
        <v>15</v>
      </c>
      <c r="E1658" s="226">
        <v>7301</v>
      </c>
      <c r="F1658" s="227"/>
      <c r="G1658" s="1" t="str">
        <f>IFERROR(IF(ventas_b_mes12[[#This Row],[CUIT]]="","-",VLOOKUP(ventas_b_mes12[[#This Row],[CUIT]],Lista_CUIT[#All],2,0)),"CUIT NO CARGADO")</f>
        <v>-</v>
      </c>
      <c r="H1658" s="96">
        <f>ventas_b_mes12[[#This Row],[TOTAL]]/1.21</f>
        <v>4958.6776859504134</v>
      </c>
      <c r="I1658" s="60">
        <f>ventas_b_mes12[[#This Row],[IMPORTE NETO]]*0.21</f>
        <v>1041.3223140495868</v>
      </c>
      <c r="J1658" s="229"/>
      <c r="K1658" s="229"/>
      <c r="L1658" s="229">
        <v>6000</v>
      </c>
      <c r="M1658" s="55"/>
    </row>
    <row r="1659" spans="2:13" x14ac:dyDescent="0.3">
      <c r="B1659" s="223" t="s">
        <v>2478</v>
      </c>
      <c r="C1659" s="37">
        <v>6</v>
      </c>
      <c r="D1659" s="225">
        <v>12</v>
      </c>
      <c r="E1659" s="226">
        <v>22641</v>
      </c>
      <c r="F1659" s="227"/>
      <c r="G1659" s="1" t="str">
        <f>IFERROR(IF(ventas_b_mes12[[#This Row],[CUIT]]="","-",VLOOKUP(ventas_b_mes12[[#This Row],[CUIT]],Lista_CUIT[#All],2,0)),"CUIT NO CARGADO")</f>
        <v>-</v>
      </c>
      <c r="H1659" s="96">
        <f>ventas_b_mes12[[#This Row],[TOTAL]]/1.21</f>
        <v>3305.7851239669421</v>
      </c>
      <c r="I1659" s="60">
        <f>ventas_b_mes12[[#This Row],[IMPORTE NETO]]*0.21</f>
        <v>694.21487603305786</v>
      </c>
      <c r="J1659" s="229"/>
      <c r="K1659" s="229"/>
      <c r="L1659" s="229">
        <v>4000</v>
      </c>
      <c r="M1659" s="55"/>
    </row>
    <row r="1660" spans="2:13" x14ac:dyDescent="0.3">
      <c r="B1660" s="223" t="s">
        <v>2479</v>
      </c>
      <c r="C1660" s="37">
        <v>6</v>
      </c>
      <c r="D1660" s="225">
        <v>12</v>
      </c>
      <c r="E1660" s="226">
        <v>22658</v>
      </c>
      <c r="F1660" s="227"/>
      <c r="G1660" s="1" t="str">
        <f>IFERROR(IF(ventas_b_mes12[[#This Row],[CUIT]]="","-",VLOOKUP(ventas_b_mes12[[#This Row],[CUIT]],Lista_CUIT[#All],2,0)),"CUIT NO CARGADO")</f>
        <v>-</v>
      </c>
      <c r="H1660" s="96">
        <f>ventas_b_mes12[[#This Row],[TOTAL]]/1.21</f>
        <v>43867.768595041322</v>
      </c>
      <c r="I1660" s="60">
        <f>ventas_b_mes12[[#This Row],[IMPORTE NETO]]*0.21</f>
        <v>9212.2314049586766</v>
      </c>
      <c r="J1660" s="229"/>
      <c r="K1660" s="229"/>
      <c r="L1660" s="229">
        <v>53080</v>
      </c>
      <c r="M1660" s="55"/>
    </row>
    <row r="1661" spans="2:13" x14ac:dyDescent="0.3">
      <c r="B1661" s="223" t="s">
        <v>2479</v>
      </c>
      <c r="C1661" s="37">
        <v>6</v>
      </c>
      <c r="D1661" s="225">
        <v>13</v>
      </c>
      <c r="E1661" s="226">
        <v>26855</v>
      </c>
      <c r="F1661" s="227"/>
      <c r="G1661" s="1" t="str">
        <f>IFERROR(IF(ventas_b_mes12[[#This Row],[CUIT]]="","-",VLOOKUP(ventas_b_mes12[[#This Row],[CUIT]],Lista_CUIT[#All],2,0)),"CUIT NO CARGADO")</f>
        <v>-</v>
      </c>
      <c r="H1661" s="96">
        <f>ventas_b_mes12[[#This Row],[TOTAL]]/1.21</f>
        <v>561.98347107438019</v>
      </c>
      <c r="I1661" s="60">
        <f>ventas_b_mes12[[#This Row],[IMPORTE NETO]]*0.21</f>
        <v>118.01652892561984</v>
      </c>
      <c r="J1661" s="229"/>
      <c r="K1661" s="229"/>
      <c r="L1661" s="229">
        <v>680</v>
      </c>
      <c r="M1661" s="55"/>
    </row>
    <row r="1662" spans="2:13" x14ac:dyDescent="0.3">
      <c r="B1662" s="223" t="s">
        <v>2479</v>
      </c>
      <c r="C1662" s="37">
        <v>6</v>
      </c>
      <c r="D1662" s="225">
        <v>13</v>
      </c>
      <c r="E1662" s="226">
        <v>26862</v>
      </c>
      <c r="F1662" s="227"/>
      <c r="G1662" s="1" t="str">
        <f>IFERROR(IF(ventas_b_mes12[[#This Row],[CUIT]]="","-",VLOOKUP(ventas_b_mes12[[#This Row],[CUIT]],Lista_CUIT[#All],2,0)),"CUIT NO CARGADO")</f>
        <v>-</v>
      </c>
      <c r="H1662" s="96">
        <f>ventas_b_mes12[[#This Row],[TOTAL]]/1.21</f>
        <v>1338.8429752066115</v>
      </c>
      <c r="I1662" s="60">
        <f>ventas_b_mes12[[#This Row],[IMPORTE NETO]]*0.21</f>
        <v>281.15702479338842</v>
      </c>
      <c r="J1662" s="229"/>
      <c r="K1662" s="229"/>
      <c r="L1662" s="229">
        <v>1620</v>
      </c>
      <c r="M1662" s="55"/>
    </row>
    <row r="1663" spans="2:13" x14ac:dyDescent="0.3">
      <c r="B1663" s="223" t="s">
        <v>2479</v>
      </c>
      <c r="C1663" s="37">
        <v>6</v>
      </c>
      <c r="D1663" s="225">
        <v>10</v>
      </c>
      <c r="E1663" s="226">
        <v>44030</v>
      </c>
      <c r="F1663" s="227"/>
      <c r="G1663" s="1" t="str">
        <f>IFERROR(IF(ventas_b_mes12[[#This Row],[CUIT]]="","-",VLOOKUP(ventas_b_mes12[[#This Row],[CUIT]],Lista_CUIT[#All],2,0)),"CUIT NO CARGADO")</f>
        <v>-</v>
      </c>
      <c r="H1663" s="96">
        <f>ventas_b_mes12[[#This Row],[TOTAL]]/1.21</f>
        <v>6462.8099173553719</v>
      </c>
      <c r="I1663" s="60">
        <f>ventas_b_mes12[[#This Row],[IMPORTE NETO]]*0.21</f>
        <v>1357.1900826446281</v>
      </c>
      <c r="J1663" s="229"/>
      <c r="K1663" s="229"/>
      <c r="L1663" s="229">
        <v>7820</v>
      </c>
      <c r="M1663" s="55"/>
    </row>
    <row r="1664" spans="2:13" x14ac:dyDescent="0.3">
      <c r="B1664" s="223" t="s">
        <v>2479</v>
      </c>
      <c r="C1664" s="37">
        <v>6</v>
      </c>
      <c r="D1664" s="225">
        <v>10</v>
      </c>
      <c r="E1664" s="226">
        <v>44037</v>
      </c>
      <c r="F1664" s="227"/>
      <c r="G1664" s="1" t="str">
        <f>IFERROR(IF(ventas_b_mes12[[#This Row],[CUIT]]="","-",VLOOKUP(ventas_b_mes12[[#This Row],[CUIT]],Lista_CUIT[#All],2,0)),"CUIT NO CARGADO")</f>
        <v>-</v>
      </c>
      <c r="H1664" s="96">
        <f>ventas_b_mes12[[#This Row],[TOTAL]]/1.21</f>
        <v>7685.9504132231405</v>
      </c>
      <c r="I1664" s="60">
        <f>ventas_b_mes12[[#This Row],[IMPORTE NETO]]*0.21</f>
        <v>1614.0495867768595</v>
      </c>
      <c r="J1664" s="229"/>
      <c r="K1664" s="229"/>
      <c r="L1664" s="229">
        <v>9300</v>
      </c>
      <c r="M1664" s="55"/>
    </row>
    <row r="1665" spans="2:13" x14ac:dyDescent="0.3">
      <c r="B1665" s="223" t="s">
        <v>2479</v>
      </c>
      <c r="C1665" s="37">
        <v>6</v>
      </c>
      <c r="D1665" s="225">
        <v>13</v>
      </c>
      <c r="E1665" s="226">
        <v>26852</v>
      </c>
      <c r="F1665" s="227"/>
      <c r="G1665" s="1" t="str">
        <f>IFERROR(IF(ventas_b_mes12[[#This Row],[CUIT]]="","-",VLOOKUP(ventas_b_mes12[[#This Row],[CUIT]],Lista_CUIT[#All],2,0)),"CUIT NO CARGADO")</f>
        <v>-</v>
      </c>
      <c r="H1665" s="96">
        <f>ventas_b_mes12[[#This Row],[TOTAL]]/1.21</f>
        <v>1611.5702479338843</v>
      </c>
      <c r="I1665" s="60">
        <f>ventas_b_mes12[[#This Row],[IMPORTE NETO]]*0.21</f>
        <v>338.42975206611567</v>
      </c>
      <c r="J1665" s="229"/>
      <c r="K1665" s="229"/>
      <c r="L1665" s="229">
        <v>1950</v>
      </c>
      <c r="M1665" s="55"/>
    </row>
    <row r="1666" spans="2:13" x14ac:dyDescent="0.3">
      <c r="B1666" s="223" t="s">
        <v>2479</v>
      </c>
      <c r="C1666" s="37">
        <v>6</v>
      </c>
      <c r="D1666" s="225">
        <v>12</v>
      </c>
      <c r="E1666" s="226">
        <v>22655</v>
      </c>
      <c r="F1666" s="227"/>
      <c r="G1666" s="1" t="str">
        <f>IFERROR(IF(ventas_b_mes12[[#This Row],[CUIT]]="","-",VLOOKUP(ventas_b_mes12[[#This Row],[CUIT]],Lista_CUIT[#All],2,0)),"CUIT NO CARGADO")</f>
        <v>-</v>
      </c>
      <c r="H1666" s="96">
        <f>ventas_b_mes12[[#This Row],[TOTAL]]/1.21</f>
        <v>5371.9008264462809</v>
      </c>
      <c r="I1666" s="60">
        <f>ventas_b_mes12[[#This Row],[IMPORTE NETO]]*0.21</f>
        <v>1128.0991735537189</v>
      </c>
      <c r="J1666" s="229"/>
      <c r="K1666" s="229"/>
      <c r="L1666" s="229">
        <v>6500</v>
      </c>
      <c r="M1666" s="55"/>
    </row>
    <row r="1667" spans="2:13" x14ac:dyDescent="0.3">
      <c r="B1667" s="223" t="s">
        <v>2479</v>
      </c>
      <c r="C1667" s="37">
        <v>6</v>
      </c>
      <c r="D1667" s="225">
        <v>10</v>
      </c>
      <c r="E1667" s="226">
        <v>44027</v>
      </c>
      <c r="F1667" s="227"/>
      <c r="G1667" s="1" t="str">
        <f>IFERROR(IF(ventas_b_mes12[[#This Row],[CUIT]]="","-",VLOOKUP(ventas_b_mes12[[#This Row],[CUIT]],Lista_CUIT[#All],2,0)),"CUIT NO CARGADO")</f>
        <v>-</v>
      </c>
      <c r="H1667" s="96">
        <f>ventas_b_mes12[[#This Row],[TOTAL]]/1.21</f>
        <v>4958.6776859504134</v>
      </c>
      <c r="I1667" s="60">
        <f>ventas_b_mes12[[#This Row],[IMPORTE NETO]]*0.21</f>
        <v>1041.3223140495868</v>
      </c>
      <c r="J1667" s="229"/>
      <c r="K1667" s="229"/>
      <c r="L1667" s="229">
        <v>6000</v>
      </c>
      <c r="M1667" s="55"/>
    </row>
    <row r="1668" spans="2:13" x14ac:dyDescent="0.3">
      <c r="B1668" s="223" t="s">
        <v>2479</v>
      </c>
      <c r="C1668" s="37">
        <v>6</v>
      </c>
      <c r="D1668" s="225">
        <v>10</v>
      </c>
      <c r="E1668" s="226">
        <v>44035</v>
      </c>
      <c r="F1668" s="227"/>
      <c r="G1668" s="1" t="str">
        <f>IFERROR(IF(ventas_b_mes12[[#This Row],[CUIT]]="","-",VLOOKUP(ventas_b_mes12[[#This Row],[CUIT]],Lista_CUIT[#All],2,0)),"CUIT NO CARGADO")</f>
        <v>-</v>
      </c>
      <c r="H1668" s="96">
        <f>ventas_b_mes12[[#This Row],[TOTAL]]/1.21</f>
        <v>6504.1322314049585</v>
      </c>
      <c r="I1668" s="60">
        <f>ventas_b_mes12[[#This Row],[IMPORTE NETO]]*0.21</f>
        <v>1365.8677685950413</v>
      </c>
      <c r="J1668" s="229"/>
      <c r="K1668" s="229"/>
      <c r="L1668" s="229">
        <v>7870</v>
      </c>
      <c r="M1668" s="55"/>
    </row>
    <row r="1669" spans="2:13" x14ac:dyDescent="0.3">
      <c r="B1669" s="223" t="s">
        <v>2479</v>
      </c>
      <c r="C1669" s="37">
        <v>6</v>
      </c>
      <c r="D1669" s="225">
        <v>10</v>
      </c>
      <c r="E1669" s="226">
        <v>44038</v>
      </c>
      <c r="F1669" s="227"/>
      <c r="G1669" s="1" t="str">
        <f>IFERROR(IF(ventas_b_mes12[[#This Row],[CUIT]]="","-",VLOOKUP(ventas_b_mes12[[#This Row],[CUIT]],Lista_CUIT[#All],2,0)),"CUIT NO CARGADO")</f>
        <v>-</v>
      </c>
      <c r="H1669" s="96">
        <f>ventas_b_mes12[[#This Row],[TOTAL]]/1.21</f>
        <v>9628.0991735537191</v>
      </c>
      <c r="I1669" s="60">
        <f>ventas_b_mes12[[#This Row],[IMPORTE NETO]]*0.21</f>
        <v>2021.9008264462809</v>
      </c>
      <c r="J1669" s="229"/>
      <c r="K1669" s="229"/>
      <c r="L1669" s="229">
        <v>11650</v>
      </c>
      <c r="M1669" s="55"/>
    </row>
    <row r="1670" spans="2:13" x14ac:dyDescent="0.3">
      <c r="B1670" s="223" t="s">
        <v>2479</v>
      </c>
      <c r="C1670" s="37">
        <v>6</v>
      </c>
      <c r="D1670" s="225">
        <v>13</v>
      </c>
      <c r="E1670" s="226">
        <v>26848</v>
      </c>
      <c r="F1670" s="227"/>
      <c r="G1670" s="1" t="str">
        <f>IFERROR(IF(ventas_b_mes12[[#This Row],[CUIT]]="","-",VLOOKUP(ventas_b_mes12[[#This Row],[CUIT]],Lista_CUIT[#All],2,0)),"CUIT NO CARGADO")</f>
        <v>-</v>
      </c>
      <c r="H1670" s="96">
        <f>ventas_b_mes12[[#This Row],[TOTAL]]/1.21</f>
        <v>2330.5785123966944</v>
      </c>
      <c r="I1670" s="60">
        <f>ventas_b_mes12[[#This Row],[IMPORTE NETO]]*0.21</f>
        <v>489.42148760330582</v>
      </c>
      <c r="J1670" s="229"/>
      <c r="K1670" s="229"/>
      <c r="L1670" s="229">
        <v>2820</v>
      </c>
      <c r="M1670" s="55"/>
    </row>
    <row r="1671" spans="2:13" x14ac:dyDescent="0.3">
      <c r="B1671" s="223" t="s">
        <v>2479</v>
      </c>
      <c r="C1671" s="37">
        <v>6</v>
      </c>
      <c r="D1671" s="225">
        <v>11</v>
      </c>
      <c r="E1671" s="226">
        <v>30221</v>
      </c>
      <c r="F1671" s="227"/>
      <c r="G1671" s="1" t="str">
        <f>IFERROR(IF(ventas_b_mes12[[#This Row],[CUIT]]="","-",VLOOKUP(ventas_b_mes12[[#This Row],[CUIT]],Lista_CUIT[#All],2,0)),"CUIT NO CARGADO")</f>
        <v>-</v>
      </c>
      <c r="H1671" s="96">
        <f>ventas_b_mes12[[#This Row],[TOTAL]]/1.21</f>
        <v>950.41322314049592</v>
      </c>
      <c r="I1671" s="60">
        <f>ventas_b_mes12[[#This Row],[IMPORTE NETO]]*0.21</f>
        <v>199.58677685950414</v>
      </c>
      <c r="J1671" s="229"/>
      <c r="K1671" s="229"/>
      <c r="L1671" s="229">
        <v>1150</v>
      </c>
      <c r="M1671" s="55"/>
    </row>
    <row r="1672" spans="2:13" x14ac:dyDescent="0.3">
      <c r="B1672" s="223" t="s">
        <v>2479</v>
      </c>
      <c r="C1672" s="37">
        <v>6</v>
      </c>
      <c r="D1672" s="225">
        <v>13</v>
      </c>
      <c r="E1672" s="226">
        <v>26858</v>
      </c>
      <c r="F1672" s="227"/>
      <c r="G1672" s="1" t="str">
        <f>IFERROR(IF(ventas_b_mes12[[#This Row],[CUIT]]="","-",VLOOKUP(ventas_b_mes12[[#This Row],[CUIT]],Lista_CUIT[#All],2,0)),"CUIT NO CARGADO")</f>
        <v>-</v>
      </c>
      <c r="H1672" s="96">
        <f>ventas_b_mes12[[#This Row],[TOTAL]]/1.21</f>
        <v>456.19834710743805</v>
      </c>
      <c r="I1672" s="60">
        <f>ventas_b_mes12[[#This Row],[IMPORTE NETO]]*0.21</f>
        <v>95.801652892561989</v>
      </c>
      <c r="J1672" s="229"/>
      <c r="K1672" s="229"/>
      <c r="L1672" s="229">
        <v>552</v>
      </c>
      <c r="M1672" s="55"/>
    </row>
    <row r="1673" spans="2:13" x14ac:dyDescent="0.3">
      <c r="B1673" s="223" t="s">
        <v>2479</v>
      </c>
      <c r="C1673" s="37">
        <v>6</v>
      </c>
      <c r="D1673" s="225">
        <v>10</v>
      </c>
      <c r="E1673" s="226">
        <v>44042</v>
      </c>
      <c r="F1673" s="227"/>
      <c r="G1673" s="1" t="str">
        <f>IFERROR(IF(ventas_b_mes12[[#This Row],[CUIT]]="","-",VLOOKUP(ventas_b_mes12[[#This Row],[CUIT]],Lista_CUIT[#All],2,0)),"CUIT NO CARGADO")</f>
        <v>-</v>
      </c>
      <c r="H1673" s="96">
        <f>ventas_b_mes12[[#This Row],[TOTAL]]/1.21</f>
        <v>2685.9504132231405</v>
      </c>
      <c r="I1673" s="60">
        <f>ventas_b_mes12[[#This Row],[IMPORTE NETO]]*0.21</f>
        <v>564.04958677685943</v>
      </c>
      <c r="J1673" s="229"/>
      <c r="K1673" s="229"/>
      <c r="L1673" s="229">
        <v>3250</v>
      </c>
      <c r="M1673" s="55"/>
    </row>
    <row r="1674" spans="2:13" x14ac:dyDescent="0.3">
      <c r="B1674" s="223" t="s">
        <v>2479</v>
      </c>
      <c r="C1674" s="37">
        <v>6</v>
      </c>
      <c r="D1674" s="225">
        <v>11</v>
      </c>
      <c r="E1674" s="226">
        <v>30219</v>
      </c>
      <c r="F1674" s="227"/>
      <c r="G1674" s="1" t="str">
        <f>IFERROR(IF(ventas_b_mes12[[#This Row],[CUIT]]="","-",VLOOKUP(ventas_b_mes12[[#This Row],[CUIT]],Lista_CUIT[#All],2,0)),"CUIT NO CARGADO")</f>
        <v>-</v>
      </c>
      <c r="H1674" s="96">
        <f>ventas_b_mes12[[#This Row],[TOTAL]]/1.21</f>
        <v>4958.6776859504134</v>
      </c>
      <c r="I1674" s="60">
        <f>ventas_b_mes12[[#This Row],[IMPORTE NETO]]*0.21</f>
        <v>1041.3223140495868</v>
      </c>
      <c r="J1674" s="229"/>
      <c r="K1674" s="229"/>
      <c r="L1674" s="229">
        <v>6000</v>
      </c>
      <c r="M1674" s="55"/>
    </row>
    <row r="1675" spans="2:13" x14ac:dyDescent="0.3">
      <c r="B1675" s="223" t="s">
        <v>2479</v>
      </c>
      <c r="C1675" s="37">
        <v>6</v>
      </c>
      <c r="D1675" s="225">
        <v>12</v>
      </c>
      <c r="E1675" s="226">
        <v>22662</v>
      </c>
      <c r="F1675" s="227"/>
      <c r="G1675" s="1" t="str">
        <f>IFERROR(IF(ventas_b_mes12[[#This Row],[CUIT]]="","-",VLOOKUP(ventas_b_mes12[[#This Row],[CUIT]],Lista_CUIT[#All],2,0)),"CUIT NO CARGADO")</f>
        <v>-</v>
      </c>
      <c r="H1675" s="96">
        <f>ventas_b_mes12[[#This Row],[TOTAL]]/1.21</f>
        <v>6471.0743801652898</v>
      </c>
      <c r="I1675" s="60">
        <f>ventas_b_mes12[[#This Row],[IMPORTE NETO]]*0.21</f>
        <v>1358.9256198347107</v>
      </c>
      <c r="J1675" s="229"/>
      <c r="K1675" s="229"/>
      <c r="L1675" s="229">
        <v>7830</v>
      </c>
      <c r="M1675" s="55"/>
    </row>
    <row r="1676" spans="2:13" x14ac:dyDescent="0.3">
      <c r="B1676" s="223" t="s">
        <v>2479</v>
      </c>
      <c r="C1676" s="37">
        <v>6</v>
      </c>
      <c r="D1676" s="225">
        <v>13</v>
      </c>
      <c r="E1676" s="226">
        <v>26847</v>
      </c>
      <c r="F1676" s="227"/>
      <c r="G1676" s="1" t="str">
        <f>IFERROR(IF(ventas_b_mes12[[#This Row],[CUIT]]="","-",VLOOKUP(ventas_b_mes12[[#This Row],[CUIT]],Lista_CUIT[#All],2,0)),"CUIT NO CARGADO")</f>
        <v>-</v>
      </c>
      <c r="H1676" s="96">
        <f>ventas_b_mes12[[#This Row],[TOTAL]]/1.21</f>
        <v>1508.2561983471076</v>
      </c>
      <c r="I1676" s="60">
        <f>ventas_b_mes12[[#This Row],[IMPORTE NETO]]*0.21</f>
        <v>316.73380165289257</v>
      </c>
      <c r="J1676" s="229"/>
      <c r="K1676" s="229"/>
      <c r="L1676" s="229">
        <v>1824.99</v>
      </c>
      <c r="M1676" s="55"/>
    </row>
    <row r="1677" spans="2:13" x14ac:dyDescent="0.3">
      <c r="B1677" s="223" t="s">
        <v>2479</v>
      </c>
      <c r="C1677" s="37">
        <v>6</v>
      </c>
      <c r="D1677" s="225">
        <v>11</v>
      </c>
      <c r="E1677" s="226">
        <v>30222</v>
      </c>
      <c r="F1677" s="227"/>
      <c r="G1677" s="1" t="str">
        <f>IFERROR(IF(ventas_b_mes12[[#This Row],[CUIT]]="","-",VLOOKUP(ventas_b_mes12[[#This Row],[CUIT]],Lista_CUIT[#All],2,0)),"CUIT NO CARGADO")</f>
        <v>-</v>
      </c>
      <c r="H1677" s="96">
        <f>ventas_b_mes12[[#This Row],[TOTAL]]/1.21</f>
        <v>14876.03305785124</v>
      </c>
      <c r="I1677" s="60">
        <f>ventas_b_mes12[[#This Row],[IMPORTE NETO]]*0.21</f>
        <v>3123.9669421487602</v>
      </c>
      <c r="J1677" s="229"/>
      <c r="K1677" s="229"/>
      <c r="L1677" s="229">
        <v>18000</v>
      </c>
      <c r="M1677" s="55"/>
    </row>
    <row r="1678" spans="2:13" x14ac:dyDescent="0.3">
      <c r="B1678" s="223" t="s">
        <v>2479</v>
      </c>
      <c r="C1678" s="37">
        <v>6</v>
      </c>
      <c r="D1678" s="225">
        <v>12</v>
      </c>
      <c r="E1678" s="226">
        <v>22669</v>
      </c>
      <c r="F1678" s="227"/>
      <c r="G1678" s="1" t="str">
        <f>IFERROR(IF(ventas_b_mes12[[#This Row],[CUIT]]="","-",VLOOKUP(ventas_b_mes12[[#This Row],[CUIT]],Lista_CUIT[#All],2,0)),"CUIT NO CARGADO")</f>
        <v>-</v>
      </c>
      <c r="H1678" s="96">
        <f>ventas_b_mes12[[#This Row],[TOTAL]]/1.21</f>
        <v>4834.7107438016528</v>
      </c>
      <c r="I1678" s="60">
        <f>ventas_b_mes12[[#This Row],[IMPORTE NETO]]*0.21</f>
        <v>1015.2892561983471</v>
      </c>
      <c r="J1678" s="229"/>
      <c r="K1678" s="229"/>
      <c r="L1678" s="229">
        <v>5850</v>
      </c>
      <c r="M1678" s="55"/>
    </row>
    <row r="1679" spans="2:13" x14ac:dyDescent="0.3">
      <c r="B1679" s="223" t="s">
        <v>2479</v>
      </c>
      <c r="C1679" s="37">
        <v>6</v>
      </c>
      <c r="D1679" s="225">
        <v>12</v>
      </c>
      <c r="E1679" s="226">
        <v>22664</v>
      </c>
      <c r="F1679" s="227"/>
      <c r="G1679" s="1" t="str">
        <f>IFERROR(IF(ventas_b_mes12[[#This Row],[CUIT]]="","-",VLOOKUP(ventas_b_mes12[[#This Row],[CUIT]],Lista_CUIT[#All],2,0)),"CUIT NO CARGADO")</f>
        <v>-</v>
      </c>
      <c r="H1679" s="96">
        <f>ventas_b_mes12[[#This Row],[TOTAL]]/1.21</f>
        <v>3847.9338842975208</v>
      </c>
      <c r="I1679" s="60">
        <f>ventas_b_mes12[[#This Row],[IMPORTE NETO]]*0.21</f>
        <v>808.06611570247935</v>
      </c>
      <c r="J1679" s="229"/>
      <c r="K1679" s="229"/>
      <c r="L1679" s="229">
        <v>4656</v>
      </c>
      <c r="M1679" s="55"/>
    </row>
    <row r="1680" spans="2:13" x14ac:dyDescent="0.3">
      <c r="B1680" s="223" t="s">
        <v>2479</v>
      </c>
      <c r="C1680" s="37">
        <v>6</v>
      </c>
      <c r="D1680" s="225">
        <v>13</v>
      </c>
      <c r="E1680" s="226">
        <v>26861</v>
      </c>
      <c r="F1680" s="227"/>
      <c r="G1680" s="1" t="str">
        <f>IFERROR(IF(ventas_b_mes12[[#This Row],[CUIT]]="","-",VLOOKUP(ventas_b_mes12[[#This Row],[CUIT]],Lista_CUIT[#All],2,0)),"CUIT NO CARGADO")</f>
        <v>-</v>
      </c>
      <c r="H1680" s="96">
        <f>ventas_b_mes12[[#This Row],[TOTAL]]/1.21</f>
        <v>5512.3966942148763</v>
      </c>
      <c r="I1680" s="60">
        <f>ventas_b_mes12[[#This Row],[IMPORTE NETO]]*0.21</f>
        <v>1157.6033057851239</v>
      </c>
      <c r="J1680" s="229"/>
      <c r="K1680" s="229"/>
      <c r="L1680" s="229">
        <v>6670</v>
      </c>
      <c r="M1680" s="55"/>
    </row>
    <row r="1681" spans="2:13" x14ac:dyDescent="0.3">
      <c r="B1681" s="223" t="s">
        <v>2479</v>
      </c>
      <c r="C1681" s="37">
        <v>6</v>
      </c>
      <c r="D1681" s="225">
        <v>10</v>
      </c>
      <c r="E1681" s="226">
        <v>44029</v>
      </c>
      <c r="F1681" s="227"/>
      <c r="G1681" s="1" t="str">
        <f>IFERROR(IF(ventas_b_mes12[[#This Row],[CUIT]]="","-",VLOOKUP(ventas_b_mes12[[#This Row],[CUIT]],Lista_CUIT[#All],2,0)),"CUIT NO CARGADO")</f>
        <v>-</v>
      </c>
      <c r="H1681" s="96">
        <f>ventas_b_mes12[[#This Row],[TOTAL]]/1.21</f>
        <v>4958.6776859504134</v>
      </c>
      <c r="I1681" s="60">
        <f>ventas_b_mes12[[#This Row],[IMPORTE NETO]]*0.21</f>
        <v>1041.3223140495868</v>
      </c>
      <c r="J1681" s="229"/>
      <c r="K1681" s="229"/>
      <c r="L1681" s="229">
        <v>6000</v>
      </c>
      <c r="M1681" s="55"/>
    </row>
    <row r="1682" spans="2:13" x14ac:dyDescent="0.3">
      <c r="B1682" s="223" t="s">
        <v>2479</v>
      </c>
      <c r="C1682" s="37">
        <v>6</v>
      </c>
      <c r="D1682" s="225">
        <v>12</v>
      </c>
      <c r="E1682" s="226">
        <v>22668</v>
      </c>
      <c r="F1682" s="227"/>
      <c r="G1682" s="1" t="str">
        <f>IFERROR(IF(ventas_b_mes12[[#This Row],[CUIT]]="","-",VLOOKUP(ventas_b_mes12[[#This Row],[CUIT]],Lista_CUIT[#All],2,0)),"CUIT NO CARGADO")</f>
        <v>-</v>
      </c>
      <c r="H1682" s="96">
        <f>ventas_b_mes12[[#This Row],[TOTAL]]/1.21</f>
        <v>826.44628099173553</v>
      </c>
      <c r="I1682" s="60">
        <f>ventas_b_mes12[[#This Row],[IMPORTE NETO]]*0.21</f>
        <v>173.55371900826447</v>
      </c>
      <c r="J1682" s="229"/>
      <c r="K1682" s="229"/>
      <c r="L1682" s="229">
        <v>1000</v>
      </c>
      <c r="M1682" s="55"/>
    </row>
    <row r="1683" spans="2:13" x14ac:dyDescent="0.3">
      <c r="B1683" s="223" t="s">
        <v>2479</v>
      </c>
      <c r="C1683" s="37">
        <v>6</v>
      </c>
      <c r="D1683" s="225">
        <v>11</v>
      </c>
      <c r="E1683" s="226">
        <v>30217</v>
      </c>
      <c r="F1683" s="227"/>
      <c r="G1683" s="1" t="str">
        <f>IFERROR(IF(ventas_b_mes12[[#This Row],[CUIT]]="","-",VLOOKUP(ventas_b_mes12[[#This Row],[CUIT]],Lista_CUIT[#All],2,0)),"CUIT NO CARGADO")</f>
        <v>-</v>
      </c>
      <c r="H1683" s="96">
        <f>ventas_b_mes12[[#This Row],[TOTAL]]/1.21</f>
        <v>2148.7603305785124</v>
      </c>
      <c r="I1683" s="60">
        <f>ventas_b_mes12[[#This Row],[IMPORTE NETO]]*0.21</f>
        <v>451.23966942148758</v>
      </c>
      <c r="J1683" s="229"/>
      <c r="K1683" s="229"/>
      <c r="L1683" s="229">
        <v>2600</v>
      </c>
      <c r="M1683" s="55"/>
    </row>
    <row r="1684" spans="2:13" x14ac:dyDescent="0.3">
      <c r="B1684" s="223" t="s">
        <v>2479</v>
      </c>
      <c r="C1684" s="37">
        <v>6</v>
      </c>
      <c r="D1684" s="225">
        <v>13</v>
      </c>
      <c r="E1684" s="226">
        <v>26851</v>
      </c>
      <c r="F1684" s="227"/>
      <c r="G1684" s="1" t="str">
        <f>IFERROR(IF(ventas_b_mes12[[#This Row],[CUIT]]="","-",VLOOKUP(ventas_b_mes12[[#This Row],[CUIT]],Lista_CUIT[#All],2,0)),"CUIT NO CARGADO")</f>
        <v>-</v>
      </c>
      <c r="H1684" s="96">
        <f>ventas_b_mes12[[#This Row],[TOTAL]]/1.21</f>
        <v>2000</v>
      </c>
      <c r="I1684" s="60">
        <f>ventas_b_mes12[[#This Row],[IMPORTE NETO]]*0.21</f>
        <v>420</v>
      </c>
      <c r="J1684" s="229"/>
      <c r="K1684" s="229"/>
      <c r="L1684" s="229">
        <v>2420</v>
      </c>
      <c r="M1684" s="55"/>
    </row>
    <row r="1685" spans="2:13" x14ac:dyDescent="0.3">
      <c r="B1685" s="223" t="s">
        <v>2479</v>
      </c>
      <c r="C1685" s="37">
        <v>6</v>
      </c>
      <c r="D1685" s="225">
        <v>13</v>
      </c>
      <c r="E1685" s="226">
        <v>26849</v>
      </c>
      <c r="F1685" s="227"/>
      <c r="G1685" s="1" t="str">
        <f>IFERROR(IF(ventas_b_mes12[[#This Row],[CUIT]]="","-",VLOOKUP(ventas_b_mes12[[#This Row],[CUIT]],Lista_CUIT[#All],2,0)),"CUIT NO CARGADO")</f>
        <v>-</v>
      </c>
      <c r="H1685" s="96">
        <f>ventas_b_mes12[[#This Row],[TOTAL]]/1.21</f>
        <v>13884.322314049587</v>
      </c>
      <c r="I1685" s="60">
        <f>ventas_b_mes12[[#This Row],[IMPORTE NETO]]*0.21</f>
        <v>2915.7076859504132</v>
      </c>
      <c r="J1685" s="229"/>
      <c r="K1685" s="229"/>
      <c r="L1685" s="229">
        <v>16800.03</v>
      </c>
      <c r="M1685" s="55"/>
    </row>
    <row r="1686" spans="2:13" x14ac:dyDescent="0.3">
      <c r="B1686" s="223" t="s">
        <v>2479</v>
      </c>
      <c r="C1686" s="37">
        <v>6</v>
      </c>
      <c r="D1686" s="225">
        <v>10</v>
      </c>
      <c r="E1686" s="226">
        <v>44032</v>
      </c>
      <c r="F1686" s="227"/>
      <c r="G1686" s="1" t="str">
        <f>IFERROR(IF(ventas_b_mes12[[#This Row],[CUIT]]="","-",VLOOKUP(ventas_b_mes12[[#This Row],[CUIT]],Lista_CUIT[#All],2,0)),"CUIT NO CARGADO")</f>
        <v>-</v>
      </c>
      <c r="H1686" s="96">
        <f>ventas_b_mes12[[#This Row],[TOTAL]]/1.21</f>
        <v>4545.454545454546</v>
      </c>
      <c r="I1686" s="60">
        <f>ventas_b_mes12[[#This Row],[IMPORTE NETO]]*0.21</f>
        <v>954.54545454545462</v>
      </c>
      <c r="J1686" s="229"/>
      <c r="K1686" s="229"/>
      <c r="L1686" s="229">
        <v>5500</v>
      </c>
      <c r="M1686" s="55"/>
    </row>
    <row r="1687" spans="2:13" x14ac:dyDescent="0.3">
      <c r="B1687" s="223" t="s">
        <v>2479</v>
      </c>
      <c r="C1687" s="37">
        <v>6</v>
      </c>
      <c r="D1687" s="225">
        <v>10</v>
      </c>
      <c r="E1687" s="226">
        <v>44033</v>
      </c>
      <c r="F1687" s="227"/>
      <c r="G1687" s="1" t="str">
        <f>IFERROR(IF(ventas_b_mes12[[#This Row],[CUIT]]="","-",VLOOKUP(ventas_b_mes12[[#This Row],[CUIT]],Lista_CUIT[#All],2,0)),"CUIT NO CARGADO")</f>
        <v>-</v>
      </c>
      <c r="H1687" s="96">
        <f>ventas_b_mes12[[#This Row],[TOTAL]]/1.21</f>
        <v>52090.909090909096</v>
      </c>
      <c r="I1687" s="60">
        <f>ventas_b_mes12[[#This Row],[IMPORTE NETO]]*0.21</f>
        <v>10939.09090909091</v>
      </c>
      <c r="J1687" s="229"/>
      <c r="K1687" s="229"/>
      <c r="L1687" s="229">
        <v>63030</v>
      </c>
      <c r="M1687" s="55"/>
    </row>
    <row r="1688" spans="2:13" x14ac:dyDescent="0.3">
      <c r="B1688" s="223" t="s">
        <v>2479</v>
      </c>
      <c r="C1688" s="37">
        <v>6</v>
      </c>
      <c r="D1688" s="225">
        <v>13</v>
      </c>
      <c r="E1688" s="226">
        <v>26857</v>
      </c>
      <c r="F1688" s="227"/>
      <c r="G1688" s="1" t="str">
        <f>IFERROR(IF(ventas_b_mes12[[#This Row],[CUIT]]="","-",VLOOKUP(ventas_b_mes12[[#This Row],[CUIT]],Lista_CUIT[#All],2,0)),"CUIT NO CARGADO")</f>
        <v>-</v>
      </c>
      <c r="H1688" s="96">
        <f>ventas_b_mes12[[#This Row],[TOTAL]]/1.21</f>
        <v>456.61157024793391</v>
      </c>
      <c r="I1688" s="60">
        <f>ventas_b_mes12[[#This Row],[IMPORTE NETO]]*0.21</f>
        <v>95.888429752066116</v>
      </c>
      <c r="J1688" s="229"/>
      <c r="K1688" s="229"/>
      <c r="L1688" s="229">
        <v>552.5</v>
      </c>
      <c r="M1688" s="55"/>
    </row>
    <row r="1689" spans="2:13" x14ac:dyDescent="0.3">
      <c r="B1689" s="223" t="s">
        <v>2479</v>
      </c>
      <c r="C1689" s="37">
        <v>6</v>
      </c>
      <c r="D1689" s="225">
        <v>10</v>
      </c>
      <c r="E1689" s="226">
        <v>44034</v>
      </c>
      <c r="F1689" s="227"/>
      <c r="G1689" s="1" t="str">
        <f>IFERROR(IF(ventas_b_mes12[[#This Row],[CUIT]]="","-",VLOOKUP(ventas_b_mes12[[#This Row],[CUIT]],Lista_CUIT[#All],2,0)),"CUIT NO CARGADO")</f>
        <v>-</v>
      </c>
      <c r="H1689" s="96">
        <f>ventas_b_mes12[[#This Row],[TOTAL]]/1.21</f>
        <v>25157.066115702481</v>
      </c>
      <c r="I1689" s="60">
        <f>ventas_b_mes12[[#This Row],[IMPORTE NETO]]*0.21</f>
        <v>5282.9838842975205</v>
      </c>
      <c r="J1689" s="229"/>
      <c r="K1689" s="229"/>
      <c r="L1689" s="229">
        <v>30440.05</v>
      </c>
      <c r="M1689" s="55"/>
    </row>
    <row r="1690" spans="2:13" x14ac:dyDescent="0.3">
      <c r="B1690" s="223" t="s">
        <v>2479</v>
      </c>
      <c r="C1690" s="37">
        <v>6</v>
      </c>
      <c r="D1690" s="225">
        <v>13</v>
      </c>
      <c r="E1690" s="226">
        <v>26859</v>
      </c>
      <c r="F1690" s="227"/>
      <c r="G1690" s="1" t="str">
        <f>IFERROR(IF(ventas_b_mes12[[#This Row],[CUIT]]="","-",VLOOKUP(ventas_b_mes12[[#This Row],[CUIT]],Lista_CUIT[#All],2,0)),"CUIT NO CARGADO")</f>
        <v>-</v>
      </c>
      <c r="H1690" s="96">
        <f>ventas_b_mes12[[#This Row],[TOTAL]]/1.21</f>
        <v>4495.8677685950415</v>
      </c>
      <c r="I1690" s="60">
        <f>ventas_b_mes12[[#This Row],[IMPORTE NETO]]*0.21</f>
        <v>944.1322314049587</v>
      </c>
      <c r="J1690" s="229"/>
      <c r="K1690" s="229"/>
      <c r="L1690" s="229">
        <v>5440</v>
      </c>
      <c r="M1690" s="55"/>
    </row>
    <row r="1691" spans="2:13" x14ac:dyDescent="0.3">
      <c r="B1691" s="223" t="s">
        <v>2479</v>
      </c>
      <c r="C1691" s="37">
        <v>6</v>
      </c>
      <c r="D1691" s="225">
        <v>13</v>
      </c>
      <c r="E1691" s="226">
        <v>26846</v>
      </c>
      <c r="F1691" s="227"/>
      <c r="G1691" s="1" t="str">
        <f>IFERROR(IF(ventas_b_mes12[[#This Row],[CUIT]]="","-",VLOOKUP(ventas_b_mes12[[#This Row],[CUIT]],Lista_CUIT[#All],2,0)),"CUIT NO CARGADO")</f>
        <v>-</v>
      </c>
      <c r="H1691" s="96">
        <f>ventas_b_mes12[[#This Row],[TOTAL]]/1.21</f>
        <v>11570.247933884299</v>
      </c>
      <c r="I1691" s="60">
        <f>ventas_b_mes12[[#This Row],[IMPORTE NETO]]*0.21</f>
        <v>2429.7520661157027</v>
      </c>
      <c r="J1691" s="229"/>
      <c r="K1691" s="229"/>
      <c r="L1691" s="229">
        <v>14000</v>
      </c>
      <c r="M1691" s="55"/>
    </row>
    <row r="1692" spans="2:13" x14ac:dyDescent="0.3">
      <c r="B1692" s="223" t="s">
        <v>2479</v>
      </c>
      <c r="C1692" s="37">
        <v>6</v>
      </c>
      <c r="D1692" s="225">
        <v>13</v>
      </c>
      <c r="E1692" s="226">
        <v>26844</v>
      </c>
      <c r="F1692" s="227"/>
      <c r="G1692" s="1" t="str">
        <f>IFERROR(IF(ventas_b_mes12[[#This Row],[CUIT]]="","-",VLOOKUP(ventas_b_mes12[[#This Row],[CUIT]],Lista_CUIT[#All],2,0)),"CUIT NO CARGADO")</f>
        <v>-</v>
      </c>
      <c r="H1692" s="96">
        <f>ventas_b_mes12[[#This Row],[TOTAL]]/1.21</f>
        <v>2355.3719008264466</v>
      </c>
      <c r="I1692" s="60">
        <f>ventas_b_mes12[[#This Row],[IMPORTE NETO]]*0.21</f>
        <v>494.62809917355378</v>
      </c>
      <c r="J1692" s="229"/>
      <c r="K1692" s="229"/>
      <c r="L1692" s="229">
        <v>2850</v>
      </c>
      <c r="M1692" s="55"/>
    </row>
    <row r="1693" spans="2:13" x14ac:dyDescent="0.3">
      <c r="B1693" s="223" t="s">
        <v>2479</v>
      </c>
      <c r="C1693" s="37">
        <v>6</v>
      </c>
      <c r="D1693" s="225">
        <v>12</v>
      </c>
      <c r="E1693" s="226">
        <v>22666</v>
      </c>
      <c r="F1693" s="227"/>
      <c r="G1693" s="1" t="str">
        <f>IFERROR(IF(ventas_b_mes12[[#This Row],[CUIT]]="","-",VLOOKUP(ventas_b_mes12[[#This Row],[CUIT]],Lista_CUIT[#All],2,0)),"CUIT NO CARGADO")</f>
        <v>-</v>
      </c>
      <c r="H1693" s="96">
        <f>ventas_b_mes12[[#This Row],[TOTAL]]/1.21</f>
        <v>8797.5206611570247</v>
      </c>
      <c r="I1693" s="60">
        <f>ventas_b_mes12[[#This Row],[IMPORTE NETO]]*0.21</f>
        <v>1847.479338842975</v>
      </c>
      <c r="J1693" s="229"/>
      <c r="K1693" s="229"/>
      <c r="L1693" s="229">
        <v>10645</v>
      </c>
      <c r="M1693" s="55"/>
    </row>
    <row r="1694" spans="2:13" x14ac:dyDescent="0.3">
      <c r="B1694" s="223" t="s">
        <v>2479</v>
      </c>
      <c r="C1694" s="37">
        <v>6</v>
      </c>
      <c r="D1694" s="225">
        <v>10</v>
      </c>
      <c r="E1694" s="226">
        <v>44039</v>
      </c>
      <c r="F1694" s="227"/>
      <c r="G1694" s="1" t="str">
        <f>IFERROR(IF(ventas_b_mes12[[#This Row],[CUIT]]="","-",VLOOKUP(ventas_b_mes12[[#This Row],[CUIT]],Lista_CUIT[#All],2,0)),"CUIT NO CARGADO")</f>
        <v>-</v>
      </c>
      <c r="H1694" s="96">
        <f>ventas_b_mes12[[#This Row],[TOTAL]]/1.21</f>
        <v>7070.2396694214876</v>
      </c>
      <c r="I1694" s="60">
        <f>ventas_b_mes12[[#This Row],[IMPORTE NETO]]*0.21</f>
        <v>1484.7503305785124</v>
      </c>
      <c r="J1694" s="229"/>
      <c r="K1694" s="229"/>
      <c r="L1694" s="229">
        <v>8554.99</v>
      </c>
      <c r="M1694" s="55"/>
    </row>
    <row r="1695" spans="2:13" x14ac:dyDescent="0.3">
      <c r="B1695" s="223" t="s">
        <v>2479</v>
      </c>
      <c r="C1695" s="37">
        <v>6</v>
      </c>
      <c r="D1695" s="225">
        <v>12</v>
      </c>
      <c r="E1695" s="226">
        <v>22657</v>
      </c>
      <c r="F1695" s="227"/>
      <c r="G1695" s="1" t="str">
        <f>IFERROR(IF(ventas_b_mes12[[#This Row],[CUIT]]="","-",VLOOKUP(ventas_b_mes12[[#This Row],[CUIT]],Lista_CUIT[#All],2,0)),"CUIT NO CARGADO")</f>
        <v>-</v>
      </c>
      <c r="H1695" s="96">
        <f>ventas_b_mes12[[#This Row],[TOTAL]]/1.21</f>
        <v>4545.454545454546</v>
      </c>
      <c r="I1695" s="60">
        <f>ventas_b_mes12[[#This Row],[IMPORTE NETO]]*0.21</f>
        <v>954.54545454545462</v>
      </c>
      <c r="J1695" s="229"/>
      <c r="K1695" s="229"/>
      <c r="L1695" s="229">
        <v>5500</v>
      </c>
      <c r="M1695" s="55"/>
    </row>
    <row r="1696" spans="2:13" x14ac:dyDescent="0.3">
      <c r="B1696" s="223" t="s">
        <v>2479</v>
      </c>
      <c r="C1696" s="37">
        <v>6</v>
      </c>
      <c r="D1696" s="225">
        <v>10</v>
      </c>
      <c r="E1696" s="226">
        <v>44031</v>
      </c>
      <c r="F1696" s="227"/>
      <c r="G1696" s="1" t="str">
        <f>IFERROR(IF(ventas_b_mes12[[#This Row],[CUIT]]="","-",VLOOKUP(ventas_b_mes12[[#This Row],[CUIT]],Lista_CUIT[#All],2,0)),"CUIT NO CARGADO")</f>
        <v>-</v>
      </c>
      <c r="H1696" s="96">
        <f>ventas_b_mes12[[#This Row],[TOTAL]]/1.21</f>
        <v>4958.6776859504134</v>
      </c>
      <c r="I1696" s="60">
        <f>ventas_b_mes12[[#This Row],[IMPORTE NETO]]*0.21</f>
        <v>1041.3223140495868</v>
      </c>
      <c r="J1696" s="229"/>
      <c r="K1696" s="229"/>
      <c r="L1696" s="229">
        <v>6000</v>
      </c>
      <c r="M1696" s="55"/>
    </row>
    <row r="1697" spans="2:13" x14ac:dyDescent="0.3">
      <c r="B1697" s="223" t="s">
        <v>2479</v>
      </c>
      <c r="C1697" s="37">
        <v>6</v>
      </c>
      <c r="D1697" s="225">
        <v>12</v>
      </c>
      <c r="E1697" s="226">
        <v>22660</v>
      </c>
      <c r="F1697" s="227"/>
      <c r="G1697" s="1" t="str">
        <f>IFERROR(IF(ventas_b_mes12[[#This Row],[CUIT]]="","-",VLOOKUP(ventas_b_mes12[[#This Row],[CUIT]],Lista_CUIT[#All],2,0)),"CUIT NO CARGADO")</f>
        <v>-</v>
      </c>
      <c r="H1697" s="96">
        <f>ventas_b_mes12[[#This Row],[TOTAL]]/1.21</f>
        <v>3099.1735537190084</v>
      </c>
      <c r="I1697" s="60">
        <f>ventas_b_mes12[[#This Row],[IMPORTE NETO]]*0.21</f>
        <v>650.82644628099172</v>
      </c>
      <c r="J1697" s="229"/>
      <c r="K1697" s="229"/>
      <c r="L1697" s="229">
        <v>3750</v>
      </c>
      <c r="M1697" s="55"/>
    </row>
    <row r="1698" spans="2:13" x14ac:dyDescent="0.3">
      <c r="B1698" s="223" t="s">
        <v>2479</v>
      </c>
      <c r="C1698" s="37">
        <v>6</v>
      </c>
      <c r="D1698" s="225">
        <v>13</v>
      </c>
      <c r="E1698" s="226">
        <v>26863</v>
      </c>
      <c r="F1698" s="227"/>
      <c r="G1698" s="1" t="str">
        <f>IFERROR(IF(ventas_b_mes12[[#This Row],[CUIT]]="","-",VLOOKUP(ventas_b_mes12[[#This Row],[CUIT]],Lista_CUIT[#All],2,0)),"CUIT NO CARGADO")</f>
        <v>-</v>
      </c>
      <c r="H1698" s="96">
        <f>ventas_b_mes12[[#This Row],[TOTAL]]/1.21</f>
        <v>1404.9586776859505</v>
      </c>
      <c r="I1698" s="60">
        <f>ventas_b_mes12[[#This Row],[IMPORTE NETO]]*0.21</f>
        <v>295.04132231404958</v>
      </c>
      <c r="J1698" s="229"/>
      <c r="K1698" s="229"/>
      <c r="L1698" s="229">
        <v>1700</v>
      </c>
      <c r="M1698" s="55"/>
    </row>
    <row r="1699" spans="2:13" x14ac:dyDescent="0.3">
      <c r="B1699" s="223" t="s">
        <v>2479</v>
      </c>
      <c r="C1699" s="37">
        <v>6</v>
      </c>
      <c r="D1699" s="225">
        <v>13</v>
      </c>
      <c r="E1699" s="226">
        <v>26853</v>
      </c>
      <c r="F1699" s="227"/>
      <c r="G1699" s="1" t="str">
        <f>IFERROR(IF(ventas_b_mes12[[#This Row],[CUIT]]="","-",VLOOKUP(ventas_b_mes12[[#This Row],[CUIT]],Lista_CUIT[#All],2,0)),"CUIT NO CARGADO")</f>
        <v>-</v>
      </c>
      <c r="H1699" s="96">
        <f>ventas_b_mes12[[#This Row],[TOTAL]]/1.21</f>
        <v>4495.8677685950415</v>
      </c>
      <c r="I1699" s="60">
        <f>ventas_b_mes12[[#This Row],[IMPORTE NETO]]*0.21</f>
        <v>944.1322314049587</v>
      </c>
      <c r="J1699" s="229"/>
      <c r="K1699" s="229"/>
      <c r="L1699" s="229">
        <v>5440</v>
      </c>
      <c r="M1699" s="55"/>
    </row>
    <row r="1700" spans="2:13" x14ac:dyDescent="0.3">
      <c r="B1700" s="223" t="s">
        <v>2479</v>
      </c>
      <c r="C1700" s="37">
        <v>6</v>
      </c>
      <c r="D1700" s="225">
        <v>12</v>
      </c>
      <c r="E1700" s="226">
        <v>22665</v>
      </c>
      <c r="F1700" s="227"/>
      <c r="G1700" s="1" t="str">
        <f>IFERROR(IF(ventas_b_mes12[[#This Row],[CUIT]]="","-",VLOOKUP(ventas_b_mes12[[#This Row],[CUIT]],Lista_CUIT[#All],2,0)),"CUIT NO CARGADO")</f>
        <v>-</v>
      </c>
      <c r="H1700" s="96">
        <f>ventas_b_mes12[[#This Row],[TOTAL]]/1.21</f>
        <v>4297.5206611570247</v>
      </c>
      <c r="I1700" s="60">
        <f>ventas_b_mes12[[#This Row],[IMPORTE NETO]]*0.21</f>
        <v>902.47933884297515</v>
      </c>
      <c r="J1700" s="229"/>
      <c r="K1700" s="229"/>
      <c r="L1700" s="229">
        <v>5200</v>
      </c>
      <c r="M1700" s="55"/>
    </row>
    <row r="1701" spans="2:13" x14ac:dyDescent="0.3">
      <c r="B1701" s="223" t="s">
        <v>2479</v>
      </c>
      <c r="C1701" s="37">
        <v>6</v>
      </c>
      <c r="D1701" s="225">
        <v>10</v>
      </c>
      <c r="E1701" s="226">
        <v>44040</v>
      </c>
      <c r="F1701" s="227"/>
      <c r="G1701" s="1" t="str">
        <f>IFERROR(IF(ventas_b_mes12[[#This Row],[CUIT]]="","-",VLOOKUP(ventas_b_mes12[[#This Row],[CUIT]],Lista_CUIT[#All],2,0)),"CUIT NO CARGADO")</f>
        <v>-</v>
      </c>
      <c r="H1701" s="96">
        <f>ventas_b_mes12[[#This Row],[TOTAL]]/1.21</f>
        <v>4958.6776859504134</v>
      </c>
      <c r="I1701" s="60">
        <f>ventas_b_mes12[[#This Row],[IMPORTE NETO]]*0.21</f>
        <v>1041.3223140495868</v>
      </c>
      <c r="J1701" s="229"/>
      <c r="K1701" s="229"/>
      <c r="L1701" s="229">
        <v>6000</v>
      </c>
      <c r="M1701" s="55"/>
    </row>
    <row r="1702" spans="2:13" x14ac:dyDescent="0.3">
      <c r="B1702" s="223" t="s">
        <v>2479</v>
      </c>
      <c r="C1702" s="37">
        <v>6</v>
      </c>
      <c r="D1702" s="225">
        <v>13</v>
      </c>
      <c r="E1702" s="226">
        <v>26860</v>
      </c>
      <c r="F1702" s="227"/>
      <c r="G1702" s="1" t="str">
        <f>IFERROR(IF(ventas_b_mes12[[#This Row],[CUIT]]="","-",VLOOKUP(ventas_b_mes12[[#This Row],[CUIT]],Lista_CUIT[#All],2,0)),"CUIT NO CARGADO")</f>
        <v>-</v>
      </c>
      <c r="H1702" s="96">
        <f>ventas_b_mes12[[#This Row],[TOTAL]]/1.21</f>
        <v>9099.1735537190089</v>
      </c>
      <c r="I1702" s="60">
        <f>ventas_b_mes12[[#This Row],[IMPORTE NETO]]*0.21</f>
        <v>1910.8264462809918</v>
      </c>
      <c r="J1702" s="229"/>
      <c r="K1702" s="229"/>
      <c r="L1702" s="229">
        <v>11010</v>
      </c>
      <c r="M1702" s="55"/>
    </row>
    <row r="1703" spans="2:13" x14ac:dyDescent="0.3">
      <c r="B1703" s="223" t="s">
        <v>2479</v>
      </c>
      <c r="C1703" s="37">
        <v>6</v>
      </c>
      <c r="D1703" s="225">
        <v>11</v>
      </c>
      <c r="E1703" s="226">
        <v>30220</v>
      </c>
      <c r="F1703" s="227"/>
      <c r="G1703" s="1" t="str">
        <f>IFERROR(IF(ventas_b_mes12[[#This Row],[CUIT]]="","-",VLOOKUP(ventas_b_mes12[[#This Row],[CUIT]],Lista_CUIT[#All],2,0)),"CUIT NO CARGADO")</f>
        <v>-</v>
      </c>
      <c r="H1703" s="96">
        <f>ventas_b_mes12[[#This Row],[TOTAL]]/1.21</f>
        <v>4462.8264462809921</v>
      </c>
      <c r="I1703" s="60">
        <f>ventas_b_mes12[[#This Row],[IMPORTE NETO]]*0.21</f>
        <v>937.19355371900826</v>
      </c>
      <c r="J1703" s="229"/>
      <c r="K1703" s="229"/>
      <c r="L1703" s="229">
        <v>5400.02</v>
      </c>
      <c r="M1703" s="55"/>
    </row>
    <row r="1704" spans="2:13" x14ac:dyDescent="0.3">
      <c r="B1704" s="223" t="s">
        <v>2479</v>
      </c>
      <c r="C1704" s="37">
        <v>6</v>
      </c>
      <c r="D1704" s="225">
        <v>13</v>
      </c>
      <c r="E1704" s="226">
        <v>26856</v>
      </c>
      <c r="F1704" s="227"/>
      <c r="G1704" s="1" t="str">
        <f>IFERROR(IF(ventas_b_mes12[[#This Row],[CUIT]]="","-",VLOOKUP(ventas_b_mes12[[#This Row],[CUIT]],Lista_CUIT[#All],2,0)),"CUIT NO CARGADO")</f>
        <v>-</v>
      </c>
      <c r="H1704" s="96">
        <f>ventas_b_mes12[[#This Row],[TOTAL]]/1.21</f>
        <v>2332.2314049586776</v>
      </c>
      <c r="I1704" s="60">
        <f>ventas_b_mes12[[#This Row],[IMPORTE NETO]]*0.21</f>
        <v>489.76859504132227</v>
      </c>
      <c r="J1704" s="229"/>
      <c r="K1704" s="229"/>
      <c r="L1704" s="229">
        <v>2822</v>
      </c>
      <c r="M1704" s="55"/>
    </row>
    <row r="1705" spans="2:13" x14ac:dyDescent="0.3">
      <c r="B1705" s="223" t="s">
        <v>2479</v>
      </c>
      <c r="C1705" s="37">
        <v>6</v>
      </c>
      <c r="D1705" s="225">
        <v>10</v>
      </c>
      <c r="E1705" s="226">
        <v>44036</v>
      </c>
      <c r="F1705" s="227"/>
      <c r="G1705" s="1" t="str">
        <f>IFERROR(IF(ventas_b_mes12[[#This Row],[CUIT]]="","-",VLOOKUP(ventas_b_mes12[[#This Row],[CUIT]],Lista_CUIT[#All],2,0)),"CUIT NO CARGADO")</f>
        <v>-</v>
      </c>
      <c r="H1705" s="96">
        <f>ventas_b_mes12[[#This Row],[TOTAL]]/1.21</f>
        <v>8239.6859504132244</v>
      </c>
      <c r="I1705" s="60">
        <f>ventas_b_mes12[[#This Row],[IMPORTE NETO]]*0.21</f>
        <v>1730.3340495867772</v>
      </c>
      <c r="J1705" s="229"/>
      <c r="K1705" s="229"/>
      <c r="L1705" s="229">
        <v>9970.02</v>
      </c>
      <c r="M1705" s="55"/>
    </row>
    <row r="1706" spans="2:13" x14ac:dyDescent="0.3">
      <c r="B1706" s="223" t="s">
        <v>2479</v>
      </c>
      <c r="C1706" s="37">
        <v>6</v>
      </c>
      <c r="D1706" s="225">
        <v>11</v>
      </c>
      <c r="E1706" s="226">
        <v>30218</v>
      </c>
      <c r="F1706" s="227"/>
      <c r="G1706" s="1" t="str">
        <f>IFERROR(IF(ventas_b_mes12[[#This Row],[CUIT]]="","-",VLOOKUP(ventas_b_mes12[[#This Row],[CUIT]],Lista_CUIT[#All],2,0)),"CUIT NO CARGADO")</f>
        <v>-</v>
      </c>
      <c r="H1706" s="96">
        <f>ventas_b_mes12[[#This Row],[TOTAL]]/1.21</f>
        <v>30966.942148760332</v>
      </c>
      <c r="I1706" s="60">
        <f>ventas_b_mes12[[#This Row],[IMPORTE NETO]]*0.21</f>
        <v>6503.0578512396696</v>
      </c>
      <c r="J1706" s="229"/>
      <c r="K1706" s="229"/>
      <c r="L1706" s="229">
        <v>37470</v>
      </c>
      <c r="M1706" s="55"/>
    </row>
    <row r="1707" spans="2:13" x14ac:dyDescent="0.3">
      <c r="B1707" s="223" t="s">
        <v>2479</v>
      </c>
      <c r="C1707" s="37">
        <v>6</v>
      </c>
      <c r="D1707" s="225">
        <v>10</v>
      </c>
      <c r="E1707" s="226">
        <v>44041</v>
      </c>
      <c r="F1707" s="227"/>
      <c r="G1707" s="1" t="str">
        <f>IFERROR(IF(ventas_b_mes12[[#This Row],[CUIT]]="","-",VLOOKUP(ventas_b_mes12[[#This Row],[CUIT]],Lista_CUIT[#All],2,0)),"CUIT NO CARGADO")</f>
        <v>-</v>
      </c>
      <c r="H1707" s="96">
        <f>ventas_b_mes12[[#This Row],[TOTAL]]/1.21</f>
        <v>1429.7520661157025</v>
      </c>
      <c r="I1707" s="60">
        <f>ventas_b_mes12[[#This Row],[IMPORTE NETO]]*0.21</f>
        <v>300.24793388429754</v>
      </c>
      <c r="J1707" s="229"/>
      <c r="K1707" s="229"/>
      <c r="L1707" s="229">
        <v>1730</v>
      </c>
      <c r="M1707" s="55"/>
    </row>
    <row r="1708" spans="2:13" x14ac:dyDescent="0.3">
      <c r="B1708" s="223" t="s">
        <v>2479</v>
      </c>
      <c r="C1708" s="37">
        <v>6</v>
      </c>
      <c r="D1708" s="225">
        <v>12</v>
      </c>
      <c r="E1708" s="226">
        <v>22659</v>
      </c>
      <c r="F1708" s="227"/>
      <c r="G1708" s="1" t="str">
        <f>IFERROR(IF(ventas_b_mes12[[#This Row],[CUIT]]="","-",VLOOKUP(ventas_b_mes12[[#This Row],[CUIT]],Lista_CUIT[#All],2,0)),"CUIT NO CARGADO")</f>
        <v>-</v>
      </c>
      <c r="H1708" s="96">
        <f>ventas_b_mes12[[#This Row],[TOTAL]]/1.21</f>
        <v>4545.454545454546</v>
      </c>
      <c r="I1708" s="60">
        <f>ventas_b_mes12[[#This Row],[IMPORTE NETO]]*0.21</f>
        <v>954.54545454545462</v>
      </c>
      <c r="J1708" s="229"/>
      <c r="K1708" s="229"/>
      <c r="L1708" s="229">
        <v>5500</v>
      </c>
      <c r="M1708" s="55"/>
    </row>
    <row r="1709" spans="2:13" x14ac:dyDescent="0.3">
      <c r="B1709" s="223" t="s">
        <v>2479</v>
      </c>
      <c r="C1709" s="37">
        <v>6</v>
      </c>
      <c r="D1709" s="225">
        <v>12</v>
      </c>
      <c r="E1709" s="226">
        <v>22661</v>
      </c>
      <c r="F1709" s="227"/>
      <c r="G1709" s="1" t="str">
        <f>IFERROR(IF(ventas_b_mes12[[#This Row],[CUIT]]="","-",VLOOKUP(ventas_b_mes12[[#This Row],[CUIT]],Lista_CUIT[#All],2,0)),"CUIT NO CARGADO")</f>
        <v>-</v>
      </c>
      <c r="H1709" s="96">
        <f>ventas_b_mes12[[#This Row],[TOTAL]]/1.21</f>
        <v>1537.1900826446281</v>
      </c>
      <c r="I1709" s="60">
        <f>ventas_b_mes12[[#This Row],[IMPORTE NETO]]*0.21</f>
        <v>322.80991735537191</v>
      </c>
      <c r="J1709" s="229"/>
      <c r="K1709" s="229"/>
      <c r="L1709" s="229">
        <v>1860</v>
      </c>
      <c r="M1709" s="55"/>
    </row>
    <row r="1710" spans="2:13" x14ac:dyDescent="0.3">
      <c r="B1710" s="223" t="s">
        <v>2479</v>
      </c>
      <c r="C1710" s="37">
        <v>6</v>
      </c>
      <c r="D1710" s="225">
        <v>13</v>
      </c>
      <c r="E1710" s="226">
        <v>26850</v>
      </c>
      <c r="F1710" s="227"/>
      <c r="G1710" s="1" t="str">
        <f>IFERROR(IF(ventas_b_mes12[[#This Row],[CUIT]]="","-",VLOOKUP(ventas_b_mes12[[#This Row],[CUIT]],Lista_CUIT[#All],2,0)),"CUIT NO CARGADO")</f>
        <v>-</v>
      </c>
      <c r="H1710" s="96">
        <f>ventas_b_mes12[[#This Row],[TOTAL]]/1.21</f>
        <v>4809.9173553719011</v>
      </c>
      <c r="I1710" s="60">
        <f>ventas_b_mes12[[#This Row],[IMPORTE NETO]]*0.21</f>
        <v>1010.0826446280992</v>
      </c>
      <c r="J1710" s="229"/>
      <c r="K1710" s="229"/>
      <c r="L1710" s="229">
        <v>5820</v>
      </c>
      <c r="M1710" s="55"/>
    </row>
    <row r="1711" spans="2:13" x14ac:dyDescent="0.3">
      <c r="B1711" s="223" t="s">
        <v>2479</v>
      </c>
      <c r="C1711" s="37">
        <v>6</v>
      </c>
      <c r="D1711" s="225">
        <v>12</v>
      </c>
      <c r="E1711" s="226">
        <v>22663</v>
      </c>
      <c r="F1711" s="227"/>
      <c r="G1711" s="1" t="str">
        <f>IFERROR(IF(ventas_b_mes12[[#This Row],[CUIT]]="","-",VLOOKUP(ventas_b_mes12[[#This Row],[CUIT]],Lista_CUIT[#All],2,0)),"CUIT NO CARGADO")</f>
        <v>-</v>
      </c>
      <c r="H1711" s="96">
        <f>ventas_b_mes12[[#This Row],[TOTAL]]/1.21</f>
        <v>7458.6776859504134</v>
      </c>
      <c r="I1711" s="60">
        <f>ventas_b_mes12[[#This Row],[IMPORTE NETO]]*0.21</f>
        <v>1566.3223140495868</v>
      </c>
      <c r="J1711" s="229"/>
      <c r="K1711" s="229"/>
      <c r="L1711" s="229">
        <v>9025</v>
      </c>
      <c r="M1711" s="55"/>
    </row>
    <row r="1712" spans="2:13" x14ac:dyDescent="0.3">
      <c r="B1712" s="223" t="s">
        <v>2479</v>
      </c>
      <c r="C1712" s="37">
        <v>6</v>
      </c>
      <c r="D1712" s="225">
        <v>10</v>
      </c>
      <c r="E1712" s="226">
        <v>44043</v>
      </c>
      <c r="F1712" s="227"/>
      <c r="G1712" s="1" t="str">
        <f>IFERROR(IF(ventas_b_mes12[[#This Row],[CUIT]]="","-",VLOOKUP(ventas_b_mes12[[#This Row],[CUIT]],Lista_CUIT[#All],2,0)),"CUIT NO CARGADO")</f>
        <v>-</v>
      </c>
      <c r="H1712" s="96">
        <f>ventas_b_mes12[[#This Row],[TOTAL]]/1.21</f>
        <v>8553.7190082644629</v>
      </c>
      <c r="I1712" s="60">
        <f>ventas_b_mes12[[#This Row],[IMPORTE NETO]]*0.21</f>
        <v>1796.2809917355371</v>
      </c>
      <c r="J1712" s="229"/>
      <c r="K1712" s="229"/>
      <c r="L1712" s="229">
        <v>10350</v>
      </c>
      <c r="M1712" s="55"/>
    </row>
    <row r="1713" spans="2:13" x14ac:dyDescent="0.3">
      <c r="B1713" s="223" t="s">
        <v>2479</v>
      </c>
      <c r="C1713" s="37">
        <v>6</v>
      </c>
      <c r="D1713" s="225">
        <v>12</v>
      </c>
      <c r="E1713" s="226">
        <v>22667</v>
      </c>
      <c r="F1713" s="227"/>
      <c r="G1713" s="1" t="str">
        <f>IFERROR(IF(ventas_b_mes12[[#This Row],[CUIT]]="","-",VLOOKUP(ventas_b_mes12[[#This Row],[CUIT]],Lista_CUIT[#All],2,0)),"CUIT NO CARGADO")</f>
        <v>-</v>
      </c>
      <c r="H1713" s="96">
        <f>ventas_b_mes12[[#This Row],[TOTAL]]/1.21</f>
        <v>3066.1157024793388</v>
      </c>
      <c r="I1713" s="60">
        <f>ventas_b_mes12[[#This Row],[IMPORTE NETO]]*0.21</f>
        <v>643.88429752066111</v>
      </c>
      <c r="J1713" s="229"/>
      <c r="K1713" s="229"/>
      <c r="L1713" s="229">
        <v>3710</v>
      </c>
      <c r="M1713" s="55"/>
    </row>
    <row r="1714" spans="2:13" x14ac:dyDescent="0.3">
      <c r="B1714" s="223" t="s">
        <v>2479</v>
      </c>
      <c r="C1714" s="37">
        <v>6</v>
      </c>
      <c r="D1714" s="225">
        <v>10</v>
      </c>
      <c r="E1714" s="226">
        <v>44028</v>
      </c>
      <c r="F1714" s="227"/>
      <c r="G1714" s="1" t="str">
        <f>IFERROR(IF(ventas_b_mes12[[#This Row],[CUIT]]="","-",VLOOKUP(ventas_b_mes12[[#This Row],[CUIT]],Lista_CUIT[#All],2,0)),"CUIT NO CARGADO")</f>
        <v>-</v>
      </c>
      <c r="H1714" s="96">
        <f>ventas_b_mes12[[#This Row],[TOTAL]]/1.21</f>
        <v>21115.702479338845</v>
      </c>
      <c r="I1714" s="60">
        <f>ventas_b_mes12[[#This Row],[IMPORTE NETO]]*0.21</f>
        <v>4434.2975206611573</v>
      </c>
      <c r="J1714" s="229"/>
      <c r="K1714" s="229"/>
      <c r="L1714" s="229">
        <v>25550</v>
      </c>
      <c r="M1714" s="55"/>
    </row>
    <row r="1715" spans="2:13" x14ac:dyDescent="0.3">
      <c r="B1715" s="223" t="s">
        <v>2479</v>
      </c>
      <c r="C1715" s="37">
        <v>6</v>
      </c>
      <c r="D1715" s="225">
        <v>13</v>
      </c>
      <c r="E1715" s="226">
        <v>26854</v>
      </c>
      <c r="F1715" s="227"/>
      <c r="G1715" s="1" t="str">
        <f>IFERROR(IF(ventas_b_mes12[[#This Row],[CUIT]]="","-",VLOOKUP(ventas_b_mes12[[#This Row],[CUIT]],Lista_CUIT[#All],2,0)),"CUIT NO CARGADO")</f>
        <v>-</v>
      </c>
      <c r="H1715" s="96">
        <f>ventas_b_mes12[[#This Row],[TOTAL]]/1.21</f>
        <v>950.41322314049592</v>
      </c>
      <c r="I1715" s="60">
        <f>ventas_b_mes12[[#This Row],[IMPORTE NETO]]*0.21</f>
        <v>199.58677685950414</v>
      </c>
      <c r="J1715" s="229"/>
      <c r="K1715" s="229"/>
      <c r="L1715" s="229">
        <v>1150</v>
      </c>
      <c r="M1715" s="55"/>
    </row>
    <row r="1716" spans="2:13" x14ac:dyDescent="0.3">
      <c r="B1716" s="223" t="s">
        <v>2479</v>
      </c>
      <c r="C1716" s="37">
        <v>6</v>
      </c>
      <c r="D1716" s="225">
        <v>13</v>
      </c>
      <c r="E1716" s="226">
        <v>26845</v>
      </c>
      <c r="F1716" s="227"/>
      <c r="G1716" s="1" t="str">
        <f>IFERROR(IF(ventas_b_mes12[[#This Row],[CUIT]]="","-",VLOOKUP(ventas_b_mes12[[#This Row],[CUIT]],Lista_CUIT[#All],2,0)),"CUIT NO CARGADO")</f>
        <v>-</v>
      </c>
      <c r="H1716" s="96">
        <f>ventas_b_mes12[[#This Row],[TOTAL]]/1.21</f>
        <v>2438.0165289256197</v>
      </c>
      <c r="I1716" s="60">
        <f>ventas_b_mes12[[#This Row],[IMPORTE NETO]]*0.21</f>
        <v>511.98347107438013</v>
      </c>
      <c r="J1716" s="229"/>
      <c r="K1716" s="229"/>
      <c r="L1716" s="229">
        <v>2950</v>
      </c>
      <c r="M1716" s="55"/>
    </row>
    <row r="1717" spans="2:13" x14ac:dyDescent="0.3">
      <c r="B1717" s="223" t="s">
        <v>2479</v>
      </c>
      <c r="C1717" s="37">
        <v>6</v>
      </c>
      <c r="D1717" s="225">
        <v>12</v>
      </c>
      <c r="E1717" s="226">
        <v>22656</v>
      </c>
      <c r="F1717" s="227"/>
      <c r="G1717" s="1" t="str">
        <f>IFERROR(IF(ventas_b_mes12[[#This Row],[CUIT]]="","-",VLOOKUP(ventas_b_mes12[[#This Row],[CUIT]],Lista_CUIT[#All],2,0)),"CUIT NO CARGADO")</f>
        <v>-</v>
      </c>
      <c r="H1717" s="96">
        <f>ventas_b_mes12[[#This Row],[TOTAL]]/1.21</f>
        <v>7148.7603305785124</v>
      </c>
      <c r="I1717" s="60">
        <f>ventas_b_mes12[[#This Row],[IMPORTE NETO]]*0.21</f>
        <v>1501.2396694214876</v>
      </c>
      <c r="J1717" s="229"/>
      <c r="K1717" s="229"/>
      <c r="L1717" s="229">
        <v>8650</v>
      </c>
      <c r="M1717" s="55"/>
    </row>
    <row r="1718" spans="2:13" x14ac:dyDescent="0.3">
      <c r="B1718" s="223" t="s">
        <v>2480</v>
      </c>
      <c r="C1718" s="37">
        <v>6</v>
      </c>
      <c r="D1718" s="225">
        <v>13</v>
      </c>
      <c r="E1718" s="226">
        <v>26876</v>
      </c>
      <c r="F1718" s="227"/>
      <c r="G1718" s="1" t="str">
        <f>IFERROR(IF(ventas_b_mes12[[#This Row],[CUIT]]="","-",VLOOKUP(ventas_b_mes12[[#This Row],[CUIT]],Lista_CUIT[#All],2,0)),"CUIT NO CARGADO")</f>
        <v>-</v>
      </c>
      <c r="H1718" s="96">
        <f>ventas_b_mes12[[#This Row],[TOTAL]]/1.21</f>
        <v>10988.429752066117</v>
      </c>
      <c r="I1718" s="60">
        <f>ventas_b_mes12[[#This Row],[IMPORTE NETO]]*0.21</f>
        <v>2307.5702479338843</v>
      </c>
      <c r="J1718" s="229"/>
      <c r="K1718" s="229"/>
      <c r="L1718" s="229">
        <v>13296</v>
      </c>
      <c r="M1718" s="55"/>
    </row>
    <row r="1719" spans="2:13" x14ac:dyDescent="0.3">
      <c r="B1719" s="223" t="s">
        <v>2480</v>
      </c>
      <c r="C1719" s="37">
        <v>6</v>
      </c>
      <c r="D1719" s="225">
        <v>11</v>
      </c>
      <c r="E1719" s="226">
        <v>30237</v>
      </c>
      <c r="F1719" s="227"/>
      <c r="G1719" s="1" t="str">
        <f>IFERROR(IF(ventas_b_mes12[[#This Row],[CUIT]]="","-",VLOOKUP(ventas_b_mes12[[#This Row],[CUIT]],Lista_CUIT[#All],2,0)),"CUIT NO CARGADO")</f>
        <v>-</v>
      </c>
      <c r="H1719" s="96">
        <f>ventas_b_mes12[[#This Row],[TOTAL]]/1.21</f>
        <v>2438.0165289256197</v>
      </c>
      <c r="I1719" s="60">
        <f>ventas_b_mes12[[#This Row],[IMPORTE NETO]]*0.21</f>
        <v>511.98347107438013</v>
      </c>
      <c r="J1719" s="229"/>
      <c r="K1719" s="229"/>
      <c r="L1719" s="229">
        <v>2950</v>
      </c>
      <c r="M1719" s="55"/>
    </row>
    <row r="1720" spans="2:13" x14ac:dyDescent="0.3">
      <c r="B1720" s="223" t="s">
        <v>2480</v>
      </c>
      <c r="C1720" s="37">
        <v>6</v>
      </c>
      <c r="D1720" s="225">
        <v>11</v>
      </c>
      <c r="E1720" s="226">
        <v>30227</v>
      </c>
      <c r="F1720" s="227"/>
      <c r="G1720" s="1" t="str">
        <f>IFERROR(IF(ventas_b_mes12[[#This Row],[CUIT]]="","-",VLOOKUP(ventas_b_mes12[[#This Row],[CUIT]],Lista_CUIT[#All],2,0)),"CUIT NO CARGADO")</f>
        <v>-</v>
      </c>
      <c r="H1720" s="96">
        <f>ventas_b_mes12[[#This Row],[TOTAL]]/1.21</f>
        <v>9256.1983471074382</v>
      </c>
      <c r="I1720" s="60">
        <f>ventas_b_mes12[[#This Row],[IMPORTE NETO]]*0.21</f>
        <v>1943.8016528925618</v>
      </c>
      <c r="J1720" s="229"/>
      <c r="K1720" s="229"/>
      <c r="L1720" s="229">
        <v>11200</v>
      </c>
      <c r="M1720" s="55"/>
    </row>
    <row r="1721" spans="2:13" x14ac:dyDescent="0.3">
      <c r="B1721" s="223" t="s">
        <v>2480</v>
      </c>
      <c r="C1721" s="37">
        <v>6</v>
      </c>
      <c r="D1721" s="225">
        <v>12</v>
      </c>
      <c r="E1721" s="226">
        <v>22680</v>
      </c>
      <c r="F1721" s="227"/>
      <c r="G1721" s="1" t="str">
        <f>IFERROR(IF(ventas_b_mes12[[#This Row],[CUIT]]="","-",VLOOKUP(ventas_b_mes12[[#This Row],[CUIT]],Lista_CUIT[#All],2,0)),"CUIT NO CARGADO")</f>
        <v>-</v>
      </c>
      <c r="H1721" s="96">
        <f>ventas_b_mes12[[#This Row],[TOTAL]]/1.21</f>
        <v>7884.2975206611573</v>
      </c>
      <c r="I1721" s="60">
        <f>ventas_b_mes12[[#This Row],[IMPORTE NETO]]*0.21</f>
        <v>1655.702479338843</v>
      </c>
      <c r="J1721" s="229"/>
      <c r="K1721" s="229"/>
      <c r="L1721" s="229">
        <v>9540</v>
      </c>
      <c r="M1721" s="55"/>
    </row>
    <row r="1722" spans="2:13" x14ac:dyDescent="0.3">
      <c r="B1722" s="223" t="s">
        <v>2480</v>
      </c>
      <c r="C1722" s="37">
        <v>6</v>
      </c>
      <c r="D1722" s="225">
        <v>10</v>
      </c>
      <c r="E1722" s="226">
        <v>44044</v>
      </c>
      <c r="F1722" s="227"/>
      <c r="G1722" s="1" t="str">
        <f>IFERROR(IF(ventas_b_mes12[[#This Row],[CUIT]]="","-",VLOOKUP(ventas_b_mes12[[#This Row],[CUIT]],Lista_CUIT[#All],2,0)),"CUIT NO CARGADO")</f>
        <v>-</v>
      </c>
      <c r="H1722" s="96">
        <f>ventas_b_mes12[[#This Row],[TOTAL]]/1.21</f>
        <v>38037.190082644629</v>
      </c>
      <c r="I1722" s="60">
        <f>ventas_b_mes12[[#This Row],[IMPORTE NETO]]*0.21</f>
        <v>7987.8099173553719</v>
      </c>
      <c r="J1722" s="229"/>
      <c r="K1722" s="229"/>
      <c r="L1722" s="229">
        <v>46025</v>
      </c>
      <c r="M1722" s="55"/>
    </row>
    <row r="1723" spans="2:13" x14ac:dyDescent="0.3">
      <c r="B1723" s="223" t="s">
        <v>2480</v>
      </c>
      <c r="C1723" s="37">
        <v>6</v>
      </c>
      <c r="D1723" s="225">
        <v>13</v>
      </c>
      <c r="E1723" s="226">
        <v>26892</v>
      </c>
      <c r="F1723" s="227"/>
      <c r="G1723" s="1" t="str">
        <f>IFERROR(IF(ventas_b_mes12[[#This Row],[CUIT]]="","-",VLOOKUP(ventas_b_mes12[[#This Row],[CUIT]],Lista_CUIT[#All],2,0)),"CUIT NO CARGADO")</f>
        <v>-</v>
      </c>
      <c r="H1723" s="96">
        <f>ventas_b_mes12[[#This Row],[TOTAL]]/1.21</f>
        <v>545.4545454545455</v>
      </c>
      <c r="I1723" s="60">
        <f>ventas_b_mes12[[#This Row],[IMPORTE NETO]]*0.21</f>
        <v>114.54545454545455</v>
      </c>
      <c r="J1723" s="229"/>
      <c r="K1723" s="229"/>
      <c r="L1723" s="229">
        <v>660</v>
      </c>
      <c r="M1723" s="55"/>
    </row>
    <row r="1724" spans="2:13" x14ac:dyDescent="0.3">
      <c r="B1724" s="223" t="s">
        <v>2480</v>
      </c>
      <c r="C1724" s="37">
        <v>6</v>
      </c>
      <c r="D1724" s="225">
        <v>12</v>
      </c>
      <c r="E1724" s="226">
        <v>22677</v>
      </c>
      <c r="F1724" s="227"/>
      <c r="G1724" s="1" t="str">
        <f>IFERROR(IF(ventas_b_mes12[[#This Row],[CUIT]]="","-",VLOOKUP(ventas_b_mes12[[#This Row],[CUIT]],Lista_CUIT[#All],2,0)),"CUIT NO CARGADO")</f>
        <v>-</v>
      </c>
      <c r="H1724" s="96">
        <f>ventas_b_mes12[[#This Row],[TOTAL]]/1.21</f>
        <v>4958.6776859504134</v>
      </c>
      <c r="I1724" s="60">
        <f>ventas_b_mes12[[#This Row],[IMPORTE NETO]]*0.21</f>
        <v>1041.3223140495868</v>
      </c>
      <c r="J1724" s="229"/>
      <c r="K1724" s="229"/>
      <c r="L1724" s="229">
        <v>6000</v>
      </c>
      <c r="M1724" s="55"/>
    </row>
    <row r="1725" spans="2:13" x14ac:dyDescent="0.3">
      <c r="B1725" s="223" t="s">
        <v>2480</v>
      </c>
      <c r="C1725" s="37">
        <v>6</v>
      </c>
      <c r="D1725" s="225">
        <v>13</v>
      </c>
      <c r="E1725" s="226">
        <v>26885</v>
      </c>
      <c r="F1725" s="227"/>
      <c r="G1725" s="1" t="str">
        <f>IFERROR(IF(ventas_b_mes12[[#This Row],[CUIT]]="","-",VLOOKUP(ventas_b_mes12[[#This Row],[CUIT]],Lista_CUIT[#All],2,0)),"CUIT NO CARGADO")</f>
        <v>-</v>
      </c>
      <c r="H1725" s="96">
        <f>ventas_b_mes12[[#This Row],[TOTAL]]/1.21</f>
        <v>9107.4462809917368</v>
      </c>
      <c r="I1725" s="60">
        <f>ventas_b_mes12[[#This Row],[IMPORTE NETO]]*0.21</f>
        <v>1912.5637190082646</v>
      </c>
      <c r="J1725" s="229"/>
      <c r="K1725" s="229"/>
      <c r="L1725" s="229">
        <v>11020.01</v>
      </c>
      <c r="M1725" s="55"/>
    </row>
    <row r="1726" spans="2:13" x14ac:dyDescent="0.3">
      <c r="B1726" s="223" t="s">
        <v>2480</v>
      </c>
      <c r="C1726" s="37">
        <v>6</v>
      </c>
      <c r="D1726" s="225">
        <v>13</v>
      </c>
      <c r="E1726" s="226">
        <v>26902</v>
      </c>
      <c r="F1726" s="227"/>
      <c r="G1726" s="1" t="str">
        <f>IFERROR(IF(ventas_b_mes12[[#This Row],[CUIT]]="","-",VLOOKUP(ventas_b_mes12[[#This Row],[CUIT]],Lista_CUIT[#All],2,0)),"CUIT NO CARGADO")</f>
        <v>-</v>
      </c>
      <c r="H1726" s="96">
        <f>ventas_b_mes12[[#This Row],[TOTAL]]/1.21</f>
        <v>7665.2892561983472</v>
      </c>
      <c r="I1726" s="60">
        <f>ventas_b_mes12[[#This Row],[IMPORTE NETO]]*0.21</f>
        <v>1609.7107438016528</v>
      </c>
      <c r="J1726" s="229"/>
      <c r="K1726" s="229"/>
      <c r="L1726" s="229">
        <v>9275</v>
      </c>
      <c r="M1726" s="55"/>
    </row>
    <row r="1727" spans="2:13" x14ac:dyDescent="0.3">
      <c r="B1727" s="223" t="s">
        <v>2480</v>
      </c>
      <c r="C1727" s="37">
        <v>6</v>
      </c>
      <c r="D1727" s="225">
        <v>13</v>
      </c>
      <c r="E1727" s="226">
        <v>26888</v>
      </c>
      <c r="F1727" s="227"/>
      <c r="G1727" s="1" t="str">
        <f>IFERROR(IF(ventas_b_mes12[[#This Row],[CUIT]]="","-",VLOOKUP(ventas_b_mes12[[#This Row],[CUIT]],Lista_CUIT[#All],2,0)),"CUIT NO CARGADO")</f>
        <v>-</v>
      </c>
      <c r="H1727" s="96">
        <f>ventas_b_mes12[[#This Row],[TOTAL]]/1.21</f>
        <v>9669.4214876033056</v>
      </c>
      <c r="I1727" s="60">
        <f>ventas_b_mes12[[#This Row],[IMPORTE NETO]]*0.21</f>
        <v>2030.5785123966941</v>
      </c>
      <c r="J1727" s="229"/>
      <c r="K1727" s="229"/>
      <c r="L1727" s="229">
        <v>11700</v>
      </c>
      <c r="M1727" s="55"/>
    </row>
    <row r="1728" spans="2:13" x14ac:dyDescent="0.3">
      <c r="B1728" s="223" t="s">
        <v>2480</v>
      </c>
      <c r="C1728" s="37">
        <v>6</v>
      </c>
      <c r="D1728" s="225">
        <v>13</v>
      </c>
      <c r="E1728" s="226">
        <v>26899</v>
      </c>
      <c r="F1728" s="227"/>
      <c r="G1728" s="1" t="str">
        <f>IFERROR(IF(ventas_b_mes12[[#This Row],[CUIT]]="","-",VLOOKUP(ventas_b_mes12[[#This Row],[CUIT]],Lista_CUIT[#All],2,0)),"CUIT NO CARGADO")</f>
        <v>-</v>
      </c>
      <c r="H1728" s="96">
        <f>ventas_b_mes12[[#This Row],[TOTAL]]/1.21</f>
        <v>1388.4297520661157</v>
      </c>
      <c r="I1728" s="60">
        <f>ventas_b_mes12[[#This Row],[IMPORTE NETO]]*0.21</f>
        <v>291.57024793388427</v>
      </c>
      <c r="J1728" s="229"/>
      <c r="K1728" s="229"/>
      <c r="L1728" s="229">
        <v>1680</v>
      </c>
      <c r="M1728" s="55"/>
    </row>
    <row r="1729" spans="2:13" x14ac:dyDescent="0.3">
      <c r="B1729" s="223" t="s">
        <v>2480</v>
      </c>
      <c r="C1729" s="37">
        <v>6</v>
      </c>
      <c r="D1729" s="225">
        <v>13</v>
      </c>
      <c r="E1729" s="226">
        <v>26908</v>
      </c>
      <c r="F1729" s="227"/>
      <c r="G1729" s="1" t="str">
        <f>IFERROR(IF(ventas_b_mes12[[#This Row],[CUIT]]="","-",VLOOKUP(ventas_b_mes12[[#This Row],[CUIT]],Lista_CUIT[#All],2,0)),"CUIT NO CARGADO")</f>
        <v>-</v>
      </c>
      <c r="H1729" s="96">
        <f>ventas_b_mes12[[#This Row],[TOTAL]]/1.21</f>
        <v>4917.3636363636369</v>
      </c>
      <c r="I1729" s="60">
        <f>ventas_b_mes12[[#This Row],[IMPORTE NETO]]*0.21</f>
        <v>1032.6463636363637</v>
      </c>
      <c r="J1729" s="229"/>
      <c r="K1729" s="229"/>
      <c r="L1729" s="229">
        <v>5950.01</v>
      </c>
      <c r="M1729" s="55"/>
    </row>
    <row r="1730" spans="2:13" x14ac:dyDescent="0.3">
      <c r="B1730" s="223" t="s">
        <v>2480</v>
      </c>
      <c r="C1730" s="37">
        <v>6</v>
      </c>
      <c r="D1730" s="225">
        <v>12</v>
      </c>
      <c r="E1730" s="226">
        <v>22682</v>
      </c>
      <c r="F1730" s="227"/>
      <c r="G1730" s="1" t="str">
        <f>IFERROR(IF(ventas_b_mes12[[#This Row],[CUIT]]="","-",VLOOKUP(ventas_b_mes12[[#This Row],[CUIT]],Lista_CUIT[#All],2,0)),"CUIT NO CARGADO")</f>
        <v>-</v>
      </c>
      <c r="H1730" s="96">
        <f>ventas_b_mes12[[#This Row],[TOTAL]]/1.21</f>
        <v>23661.157024793389</v>
      </c>
      <c r="I1730" s="60">
        <f>ventas_b_mes12[[#This Row],[IMPORTE NETO]]*0.21</f>
        <v>4968.8429752066113</v>
      </c>
      <c r="J1730" s="229"/>
      <c r="K1730" s="229"/>
      <c r="L1730" s="229">
        <v>28630</v>
      </c>
      <c r="M1730" s="55"/>
    </row>
    <row r="1731" spans="2:13" x14ac:dyDescent="0.3">
      <c r="B1731" s="223" t="s">
        <v>2480</v>
      </c>
      <c r="C1731" s="37">
        <v>6</v>
      </c>
      <c r="D1731" s="225">
        <v>13</v>
      </c>
      <c r="E1731" s="226">
        <v>26873</v>
      </c>
      <c r="F1731" s="227"/>
      <c r="G1731" s="1" t="str">
        <f>IFERROR(IF(ventas_b_mes12[[#This Row],[CUIT]]="","-",VLOOKUP(ventas_b_mes12[[#This Row],[CUIT]],Lista_CUIT[#All],2,0)),"CUIT NO CARGADO")</f>
        <v>-</v>
      </c>
      <c r="H1731" s="96">
        <f>ventas_b_mes12[[#This Row],[TOTAL]]/1.21</f>
        <v>1776.8595041322315</v>
      </c>
      <c r="I1731" s="60">
        <f>ventas_b_mes12[[#This Row],[IMPORTE NETO]]*0.21</f>
        <v>373.14049586776861</v>
      </c>
      <c r="J1731" s="229"/>
      <c r="K1731" s="229"/>
      <c r="L1731" s="229">
        <v>2150</v>
      </c>
      <c r="M1731" s="55"/>
    </row>
    <row r="1732" spans="2:13" x14ac:dyDescent="0.3">
      <c r="B1732" s="223" t="s">
        <v>2480</v>
      </c>
      <c r="C1732" s="37">
        <v>6</v>
      </c>
      <c r="D1732" s="225">
        <v>11</v>
      </c>
      <c r="E1732" s="226">
        <v>30231</v>
      </c>
      <c r="F1732" s="227"/>
      <c r="G1732" s="1" t="str">
        <f>IFERROR(IF(ventas_b_mes12[[#This Row],[CUIT]]="","-",VLOOKUP(ventas_b_mes12[[#This Row],[CUIT]],Lista_CUIT[#All],2,0)),"CUIT NO CARGADO")</f>
        <v>-</v>
      </c>
      <c r="H1732" s="96">
        <f>ventas_b_mes12[[#This Row],[TOTAL]]/1.21</f>
        <v>3768.595041322314</v>
      </c>
      <c r="I1732" s="60">
        <f>ventas_b_mes12[[#This Row],[IMPORTE NETO]]*0.21</f>
        <v>791.40495867768595</v>
      </c>
      <c r="J1732" s="229"/>
      <c r="K1732" s="229"/>
      <c r="L1732" s="229">
        <v>4560</v>
      </c>
      <c r="M1732" s="55"/>
    </row>
    <row r="1733" spans="2:13" x14ac:dyDescent="0.3">
      <c r="B1733" s="223" t="s">
        <v>2480</v>
      </c>
      <c r="C1733" s="37">
        <v>6</v>
      </c>
      <c r="D1733" s="225">
        <v>15</v>
      </c>
      <c r="E1733" s="226">
        <v>7310</v>
      </c>
      <c r="F1733" s="227"/>
      <c r="G1733" s="1" t="str">
        <f>IFERROR(IF(ventas_b_mes12[[#This Row],[CUIT]]="","-",VLOOKUP(ventas_b_mes12[[#This Row],[CUIT]],Lista_CUIT[#All],2,0)),"CUIT NO CARGADO")</f>
        <v>-</v>
      </c>
      <c r="H1733" s="96">
        <f>ventas_b_mes12[[#This Row],[TOTAL]]/1.21</f>
        <v>10599.173553719009</v>
      </c>
      <c r="I1733" s="60">
        <f>ventas_b_mes12[[#This Row],[IMPORTE NETO]]*0.21</f>
        <v>2225.8264462809916</v>
      </c>
      <c r="J1733" s="229"/>
      <c r="K1733" s="229"/>
      <c r="L1733" s="229">
        <v>12825</v>
      </c>
      <c r="M1733" s="55"/>
    </row>
    <row r="1734" spans="2:13" x14ac:dyDescent="0.3">
      <c r="B1734" s="223" t="s">
        <v>2480</v>
      </c>
      <c r="C1734" s="37">
        <v>6</v>
      </c>
      <c r="D1734" s="225">
        <v>10</v>
      </c>
      <c r="E1734" s="226">
        <v>44059</v>
      </c>
      <c r="F1734" s="227"/>
      <c r="G1734" s="1" t="str">
        <f>IFERROR(IF(ventas_b_mes12[[#This Row],[CUIT]]="","-",VLOOKUP(ventas_b_mes12[[#This Row],[CUIT]],Lista_CUIT[#All],2,0)),"CUIT NO CARGADO")</f>
        <v>-</v>
      </c>
      <c r="H1734" s="96">
        <f>ventas_b_mes12[[#This Row],[TOTAL]]/1.21</f>
        <v>1416.8016528925621</v>
      </c>
      <c r="I1734" s="60">
        <f>ventas_b_mes12[[#This Row],[IMPORTE NETO]]*0.21</f>
        <v>297.52834710743804</v>
      </c>
      <c r="J1734" s="229"/>
      <c r="K1734" s="229"/>
      <c r="L1734" s="229">
        <v>1714.33</v>
      </c>
      <c r="M1734" s="55"/>
    </row>
    <row r="1735" spans="2:13" x14ac:dyDescent="0.3">
      <c r="B1735" s="223" t="s">
        <v>2480</v>
      </c>
      <c r="C1735" s="37">
        <v>6</v>
      </c>
      <c r="D1735" s="225">
        <v>10</v>
      </c>
      <c r="E1735" s="226">
        <v>44046</v>
      </c>
      <c r="F1735" s="227"/>
      <c r="G1735" s="1" t="str">
        <f>IFERROR(IF(ventas_b_mes12[[#This Row],[CUIT]]="","-",VLOOKUP(ventas_b_mes12[[#This Row],[CUIT]],Lista_CUIT[#All],2,0)),"CUIT NO CARGADO")</f>
        <v>-</v>
      </c>
      <c r="H1735" s="96">
        <f>ventas_b_mes12[[#This Row],[TOTAL]]/1.21</f>
        <v>2747.9338842975208</v>
      </c>
      <c r="I1735" s="60">
        <f>ventas_b_mes12[[#This Row],[IMPORTE NETO]]*0.21</f>
        <v>577.06611570247935</v>
      </c>
      <c r="J1735" s="229"/>
      <c r="K1735" s="229"/>
      <c r="L1735" s="229">
        <v>3325</v>
      </c>
      <c r="M1735" s="55"/>
    </row>
    <row r="1736" spans="2:13" x14ac:dyDescent="0.3">
      <c r="B1736" s="223" t="s">
        <v>2480</v>
      </c>
      <c r="C1736" s="37">
        <v>6</v>
      </c>
      <c r="D1736" s="225">
        <v>13</v>
      </c>
      <c r="E1736" s="226">
        <v>26898</v>
      </c>
      <c r="F1736" s="227"/>
      <c r="G1736" s="1" t="str">
        <f>IFERROR(IF(ventas_b_mes12[[#This Row],[CUIT]]="","-",VLOOKUP(ventas_b_mes12[[#This Row],[CUIT]],Lista_CUIT[#All],2,0)),"CUIT NO CARGADO")</f>
        <v>-</v>
      </c>
      <c r="H1736" s="96">
        <f>ventas_b_mes12[[#This Row],[TOTAL]]/1.21</f>
        <v>22022.727272727272</v>
      </c>
      <c r="I1736" s="60">
        <f>ventas_b_mes12[[#This Row],[IMPORTE NETO]]*0.21</f>
        <v>4624.772727272727</v>
      </c>
      <c r="J1736" s="229"/>
      <c r="K1736" s="229"/>
      <c r="L1736" s="229">
        <v>26647.5</v>
      </c>
      <c r="M1736" s="55"/>
    </row>
    <row r="1737" spans="2:13" x14ac:dyDescent="0.3">
      <c r="B1737" s="223" t="s">
        <v>2480</v>
      </c>
      <c r="C1737" s="37">
        <v>6</v>
      </c>
      <c r="D1737" s="225">
        <v>15</v>
      </c>
      <c r="E1737" s="226">
        <v>7313</v>
      </c>
      <c r="F1737" s="227"/>
      <c r="G1737" s="1" t="str">
        <f>IFERROR(IF(ventas_b_mes12[[#This Row],[CUIT]]="","-",VLOOKUP(ventas_b_mes12[[#This Row],[CUIT]],Lista_CUIT[#All],2,0)),"CUIT NO CARGADO")</f>
        <v>-</v>
      </c>
      <c r="H1737" s="96">
        <f>ventas_b_mes12[[#This Row],[TOTAL]]/1.21</f>
        <v>18983.479338842975</v>
      </c>
      <c r="I1737" s="60">
        <f>ventas_b_mes12[[#This Row],[IMPORTE NETO]]*0.21</f>
        <v>3986.5306611570245</v>
      </c>
      <c r="J1737" s="229"/>
      <c r="K1737" s="229"/>
      <c r="L1737" s="229">
        <v>22970.01</v>
      </c>
      <c r="M1737" s="55"/>
    </row>
    <row r="1738" spans="2:13" x14ac:dyDescent="0.3">
      <c r="B1738" s="223" t="s">
        <v>2480</v>
      </c>
      <c r="C1738" s="37">
        <v>6</v>
      </c>
      <c r="D1738" s="225">
        <v>13</v>
      </c>
      <c r="E1738" s="226">
        <v>26895</v>
      </c>
      <c r="F1738" s="227"/>
      <c r="G1738" s="1" t="str">
        <f>IFERROR(IF(ventas_b_mes12[[#This Row],[CUIT]]="","-",VLOOKUP(ventas_b_mes12[[#This Row],[CUIT]],Lista_CUIT[#All],2,0)),"CUIT NO CARGADO")</f>
        <v>-</v>
      </c>
      <c r="H1738" s="96">
        <f>ventas_b_mes12[[#This Row],[TOTAL]]/1.21</f>
        <v>2892.5619834710747</v>
      </c>
      <c r="I1738" s="60">
        <f>ventas_b_mes12[[#This Row],[IMPORTE NETO]]*0.21</f>
        <v>607.43801652892569</v>
      </c>
      <c r="J1738" s="229"/>
      <c r="K1738" s="229"/>
      <c r="L1738" s="229">
        <v>3500</v>
      </c>
      <c r="M1738" s="55"/>
    </row>
    <row r="1739" spans="2:13" x14ac:dyDescent="0.3">
      <c r="B1739" s="223" t="s">
        <v>2480</v>
      </c>
      <c r="C1739" s="37">
        <v>6</v>
      </c>
      <c r="D1739" s="225">
        <v>13</v>
      </c>
      <c r="E1739" s="226">
        <v>26896</v>
      </c>
      <c r="F1739" s="227"/>
      <c r="G1739" s="1" t="str">
        <f>IFERROR(IF(ventas_b_mes12[[#This Row],[CUIT]]="","-",VLOOKUP(ventas_b_mes12[[#This Row],[CUIT]],Lista_CUIT[#All],2,0)),"CUIT NO CARGADO")</f>
        <v>-</v>
      </c>
      <c r="H1739" s="96">
        <f>ventas_b_mes12[[#This Row],[TOTAL]]/1.21</f>
        <v>2342.9752066115702</v>
      </c>
      <c r="I1739" s="60">
        <f>ventas_b_mes12[[#This Row],[IMPORTE NETO]]*0.21</f>
        <v>492.02479338842971</v>
      </c>
      <c r="J1739" s="229"/>
      <c r="K1739" s="229"/>
      <c r="L1739" s="229">
        <v>2835</v>
      </c>
      <c r="M1739" s="55"/>
    </row>
    <row r="1740" spans="2:13" x14ac:dyDescent="0.3">
      <c r="B1740" s="223" t="s">
        <v>2480</v>
      </c>
      <c r="C1740" s="37">
        <v>6</v>
      </c>
      <c r="D1740" s="225">
        <v>13</v>
      </c>
      <c r="E1740" s="226">
        <v>26884</v>
      </c>
      <c r="F1740" s="227"/>
      <c r="G1740" s="1" t="str">
        <f>IFERROR(IF(ventas_b_mes12[[#This Row],[CUIT]]="","-",VLOOKUP(ventas_b_mes12[[#This Row],[CUIT]],Lista_CUIT[#All],2,0)),"CUIT NO CARGADO")</f>
        <v>-</v>
      </c>
      <c r="H1740" s="96">
        <f>ventas_b_mes12[[#This Row],[TOTAL]]/1.21</f>
        <v>7946.2809917355371</v>
      </c>
      <c r="I1740" s="60">
        <f>ventas_b_mes12[[#This Row],[IMPORTE NETO]]*0.21</f>
        <v>1668.7190082644627</v>
      </c>
      <c r="J1740" s="229"/>
      <c r="K1740" s="229"/>
      <c r="L1740" s="229">
        <v>9615</v>
      </c>
      <c r="M1740" s="55"/>
    </row>
    <row r="1741" spans="2:13" x14ac:dyDescent="0.3">
      <c r="B1741" s="223" t="s">
        <v>2480</v>
      </c>
      <c r="C1741" s="37">
        <v>6</v>
      </c>
      <c r="D1741" s="225">
        <v>11</v>
      </c>
      <c r="E1741" s="226">
        <v>30224</v>
      </c>
      <c r="F1741" s="227"/>
      <c r="G1741" s="1" t="str">
        <f>IFERROR(IF(ventas_b_mes12[[#This Row],[CUIT]]="","-",VLOOKUP(ventas_b_mes12[[#This Row],[CUIT]],Lista_CUIT[#All],2,0)),"CUIT NO CARGADO")</f>
        <v>-</v>
      </c>
      <c r="H1741" s="96">
        <f>ventas_b_mes12[[#This Row],[TOTAL]]/1.21</f>
        <v>2347.1157024793392</v>
      </c>
      <c r="I1741" s="60">
        <f>ventas_b_mes12[[#This Row],[IMPORTE NETO]]*0.21</f>
        <v>492.89429752066121</v>
      </c>
      <c r="J1741" s="229"/>
      <c r="K1741" s="229"/>
      <c r="L1741" s="229">
        <v>2840.01</v>
      </c>
      <c r="M1741" s="55"/>
    </row>
    <row r="1742" spans="2:13" x14ac:dyDescent="0.3">
      <c r="B1742" s="223" t="s">
        <v>2480</v>
      </c>
      <c r="C1742" s="37">
        <v>6</v>
      </c>
      <c r="D1742" s="225">
        <v>11</v>
      </c>
      <c r="E1742" s="226">
        <v>30236</v>
      </c>
      <c r="F1742" s="227"/>
      <c r="G1742" s="1" t="str">
        <f>IFERROR(IF(ventas_b_mes12[[#This Row],[CUIT]]="","-",VLOOKUP(ventas_b_mes12[[#This Row],[CUIT]],Lista_CUIT[#All],2,0)),"CUIT NO CARGADO")</f>
        <v>-</v>
      </c>
      <c r="H1742" s="96">
        <f>ventas_b_mes12[[#This Row],[TOTAL]]/1.21</f>
        <v>8264.4628099173551</v>
      </c>
      <c r="I1742" s="60">
        <f>ventas_b_mes12[[#This Row],[IMPORTE NETO]]*0.21</f>
        <v>1735.5371900826444</v>
      </c>
      <c r="J1742" s="229"/>
      <c r="K1742" s="229"/>
      <c r="L1742" s="229">
        <v>10000</v>
      </c>
      <c r="M1742" s="55"/>
    </row>
    <row r="1743" spans="2:13" x14ac:dyDescent="0.3">
      <c r="B1743" s="223" t="s">
        <v>2480</v>
      </c>
      <c r="C1743" s="37">
        <v>6</v>
      </c>
      <c r="D1743" s="225">
        <v>13</v>
      </c>
      <c r="E1743" s="226">
        <v>26877</v>
      </c>
      <c r="F1743" s="227"/>
      <c r="G1743" s="1" t="str">
        <f>IFERROR(IF(ventas_b_mes12[[#This Row],[CUIT]]="","-",VLOOKUP(ventas_b_mes12[[#This Row],[CUIT]],Lista_CUIT[#All],2,0)),"CUIT NO CARGADO")</f>
        <v>-</v>
      </c>
      <c r="H1743" s="96">
        <f>ventas_b_mes12[[#This Row],[TOTAL]]/1.21</f>
        <v>6842.1570247933887</v>
      </c>
      <c r="I1743" s="60">
        <f>ventas_b_mes12[[#This Row],[IMPORTE NETO]]*0.21</f>
        <v>1436.8529752066115</v>
      </c>
      <c r="J1743" s="229"/>
      <c r="K1743" s="229"/>
      <c r="L1743" s="229">
        <v>8279.01</v>
      </c>
      <c r="M1743" s="55"/>
    </row>
    <row r="1744" spans="2:13" x14ac:dyDescent="0.3">
      <c r="B1744" s="223" t="s">
        <v>2480</v>
      </c>
      <c r="C1744" s="37">
        <v>6</v>
      </c>
      <c r="D1744" s="225">
        <v>10</v>
      </c>
      <c r="E1744" s="226">
        <v>44056</v>
      </c>
      <c r="F1744" s="227"/>
      <c r="G1744" s="1" t="str">
        <f>IFERROR(IF(ventas_b_mes12[[#This Row],[CUIT]]="","-",VLOOKUP(ventas_b_mes12[[#This Row],[CUIT]],Lista_CUIT[#All],2,0)),"CUIT NO CARGADO")</f>
        <v>-</v>
      </c>
      <c r="H1744" s="96">
        <f>ventas_b_mes12[[#This Row],[TOTAL]]/1.21</f>
        <v>1859.504132231405</v>
      </c>
      <c r="I1744" s="60">
        <f>ventas_b_mes12[[#This Row],[IMPORTE NETO]]*0.21</f>
        <v>390.49586776859502</v>
      </c>
      <c r="J1744" s="229"/>
      <c r="K1744" s="229"/>
      <c r="L1744" s="229">
        <v>2250</v>
      </c>
      <c r="M1744" s="55"/>
    </row>
    <row r="1745" spans="2:13" x14ac:dyDescent="0.3">
      <c r="B1745" s="223" t="s">
        <v>2480</v>
      </c>
      <c r="C1745" s="37">
        <v>6</v>
      </c>
      <c r="D1745" s="225">
        <v>12</v>
      </c>
      <c r="E1745" s="226">
        <v>22676</v>
      </c>
      <c r="F1745" s="227"/>
      <c r="G1745" s="1" t="str">
        <f>IFERROR(IF(ventas_b_mes12[[#This Row],[CUIT]]="","-",VLOOKUP(ventas_b_mes12[[#This Row],[CUIT]],Lista_CUIT[#All],2,0)),"CUIT NO CARGADO")</f>
        <v>-</v>
      </c>
      <c r="H1745" s="96">
        <f>ventas_b_mes12[[#This Row],[TOTAL]]/1.21</f>
        <v>3842.9752066115702</v>
      </c>
      <c r="I1745" s="60">
        <f>ventas_b_mes12[[#This Row],[IMPORTE NETO]]*0.21</f>
        <v>807.02479338842977</v>
      </c>
      <c r="J1745" s="229"/>
      <c r="K1745" s="229"/>
      <c r="L1745" s="229">
        <v>4650</v>
      </c>
      <c r="M1745" s="55"/>
    </row>
    <row r="1746" spans="2:13" x14ac:dyDescent="0.3">
      <c r="B1746" s="223" t="s">
        <v>2480</v>
      </c>
      <c r="C1746" s="37">
        <v>6</v>
      </c>
      <c r="D1746" s="225">
        <v>15</v>
      </c>
      <c r="E1746" s="226">
        <v>7315</v>
      </c>
      <c r="F1746" s="227"/>
      <c r="G1746" s="1" t="str">
        <f>IFERROR(IF(ventas_b_mes12[[#This Row],[CUIT]]="","-",VLOOKUP(ventas_b_mes12[[#This Row],[CUIT]],Lista_CUIT[#All],2,0)),"CUIT NO CARGADO")</f>
        <v>-</v>
      </c>
      <c r="H1746" s="96">
        <f>ventas_b_mes12[[#This Row],[TOTAL]]/1.21</f>
        <v>14280.991735537191</v>
      </c>
      <c r="I1746" s="60">
        <f>ventas_b_mes12[[#This Row],[IMPORTE NETO]]*0.21</f>
        <v>2999.0082644628101</v>
      </c>
      <c r="J1746" s="229"/>
      <c r="K1746" s="229"/>
      <c r="L1746" s="229">
        <v>17280</v>
      </c>
      <c r="M1746" s="55"/>
    </row>
    <row r="1747" spans="2:13" x14ac:dyDescent="0.3">
      <c r="B1747" s="223" t="s">
        <v>2480</v>
      </c>
      <c r="C1747" s="37">
        <v>6</v>
      </c>
      <c r="D1747" s="225">
        <v>11</v>
      </c>
      <c r="E1747" s="226">
        <v>30230</v>
      </c>
      <c r="F1747" s="227"/>
      <c r="G1747" s="1" t="str">
        <f>IFERROR(IF(ventas_b_mes12[[#This Row],[CUIT]]="","-",VLOOKUP(ventas_b_mes12[[#This Row],[CUIT]],Lista_CUIT[#All],2,0)),"CUIT NO CARGADO")</f>
        <v>-</v>
      </c>
      <c r="H1747" s="96">
        <f>ventas_b_mes12[[#This Row],[TOTAL]]/1.21</f>
        <v>7396.6942148760336</v>
      </c>
      <c r="I1747" s="60">
        <f>ventas_b_mes12[[#This Row],[IMPORTE NETO]]*0.21</f>
        <v>1553.3057851239671</v>
      </c>
      <c r="J1747" s="229"/>
      <c r="K1747" s="229"/>
      <c r="L1747" s="229">
        <v>8950</v>
      </c>
      <c r="M1747" s="55"/>
    </row>
    <row r="1748" spans="2:13" x14ac:dyDescent="0.3">
      <c r="B1748" s="223" t="s">
        <v>2480</v>
      </c>
      <c r="C1748" s="37">
        <v>6</v>
      </c>
      <c r="D1748" s="225">
        <v>13</v>
      </c>
      <c r="E1748" s="226">
        <v>26872</v>
      </c>
      <c r="F1748" s="227"/>
      <c r="G1748" s="1" t="str">
        <f>IFERROR(IF(ventas_b_mes12[[#This Row],[CUIT]]="","-",VLOOKUP(ventas_b_mes12[[#This Row],[CUIT]],Lista_CUIT[#All],2,0)),"CUIT NO CARGADO")</f>
        <v>-</v>
      </c>
      <c r="H1748" s="96">
        <f>ventas_b_mes12[[#This Row],[TOTAL]]/1.21</f>
        <v>3471.0743801652893</v>
      </c>
      <c r="I1748" s="60">
        <f>ventas_b_mes12[[#This Row],[IMPORTE NETO]]*0.21</f>
        <v>728.92561983471069</v>
      </c>
      <c r="J1748" s="229"/>
      <c r="K1748" s="229"/>
      <c r="L1748" s="229">
        <v>4200</v>
      </c>
      <c r="M1748" s="55"/>
    </row>
    <row r="1749" spans="2:13" x14ac:dyDescent="0.3">
      <c r="B1749" s="223" t="s">
        <v>2480</v>
      </c>
      <c r="C1749" s="37">
        <v>6</v>
      </c>
      <c r="D1749" s="225">
        <v>13</v>
      </c>
      <c r="E1749" s="226">
        <v>26875</v>
      </c>
      <c r="F1749" s="227"/>
      <c r="G1749" s="1" t="str">
        <f>IFERROR(IF(ventas_b_mes12[[#This Row],[CUIT]]="","-",VLOOKUP(ventas_b_mes12[[#This Row],[CUIT]],Lista_CUIT[#All],2,0)),"CUIT NO CARGADO")</f>
        <v>-</v>
      </c>
      <c r="H1749" s="96">
        <f>ventas_b_mes12[[#This Row],[TOTAL]]/1.21</f>
        <v>4376.0330578512394</v>
      </c>
      <c r="I1749" s="60">
        <f>ventas_b_mes12[[#This Row],[IMPORTE NETO]]*0.21</f>
        <v>918.96694214876027</v>
      </c>
      <c r="J1749" s="229"/>
      <c r="K1749" s="229"/>
      <c r="L1749" s="229">
        <v>5295</v>
      </c>
      <c r="M1749" s="55"/>
    </row>
    <row r="1750" spans="2:13" x14ac:dyDescent="0.3">
      <c r="B1750" s="223" t="s">
        <v>2480</v>
      </c>
      <c r="C1750" s="37">
        <v>6</v>
      </c>
      <c r="D1750" s="225">
        <v>12</v>
      </c>
      <c r="E1750" s="226">
        <v>22683</v>
      </c>
      <c r="F1750" s="227"/>
      <c r="G1750" s="1" t="str">
        <f>IFERROR(IF(ventas_b_mes12[[#This Row],[CUIT]]="","-",VLOOKUP(ventas_b_mes12[[#This Row],[CUIT]],Lista_CUIT[#All],2,0)),"CUIT NO CARGADO")</f>
        <v>-</v>
      </c>
      <c r="H1750" s="96">
        <f>ventas_b_mes12[[#This Row],[TOTAL]]/1.21</f>
        <v>3644.6280991735539</v>
      </c>
      <c r="I1750" s="60">
        <f>ventas_b_mes12[[#This Row],[IMPORTE NETO]]*0.21</f>
        <v>765.37190082644634</v>
      </c>
      <c r="J1750" s="229"/>
      <c r="K1750" s="229"/>
      <c r="L1750" s="229">
        <v>4410</v>
      </c>
      <c r="M1750" s="55"/>
    </row>
    <row r="1751" spans="2:13" x14ac:dyDescent="0.3">
      <c r="B1751" s="223" t="s">
        <v>2480</v>
      </c>
      <c r="C1751" s="37">
        <v>6</v>
      </c>
      <c r="D1751" s="225">
        <v>10</v>
      </c>
      <c r="E1751" s="226">
        <v>44048</v>
      </c>
      <c r="F1751" s="227"/>
      <c r="G1751" s="1" t="str">
        <f>IFERROR(IF(ventas_b_mes12[[#This Row],[CUIT]]="","-",VLOOKUP(ventas_b_mes12[[#This Row],[CUIT]],Lista_CUIT[#All],2,0)),"CUIT NO CARGADO")</f>
        <v>-</v>
      </c>
      <c r="H1751" s="96">
        <f>ventas_b_mes12[[#This Row],[TOTAL]]/1.21</f>
        <v>23501.487603305784</v>
      </c>
      <c r="I1751" s="60">
        <f>ventas_b_mes12[[#This Row],[IMPORTE NETO]]*0.21</f>
        <v>4935.3123966942148</v>
      </c>
      <c r="J1751" s="229"/>
      <c r="K1751" s="229"/>
      <c r="L1751" s="229">
        <v>28436.799999999999</v>
      </c>
      <c r="M1751" s="55"/>
    </row>
    <row r="1752" spans="2:13" x14ac:dyDescent="0.3">
      <c r="B1752" s="223" t="s">
        <v>2480</v>
      </c>
      <c r="C1752" s="37">
        <v>6</v>
      </c>
      <c r="D1752" s="225">
        <v>11</v>
      </c>
      <c r="E1752" s="226">
        <v>30233</v>
      </c>
      <c r="F1752" s="227"/>
      <c r="G1752" s="1" t="str">
        <f>IFERROR(IF(ventas_b_mes12[[#This Row],[CUIT]]="","-",VLOOKUP(ventas_b_mes12[[#This Row],[CUIT]],Lista_CUIT[#All],2,0)),"CUIT NO CARGADO")</f>
        <v>-</v>
      </c>
      <c r="H1752" s="96">
        <f>ventas_b_mes12[[#This Row],[TOTAL]]/1.21</f>
        <v>3471.0743801652893</v>
      </c>
      <c r="I1752" s="60">
        <f>ventas_b_mes12[[#This Row],[IMPORTE NETO]]*0.21</f>
        <v>728.92561983471069</v>
      </c>
      <c r="J1752" s="229"/>
      <c r="K1752" s="229"/>
      <c r="L1752" s="229">
        <v>4200</v>
      </c>
      <c r="M1752" s="55"/>
    </row>
    <row r="1753" spans="2:13" x14ac:dyDescent="0.3">
      <c r="B1753" s="223" t="s">
        <v>2480</v>
      </c>
      <c r="C1753" s="37">
        <v>6</v>
      </c>
      <c r="D1753" s="225">
        <v>11</v>
      </c>
      <c r="E1753" s="226">
        <v>30223</v>
      </c>
      <c r="F1753" s="227"/>
      <c r="G1753" s="1" t="str">
        <f>IFERROR(IF(ventas_b_mes12[[#This Row],[CUIT]]="","-",VLOOKUP(ventas_b_mes12[[#This Row],[CUIT]],Lista_CUIT[#All],2,0)),"CUIT NO CARGADO")</f>
        <v>-</v>
      </c>
      <c r="H1753" s="96">
        <f>ventas_b_mes12[[#This Row],[TOTAL]]/1.21</f>
        <v>768.59504132231405</v>
      </c>
      <c r="I1753" s="60">
        <f>ventas_b_mes12[[#This Row],[IMPORTE NETO]]*0.21</f>
        <v>161.40495867768595</v>
      </c>
      <c r="J1753" s="229"/>
      <c r="K1753" s="229"/>
      <c r="L1753" s="229">
        <v>930</v>
      </c>
      <c r="M1753" s="55"/>
    </row>
    <row r="1754" spans="2:13" x14ac:dyDescent="0.3">
      <c r="B1754" s="223" t="s">
        <v>2480</v>
      </c>
      <c r="C1754" s="37">
        <v>6</v>
      </c>
      <c r="D1754" s="225">
        <v>13</v>
      </c>
      <c r="E1754" s="226">
        <v>26880</v>
      </c>
      <c r="F1754" s="227"/>
      <c r="G1754" s="1" t="str">
        <f>IFERROR(IF(ventas_b_mes12[[#This Row],[CUIT]]="","-",VLOOKUP(ventas_b_mes12[[#This Row],[CUIT]],Lista_CUIT[#All],2,0)),"CUIT NO CARGADO")</f>
        <v>-</v>
      </c>
      <c r="H1754" s="96">
        <f>ventas_b_mes12[[#This Row],[TOTAL]]/1.21</f>
        <v>12272.727272727274</v>
      </c>
      <c r="I1754" s="60">
        <f>ventas_b_mes12[[#This Row],[IMPORTE NETO]]*0.21</f>
        <v>2577.2727272727275</v>
      </c>
      <c r="J1754" s="229"/>
      <c r="K1754" s="229"/>
      <c r="L1754" s="229">
        <v>14850</v>
      </c>
      <c r="M1754" s="55"/>
    </row>
    <row r="1755" spans="2:13" x14ac:dyDescent="0.3">
      <c r="B1755" s="223" t="s">
        <v>2480</v>
      </c>
      <c r="C1755" s="37">
        <v>6</v>
      </c>
      <c r="D1755" s="225">
        <v>12</v>
      </c>
      <c r="E1755" s="226">
        <v>22671</v>
      </c>
      <c r="F1755" s="227"/>
      <c r="G1755" s="1" t="str">
        <f>IFERROR(IF(ventas_b_mes12[[#This Row],[CUIT]]="","-",VLOOKUP(ventas_b_mes12[[#This Row],[CUIT]],Lista_CUIT[#All],2,0)),"CUIT NO CARGADO")</f>
        <v>-</v>
      </c>
      <c r="H1755" s="96">
        <f>ventas_b_mes12[[#This Row],[TOTAL]]/1.21</f>
        <v>4958.6776859504134</v>
      </c>
      <c r="I1755" s="60">
        <f>ventas_b_mes12[[#This Row],[IMPORTE NETO]]*0.21</f>
        <v>1041.3223140495868</v>
      </c>
      <c r="J1755" s="229"/>
      <c r="K1755" s="229"/>
      <c r="L1755" s="229">
        <v>6000</v>
      </c>
      <c r="M1755" s="55"/>
    </row>
    <row r="1756" spans="2:13" x14ac:dyDescent="0.3">
      <c r="B1756" s="223" t="s">
        <v>2480</v>
      </c>
      <c r="C1756" s="37">
        <v>6</v>
      </c>
      <c r="D1756" s="225">
        <v>13</v>
      </c>
      <c r="E1756" s="226">
        <v>26897</v>
      </c>
      <c r="F1756" s="227"/>
      <c r="G1756" s="1" t="str">
        <f>IFERROR(IF(ventas_b_mes12[[#This Row],[CUIT]]="","-",VLOOKUP(ventas_b_mes12[[#This Row],[CUIT]],Lista_CUIT[#All],2,0)),"CUIT NO CARGADO")</f>
        <v>-</v>
      </c>
      <c r="H1756" s="96">
        <f>ventas_b_mes12[[#This Row],[TOTAL]]/1.21</f>
        <v>2485.8760330578511</v>
      </c>
      <c r="I1756" s="60">
        <f>ventas_b_mes12[[#This Row],[IMPORTE NETO]]*0.21</f>
        <v>522.03396694214871</v>
      </c>
      <c r="J1756" s="229"/>
      <c r="K1756" s="229"/>
      <c r="L1756" s="229">
        <v>3007.91</v>
      </c>
      <c r="M1756" s="55"/>
    </row>
    <row r="1757" spans="2:13" x14ac:dyDescent="0.3">
      <c r="B1757" s="223" t="s">
        <v>2480</v>
      </c>
      <c r="C1757" s="37">
        <v>6</v>
      </c>
      <c r="D1757" s="225">
        <v>10</v>
      </c>
      <c r="E1757" s="226">
        <v>44057</v>
      </c>
      <c r="F1757" s="227"/>
      <c r="G1757" s="1" t="str">
        <f>IFERROR(IF(ventas_b_mes12[[#This Row],[CUIT]]="","-",VLOOKUP(ventas_b_mes12[[#This Row],[CUIT]],Lista_CUIT[#All],2,0)),"CUIT NO CARGADO")</f>
        <v>-</v>
      </c>
      <c r="H1757" s="96">
        <f>ventas_b_mes12[[#This Row],[TOTAL]]/1.21</f>
        <v>4958.6776859504134</v>
      </c>
      <c r="I1757" s="60">
        <f>ventas_b_mes12[[#This Row],[IMPORTE NETO]]*0.21</f>
        <v>1041.3223140495868</v>
      </c>
      <c r="J1757" s="229"/>
      <c r="K1757" s="229"/>
      <c r="L1757" s="229">
        <v>6000</v>
      </c>
      <c r="M1757" s="55"/>
    </row>
    <row r="1758" spans="2:13" x14ac:dyDescent="0.3">
      <c r="B1758" s="223" t="s">
        <v>2480</v>
      </c>
      <c r="C1758" s="37">
        <v>6</v>
      </c>
      <c r="D1758" s="225">
        <v>13</v>
      </c>
      <c r="E1758" s="226">
        <v>26869</v>
      </c>
      <c r="F1758" s="227"/>
      <c r="G1758" s="1" t="str">
        <f>IFERROR(IF(ventas_b_mes12[[#This Row],[CUIT]]="","-",VLOOKUP(ventas_b_mes12[[#This Row],[CUIT]],Lista_CUIT[#All],2,0)),"CUIT NO CARGADO")</f>
        <v>-</v>
      </c>
      <c r="H1758" s="96">
        <f>ventas_b_mes12[[#This Row],[TOTAL]]/1.21</f>
        <v>834.71074380165294</v>
      </c>
      <c r="I1758" s="60">
        <f>ventas_b_mes12[[#This Row],[IMPORTE NETO]]*0.21</f>
        <v>175.28925619834712</v>
      </c>
      <c r="J1758" s="229"/>
      <c r="K1758" s="229"/>
      <c r="L1758" s="229">
        <v>1010</v>
      </c>
      <c r="M1758" s="55"/>
    </row>
    <row r="1759" spans="2:13" x14ac:dyDescent="0.3">
      <c r="B1759" s="223" t="s">
        <v>2480</v>
      </c>
      <c r="C1759" s="37">
        <v>6</v>
      </c>
      <c r="D1759" s="225">
        <v>12</v>
      </c>
      <c r="E1759" s="226">
        <v>22678</v>
      </c>
      <c r="F1759" s="227"/>
      <c r="G1759" s="1" t="str">
        <f>IFERROR(IF(ventas_b_mes12[[#This Row],[CUIT]]="","-",VLOOKUP(ventas_b_mes12[[#This Row],[CUIT]],Lista_CUIT[#All],2,0)),"CUIT NO CARGADO")</f>
        <v>-</v>
      </c>
      <c r="H1759" s="96">
        <f>ventas_b_mes12[[#This Row],[TOTAL]]/1.21</f>
        <v>5090.909090909091</v>
      </c>
      <c r="I1759" s="60">
        <f>ventas_b_mes12[[#This Row],[IMPORTE NETO]]*0.21</f>
        <v>1069.090909090909</v>
      </c>
      <c r="J1759" s="229"/>
      <c r="K1759" s="229"/>
      <c r="L1759" s="229">
        <v>6160</v>
      </c>
      <c r="M1759" s="55"/>
    </row>
    <row r="1760" spans="2:13" x14ac:dyDescent="0.3">
      <c r="B1760" s="223" t="s">
        <v>2480</v>
      </c>
      <c r="C1760" s="37">
        <v>6</v>
      </c>
      <c r="D1760" s="225">
        <v>11</v>
      </c>
      <c r="E1760" s="226">
        <v>30226</v>
      </c>
      <c r="F1760" s="227"/>
      <c r="G1760" s="1" t="str">
        <f>IFERROR(IF(ventas_b_mes12[[#This Row],[CUIT]]="","-",VLOOKUP(ventas_b_mes12[[#This Row],[CUIT]],Lista_CUIT[#All],2,0)),"CUIT NO CARGADO")</f>
        <v>-</v>
      </c>
      <c r="H1760" s="96">
        <f>ventas_b_mes12[[#This Row],[TOTAL]]/1.21</f>
        <v>3471.0743801652893</v>
      </c>
      <c r="I1760" s="60">
        <f>ventas_b_mes12[[#This Row],[IMPORTE NETO]]*0.21</f>
        <v>728.92561983471069</v>
      </c>
      <c r="J1760" s="229"/>
      <c r="K1760" s="229"/>
      <c r="L1760" s="229">
        <v>4200</v>
      </c>
      <c r="M1760" s="55"/>
    </row>
    <row r="1761" spans="2:13" x14ac:dyDescent="0.3">
      <c r="B1761" s="223" t="s">
        <v>2480</v>
      </c>
      <c r="C1761" s="37">
        <v>6</v>
      </c>
      <c r="D1761" s="225">
        <v>12</v>
      </c>
      <c r="E1761" s="226">
        <v>22679</v>
      </c>
      <c r="F1761" s="227"/>
      <c r="G1761" s="1" t="str">
        <f>IFERROR(IF(ventas_b_mes12[[#This Row],[CUIT]]="","-",VLOOKUP(ventas_b_mes12[[#This Row],[CUIT]],Lista_CUIT[#All],2,0)),"CUIT NO CARGADO")</f>
        <v>-</v>
      </c>
      <c r="H1761" s="96">
        <f>ventas_b_mes12[[#This Row],[TOTAL]]/1.21</f>
        <v>27570.338842975209</v>
      </c>
      <c r="I1761" s="60">
        <f>ventas_b_mes12[[#This Row],[IMPORTE NETO]]*0.21</f>
        <v>5789.7711570247939</v>
      </c>
      <c r="J1761" s="229"/>
      <c r="K1761" s="229"/>
      <c r="L1761" s="229">
        <v>33360.11</v>
      </c>
      <c r="M1761" s="55"/>
    </row>
    <row r="1762" spans="2:13" x14ac:dyDescent="0.3">
      <c r="B1762" s="223" t="s">
        <v>2480</v>
      </c>
      <c r="C1762" s="37">
        <v>6</v>
      </c>
      <c r="D1762" s="225">
        <v>10</v>
      </c>
      <c r="E1762" s="226">
        <v>44055</v>
      </c>
      <c r="F1762" s="227"/>
      <c r="G1762" s="1" t="str">
        <f>IFERROR(IF(ventas_b_mes12[[#This Row],[CUIT]]="","-",VLOOKUP(ventas_b_mes12[[#This Row],[CUIT]],Lista_CUIT[#All],2,0)),"CUIT NO CARGADO")</f>
        <v>-</v>
      </c>
      <c r="H1762" s="96">
        <f>ventas_b_mes12[[#This Row],[TOTAL]]/1.21</f>
        <v>5028.1074380165292</v>
      </c>
      <c r="I1762" s="60">
        <f>ventas_b_mes12[[#This Row],[IMPORTE NETO]]*0.21</f>
        <v>1055.9025619834711</v>
      </c>
      <c r="J1762" s="229"/>
      <c r="K1762" s="229"/>
      <c r="L1762" s="229">
        <v>6084.01</v>
      </c>
      <c r="M1762" s="55"/>
    </row>
    <row r="1763" spans="2:13" x14ac:dyDescent="0.3">
      <c r="B1763" s="223" t="s">
        <v>2480</v>
      </c>
      <c r="C1763" s="37">
        <v>6</v>
      </c>
      <c r="D1763" s="225">
        <v>13</v>
      </c>
      <c r="E1763" s="226">
        <v>26905</v>
      </c>
      <c r="F1763" s="227"/>
      <c r="G1763" s="1" t="str">
        <f>IFERROR(IF(ventas_b_mes12[[#This Row],[CUIT]]="","-",VLOOKUP(ventas_b_mes12[[#This Row],[CUIT]],Lista_CUIT[#All],2,0)),"CUIT NO CARGADO")</f>
        <v>-</v>
      </c>
      <c r="H1763" s="96">
        <f>ventas_b_mes12[[#This Row],[TOTAL]]/1.21</f>
        <v>4123.553719008265</v>
      </c>
      <c r="I1763" s="60">
        <f>ventas_b_mes12[[#This Row],[IMPORTE NETO]]*0.21</f>
        <v>865.94628099173565</v>
      </c>
      <c r="J1763" s="229"/>
      <c r="K1763" s="229"/>
      <c r="L1763" s="229">
        <v>4989.5</v>
      </c>
      <c r="M1763" s="55"/>
    </row>
    <row r="1764" spans="2:13" x14ac:dyDescent="0.3">
      <c r="B1764" s="223" t="s">
        <v>2480</v>
      </c>
      <c r="C1764" s="37">
        <v>6</v>
      </c>
      <c r="D1764" s="225">
        <v>13</v>
      </c>
      <c r="E1764" s="226">
        <v>26906</v>
      </c>
      <c r="F1764" s="227"/>
      <c r="G1764" s="1" t="str">
        <f>IFERROR(IF(ventas_b_mes12[[#This Row],[CUIT]]="","-",VLOOKUP(ventas_b_mes12[[#This Row],[CUIT]],Lista_CUIT[#All],2,0)),"CUIT NO CARGADO")</f>
        <v>-</v>
      </c>
      <c r="H1764" s="96">
        <f>ventas_b_mes12[[#This Row],[TOTAL]]/1.21</f>
        <v>1388.4297520661157</v>
      </c>
      <c r="I1764" s="60">
        <f>ventas_b_mes12[[#This Row],[IMPORTE NETO]]*0.21</f>
        <v>291.57024793388427</v>
      </c>
      <c r="J1764" s="229"/>
      <c r="K1764" s="229"/>
      <c r="L1764" s="229">
        <v>1680</v>
      </c>
      <c r="M1764" s="55"/>
    </row>
    <row r="1765" spans="2:13" x14ac:dyDescent="0.3">
      <c r="B1765" s="223" t="s">
        <v>2480</v>
      </c>
      <c r="C1765" s="37">
        <v>6</v>
      </c>
      <c r="D1765" s="225">
        <v>13</v>
      </c>
      <c r="E1765" s="226">
        <v>26901</v>
      </c>
      <c r="F1765" s="227"/>
      <c r="G1765" s="1" t="str">
        <f>IFERROR(IF(ventas_b_mes12[[#This Row],[CUIT]]="","-",VLOOKUP(ventas_b_mes12[[#This Row],[CUIT]],Lista_CUIT[#All],2,0)),"CUIT NO CARGADO")</f>
        <v>-</v>
      </c>
      <c r="H1765" s="96">
        <f>ventas_b_mes12[[#This Row],[TOTAL]]/1.21</f>
        <v>7319.8429752066122</v>
      </c>
      <c r="I1765" s="60">
        <f>ventas_b_mes12[[#This Row],[IMPORTE NETO]]*0.21</f>
        <v>1537.1670247933885</v>
      </c>
      <c r="J1765" s="229"/>
      <c r="K1765" s="229"/>
      <c r="L1765" s="229">
        <v>8857.01</v>
      </c>
      <c r="M1765" s="55"/>
    </row>
    <row r="1766" spans="2:13" x14ac:dyDescent="0.3">
      <c r="B1766" s="223" t="s">
        <v>2480</v>
      </c>
      <c r="C1766" s="37">
        <v>6</v>
      </c>
      <c r="D1766" s="225">
        <v>15</v>
      </c>
      <c r="E1766" s="226">
        <v>7307</v>
      </c>
      <c r="F1766" s="227"/>
      <c r="G1766" s="1" t="str">
        <f>IFERROR(IF(ventas_b_mes12[[#This Row],[CUIT]]="","-",VLOOKUP(ventas_b_mes12[[#This Row],[CUIT]],Lista_CUIT[#All],2,0)),"CUIT NO CARGADO")</f>
        <v>-</v>
      </c>
      <c r="H1766" s="96">
        <f>ventas_b_mes12[[#This Row],[TOTAL]]/1.21</f>
        <v>991.73553719008271</v>
      </c>
      <c r="I1766" s="60">
        <f>ventas_b_mes12[[#This Row],[IMPORTE NETO]]*0.21</f>
        <v>208.26446280991735</v>
      </c>
      <c r="J1766" s="229"/>
      <c r="K1766" s="229"/>
      <c r="L1766" s="229">
        <v>1200</v>
      </c>
      <c r="M1766" s="55"/>
    </row>
    <row r="1767" spans="2:13" x14ac:dyDescent="0.3">
      <c r="B1767" s="223" t="s">
        <v>2480</v>
      </c>
      <c r="C1767" s="37">
        <v>6</v>
      </c>
      <c r="D1767" s="225">
        <v>10</v>
      </c>
      <c r="E1767" s="226">
        <v>44058</v>
      </c>
      <c r="F1767" s="227"/>
      <c r="G1767" s="1" t="str">
        <f>IFERROR(IF(ventas_b_mes12[[#This Row],[CUIT]]="","-",VLOOKUP(ventas_b_mes12[[#This Row],[CUIT]],Lista_CUIT[#All],2,0)),"CUIT NO CARGADO")</f>
        <v>-</v>
      </c>
      <c r="H1767" s="96">
        <f>ventas_b_mes12[[#This Row],[TOTAL]]/1.21</f>
        <v>1416.8016528925621</v>
      </c>
      <c r="I1767" s="60">
        <f>ventas_b_mes12[[#This Row],[IMPORTE NETO]]*0.21</f>
        <v>297.52834710743804</v>
      </c>
      <c r="J1767" s="229"/>
      <c r="K1767" s="229"/>
      <c r="L1767" s="229">
        <v>1714.33</v>
      </c>
      <c r="M1767" s="55"/>
    </row>
    <row r="1768" spans="2:13" x14ac:dyDescent="0.3">
      <c r="B1768" s="223" t="s">
        <v>2480</v>
      </c>
      <c r="C1768" s="37">
        <v>6</v>
      </c>
      <c r="D1768" s="225">
        <v>15</v>
      </c>
      <c r="E1768" s="226">
        <v>7316</v>
      </c>
      <c r="F1768" s="227"/>
      <c r="G1768" s="1" t="str">
        <f>IFERROR(IF(ventas_b_mes12[[#This Row],[CUIT]]="","-",VLOOKUP(ventas_b_mes12[[#This Row],[CUIT]],Lista_CUIT[#All],2,0)),"CUIT NO CARGADO")</f>
        <v>-</v>
      </c>
      <c r="H1768" s="96">
        <f>ventas_b_mes12[[#This Row],[TOTAL]]/1.21</f>
        <v>8516.5289256198357</v>
      </c>
      <c r="I1768" s="60">
        <f>ventas_b_mes12[[#This Row],[IMPORTE NETO]]*0.21</f>
        <v>1788.4710743801654</v>
      </c>
      <c r="J1768" s="229"/>
      <c r="K1768" s="229"/>
      <c r="L1768" s="229">
        <v>10305</v>
      </c>
      <c r="M1768" s="55"/>
    </row>
    <row r="1769" spans="2:13" x14ac:dyDescent="0.3">
      <c r="B1769" s="223" t="s">
        <v>2480</v>
      </c>
      <c r="C1769" s="37">
        <v>6</v>
      </c>
      <c r="D1769" s="225">
        <v>11</v>
      </c>
      <c r="E1769" s="226">
        <v>30235</v>
      </c>
      <c r="F1769" s="227"/>
      <c r="G1769" s="1" t="str">
        <f>IFERROR(IF(ventas_b_mes12[[#This Row],[CUIT]]="","-",VLOOKUP(ventas_b_mes12[[#This Row],[CUIT]],Lista_CUIT[#All],2,0)),"CUIT NO CARGADO")</f>
        <v>-</v>
      </c>
      <c r="H1769" s="96">
        <f>ventas_b_mes12[[#This Row],[TOTAL]]/1.21</f>
        <v>376.03305785123968</v>
      </c>
      <c r="I1769" s="60">
        <f>ventas_b_mes12[[#This Row],[IMPORTE NETO]]*0.21</f>
        <v>78.966942148760324</v>
      </c>
      <c r="J1769" s="229"/>
      <c r="K1769" s="229"/>
      <c r="L1769" s="229">
        <v>455</v>
      </c>
      <c r="M1769" s="55"/>
    </row>
    <row r="1770" spans="2:13" x14ac:dyDescent="0.3">
      <c r="B1770" s="223" t="s">
        <v>2480</v>
      </c>
      <c r="C1770" s="37">
        <v>6</v>
      </c>
      <c r="D1770" s="225">
        <v>13</v>
      </c>
      <c r="E1770" s="226">
        <v>26903</v>
      </c>
      <c r="F1770" s="227"/>
      <c r="G1770" s="1" t="str">
        <f>IFERROR(IF(ventas_b_mes12[[#This Row],[CUIT]]="","-",VLOOKUP(ventas_b_mes12[[#This Row],[CUIT]],Lista_CUIT[#All],2,0)),"CUIT NO CARGADO")</f>
        <v>-</v>
      </c>
      <c r="H1770" s="96">
        <f>ventas_b_mes12[[#This Row],[TOTAL]]/1.21</f>
        <v>1983.4710743801654</v>
      </c>
      <c r="I1770" s="60">
        <f>ventas_b_mes12[[#This Row],[IMPORTE NETO]]*0.21</f>
        <v>416.52892561983469</v>
      </c>
      <c r="J1770" s="229"/>
      <c r="K1770" s="229"/>
      <c r="L1770" s="229">
        <v>2400</v>
      </c>
      <c r="M1770" s="55"/>
    </row>
    <row r="1771" spans="2:13" x14ac:dyDescent="0.3">
      <c r="B1771" s="223" t="s">
        <v>2480</v>
      </c>
      <c r="C1771" s="37">
        <v>6</v>
      </c>
      <c r="D1771" s="225">
        <v>13</v>
      </c>
      <c r="E1771" s="226">
        <v>26866</v>
      </c>
      <c r="F1771" s="227"/>
      <c r="G1771" s="1" t="str">
        <f>IFERROR(IF(ventas_b_mes12[[#This Row],[CUIT]]="","-",VLOOKUP(ventas_b_mes12[[#This Row],[CUIT]],Lista_CUIT[#All],2,0)),"CUIT NO CARGADO")</f>
        <v>-</v>
      </c>
      <c r="H1771" s="96">
        <f>ventas_b_mes12[[#This Row],[TOTAL]]/1.21</f>
        <v>2438.0165289256197</v>
      </c>
      <c r="I1771" s="60">
        <f>ventas_b_mes12[[#This Row],[IMPORTE NETO]]*0.21</f>
        <v>511.98347107438013</v>
      </c>
      <c r="J1771" s="229"/>
      <c r="K1771" s="229"/>
      <c r="L1771" s="229">
        <v>2950</v>
      </c>
      <c r="M1771" s="55"/>
    </row>
    <row r="1772" spans="2:13" x14ac:dyDescent="0.3">
      <c r="B1772" s="223" t="s">
        <v>2480</v>
      </c>
      <c r="C1772" s="37">
        <v>6</v>
      </c>
      <c r="D1772" s="225">
        <v>13</v>
      </c>
      <c r="E1772" s="226">
        <v>26868</v>
      </c>
      <c r="F1772" s="227"/>
      <c r="G1772" s="1" t="str">
        <f>IFERROR(IF(ventas_b_mes12[[#This Row],[CUIT]]="","-",VLOOKUP(ventas_b_mes12[[#This Row],[CUIT]],Lista_CUIT[#All],2,0)),"CUIT NO CARGADO")</f>
        <v>-</v>
      </c>
      <c r="H1772" s="96">
        <f>ventas_b_mes12[[#This Row],[TOTAL]]/1.21</f>
        <v>7719.0082644628101</v>
      </c>
      <c r="I1772" s="60">
        <f>ventas_b_mes12[[#This Row],[IMPORTE NETO]]*0.21</f>
        <v>1620.9917355371902</v>
      </c>
      <c r="J1772" s="229"/>
      <c r="K1772" s="229"/>
      <c r="L1772" s="229">
        <v>9340</v>
      </c>
      <c r="M1772" s="55"/>
    </row>
    <row r="1773" spans="2:13" x14ac:dyDescent="0.3">
      <c r="B1773" s="223" t="s">
        <v>2480</v>
      </c>
      <c r="C1773" s="37">
        <v>6</v>
      </c>
      <c r="D1773" s="225">
        <v>13</v>
      </c>
      <c r="E1773" s="226">
        <v>26867</v>
      </c>
      <c r="F1773" s="227"/>
      <c r="G1773" s="1" t="str">
        <f>IFERROR(IF(ventas_b_mes12[[#This Row],[CUIT]]="","-",VLOOKUP(ventas_b_mes12[[#This Row],[CUIT]],Lista_CUIT[#All],2,0)),"CUIT NO CARGADO")</f>
        <v>-</v>
      </c>
      <c r="H1773" s="96">
        <f>ventas_b_mes12[[#This Row],[TOTAL]]/1.21</f>
        <v>1363.6363636363637</v>
      </c>
      <c r="I1773" s="60">
        <f>ventas_b_mes12[[#This Row],[IMPORTE NETO]]*0.21</f>
        <v>286.36363636363637</v>
      </c>
      <c r="J1773" s="229"/>
      <c r="K1773" s="229"/>
      <c r="L1773" s="229">
        <v>1650</v>
      </c>
      <c r="M1773" s="55"/>
    </row>
    <row r="1774" spans="2:13" x14ac:dyDescent="0.3">
      <c r="B1774" s="223" t="s">
        <v>2480</v>
      </c>
      <c r="C1774" s="37">
        <v>6</v>
      </c>
      <c r="D1774" s="225">
        <v>13</v>
      </c>
      <c r="E1774" s="226">
        <v>26891</v>
      </c>
      <c r="F1774" s="227"/>
      <c r="G1774" s="1" t="str">
        <f>IFERROR(IF(ventas_b_mes12[[#This Row],[CUIT]]="","-",VLOOKUP(ventas_b_mes12[[#This Row],[CUIT]],Lista_CUIT[#All],2,0)),"CUIT NO CARGADO")</f>
        <v>-</v>
      </c>
      <c r="H1774" s="96">
        <f>ventas_b_mes12[[#This Row],[TOTAL]]/1.21</f>
        <v>2231.413223140496</v>
      </c>
      <c r="I1774" s="60">
        <f>ventas_b_mes12[[#This Row],[IMPORTE NETO]]*0.21</f>
        <v>468.59677685950413</v>
      </c>
      <c r="J1774" s="229"/>
      <c r="K1774" s="229"/>
      <c r="L1774" s="229">
        <v>2700.01</v>
      </c>
      <c r="M1774" s="55"/>
    </row>
    <row r="1775" spans="2:13" x14ac:dyDescent="0.3">
      <c r="B1775" s="223" t="s">
        <v>2480</v>
      </c>
      <c r="C1775" s="37">
        <v>6</v>
      </c>
      <c r="D1775" s="225">
        <v>12</v>
      </c>
      <c r="E1775" s="226">
        <v>22675</v>
      </c>
      <c r="F1775" s="227"/>
      <c r="G1775" s="1" t="str">
        <f>IFERROR(IF(ventas_b_mes12[[#This Row],[CUIT]]="","-",VLOOKUP(ventas_b_mes12[[#This Row],[CUIT]],Lista_CUIT[#All],2,0)),"CUIT NO CARGADO")</f>
        <v>-</v>
      </c>
      <c r="H1775" s="96">
        <f>ventas_b_mes12[[#This Row],[TOTAL]]/1.21</f>
        <v>3471.0826446280994</v>
      </c>
      <c r="I1775" s="60">
        <f>ventas_b_mes12[[#This Row],[IMPORTE NETO]]*0.21</f>
        <v>728.92735537190083</v>
      </c>
      <c r="J1775" s="229"/>
      <c r="K1775" s="229"/>
      <c r="L1775" s="229">
        <v>4200.01</v>
      </c>
      <c r="M1775" s="55"/>
    </row>
    <row r="1776" spans="2:13" x14ac:dyDescent="0.3">
      <c r="B1776" s="223" t="s">
        <v>2480</v>
      </c>
      <c r="C1776" s="37">
        <v>6</v>
      </c>
      <c r="D1776" s="225">
        <v>11</v>
      </c>
      <c r="E1776" s="226">
        <v>30225</v>
      </c>
      <c r="F1776" s="227"/>
      <c r="G1776" s="1" t="str">
        <f>IFERROR(IF(ventas_b_mes12[[#This Row],[CUIT]]="","-",VLOOKUP(ventas_b_mes12[[#This Row],[CUIT]],Lista_CUIT[#All],2,0)),"CUIT NO CARGADO")</f>
        <v>-</v>
      </c>
      <c r="H1776" s="96">
        <f>ventas_b_mes12[[#This Row],[TOTAL]]/1.21</f>
        <v>1033.0578512396694</v>
      </c>
      <c r="I1776" s="60">
        <f>ventas_b_mes12[[#This Row],[IMPORTE NETO]]*0.21</f>
        <v>216.94214876033055</v>
      </c>
      <c r="J1776" s="229"/>
      <c r="K1776" s="229"/>
      <c r="L1776" s="229">
        <v>1250</v>
      </c>
      <c r="M1776" s="55"/>
    </row>
    <row r="1777" spans="2:13" x14ac:dyDescent="0.3">
      <c r="B1777" s="223" t="s">
        <v>2480</v>
      </c>
      <c r="C1777" s="37">
        <v>6</v>
      </c>
      <c r="D1777" s="225">
        <v>10</v>
      </c>
      <c r="E1777" s="226">
        <v>44052</v>
      </c>
      <c r="F1777" s="227"/>
      <c r="G1777" s="1" t="str">
        <f>IFERROR(IF(ventas_b_mes12[[#This Row],[CUIT]]="","-",VLOOKUP(ventas_b_mes12[[#This Row],[CUIT]],Lista_CUIT[#All],2,0)),"CUIT NO CARGADO")</f>
        <v>-</v>
      </c>
      <c r="H1777" s="96">
        <f>ventas_b_mes12[[#This Row],[TOTAL]]/1.21</f>
        <v>5553.7190082644629</v>
      </c>
      <c r="I1777" s="60">
        <f>ventas_b_mes12[[#This Row],[IMPORTE NETO]]*0.21</f>
        <v>1166.2809917355371</v>
      </c>
      <c r="J1777" s="229"/>
      <c r="K1777" s="229"/>
      <c r="L1777" s="229">
        <v>6720</v>
      </c>
      <c r="M1777" s="55"/>
    </row>
    <row r="1778" spans="2:13" x14ac:dyDescent="0.3">
      <c r="B1778" s="223" t="s">
        <v>2480</v>
      </c>
      <c r="C1778" s="37">
        <v>6</v>
      </c>
      <c r="D1778" s="225">
        <v>13</v>
      </c>
      <c r="E1778" s="226">
        <v>26900</v>
      </c>
      <c r="F1778" s="227"/>
      <c r="G1778" s="1" t="str">
        <f>IFERROR(IF(ventas_b_mes12[[#This Row],[CUIT]]="","-",VLOOKUP(ventas_b_mes12[[#This Row],[CUIT]],Lista_CUIT[#All],2,0)),"CUIT NO CARGADO")</f>
        <v>-</v>
      </c>
      <c r="H1778" s="96">
        <f>ventas_b_mes12[[#This Row],[TOTAL]]/1.21</f>
        <v>3140.495867768595</v>
      </c>
      <c r="I1778" s="60">
        <f>ventas_b_mes12[[#This Row],[IMPORTE NETO]]*0.21</f>
        <v>659.50413223140492</v>
      </c>
      <c r="J1778" s="229"/>
      <c r="K1778" s="229"/>
      <c r="L1778" s="229">
        <v>3800</v>
      </c>
      <c r="M1778" s="55"/>
    </row>
    <row r="1779" spans="2:13" x14ac:dyDescent="0.3">
      <c r="B1779" s="223" t="s">
        <v>2480</v>
      </c>
      <c r="C1779" s="37">
        <v>6</v>
      </c>
      <c r="D1779" s="225">
        <v>10</v>
      </c>
      <c r="E1779" s="226">
        <v>44047</v>
      </c>
      <c r="F1779" s="227"/>
      <c r="G1779" s="1" t="str">
        <f>IFERROR(IF(ventas_b_mes12[[#This Row],[CUIT]]="","-",VLOOKUP(ventas_b_mes12[[#This Row],[CUIT]],Lista_CUIT[#All],2,0)),"CUIT NO CARGADO")</f>
        <v>-</v>
      </c>
      <c r="H1779" s="96">
        <f>ventas_b_mes12[[#This Row],[TOTAL]]/1.21</f>
        <v>3512.3966942148763</v>
      </c>
      <c r="I1779" s="60">
        <f>ventas_b_mes12[[#This Row],[IMPORTE NETO]]*0.21</f>
        <v>737.60330578512401</v>
      </c>
      <c r="J1779" s="229"/>
      <c r="K1779" s="229"/>
      <c r="L1779" s="229">
        <v>4250</v>
      </c>
      <c r="M1779" s="55"/>
    </row>
    <row r="1780" spans="2:13" x14ac:dyDescent="0.3">
      <c r="B1780" s="223" t="s">
        <v>2480</v>
      </c>
      <c r="C1780" s="37">
        <v>6</v>
      </c>
      <c r="D1780" s="225">
        <v>13</v>
      </c>
      <c r="E1780" s="226">
        <v>26904</v>
      </c>
      <c r="F1780" s="227"/>
      <c r="G1780" s="1" t="str">
        <f>IFERROR(IF(ventas_b_mes12[[#This Row],[CUIT]]="","-",VLOOKUP(ventas_b_mes12[[#This Row],[CUIT]],Lista_CUIT[#All],2,0)),"CUIT NO CARGADO")</f>
        <v>-</v>
      </c>
      <c r="H1780" s="96">
        <f>ventas_b_mes12[[#This Row],[TOTAL]]/1.21</f>
        <v>8479.3471074380177</v>
      </c>
      <c r="I1780" s="60">
        <f>ventas_b_mes12[[#This Row],[IMPORTE NETO]]*0.21</f>
        <v>1780.6628925619837</v>
      </c>
      <c r="J1780" s="229"/>
      <c r="K1780" s="229"/>
      <c r="L1780" s="229">
        <v>10260.01</v>
      </c>
      <c r="M1780" s="55"/>
    </row>
    <row r="1781" spans="2:13" x14ac:dyDescent="0.3">
      <c r="B1781" s="223" t="s">
        <v>2480</v>
      </c>
      <c r="C1781" s="37">
        <v>6</v>
      </c>
      <c r="D1781" s="225">
        <v>10</v>
      </c>
      <c r="E1781" s="226">
        <v>44049</v>
      </c>
      <c r="F1781" s="227"/>
      <c r="G1781" s="1" t="str">
        <f>IFERROR(IF(ventas_b_mes12[[#This Row],[CUIT]]="","-",VLOOKUP(ventas_b_mes12[[#This Row],[CUIT]],Lista_CUIT[#All],2,0)),"CUIT NO CARGADO")</f>
        <v>-</v>
      </c>
      <c r="H1781" s="96">
        <f>ventas_b_mes12[[#This Row],[TOTAL]]/1.21</f>
        <v>24384.28925619835</v>
      </c>
      <c r="I1781" s="60">
        <f>ventas_b_mes12[[#This Row],[IMPORTE NETO]]*0.21</f>
        <v>5120.7007438016535</v>
      </c>
      <c r="J1781" s="229"/>
      <c r="K1781" s="229"/>
      <c r="L1781" s="229">
        <v>29504.99</v>
      </c>
      <c r="M1781" s="55"/>
    </row>
    <row r="1782" spans="2:13" x14ac:dyDescent="0.3">
      <c r="B1782" s="223" t="s">
        <v>2480</v>
      </c>
      <c r="C1782" s="37">
        <v>6</v>
      </c>
      <c r="D1782" s="225">
        <v>13</v>
      </c>
      <c r="E1782" s="226">
        <v>26874</v>
      </c>
      <c r="F1782" s="227"/>
      <c r="G1782" s="1" t="str">
        <f>IFERROR(IF(ventas_b_mes12[[#This Row],[CUIT]]="","-",VLOOKUP(ventas_b_mes12[[#This Row],[CUIT]],Lista_CUIT[#All],2,0)),"CUIT NO CARGADO")</f>
        <v>-</v>
      </c>
      <c r="H1782" s="96">
        <f>ventas_b_mes12[[#This Row],[TOTAL]]/1.21</f>
        <v>3578.5123966942151</v>
      </c>
      <c r="I1782" s="60">
        <f>ventas_b_mes12[[#This Row],[IMPORTE NETO]]*0.21</f>
        <v>751.48760330578511</v>
      </c>
      <c r="J1782" s="229"/>
      <c r="K1782" s="229"/>
      <c r="L1782" s="229">
        <v>4330</v>
      </c>
      <c r="M1782" s="55"/>
    </row>
    <row r="1783" spans="2:13" x14ac:dyDescent="0.3">
      <c r="B1783" s="223" t="s">
        <v>2480</v>
      </c>
      <c r="C1783" s="37">
        <v>6</v>
      </c>
      <c r="D1783" s="225">
        <v>10</v>
      </c>
      <c r="E1783" s="226">
        <v>44054</v>
      </c>
      <c r="F1783" s="227"/>
      <c r="G1783" s="1" t="str">
        <f>IFERROR(IF(ventas_b_mes12[[#This Row],[CUIT]]="","-",VLOOKUP(ventas_b_mes12[[#This Row],[CUIT]],Lista_CUIT[#All],2,0)),"CUIT NO CARGADO")</f>
        <v>-</v>
      </c>
      <c r="H1783" s="96">
        <f>ventas_b_mes12[[#This Row],[TOTAL]]/1.21</f>
        <v>495.86776859504135</v>
      </c>
      <c r="I1783" s="60">
        <f>ventas_b_mes12[[#This Row],[IMPORTE NETO]]*0.21</f>
        <v>104.13223140495867</v>
      </c>
      <c r="J1783" s="229"/>
      <c r="K1783" s="229"/>
      <c r="L1783" s="229">
        <v>600</v>
      </c>
      <c r="M1783" s="55"/>
    </row>
    <row r="1784" spans="2:13" x14ac:dyDescent="0.3">
      <c r="B1784" s="223" t="s">
        <v>2480</v>
      </c>
      <c r="C1784" s="37">
        <v>6</v>
      </c>
      <c r="D1784" s="225">
        <v>10</v>
      </c>
      <c r="E1784" s="226">
        <v>44050</v>
      </c>
      <c r="F1784" s="227"/>
      <c r="G1784" s="1" t="str">
        <f>IFERROR(IF(ventas_b_mes12[[#This Row],[CUIT]]="","-",VLOOKUP(ventas_b_mes12[[#This Row],[CUIT]],Lista_CUIT[#All],2,0)),"CUIT NO CARGADO")</f>
        <v>-</v>
      </c>
      <c r="H1784" s="96">
        <f>ventas_b_mes12[[#This Row],[TOTAL]]/1.21</f>
        <v>6429.7520661157023</v>
      </c>
      <c r="I1784" s="60">
        <f>ventas_b_mes12[[#This Row],[IMPORTE NETO]]*0.21</f>
        <v>1350.2479338842975</v>
      </c>
      <c r="J1784" s="229"/>
      <c r="K1784" s="229"/>
      <c r="L1784" s="229">
        <v>7780</v>
      </c>
      <c r="M1784" s="55"/>
    </row>
    <row r="1785" spans="2:13" x14ac:dyDescent="0.3">
      <c r="B1785" s="223" t="s">
        <v>2480</v>
      </c>
      <c r="C1785" s="37">
        <v>6</v>
      </c>
      <c r="D1785" s="225">
        <v>13</v>
      </c>
      <c r="E1785" s="226">
        <v>26907</v>
      </c>
      <c r="F1785" s="227"/>
      <c r="G1785" s="1" t="str">
        <f>IFERROR(IF(ventas_b_mes12[[#This Row],[CUIT]]="","-",VLOOKUP(ventas_b_mes12[[#This Row],[CUIT]],Lista_CUIT[#All],2,0)),"CUIT NO CARGADO")</f>
        <v>-</v>
      </c>
      <c r="H1785" s="96">
        <f>ventas_b_mes12[[#This Row],[TOTAL]]/1.21</f>
        <v>6849.1735537190089</v>
      </c>
      <c r="I1785" s="60">
        <f>ventas_b_mes12[[#This Row],[IMPORTE NETO]]*0.21</f>
        <v>1438.3264462809918</v>
      </c>
      <c r="J1785" s="229"/>
      <c r="K1785" s="229"/>
      <c r="L1785" s="229">
        <v>8287.5</v>
      </c>
      <c r="M1785" s="55"/>
    </row>
    <row r="1786" spans="2:13" x14ac:dyDescent="0.3">
      <c r="B1786" s="223" t="s">
        <v>2480</v>
      </c>
      <c r="C1786" s="37">
        <v>6</v>
      </c>
      <c r="D1786" s="225">
        <v>13</v>
      </c>
      <c r="E1786" s="226">
        <v>26887</v>
      </c>
      <c r="F1786" s="227"/>
      <c r="G1786" s="1" t="str">
        <f>IFERROR(IF(ventas_b_mes12[[#This Row],[CUIT]]="","-",VLOOKUP(ventas_b_mes12[[#This Row],[CUIT]],Lista_CUIT[#All],2,0)),"CUIT NO CARGADO")</f>
        <v>-</v>
      </c>
      <c r="H1786" s="96">
        <f>ventas_b_mes12[[#This Row],[TOTAL]]/1.21</f>
        <v>3847.9338842975208</v>
      </c>
      <c r="I1786" s="60">
        <f>ventas_b_mes12[[#This Row],[IMPORTE NETO]]*0.21</f>
        <v>808.06611570247935</v>
      </c>
      <c r="J1786" s="229"/>
      <c r="K1786" s="229"/>
      <c r="L1786" s="229">
        <v>4656</v>
      </c>
      <c r="M1786" s="55"/>
    </row>
    <row r="1787" spans="2:13" x14ac:dyDescent="0.3">
      <c r="B1787" s="223" t="s">
        <v>2480</v>
      </c>
      <c r="C1787" s="37">
        <v>6</v>
      </c>
      <c r="D1787" s="225">
        <v>11</v>
      </c>
      <c r="E1787" s="226">
        <v>30228</v>
      </c>
      <c r="F1787" s="227"/>
      <c r="G1787" s="1" t="str">
        <f>IFERROR(IF(ventas_b_mes12[[#This Row],[CUIT]]="","-",VLOOKUP(ventas_b_mes12[[#This Row],[CUIT]],Lista_CUIT[#All],2,0)),"CUIT NO CARGADO")</f>
        <v>-</v>
      </c>
      <c r="H1787" s="96">
        <f>ventas_b_mes12[[#This Row],[TOTAL]]/1.21</f>
        <v>13512.388429752067</v>
      </c>
      <c r="I1787" s="60">
        <f>ventas_b_mes12[[#This Row],[IMPORTE NETO]]*0.21</f>
        <v>2837.601570247934</v>
      </c>
      <c r="J1787" s="229"/>
      <c r="K1787" s="229"/>
      <c r="L1787" s="229">
        <v>16349.99</v>
      </c>
      <c r="M1787" s="55"/>
    </row>
    <row r="1788" spans="2:13" x14ac:dyDescent="0.3">
      <c r="B1788" s="223" t="s">
        <v>2480</v>
      </c>
      <c r="C1788" s="37">
        <v>6</v>
      </c>
      <c r="D1788" s="225">
        <v>13</v>
      </c>
      <c r="E1788" s="226">
        <v>26879</v>
      </c>
      <c r="F1788" s="227"/>
      <c r="G1788" s="1" t="str">
        <f>IFERROR(IF(ventas_b_mes12[[#This Row],[CUIT]]="","-",VLOOKUP(ventas_b_mes12[[#This Row],[CUIT]],Lista_CUIT[#All],2,0)),"CUIT NO CARGADO")</f>
        <v>-</v>
      </c>
      <c r="H1788" s="96">
        <f>ventas_b_mes12[[#This Row],[TOTAL]]/1.21</f>
        <v>1864.4628099173553</v>
      </c>
      <c r="I1788" s="60">
        <f>ventas_b_mes12[[#This Row],[IMPORTE NETO]]*0.21</f>
        <v>391.5371900826446</v>
      </c>
      <c r="J1788" s="229"/>
      <c r="K1788" s="229"/>
      <c r="L1788" s="229">
        <v>2256</v>
      </c>
      <c r="M1788" s="55"/>
    </row>
    <row r="1789" spans="2:13" x14ac:dyDescent="0.3">
      <c r="B1789" s="223" t="s">
        <v>2480</v>
      </c>
      <c r="C1789" s="37">
        <v>6</v>
      </c>
      <c r="D1789" s="225">
        <v>10</v>
      </c>
      <c r="E1789" s="226">
        <v>44045</v>
      </c>
      <c r="F1789" s="227"/>
      <c r="G1789" s="1" t="str">
        <f>IFERROR(IF(ventas_b_mes12[[#This Row],[CUIT]]="","-",VLOOKUP(ventas_b_mes12[[#This Row],[CUIT]],Lista_CUIT[#All],2,0)),"CUIT NO CARGADO")</f>
        <v>-</v>
      </c>
      <c r="H1789" s="96">
        <f>ventas_b_mes12[[#This Row],[TOTAL]]/1.21</f>
        <v>8851.2396694214876</v>
      </c>
      <c r="I1789" s="60">
        <f>ventas_b_mes12[[#This Row],[IMPORTE NETO]]*0.21</f>
        <v>1858.7603305785124</v>
      </c>
      <c r="J1789" s="229"/>
      <c r="K1789" s="229"/>
      <c r="L1789" s="229">
        <v>10710</v>
      </c>
      <c r="M1789" s="55"/>
    </row>
    <row r="1790" spans="2:13" x14ac:dyDescent="0.3">
      <c r="B1790" s="223" t="s">
        <v>2480</v>
      </c>
      <c r="C1790" s="37">
        <v>6</v>
      </c>
      <c r="D1790" s="225">
        <v>11</v>
      </c>
      <c r="E1790" s="226">
        <v>30234</v>
      </c>
      <c r="F1790" s="227"/>
      <c r="G1790" s="1" t="str">
        <f>IFERROR(IF(ventas_b_mes12[[#This Row],[CUIT]]="","-",VLOOKUP(ventas_b_mes12[[#This Row],[CUIT]],Lista_CUIT[#All],2,0)),"CUIT NO CARGADO")</f>
        <v>-</v>
      </c>
      <c r="H1790" s="96">
        <f>ventas_b_mes12[[#This Row],[TOTAL]]/1.21</f>
        <v>3136.3636363636365</v>
      </c>
      <c r="I1790" s="60">
        <f>ventas_b_mes12[[#This Row],[IMPORTE NETO]]*0.21</f>
        <v>658.63636363636363</v>
      </c>
      <c r="J1790" s="229"/>
      <c r="K1790" s="229"/>
      <c r="L1790" s="229">
        <v>3795</v>
      </c>
      <c r="M1790" s="55"/>
    </row>
    <row r="1791" spans="2:13" x14ac:dyDescent="0.3">
      <c r="B1791" s="223" t="s">
        <v>2480</v>
      </c>
      <c r="C1791" s="37">
        <v>6</v>
      </c>
      <c r="D1791" s="225">
        <v>15</v>
      </c>
      <c r="E1791" s="226">
        <v>7317</v>
      </c>
      <c r="F1791" s="227"/>
      <c r="G1791" s="1" t="str">
        <f>IFERROR(IF(ventas_b_mes12[[#This Row],[CUIT]]="","-",VLOOKUP(ventas_b_mes12[[#This Row],[CUIT]],Lista_CUIT[#All],2,0)),"CUIT NO CARGADO")</f>
        <v>-</v>
      </c>
      <c r="H1791" s="96">
        <f>ventas_b_mes12[[#This Row],[TOTAL]]/1.21</f>
        <v>14157.000000000002</v>
      </c>
      <c r="I1791" s="60">
        <f>ventas_b_mes12[[#This Row],[IMPORTE NETO]]*0.21</f>
        <v>2972.9700000000003</v>
      </c>
      <c r="J1791" s="229"/>
      <c r="K1791" s="229"/>
      <c r="L1791" s="229">
        <v>17129.97</v>
      </c>
      <c r="M1791" s="55"/>
    </row>
    <row r="1792" spans="2:13" x14ac:dyDescent="0.3">
      <c r="B1792" s="223" t="s">
        <v>2480</v>
      </c>
      <c r="C1792" s="37">
        <v>6</v>
      </c>
      <c r="D1792" s="225">
        <v>15</v>
      </c>
      <c r="E1792" s="226">
        <v>7312</v>
      </c>
      <c r="F1792" s="227"/>
      <c r="G1792" s="1" t="str">
        <f>IFERROR(IF(ventas_b_mes12[[#This Row],[CUIT]]="","-",VLOOKUP(ventas_b_mes12[[#This Row],[CUIT]],Lista_CUIT[#All],2,0)),"CUIT NO CARGADO")</f>
        <v>-</v>
      </c>
      <c r="H1792" s="96">
        <f>ventas_b_mes12[[#This Row],[TOTAL]]/1.21</f>
        <v>4958.6776859504134</v>
      </c>
      <c r="I1792" s="60">
        <f>ventas_b_mes12[[#This Row],[IMPORTE NETO]]*0.21</f>
        <v>1041.3223140495868</v>
      </c>
      <c r="J1792" s="229"/>
      <c r="K1792" s="229"/>
      <c r="L1792" s="229">
        <v>6000</v>
      </c>
      <c r="M1792" s="55"/>
    </row>
    <row r="1793" spans="2:13" x14ac:dyDescent="0.3">
      <c r="B1793" s="223" t="s">
        <v>2480</v>
      </c>
      <c r="C1793" s="37">
        <v>6</v>
      </c>
      <c r="D1793" s="225">
        <v>12</v>
      </c>
      <c r="E1793" s="226">
        <v>22674</v>
      </c>
      <c r="F1793" s="227"/>
      <c r="G1793" s="1" t="str">
        <f>IFERROR(IF(ventas_b_mes12[[#This Row],[CUIT]]="","-",VLOOKUP(ventas_b_mes12[[#This Row],[CUIT]],Lista_CUIT[#All],2,0)),"CUIT NO CARGADO")</f>
        <v>-</v>
      </c>
      <c r="H1793" s="96">
        <f>ventas_b_mes12[[#This Row],[TOTAL]]/1.21</f>
        <v>8041.3223140495866</v>
      </c>
      <c r="I1793" s="60">
        <f>ventas_b_mes12[[#This Row],[IMPORTE NETO]]*0.21</f>
        <v>1688.6776859504132</v>
      </c>
      <c r="J1793" s="229"/>
      <c r="K1793" s="229"/>
      <c r="L1793" s="229">
        <v>9730</v>
      </c>
      <c r="M1793" s="55"/>
    </row>
    <row r="1794" spans="2:13" x14ac:dyDescent="0.3">
      <c r="B1794" s="223" t="s">
        <v>2480</v>
      </c>
      <c r="C1794" s="37">
        <v>6</v>
      </c>
      <c r="D1794" s="225">
        <v>13</v>
      </c>
      <c r="E1794" s="226">
        <v>26883</v>
      </c>
      <c r="F1794" s="227"/>
      <c r="G1794" s="1" t="str">
        <f>IFERROR(IF(ventas_b_mes12[[#This Row],[CUIT]]="","-",VLOOKUP(ventas_b_mes12[[#This Row],[CUIT]],Lista_CUIT[#All],2,0)),"CUIT NO CARGADO")</f>
        <v>-</v>
      </c>
      <c r="H1794" s="96">
        <f>ventas_b_mes12[[#This Row],[TOTAL]]/1.21</f>
        <v>23006.198347107438</v>
      </c>
      <c r="I1794" s="60">
        <f>ventas_b_mes12[[#This Row],[IMPORTE NETO]]*0.21</f>
        <v>4831.3016528925618</v>
      </c>
      <c r="J1794" s="229"/>
      <c r="K1794" s="229"/>
      <c r="L1794" s="229">
        <v>27837.5</v>
      </c>
      <c r="M1794" s="55"/>
    </row>
    <row r="1795" spans="2:13" x14ac:dyDescent="0.3">
      <c r="B1795" s="223" t="s">
        <v>2480</v>
      </c>
      <c r="C1795" s="37">
        <v>6</v>
      </c>
      <c r="D1795" s="225">
        <v>13</v>
      </c>
      <c r="E1795" s="226">
        <v>26865</v>
      </c>
      <c r="F1795" s="227"/>
      <c r="G1795" s="1" t="str">
        <f>IFERROR(IF(ventas_b_mes12[[#This Row],[CUIT]]="","-",VLOOKUP(ventas_b_mes12[[#This Row],[CUIT]],Lista_CUIT[#All],2,0)),"CUIT NO CARGADO")</f>
        <v>-</v>
      </c>
      <c r="H1795" s="96">
        <f>ventas_b_mes12[[#This Row],[TOTAL]]/1.21</f>
        <v>2962.8099173553719</v>
      </c>
      <c r="I1795" s="60">
        <f>ventas_b_mes12[[#This Row],[IMPORTE NETO]]*0.21</f>
        <v>622.19008264462809</v>
      </c>
      <c r="J1795" s="229"/>
      <c r="K1795" s="229"/>
      <c r="L1795" s="229">
        <v>3585</v>
      </c>
      <c r="M1795" s="55"/>
    </row>
    <row r="1796" spans="2:13" x14ac:dyDescent="0.3">
      <c r="B1796" s="223" t="s">
        <v>2480</v>
      </c>
      <c r="C1796" s="37">
        <v>6</v>
      </c>
      <c r="D1796" s="225">
        <v>15</v>
      </c>
      <c r="E1796" s="226">
        <v>7314</v>
      </c>
      <c r="F1796" s="227"/>
      <c r="G1796" s="1" t="str">
        <f>IFERROR(IF(ventas_b_mes12[[#This Row],[CUIT]]="","-",VLOOKUP(ventas_b_mes12[[#This Row],[CUIT]],Lista_CUIT[#All],2,0)),"CUIT NO CARGADO")</f>
        <v>-</v>
      </c>
      <c r="H1796" s="96">
        <f>ventas_b_mes12[[#This Row],[TOTAL]]/1.21</f>
        <v>4958.6776859504134</v>
      </c>
      <c r="I1796" s="60">
        <f>ventas_b_mes12[[#This Row],[IMPORTE NETO]]*0.21</f>
        <v>1041.3223140495868</v>
      </c>
      <c r="J1796" s="229"/>
      <c r="K1796" s="229"/>
      <c r="L1796" s="229">
        <v>6000</v>
      </c>
      <c r="M1796" s="55"/>
    </row>
    <row r="1797" spans="2:13" x14ac:dyDescent="0.3">
      <c r="B1797" s="223" t="s">
        <v>2480</v>
      </c>
      <c r="C1797" s="37">
        <v>6</v>
      </c>
      <c r="D1797" s="225">
        <v>13</v>
      </c>
      <c r="E1797" s="226">
        <v>26909</v>
      </c>
      <c r="F1797" s="227"/>
      <c r="G1797" s="1" t="str">
        <f>IFERROR(IF(ventas_b_mes12[[#This Row],[CUIT]]="","-",VLOOKUP(ventas_b_mes12[[#This Row],[CUIT]],Lista_CUIT[#All],2,0)),"CUIT NO CARGADO")</f>
        <v>-</v>
      </c>
      <c r="H1797" s="96">
        <f>ventas_b_mes12[[#This Row],[TOTAL]]/1.21</f>
        <v>2142.5619834710747</v>
      </c>
      <c r="I1797" s="60">
        <f>ventas_b_mes12[[#This Row],[IMPORTE NETO]]*0.21</f>
        <v>449.93801652892569</v>
      </c>
      <c r="J1797" s="229"/>
      <c r="K1797" s="229"/>
      <c r="L1797" s="229">
        <v>2592.5</v>
      </c>
      <c r="M1797" s="55"/>
    </row>
    <row r="1798" spans="2:13" x14ac:dyDescent="0.3">
      <c r="B1798" s="223" t="s">
        <v>2480</v>
      </c>
      <c r="C1798" s="37">
        <v>6</v>
      </c>
      <c r="D1798" s="225">
        <v>13</v>
      </c>
      <c r="E1798" s="226">
        <v>26890</v>
      </c>
      <c r="F1798" s="227"/>
      <c r="G1798" s="1" t="str">
        <f>IFERROR(IF(ventas_b_mes12[[#This Row],[CUIT]]="","-",VLOOKUP(ventas_b_mes12[[#This Row],[CUIT]],Lista_CUIT[#All],2,0)),"CUIT NO CARGADO")</f>
        <v>-</v>
      </c>
      <c r="H1798" s="96">
        <f>ventas_b_mes12[[#This Row],[TOTAL]]/1.21</f>
        <v>17269.438016528926</v>
      </c>
      <c r="I1798" s="60">
        <f>ventas_b_mes12[[#This Row],[IMPORTE NETO]]*0.21</f>
        <v>3626.5819834710742</v>
      </c>
      <c r="J1798" s="229"/>
      <c r="K1798" s="229"/>
      <c r="L1798" s="229">
        <v>20896.02</v>
      </c>
      <c r="M1798" s="55"/>
    </row>
    <row r="1799" spans="2:13" x14ac:dyDescent="0.3">
      <c r="B1799" s="223" t="s">
        <v>2480</v>
      </c>
      <c r="C1799" s="37">
        <v>6</v>
      </c>
      <c r="D1799" s="225">
        <v>13</v>
      </c>
      <c r="E1799" s="226">
        <v>26864</v>
      </c>
      <c r="F1799" s="227"/>
      <c r="G1799" s="1" t="str">
        <f>IFERROR(IF(ventas_b_mes12[[#This Row],[CUIT]]="","-",VLOOKUP(ventas_b_mes12[[#This Row],[CUIT]],Lista_CUIT[#All],2,0)),"CUIT NO CARGADO")</f>
        <v>-</v>
      </c>
      <c r="H1799" s="96">
        <f>ventas_b_mes12[[#This Row],[TOTAL]]/1.21</f>
        <v>6421.4876033057853</v>
      </c>
      <c r="I1799" s="60">
        <f>ventas_b_mes12[[#This Row],[IMPORTE NETO]]*0.21</f>
        <v>1348.5123966942149</v>
      </c>
      <c r="J1799" s="229"/>
      <c r="K1799" s="229"/>
      <c r="L1799" s="229">
        <v>7770</v>
      </c>
      <c r="M1799" s="55"/>
    </row>
    <row r="1800" spans="2:13" x14ac:dyDescent="0.3">
      <c r="B1800" s="223" t="s">
        <v>2480</v>
      </c>
      <c r="C1800" s="37">
        <v>6</v>
      </c>
      <c r="D1800" s="225">
        <v>12</v>
      </c>
      <c r="E1800" s="226">
        <v>22670</v>
      </c>
      <c r="F1800" s="227"/>
      <c r="G1800" s="1" t="str">
        <f>IFERROR(IF(ventas_b_mes12[[#This Row],[CUIT]]="","-",VLOOKUP(ventas_b_mes12[[#This Row],[CUIT]],Lista_CUIT[#All],2,0)),"CUIT NO CARGADO")</f>
        <v>-</v>
      </c>
      <c r="H1800" s="96">
        <f>ventas_b_mes12[[#This Row],[TOTAL]]/1.21</f>
        <v>4957.8512396694214</v>
      </c>
      <c r="I1800" s="60">
        <f>ventas_b_mes12[[#This Row],[IMPORTE NETO]]*0.21</f>
        <v>1041.1487603305784</v>
      </c>
      <c r="J1800" s="229"/>
      <c r="K1800" s="229"/>
      <c r="L1800" s="229">
        <v>5999</v>
      </c>
      <c r="M1800" s="55"/>
    </row>
    <row r="1801" spans="2:13" x14ac:dyDescent="0.3">
      <c r="B1801" s="223" t="s">
        <v>2480</v>
      </c>
      <c r="C1801" s="37">
        <v>6</v>
      </c>
      <c r="D1801" s="225">
        <v>15</v>
      </c>
      <c r="E1801" s="226">
        <v>7306</v>
      </c>
      <c r="F1801" s="227"/>
      <c r="G1801" s="1" t="str">
        <f>IFERROR(IF(ventas_b_mes12[[#This Row],[CUIT]]="","-",VLOOKUP(ventas_b_mes12[[#This Row],[CUIT]],Lista_CUIT[#All],2,0)),"CUIT NO CARGADO")</f>
        <v>-</v>
      </c>
      <c r="H1801" s="96">
        <f>ventas_b_mes12[[#This Row],[TOTAL]]/1.21</f>
        <v>578.51239669421489</v>
      </c>
      <c r="I1801" s="60">
        <f>ventas_b_mes12[[#This Row],[IMPORTE NETO]]*0.21</f>
        <v>121.48760330578511</v>
      </c>
      <c r="J1801" s="229"/>
      <c r="K1801" s="229"/>
      <c r="L1801" s="229">
        <v>700</v>
      </c>
      <c r="M1801" s="55"/>
    </row>
    <row r="1802" spans="2:13" x14ac:dyDescent="0.3">
      <c r="B1802" s="223" t="s">
        <v>2480</v>
      </c>
      <c r="C1802" s="37">
        <v>6</v>
      </c>
      <c r="D1802" s="225">
        <v>13</v>
      </c>
      <c r="E1802" s="226">
        <v>26894</v>
      </c>
      <c r="F1802" s="227"/>
      <c r="G1802" s="1" t="str">
        <f>IFERROR(IF(ventas_b_mes12[[#This Row],[CUIT]]="","-",VLOOKUP(ventas_b_mes12[[#This Row],[CUIT]],Lista_CUIT[#All],2,0)),"CUIT NO CARGADO")</f>
        <v>-</v>
      </c>
      <c r="H1802" s="96">
        <f>ventas_b_mes12[[#This Row],[TOTAL]]/1.21</f>
        <v>4958.6776859504134</v>
      </c>
      <c r="I1802" s="60">
        <f>ventas_b_mes12[[#This Row],[IMPORTE NETO]]*0.21</f>
        <v>1041.3223140495868</v>
      </c>
      <c r="J1802" s="229"/>
      <c r="K1802" s="229"/>
      <c r="L1802" s="229">
        <v>6000</v>
      </c>
      <c r="M1802" s="55"/>
    </row>
    <row r="1803" spans="2:13" x14ac:dyDescent="0.3">
      <c r="B1803" s="223" t="s">
        <v>2480</v>
      </c>
      <c r="C1803" s="37">
        <v>6</v>
      </c>
      <c r="D1803" s="225">
        <v>11</v>
      </c>
      <c r="E1803" s="226">
        <v>30229</v>
      </c>
      <c r="F1803" s="227"/>
      <c r="G1803" s="1" t="str">
        <f>IFERROR(IF(ventas_b_mes12[[#This Row],[CUIT]]="","-",VLOOKUP(ventas_b_mes12[[#This Row],[CUIT]],Lista_CUIT[#All],2,0)),"CUIT NO CARGADO")</f>
        <v>-</v>
      </c>
      <c r="H1803" s="96">
        <f>ventas_b_mes12[[#This Row],[TOTAL]]/1.21</f>
        <v>7247.9256198347111</v>
      </c>
      <c r="I1803" s="60">
        <f>ventas_b_mes12[[#This Row],[IMPORTE NETO]]*0.21</f>
        <v>1522.0643801652893</v>
      </c>
      <c r="J1803" s="229"/>
      <c r="K1803" s="229"/>
      <c r="L1803" s="229">
        <v>8769.99</v>
      </c>
      <c r="M1803" s="55"/>
    </row>
    <row r="1804" spans="2:13" x14ac:dyDescent="0.3">
      <c r="B1804" s="223" t="s">
        <v>2480</v>
      </c>
      <c r="C1804" s="37">
        <v>6</v>
      </c>
      <c r="D1804" s="225">
        <v>10</v>
      </c>
      <c r="E1804" s="226">
        <v>44053</v>
      </c>
      <c r="F1804" s="227"/>
      <c r="G1804" s="1" t="str">
        <f>IFERROR(IF(ventas_b_mes12[[#This Row],[CUIT]]="","-",VLOOKUP(ventas_b_mes12[[#This Row],[CUIT]],Lista_CUIT[#All],2,0)),"CUIT NO CARGADO")</f>
        <v>-</v>
      </c>
      <c r="H1804" s="96">
        <f>ventas_b_mes12[[#This Row],[TOTAL]]/1.21</f>
        <v>4780.9917355371899</v>
      </c>
      <c r="I1804" s="60">
        <f>ventas_b_mes12[[#This Row],[IMPORTE NETO]]*0.21</f>
        <v>1004.0082644628098</v>
      </c>
      <c r="J1804" s="229"/>
      <c r="K1804" s="229"/>
      <c r="L1804" s="229">
        <v>5785</v>
      </c>
      <c r="M1804" s="55"/>
    </row>
    <row r="1805" spans="2:13" x14ac:dyDescent="0.3">
      <c r="B1805" s="223" t="s">
        <v>2480</v>
      </c>
      <c r="C1805" s="37">
        <v>6</v>
      </c>
      <c r="D1805" s="225">
        <v>13</v>
      </c>
      <c r="E1805" s="226">
        <v>26889</v>
      </c>
      <c r="F1805" s="227"/>
      <c r="G1805" s="1" t="str">
        <f>IFERROR(IF(ventas_b_mes12[[#This Row],[CUIT]]="","-",VLOOKUP(ventas_b_mes12[[#This Row],[CUIT]],Lista_CUIT[#All],2,0)),"CUIT NO CARGADO")</f>
        <v>-</v>
      </c>
      <c r="H1805" s="96">
        <f>ventas_b_mes12[[#This Row],[TOTAL]]/1.21</f>
        <v>5983.4710743801652</v>
      </c>
      <c r="I1805" s="60">
        <f>ventas_b_mes12[[#This Row],[IMPORTE NETO]]*0.21</f>
        <v>1256.5289256198346</v>
      </c>
      <c r="J1805" s="229"/>
      <c r="K1805" s="229"/>
      <c r="L1805" s="229">
        <v>7240</v>
      </c>
      <c r="M1805" s="55"/>
    </row>
    <row r="1806" spans="2:13" x14ac:dyDescent="0.3">
      <c r="B1806" s="223" t="s">
        <v>2480</v>
      </c>
      <c r="C1806" s="37">
        <v>6</v>
      </c>
      <c r="D1806" s="225">
        <v>13</v>
      </c>
      <c r="E1806" s="226">
        <v>26871</v>
      </c>
      <c r="F1806" s="227"/>
      <c r="G1806" s="1" t="str">
        <f>IFERROR(IF(ventas_b_mes12[[#This Row],[CUIT]]="","-",VLOOKUP(ventas_b_mes12[[#This Row],[CUIT]],Lista_CUIT[#All],2,0)),"CUIT NO CARGADO")</f>
        <v>-</v>
      </c>
      <c r="H1806" s="96">
        <f>ventas_b_mes12[[#This Row],[TOTAL]]/1.21</f>
        <v>1561.9834710743803</v>
      </c>
      <c r="I1806" s="60">
        <f>ventas_b_mes12[[#This Row],[IMPORTE NETO]]*0.21</f>
        <v>328.01652892561987</v>
      </c>
      <c r="J1806" s="229"/>
      <c r="K1806" s="229"/>
      <c r="L1806" s="229">
        <v>1890</v>
      </c>
      <c r="M1806" s="55"/>
    </row>
    <row r="1807" spans="2:13" x14ac:dyDescent="0.3">
      <c r="B1807" s="223" t="s">
        <v>2480</v>
      </c>
      <c r="C1807" s="37">
        <v>6</v>
      </c>
      <c r="D1807" s="225">
        <v>12</v>
      </c>
      <c r="E1807" s="226">
        <v>22681</v>
      </c>
      <c r="F1807" s="227"/>
      <c r="G1807" s="1" t="str">
        <f>IFERROR(IF(ventas_b_mes12[[#This Row],[CUIT]]="","-",VLOOKUP(ventas_b_mes12[[#This Row],[CUIT]],Lista_CUIT[#All],2,0)),"CUIT NO CARGADO")</f>
        <v>-</v>
      </c>
      <c r="H1807" s="96">
        <f>ventas_b_mes12[[#This Row],[TOTAL]]/1.21</f>
        <v>2512.4214876033061</v>
      </c>
      <c r="I1807" s="60">
        <f>ventas_b_mes12[[#This Row],[IMPORTE NETO]]*0.21</f>
        <v>527.60851239669421</v>
      </c>
      <c r="J1807" s="229"/>
      <c r="K1807" s="229"/>
      <c r="L1807" s="229">
        <v>3040.03</v>
      </c>
      <c r="M1807" s="55"/>
    </row>
    <row r="1808" spans="2:13" x14ac:dyDescent="0.3">
      <c r="B1808" s="223" t="s">
        <v>2480</v>
      </c>
      <c r="C1808" s="37">
        <v>6</v>
      </c>
      <c r="D1808" s="225">
        <v>13</v>
      </c>
      <c r="E1808" s="226">
        <v>26870</v>
      </c>
      <c r="F1808" s="227"/>
      <c r="G1808" s="1" t="str">
        <f>IFERROR(IF(ventas_b_mes12[[#This Row],[CUIT]]="","-",VLOOKUP(ventas_b_mes12[[#This Row],[CUIT]],Lista_CUIT[#All],2,0)),"CUIT NO CARGADO")</f>
        <v>-</v>
      </c>
      <c r="H1808" s="96">
        <f>ventas_b_mes12[[#This Row],[TOTAL]]/1.21</f>
        <v>4710.7438016528931</v>
      </c>
      <c r="I1808" s="60">
        <f>ventas_b_mes12[[#This Row],[IMPORTE NETO]]*0.21</f>
        <v>989.25619834710756</v>
      </c>
      <c r="J1808" s="229"/>
      <c r="K1808" s="229"/>
      <c r="L1808" s="229">
        <v>5700</v>
      </c>
      <c r="M1808" s="55"/>
    </row>
    <row r="1809" spans="2:13" x14ac:dyDescent="0.3">
      <c r="B1809" s="223" t="s">
        <v>2480</v>
      </c>
      <c r="C1809" s="37">
        <v>6</v>
      </c>
      <c r="D1809" s="225">
        <v>15</v>
      </c>
      <c r="E1809" s="226">
        <v>7309</v>
      </c>
      <c r="F1809" s="227"/>
      <c r="G1809" s="1" t="str">
        <f>IFERROR(IF(ventas_b_mes12[[#This Row],[CUIT]]="","-",VLOOKUP(ventas_b_mes12[[#This Row],[CUIT]],Lista_CUIT[#All],2,0)),"CUIT NO CARGADO")</f>
        <v>-</v>
      </c>
      <c r="H1809" s="96">
        <f>ventas_b_mes12[[#This Row],[TOTAL]]/1.21</f>
        <v>4276.8595041322315</v>
      </c>
      <c r="I1809" s="60">
        <f>ventas_b_mes12[[#This Row],[IMPORTE NETO]]*0.21</f>
        <v>898.14049586776855</v>
      </c>
      <c r="J1809" s="229"/>
      <c r="K1809" s="229"/>
      <c r="L1809" s="229">
        <v>5175</v>
      </c>
      <c r="M1809" s="55"/>
    </row>
    <row r="1810" spans="2:13" x14ac:dyDescent="0.3">
      <c r="B1810" s="223" t="s">
        <v>2480</v>
      </c>
      <c r="C1810" s="37">
        <v>6</v>
      </c>
      <c r="D1810" s="225">
        <v>11</v>
      </c>
      <c r="E1810" s="226">
        <v>30232</v>
      </c>
      <c r="F1810" s="227"/>
      <c r="G1810" s="1" t="str">
        <f>IFERROR(IF(ventas_b_mes12[[#This Row],[CUIT]]="","-",VLOOKUP(ventas_b_mes12[[#This Row],[CUIT]],Lista_CUIT[#All],2,0)),"CUIT NO CARGADO")</f>
        <v>-</v>
      </c>
      <c r="H1810" s="96">
        <f>ventas_b_mes12[[#This Row],[TOTAL]]/1.21</f>
        <v>3719.0082644628101</v>
      </c>
      <c r="I1810" s="60">
        <f>ventas_b_mes12[[#This Row],[IMPORTE NETO]]*0.21</f>
        <v>780.99173553719004</v>
      </c>
      <c r="J1810" s="229"/>
      <c r="K1810" s="229"/>
      <c r="L1810" s="229">
        <v>4500</v>
      </c>
      <c r="M1810" s="55"/>
    </row>
    <row r="1811" spans="2:13" x14ac:dyDescent="0.3">
      <c r="B1811" s="223" t="s">
        <v>2480</v>
      </c>
      <c r="C1811" s="37">
        <v>6</v>
      </c>
      <c r="D1811" s="225">
        <v>13</v>
      </c>
      <c r="E1811" s="226">
        <v>26893</v>
      </c>
      <c r="F1811" s="227"/>
      <c r="G1811" s="1" t="str">
        <f>IFERROR(IF(ventas_b_mes12[[#This Row],[CUIT]]="","-",VLOOKUP(ventas_b_mes12[[#This Row],[CUIT]],Lista_CUIT[#All],2,0)),"CUIT NO CARGADO")</f>
        <v>-</v>
      </c>
      <c r="H1811" s="96">
        <f>ventas_b_mes12[[#This Row],[TOTAL]]/1.21</f>
        <v>3477.2809917355376</v>
      </c>
      <c r="I1811" s="60">
        <f>ventas_b_mes12[[#This Row],[IMPORTE NETO]]*0.21</f>
        <v>730.22900826446289</v>
      </c>
      <c r="J1811" s="229"/>
      <c r="K1811" s="229"/>
      <c r="L1811" s="229">
        <v>4207.51</v>
      </c>
      <c r="M1811" s="55"/>
    </row>
    <row r="1812" spans="2:13" x14ac:dyDescent="0.3">
      <c r="B1812" s="223" t="s">
        <v>2480</v>
      </c>
      <c r="C1812" s="37">
        <v>6</v>
      </c>
      <c r="D1812" s="225">
        <v>15</v>
      </c>
      <c r="E1812" s="226">
        <v>7308</v>
      </c>
      <c r="F1812" s="227"/>
      <c r="G1812" s="1" t="str">
        <f>IFERROR(IF(ventas_b_mes12[[#This Row],[CUIT]]="","-",VLOOKUP(ventas_b_mes12[[#This Row],[CUIT]],Lista_CUIT[#All],2,0)),"CUIT NO CARGADO")</f>
        <v>-</v>
      </c>
      <c r="H1812" s="96">
        <f>ventas_b_mes12[[#This Row],[TOTAL]]/1.21</f>
        <v>2326.4462809917354</v>
      </c>
      <c r="I1812" s="60">
        <f>ventas_b_mes12[[#This Row],[IMPORTE NETO]]*0.21</f>
        <v>488.55371900826441</v>
      </c>
      <c r="J1812" s="229"/>
      <c r="K1812" s="229"/>
      <c r="L1812" s="229">
        <v>2815</v>
      </c>
      <c r="M1812" s="55"/>
    </row>
    <row r="1813" spans="2:13" x14ac:dyDescent="0.3">
      <c r="B1813" s="223" t="s">
        <v>2480</v>
      </c>
      <c r="C1813" s="37">
        <v>6</v>
      </c>
      <c r="D1813" s="225">
        <v>13</v>
      </c>
      <c r="E1813" s="226">
        <v>26886</v>
      </c>
      <c r="F1813" s="227"/>
      <c r="G1813" s="1" t="str">
        <f>IFERROR(IF(ventas_b_mes12[[#This Row],[CUIT]]="","-",VLOOKUP(ventas_b_mes12[[#This Row],[CUIT]],Lista_CUIT[#All],2,0)),"CUIT NO CARGADO")</f>
        <v>-</v>
      </c>
      <c r="H1813" s="96">
        <f>ventas_b_mes12[[#This Row],[TOTAL]]/1.21</f>
        <v>3083.8842975206612</v>
      </c>
      <c r="I1813" s="60">
        <f>ventas_b_mes12[[#This Row],[IMPORTE NETO]]*0.21</f>
        <v>647.61570247933878</v>
      </c>
      <c r="J1813" s="229"/>
      <c r="K1813" s="229"/>
      <c r="L1813" s="229">
        <v>3731.5</v>
      </c>
      <c r="M1813" s="55"/>
    </row>
    <row r="1814" spans="2:13" x14ac:dyDescent="0.3">
      <c r="B1814" s="223" t="s">
        <v>2480</v>
      </c>
      <c r="C1814" s="37">
        <v>6</v>
      </c>
      <c r="D1814" s="225">
        <v>15</v>
      </c>
      <c r="E1814" s="226">
        <v>7311</v>
      </c>
      <c r="F1814" s="227"/>
      <c r="G1814" s="1" t="str">
        <f>IFERROR(IF(ventas_b_mes12[[#This Row],[CUIT]]="","-",VLOOKUP(ventas_b_mes12[[#This Row],[CUIT]],Lista_CUIT[#All],2,0)),"CUIT NO CARGADO")</f>
        <v>-</v>
      </c>
      <c r="H1814" s="96">
        <f>ventas_b_mes12[[#This Row],[TOTAL]]/1.21</f>
        <v>4958.6776859504134</v>
      </c>
      <c r="I1814" s="60">
        <f>ventas_b_mes12[[#This Row],[IMPORTE NETO]]*0.21</f>
        <v>1041.3223140495868</v>
      </c>
      <c r="J1814" s="229"/>
      <c r="K1814" s="229"/>
      <c r="L1814" s="229">
        <v>6000</v>
      </c>
      <c r="M1814" s="55"/>
    </row>
    <row r="1815" spans="2:13" x14ac:dyDescent="0.3">
      <c r="B1815" s="223" t="s">
        <v>2480</v>
      </c>
      <c r="C1815" s="37">
        <v>6</v>
      </c>
      <c r="D1815" s="225">
        <v>12</v>
      </c>
      <c r="E1815" s="226">
        <v>22673</v>
      </c>
      <c r="F1815" s="227"/>
      <c r="G1815" s="1" t="str">
        <f>IFERROR(IF(ventas_b_mes12[[#This Row],[CUIT]]="","-",VLOOKUP(ventas_b_mes12[[#This Row],[CUIT]],Lista_CUIT[#All],2,0)),"CUIT NO CARGADO")</f>
        <v>-</v>
      </c>
      <c r="H1815" s="96">
        <f>ventas_b_mes12[[#This Row],[TOTAL]]/1.21</f>
        <v>1280.9917355371902</v>
      </c>
      <c r="I1815" s="60">
        <f>ventas_b_mes12[[#This Row],[IMPORTE NETO]]*0.21</f>
        <v>269.0082644628099</v>
      </c>
      <c r="J1815" s="229"/>
      <c r="K1815" s="229"/>
      <c r="L1815" s="229">
        <v>1550</v>
      </c>
      <c r="M1815" s="55"/>
    </row>
    <row r="1816" spans="2:13" x14ac:dyDescent="0.3">
      <c r="B1816" s="223" t="s">
        <v>2480</v>
      </c>
      <c r="C1816" s="37">
        <v>6</v>
      </c>
      <c r="D1816" s="225">
        <v>13</v>
      </c>
      <c r="E1816" s="226">
        <v>26878</v>
      </c>
      <c r="F1816" s="227"/>
      <c r="G1816" s="1" t="str">
        <f>IFERROR(IF(ventas_b_mes12[[#This Row],[CUIT]]="","-",VLOOKUP(ventas_b_mes12[[#This Row],[CUIT]],Lista_CUIT[#All],2,0)),"CUIT NO CARGADO")</f>
        <v>-</v>
      </c>
      <c r="H1816" s="96">
        <f>ventas_b_mes12[[#This Row],[TOTAL]]/1.21</f>
        <v>6281.0082644628101</v>
      </c>
      <c r="I1816" s="60">
        <f>ventas_b_mes12[[#This Row],[IMPORTE NETO]]*0.21</f>
        <v>1319.0117355371901</v>
      </c>
      <c r="J1816" s="229"/>
      <c r="K1816" s="229"/>
      <c r="L1816" s="229">
        <v>7600.02</v>
      </c>
      <c r="M1816" s="55"/>
    </row>
    <row r="1817" spans="2:13" x14ac:dyDescent="0.3">
      <c r="B1817" s="223" t="s">
        <v>2480</v>
      </c>
      <c r="C1817" s="37">
        <v>6</v>
      </c>
      <c r="D1817" s="225">
        <v>13</v>
      </c>
      <c r="E1817" s="226">
        <v>26882</v>
      </c>
      <c r="F1817" s="227"/>
      <c r="G1817" s="1" t="str">
        <f>IFERROR(IF(ventas_b_mes12[[#This Row],[CUIT]]="","-",VLOOKUP(ventas_b_mes12[[#This Row],[CUIT]],Lista_CUIT[#All],2,0)),"CUIT NO CARGADO")</f>
        <v>-</v>
      </c>
      <c r="H1817" s="96">
        <f>ventas_b_mes12[[#This Row],[TOTAL]]/1.21</f>
        <v>22764.049586776859</v>
      </c>
      <c r="I1817" s="60">
        <f>ventas_b_mes12[[#This Row],[IMPORTE NETO]]*0.21</f>
        <v>4780.4504132231405</v>
      </c>
      <c r="J1817" s="229"/>
      <c r="K1817" s="229"/>
      <c r="L1817" s="229">
        <v>27544.5</v>
      </c>
      <c r="M1817" s="55"/>
    </row>
    <row r="1818" spans="2:13" x14ac:dyDescent="0.3">
      <c r="B1818" s="223" t="s">
        <v>2480</v>
      </c>
      <c r="C1818" s="37">
        <v>6</v>
      </c>
      <c r="D1818" s="225">
        <v>10</v>
      </c>
      <c r="E1818" s="226">
        <v>44051</v>
      </c>
      <c r="F1818" s="227"/>
      <c r="G1818" s="1" t="str">
        <f>IFERROR(IF(ventas_b_mes12[[#This Row],[CUIT]]="","-",VLOOKUP(ventas_b_mes12[[#This Row],[CUIT]],Lista_CUIT[#All],2,0)),"CUIT NO CARGADO")</f>
        <v>-</v>
      </c>
      <c r="H1818" s="96">
        <f>ventas_b_mes12[[#This Row],[TOTAL]]/1.21</f>
        <v>8012.4049586776864</v>
      </c>
      <c r="I1818" s="60">
        <f>ventas_b_mes12[[#This Row],[IMPORTE NETO]]*0.21</f>
        <v>1682.605041322314</v>
      </c>
      <c r="J1818" s="229"/>
      <c r="K1818" s="229"/>
      <c r="L1818" s="229">
        <v>9695.01</v>
      </c>
      <c r="M1818" s="55"/>
    </row>
    <row r="1819" spans="2:13" x14ac:dyDescent="0.3">
      <c r="B1819" s="223" t="s">
        <v>2480</v>
      </c>
      <c r="C1819" s="37">
        <v>6</v>
      </c>
      <c r="D1819" s="225">
        <v>13</v>
      </c>
      <c r="E1819" s="226">
        <v>26881</v>
      </c>
      <c r="F1819" s="227"/>
      <c r="G1819" s="1" t="str">
        <f>IFERROR(IF(ventas_b_mes12[[#This Row],[CUIT]]="","-",VLOOKUP(ventas_b_mes12[[#This Row],[CUIT]],Lista_CUIT[#All],2,0)),"CUIT NO CARGADO")</f>
        <v>-</v>
      </c>
      <c r="H1819" s="96">
        <f>ventas_b_mes12[[#This Row],[TOTAL]]/1.21</f>
        <v>7537.1900826446281</v>
      </c>
      <c r="I1819" s="60">
        <f>ventas_b_mes12[[#This Row],[IMPORTE NETO]]*0.21</f>
        <v>1582.8099173553719</v>
      </c>
      <c r="J1819" s="229"/>
      <c r="K1819" s="229"/>
      <c r="L1819" s="229">
        <v>9120</v>
      </c>
      <c r="M1819" s="55"/>
    </row>
    <row r="1820" spans="2:13" x14ac:dyDescent="0.3">
      <c r="B1820" s="223" t="s">
        <v>2480</v>
      </c>
      <c r="C1820" s="37">
        <v>6</v>
      </c>
      <c r="D1820" s="225">
        <v>12</v>
      </c>
      <c r="E1820" s="226">
        <v>22672</v>
      </c>
      <c r="F1820" s="227"/>
      <c r="G1820" s="1" t="str">
        <f>IFERROR(IF(ventas_b_mes12[[#This Row],[CUIT]]="","-",VLOOKUP(ventas_b_mes12[[#This Row],[CUIT]],Lista_CUIT[#All],2,0)),"CUIT NO CARGADO")</f>
        <v>-</v>
      </c>
      <c r="H1820" s="96">
        <f>ventas_b_mes12[[#This Row],[TOTAL]]/1.21</f>
        <v>2066.1157024793388</v>
      </c>
      <c r="I1820" s="60">
        <f>ventas_b_mes12[[#This Row],[IMPORTE NETO]]*0.21</f>
        <v>433.88429752066111</v>
      </c>
      <c r="J1820" s="229"/>
      <c r="K1820" s="229"/>
      <c r="L1820" s="229">
        <v>2500</v>
      </c>
      <c r="M1820" s="55"/>
    </row>
    <row r="1821" spans="2:13" x14ac:dyDescent="0.3">
      <c r="B1821" s="223" t="s">
        <v>2481</v>
      </c>
      <c r="C1821" s="37">
        <v>6</v>
      </c>
      <c r="D1821" s="225">
        <v>10</v>
      </c>
      <c r="E1821" s="226">
        <v>44067</v>
      </c>
      <c r="F1821" s="227"/>
      <c r="G1821" s="1" t="str">
        <f>IFERROR(IF(ventas_b_mes12[[#This Row],[CUIT]]="","-",VLOOKUP(ventas_b_mes12[[#This Row],[CUIT]],Lista_CUIT[#All],2,0)),"CUIT NO CARGADO")</f>
        <v>-</v>
      </c>
      <c r="H1821" s="96">
        <f>ventas_b_mes12[[#This Row],[TOTAL]]/1.21</f>
        <v>39449.63636363636</v>
      </c>
      <c r="I1821" s="60">
        <f>ventas_b_mes12[[#This Row],[IMPORTE NETO]]*0.21</f>
        <v>8284.4236363636355</v>
      </c>
      <c r="J1821" s="229"/>
      <c r="K1821" s="229"/>
      <c r="L1821" s="229">
        <v>47734.06</v>
      </c>
      <c r="M1821" s="55"/>
    </row>
    <row r="1822" spans="2:13" x14ac:dyDescent="0.3">
      <c r="B1822" s="223" t="s">
        <v>2481</v>
      </c>
      <c r="C1822" s="37">
        <v>6</v>
      </c>
      <c r="D1822" s="225">
        <v>11</v>
      </c>
      <c r="E1822" s="226">
        <v>30243</v>
      </c>
      <c r="F1822" s="227"/>
      <c r="G1822" s="1" t="str">
        <f>IFERROR(IF(ventas_b_mes12[[#This Row],[CUIT]]="","-",VLOOKUP(ventas_b_mes12[[#This Row],[CUIT]],Lista_CUIT[#All],2,0)),"CUIT NO CARGADO")</f>
        <v>-</v>
      </c>
      <c r="H1822" s="96">
        <f>ventas_b_mes12[[#This Row],[TOTAL]]/1.21</f>
        <v>3830.5785123966944</v>
      </c>
      <c r="I1822" s="60">
        <f>ventas_b_mes12[[#This Row],[IMPORTE NETO]]*0.21</f>
        <v>804.42148760330576</v>
      </c>
      <c r="J1822" s="229"/>
      <c r="K1822" s="229"/>
      <c r="L1822" s="229">
        <v>4635</v>
      </c>
      <c r="M1822" s="55"/>
    </row>
    <row r="1823" spans="2:13" x14ac:dyDescent="0.3">
      <c r="B1823" s="223" t="s">
        <v>2481</v>
      </c>
      <c r="C1823" s="37">
        <v>6</v>
      </c>
      <c r="D1823" s="225">
        <v>13</v>
      </c>
      <c r="E1823" s="226">
        <v>26915</v>
      </c>
      <c r="F1823" s="227"/>
      <c r="G1823" s="1" t="str">
        <f>IFERROR(IF(ventas_b_mes12[[#This Row],[CUIT]]="","-",VLOOKUP(ventas_b_mes12[[#This Row],[CUIT]],Lista_CUIT[#All],2,0)),"CUIT NO CARGADO")</f>
        <v>-</v>
      </c>
      <c r="H1823" s="96">
        <f>ventas_b_mes12[[#This Row],[TOTAL]]/1.21</f>
        <v>6357.4380165289258</v>
      </c>
      <c r="I1823" s="60">
        <f>ventas_b_mes12[[#This Row],[IMPORTE NETO]]*0.21</f>
        <v>1335.0619834710744</v>
      </c>
      <c r="J1823" s="229"/>
      <c r="K1823" s="229"/>
      <c r="L1823" s="229">
        <v>7692.5</v>
      </c>
      <c r="M1823" s="55"/>
    </row>
    <row r="1824" spans="2:13" x14ac:dyDescent="0.3">
      <c r="B1824" s="223" t="s">
        <v>2481</v>
      </c>
      <c r="C1824" s="37">
        <v>6</v>
      </c>
      <c r="D1824" s="225">
        <v>15</v>
      </c>
      <c r="E1824" s="226">
        <v>7322</v>
      </c>
      <c r="F1824" s="227"/>
      <c r="G1824" s="1" t="str">
        <f>IFERROR(IF(ventas_b_mes12[[#This Row],[CUIT]]="","-",VLOOKUP(ventas_b_mes12[[#This Row],[CUIT]],Lista_CUIT[#All],2,0)),"CUIT NO CARGADO")</f>
        <v>-</v>
      </c>
      <c r="H1824" s="96">
        <f>ventas_b_mes12[[#This Row],[TOTAL]]/1.21</f>
        <v>3966.9421487603308</v>
      </c>
      <c r="I1824" s="60">
        <f>ventas_b_mes12[[#This Row],[IMPORTE NETO]]*0.21</f>
        <v>833.05785123966939</v>
      </c>
      <c r="J1824" s="229"/>
      <c r="K1824" s="229"/>
      <c r="L1824" s="229">
        <v>4800</v>
      </c>
      <c r="M1824" s="55"/>
    </row>
    <row r="1825" spans="2:13" x14ac:dyDescent="0.3">
      <c r="B1825" s="223" t="s">
        <v>2481</v>
      </c>
      <c r="C1825" s="37">
        <v>6</v>
      </c>
      <c r="D1825" s="225">
        <v>13</v>
      </c>
      <c r="E1825" s="226">
        <v>26913</v>
      </c>
      <c r="F1825" s="227"/>
      <c r="G1825" s="1" t="str">
        <f>IFERROR(IF(ventas_b_mes12[[#This Row],[CUIT]]="","-",VLOOKUP(ventas_b_mes12[[#This Row],[CUIT]],Lista_CUIT[#All],2,0)),"CUIT NO CARGADO")</f>
        <v>-</v>
      </c>
      <c r="H1825" s="96">
        <f>ventas_b_mes12[[#This Row],[TOTAL]]/1.21</f>
        <v>2599.1735537190084</v>
      </c>
      <c r="I1825" s="60">
        <f>ventas_b_mes12[[#This Row],[IMPORTE NETO]]*0.21</f>
        <v>545.82644628099172</v>
      </c>
      <c r="J1825" s="229"/>
      <c r="K1825" s="229"/>
      <c r="L1825" s="229">
        <v>3145</v>
      </c>
      <c r="M1825" s="55"/>
    </row>
    <row r="1826" spans="2:13" x14ac:dyDescent="0.3">
      <c r="B1826" s="223" t="s">
        <v>2481</v>
      </c>
      <c r="C1826" s="37">
        <v>6</v>
      </c>
      <c r="D1826" s="225">
        <v>13</v>
      </c>
      <c r="E1826" s="226">
        <v>26918</v>
      </c>
      <c r="F1826" s="227"/>
      <c r="G1826" s="1" t="str">
        <f>IFERROR(IF(ventas_b_mes12[[#This Row],[CUIT]]="","-",VLOOKUP(ventas_b_mes12[[#This Row],[CUIT]],Lista_CUIT[#All],2,0)),"CUIT NO CARGADO")</f>
        <v>-</v>
      </c>
      <c r="H1826" s="96">
        <f>ventas_b_mes12[[#This Row],[TOTAL]]/1.21</f>
        <v>9566.1157024793392</v>
      </c>
      <c r="I1826" s="60">
        <f>ventas_b_mes12[[#This Row],[IMPORTE NETO]]*0.21</f>
        <v>2008.8842975206612</v>
      </c>
      <c r="J1826" s="229"/>
      <c r="K1826" s="229"/>
      <c r="L1826" s="229">
        <v>11575</v>
      </c>
      <c r="M1826" s="55"/>
    </row>
    <row r="1827" spans="2:13" x14ac:dyDescent="0.3">
      <c r="B1827" s="223" t="s">
        <v>2481</v>
      </c>
      <c r="C1827" s="37">
        <v>6</v>
      </c>
      <c r="D1827" s="225">
        <v>10</v>
      </c>
      <c r="E1827" s="226">
        <v>44066</v>
      </c>
      <c r="F1827" s="227"/>
      <c r="G1827" s="1" t="str">
        <f>IFERROR(IF(ventas_b_mes12[[#This Row],[CUIT]]="","-",VLOOKUP(ventas_b_mes12[[#This Row],[CUIT]],Lista_CUIT[#All],2,0)),"CUIT NO CARGADO")</f>
        <v>-</v>
      </c>
      <c r="H1827" s="96">
        <f>ventas_b_mes12[[#This Row],[TOTAL]]/1.21</f>
        <v>47771.900826446283</v>
      </c>
      <c r="I1827" s="60">
        <f>ventas_b_mes12[[#This Row],[IMPORTE NETO]]*0.21</f>
        <v>10032.099173553719</v>
      </c>
      <c r="J1827" s="229"/>
      <c r="K1827" s="229"/>
      <c r="L1827" s="229">
        <v>57804</v>
      </c>
      <c r="M1827" s="55"/>
    </row>
    <row r="1828" spans="2:13" x14ac:dyDescent="0.3">
      <c r="B1828" s="223" t="s">
        <v>2481</v>
      </c>
      <c r="C1828" s="37">
        <v>6</v>
      </c>
      <c r="D1828" s="225">
        <v>10</v>
      </c>
      <c r="E1828" s="226">
        <v>44071</v>
      </c>
      <c r="F1828" s="227"/>
      <c r="G1828" s="1" t="str">
        <f>IFERROR(IF(ventas_b_mes12[[#This Row],[CUIT]]="","-",VLOOKUP(ventas_b_mes12[[#This Row],[CUIT]],Lista_CUIT[#All],2,0)),"CUIT NO CARGADO")</f>
        <v>-</v>
      </c>
      <c r="H1828" s="96">
        <f>ventas_b_mes12[[#This Row],[TOTAL]]/1.21</f>
        <v>4917.3553719008269</v>
      </c>
      <c r="I1828" s="60">
        <f>ventas_b_mes12[[#This Row],[IMPORTE NETO]]*0.21</f>
        <v>1032.6446280991736</v>
      </c>
      <c r="J1828" s="229"/>
      <c r="K1828" s="229"/>
      <c r="L1828" s="229">
        <v>5950</v>
      </c>
      <c r="M1828" s="55"/>
    </row>
    <row r="1829" spans="2:13" x14ac:dyDescent="0.3">
      <c r="B1829" s="223" t="s">
        <v>2481</v>
      </c>
      <c r="C1829" s="37">
        <v>6</v>
      </c>
      <c r="D1829" s="225">
        <v>11</v>
      </c>
      <c r="E1829" s="226">
        <v>30239</v>
      </c>
      <c r="F1829" s="227"/>
      <c r="G1829" s="1" t="str">
        <f>IFERROR(IF(ventas_b_mes12[[#This Row],[CUIT]]="","-",VLOOKUP(ventas_b_mes12[[#This Row],[CUIT]],Lista_CUIT[#All],2,0)),"CUIT NO CARGADO")</f>
        <v>-</v>
      </c>
      <c r="H1829" s="96">
        <f>ventas_b_mes12[[#This Row],[TOTAL]]/1.21</f>
        <v>6829.0826446280998</v>
      </c>
      <c r="I1829" s="60">
        <f>ventas_b_mes12[[#This Row],[IMPORTE NETO]]*0.21</f>
        <v>1434.1073553719009</v>
      </c>
      <c r="J1829" s="229"/>
      <c r="K1829" s="229"/>
      <c r="L1829" s="229">
        <v>8263.19</v>
      </c>
      <c r="M1829" s="55"/>
    </row>
    <row r="1830" spans="2:13" x14ac:dyDescent="0.3">
      <c r="B1830" s="223" t="s">
        <v>2481</v>
      </c>
      <c r="C1830" s="37">
        <v>6</v>
      </c>
      <c r="D1830" s="225">
        <v>12</v>
      </c>
      <c r="E1830" s="226">
        <v>22686</v>
      </c>
      <c r="F1830" s="227"/>
      <c r="G1830" s="1" t="str">
        <f>IFERROR(IF(ventas_b_mes12[[#This Row],[CUIT]]="","-",VLOOKUP(ventas_b_mes12[[#This Row],[CUIT]],Lista_CUIT[#All],2,0)),"CUIT NO CARGADO")</f>
        <v>-</v>
      </c>
      <c r="H1830" s="96">
        <f>ventas_b_mes12[[#This Row],[TOTAL]]/1.21</f>
        <v>1239.6776859504132</v>
      </c>
      <c r="I1830" s="60">
        <f>ventas_b_mes12[[#This Row],[IMPORTE NETO]]*0.21</f>
        <v>260.33231404958678</v>
      </c>
      <c r="J1830" s="229"/>
      <c r="K1830" s="229"/>
      <c r="L1830" s="229">
        <v>1500.01</v>
      </c>
      <c r="M1830" s="55"/>
    </row>
    <row r="1831" spans="2:13" x14ac:dyDescent="0.3">
      <c r="B1831" s="223" t="s">
        <v>2481</v>
      </c>
      <c r="C1831" s="37">
        <v>6</v>
      </c>
      <c r="D1831" s="225">
        <v>11</v>
      </c>
      <c r="E1831" s="226">
        <v>30246</v>
      </c>
      <c r="F1831" s="227"/>
      <c r="G1831" s="1" t="str">
        <f>IFERROR(IF(ventas_b_mes12[[#This Row],[CUIT]]="","-",VLOOKUP(ventas_b_mes12[[#This Row],[CUIT]],Lista_CUIT[#All],2,0)),"CUIT NO CARGADO")</f>
        <v>-</v>
      </c>
      <c r="H1831" s="96">
        <f>ventas_b_mes12[[#This Row],[TOTAL]]/1.21</f>
        <v>2938.0165289256197</v>
      </c>
      <c r="I1831" s="60">
        <f>ventas_b_mes12[[#This Row],[IMPORTE NETO]]*0.21</f>
        <v>616.98347107438008</v>
      </c>
      <c r="J1831" s="229"/>
      <c r="K1831" s="229"/>
      <c r="L1831" s="229">
        <v>3555</v>
      </c>
      <c r="M1831" s="55"/>
    </row>
    <row r="1832" spans="2:13" x14ac:dyDescent="0.3">
      <c r="B1832" s="223" t="s">
        <v>2481</v>
      </c>
      <c r="C1832" s="37">
        <v>6</v>
      </c>
      <c r="D1832" s="225">
        <v>15</v>
      </c>
      <c r="E1832" s="226">
        <v>7320</v>
      </c>
      <c r="F1832" s="227"/>
      <c r="G1832" s="1" t="str">
        <f>IFERROR(IF(ventas_b_mes12[[#This Row],[CUIT]]="","-",VLOOKUP(ventas_b_mes12[[#This Row],[CUIT]],Lista_CUIT[#All],2,0)),"CUIT NO CARGADO")</f>
        <v>-</v>
      </c>
      <c r="H1832" s="96">
        <f>ventas_b_mes12[[#This Row],[TOTAL]]/1.21</f>
        <v>5264.4628099173551</v>
      </c>
      <c r="I1832" s="60">
        <f>ventas_b_mes12[[#This Row],[IMPORTE NETO]]*0.21</f>
        <v>1105.5371900826444</v>
      </c>
      <c r="J1832" s="229"/>
      <c r="K1832" s="229"/>
      <c r="L1832" s="229">
        <v>6370</v>
      </c>
      <c r="M1832" s="55"/>
    </row>
    <row r="1833" spans="2:13" x14ac:dyDescent="0.3">
      <c r="B1833" s="223" t="s">
        <v>2481</v>
      </c>
      <c r="C1833" s="37">
        <v>6</v>
      </c>
      <c r="D1833" s="225">
        <v>12</v>
      </c>
      <c r="E1833" s="226">
        <v>22684</v>
      </c>
      <c r="F1833" s="227"/>
      <c r="G1833" s="1" t="str">
        <f>IFERROR(IF(ventas_b_mes12[[#This Row],[CUIT]]="","-",VLOOKUP(ventas_b_mes12[[#This Row],[CUIT]],Lista_CUIT[#All],2,0)),"CUIT NO CARGADO")</f>
        <v>-</v>
      </c>
      <c r="H1833" s="96">
        <f>ventas_b_mes12[[#This Row],[TOTAL]]/1.21</f>
        <v>12685.950413223141</v>
      </c>
      <c r="I1833" s="60">
        <f>ventas_b_mes12[[#This Row],[IMPORTE NETO]]*0.21</f>
        <v>2664.0495867768595</v>
      </c>
      <c r="J1833" s="229"/>
      <c r="K1833" s="229"/>
      <c r="L1833" s="229">
        <v>15350</v>
      </c>
      <c r="M1833" s="55"/>
    </row>
    <row r="1834" spans="2:13" x14ac:dyDescent="0.3">
      <c r="B1834" s="223" t="s">
        <v>2481</v>
      </c>
      <c r="C1834" s="37">
        <v>6</v>
      </c>
      <c r="D1834" s="225">
        <v>12</v>
      </c>
      <c r="E1834" s="226">
        <v>22688</v>
      </c>
      <c r="F1834" s="227"/>
      <c r="G1834" s="1" t="str">
        <f>IFERROR(IF(ventas_b_mes12[[#This Row],[CUIT]]="","-",VLOOKUP(ventas_b_mes12[[#This Row],[CUIT]],Lista_CUIT[#All],2,0)),"CUIT NO CARGADO")</f>
        <v>-</v>
      </c>
      <c r="H1834" s="96">
        <f>ventas_b_mes12[[#This Row],[TOTAL]]/1.21</f>
        <v>5801.6528925619832</v>
      </c>
      <c r="I1834" s="60">
        <f>ventas_b_mes12[[#This Row],[IMPORTE NETO]]*0.21</f>
        <v>1218.3471074380163</v>
      </c>
      <c r="J1834" s="229"/>
      <c r="K1834" s="229"/>
      <c r="L1834" s="229">
        <v>7020</v>
      </c>
      <c r="M1834" s="55"/>
    </row>
    <row r="1835" spans="2:13" x14ac:dyDescent="0.3">
      <c r="B1835" s="223" t="s">
        <v>2481</v>
      </c>
      <c r="C1835" s="37">
        <v>6</v>
      </c>
      <c r="D1835" s="225">
        <v>11</v>
      </c>
      <c r="E1835" s="226">
        <v>30244</v>
      </c>
      <c r="F1835" s="227"/>
      <c r="G1835" s="1" t="str">
        <f>IFERROR(IF(ventas_b_mes12[[#This Row],[CUIT]]="","-",VLOOKUP(ventas_b_mes12[[#This Row],[CUIT]],Lista_CUIT[#All],2,0)),"CUIT NO CARGADO")</f>
        <v>-</v>
      </c>
      <c r="H1835" s="96">
        <f>ventas_b_mes12[[#This Row],[TOTAL]]/1.21</f>
        <v>10653.719008264463</v>
      </c>
      <c r="I1835" s="60">
        <f>ventas_b_mes12[[#This Row],[IMPORTE NETO]]*0.21</f>
        <v>2237.2809917355371</v>
      </c>
      <c r="J1835" s="229"/>
      <c r="K1835" s="229"/>
      <c r="L1835" s="229">
        <v>12891</v>
      </c>
      <c r="M1835" s="55"/>
    </row>
    <row r="1836" spans="2:13" x14ac:dyDescent="0.3">
      <c r="B1836" s="223" t="s">
        <v>2481</v>
      </c>
      <c r="C1836" s="37">
        <v>6</v>
      </c>
      <c r="D1836" s="225">
        <v>15</v>
      </c>
      <c r="E1836" s="226">
        <v>7321</v>
      </c>
      <c r="F1836" s="227"/>
      <c r="G1836" s="1" t="str">
        <f>IFERROR(IF(ventas_b_mes12[[#This Row],[CUIT]]="","-",VLOOKUP(ventas_b_mes12[[#This Row],[CUIT]],Lista_CUIT[#All],2,0)),"CUIT NO CARGADO")</f>
        <v>-</v>
      </c>
      <c r="H1836" s="96">
        <f>ventas_b_mes12[[#This Row],[TOTAL]]/1.21</f>
        <v>1280.9917355371902</v>
      </c>
      <c r="I1836" s="60">
        <f>ventas_b_mes12[[#This Row],[IMPORTE NETO]]*0.21</f>
        <v>269.0082644628099</v>
      </c>
      <c r="J1836" s="229"/>
      <c r="K1836" s="229"/>
      <c r="L1836" s="229">
        <v>1550</v>
      </c>
      <c r="M1836" s="55"/>
    </row>
    <row r="1837" spans="2:13" x14ac:dyDescent="0.3">
      <c r="B1837" s="223" t="s">
        <v>2481</v>
      </c>
      <c r="C1837" s="37">
        <v>6</v>
      </c>
      <c r="D1837" s="225">
        <v>10</v>
      </c>
      <c r="E1837" s="226">
        <v>44065</v>
      </c>
      <c r="F1837" s="227"/>
      <c r="G1837" s="1" t="str">
        <f>IFERROR(IF(ventas_b_mes12[[#This Row],[CUIT]]="","-",VLOOKUP(ventas_b_mes12[[#This Row],[CUIT]],Lista_CUIT[#All],2,0)),"CUIT NO CARGADO")</f>
        <v>-</v>
      </c>
      <c r="H1837" s="96">
        <f>ventas_b_mes12[[#This Row],[TOTAL]]/1.21</f>
        <v>4090.909090909091</v>
      </c>
      <c r="I1837" s="60">
        <f>ventas_b_mes12[[#This Row],[IMPORTE NETO]]*0.21</f>
        <v>859.09090909090912</v>
      </c>
      <c r="J1837" s="229"/>
      <c r="K1837" s="229"/>
      <c r="L1837" s="229">
        <v>4950</v>
      </c>
      <c r="M1837" s="55"/>
    </row>
    <row r="1838" spans="2:13" x14ac:dyDescent="0.3">
      <c r="B1838" s="223" t="s">
        <v>2481</v>
      </c>
      <c r="C1838" s="37">
        <v>6</v>
      </c>
      <c r="D1838" s="225">
        <v>13</v>
      </c>
      <c r="E1838" s="226">
        <v>26912</v>
      </c>
      <c r="F1838" s="227"/>
      <c r="G1838" s="1" t="str">
        <f>IFERROR(IF(ventas_b_mes12[[#This Row],[CUIT]]="","-",VLOOKUP(ventas_b_mes12[[#This Row],[CUIT]],Lista_CUIT[#All],2,0)),"CUIT NO CARGADO")</f>
        <v>-</v>
      </c>
      <c r="H1838" s="96">
        <f>ventas_b_mes12[[#This Row],[TOTAL]]/1.21</f>
        <v>5078.5123966942147</v>
      </c>
      <c r="I1838" s="60">
        <f>ventas_b_mes12[[#This Row],[IMPORTE NETO]]*0.21</f>
        <v>1066.4876033057851</v>
      </c>
      <c r="J1838" s="229"/>
      <c r="K1838" s="229"/>
      <c r="L1838" s="229">
        <v>6145</v>
      </c>
      <c r="M1838" s="55"/>
    </row>
    <row r="1839" spans="2:13" x14ac:dyDescent="0.3">
      <c r="B1839" s="223" t="s">
        <v>2481</v>
      </c>
      <c r="C1839" s="37">
        <v>6</v>
      </c>
      <c r="D1839" s="225">
        <v>12</v>
      </c>
      <c r="E1839" s="226">
        <v>22690</v>
      </c>
      <c r="F1839" s="227"/>
      <c r="G1839" s="1" t="str">
        <f>IFERROR(IF(ventas_b_mes12[[#This Row],[CUIT]]="","-",VLOOKUP(ventas_b_mes12[[#This Row],[CUIT]],Lista_CUIT[#All],2,0)),"CUIT NO CARGADO")</f>
        <v>-</v>
      </c>
      <c r="H1839" s="96">
        <f>ventas_b_mes12[[#This Row],[TOTAL]]/1.21</f>
        <v>11322.305785123966</v>
      </c>
      <c r="I1839" s="60">
        <f>ventas_b_mes12[[#This Row],[IMPORTE NETO]]*0.21</f>
        <v>2377.6842148760329</v>
      </c>
      <c r="J1839" s="229"/>
      <c r="K1839" s="229"/>
      <c r="L1839" s="229">
        <v>13699.99</v>
      </c>
      <c r="M1839" s="55"/>
    </row>
    <row r="1840" spans="2:13" x14ac:dyDescent="0.3">
      <c r="B1840" s="223" t="s">
        <v>2481</v>
      </c>
      <c r="C1840" s="37">
        <v>6</v>
      </c>
      <c r="D1840" s="225">
        <v>15</v>
      </c>
      <c r="E1840" s="226">
        <v>7318</v>
      </c>
      <c r="F1840" s="227"/>
      <c r="G1840" s="1" t="str">
        <f>IFERROR(IF(ventas_b_mes12[[#This Row],[CUIT]]="","-",VLOOKUP(ventas_b_mes12[[#This Row],[CUIT]],Lista_CUIT[#All],2,0)),"CUIT NO CARGADO")</f>
        <v>-</v>
      </c>
      <c r="H1840" s="96">
        <f>ventas_b_mes12[[#This Row],[TOTAL]]/1.21</f>
        <v>3198.3471074380168</v>
      </c>
      <c r="I1840" s="60">
        <f>ventas_b_mes12[[#This Row],[IMPORTE NETO]]*0.21</f>
        <v>671.65289256198355</v>
      </c>
      <c r="J1840" s="229"/>
      <c r="K1840" s="229"/>
      <c r="L1840" s="229">
        <v>3870</v>
      </c>
      <c r="M1840" s="55"/>
    </row>
    <row r="1841" spans="2:13" x14ac:dyDescent="0.3">
      <c r="B1841" s="223" t="s">
        <v>2481</v>
      </c>
      <c r="C1841" s="37">
        <v>6</v>
      </c>
      <c r="D1841" s="225">
        <v>10</v>
      </c>
      <c r="E1841" s="226">
        <v>44063</v>
      </c>
      <c r="F1841" s="227"/>
      <c r="G1841" s="1" t="str">
        <f>IFERROR(IF(ventas_b_mes12[[#This Row],[CUIT]]="","-",VLOOKUP(ventas_b_mes12[[#This Row],[CUIT]],Lista_CUIT[#All],2,0)),"CUIT NO CARGADO")</f>
        <v>-</v>
      </c>
      <c r="H1841" s="96">
        <f>ventas_b_mes12[[#This Row],[TOTAL]]/1.21</f>
        <v>3057.8512396694214</v>
      </c>
      <c r="I1841" s="60">
        <f>ventas_b_mes12[[#This Row],[IMPORTE NETO]]*0.21</f>
        <v>642.14876033057851</v>
      </c>
      <c r="J1841" s="229"/>
      <c r="K1841" s="229"/>
      <c r="L1841" s="229">
        <v>3700</v>
      </c>
      <c r="M1841" s="55"/>
    </row>
    <row r="1842" spans="2:13" x14ac:dyDescent="0.3">
      <c r="B1842" s="223" t="s">
        <v>2481</v>
      </c>
      <c r="C1842" s="37">
        <v>6</v>
      </c>
      <c r="D1842" s="225">
        <v>10</v>
      </c>
      <c r="E1842" s="226">
        <v>44061</v>
      </c>
      <c r="F1842" s="227"/>
      <c r="G1842" s="1" t="str">
        <f>IFERROR(IF(ventas_b_mes12[[#This Row],[CUIT]]="","-",VLOOKUP(ventas_b_mes12[[#This Row],[CUIT]],Lista_CUIT[#All],2,0)),"CUIT NO CARGADO")</f>
        <v>-</v>
      </c>
      <c r="H1842" s="96">
        <f>ventas_b_mes12[[#This Row],[TOTAL]]/1.21</f>
        <v>272.72727272727275</v>
      </c>
      <c r="I1842" s="60">
        <f>ventas_b_mes12[[#This Row],[IMPORTE NETO]]*0.21</f>
        <v>57.272727272727273</v>
      </c>
      <c r="J1842" s="229"/>
      <c r="K1842" s="229"/>
      <c r="L1842" s="229">
        <v>330</v>
      </c>
      <c r="M1842" s="55"/>
    </row>
    <row r="1843" spans="2:13" x14ac:dyDescent="0.3">
      <c r="B1843" s="223" t="s">
        <v>2481</v>
      </c>
      <c r="C1843" s="37">
        <v>6</v>
      </c>
      <c r="D1843" s="225">
        <v>11</v>
      </c>
      <c r="E1843" s="226">
        <v>30241</v>
      </c>
      <c r="F1843" s="227"/>
      <c r="G1843" s="1" t="str">
        <f>IFERROR(IF(ventas_b_mes12[[#This Row],[CUIT]]="","-",VLOOKUP(ventas_b_mes12[[#This Row],[CUIT]],Lista_CUIT[#All],2,0)),"CUIT NO CARGADO")</f>
        <v>-</v>
      </c>
      <c r="H1843" s="96">
        <f>ventas_b_mes12[[#This Row],[TOTAL]]/1.21</f>
        <v>4545.454545454546</v>
      </c>
      <c r="I1843" s="60">
        <f>ventas_b_mes12[[#This Row],[IMPORTE NETO]]*0.21</f>
        <v>954.54545454545462</v>
      </c>
      <c r="J1843" s="229"/>
      <c r="K1843" s="229"/>
      <c r="L1843" s="229">
        <v>5500</v>
      </c>
      <c r="M1843" s="55"/>
    </row>
    <row r="1844" spans="2:13" x14ac:dyDescent="0.3">
      <c r="B1844" s="223" t="s">
        <v>2481</v>
      </c>
      <c r="C1844" s="37">
        <v>6</v>
      </c>
      <c r="D1844" s="225">
        <v>11</v>
      </c>
      <c r="E1844" s="226">
        <v>30248</v>
      </c>
      <c r="F1844" s="227"/>
      <c r="G1844" s="1" t="str">
        <f>IFERROR(IF(ventas_b_mes12[[#This Row],[CUIT]]="","-",VLOOKUP(ventas_b_mes12[[#This Row],[CUIT]],Lista_CUIT[#All],2,0)),"CUIT NO CARGADO")</f>
        <v>-</v>
      </c>
      <c r="H1844" s="96">
        <f>ventas_b_mes12[[#This Row],[TOTAL]]/1.21</f>
        <v>3289.5867768595044</v>
      </c>
      <c r="I1844" s="60">
        <f>ventas_b_mes12[[#This Row],[IMPORTE NETO]]*0.21</f>
        <v>690.81322314049589</v>
      </c>
      <c r="J1844" s="229"/>
      <c r="K1844" s="229"/>
      <c r="L1844" s="229">
        <v>3980.4</v>
      </c>
      <c r="M1844" s="55"/>
    </row>
    <row r="1845" spans="2:13" x14ac:dyDescent="0.3">
      <c r="B1845" s="223" t="s">
        <v>2481</v>
      </c>
      <c r="C1845" s="37">
        <v>6</v>
      </c>
      <c r="D1845" s="225">
        <v>13</v>
      </c>
      <c r="E1845" s="226">
        <v>26911</v>
      </c>
      <c r="F1845" s="227"/>
      <c r="G1845" s="1" t="str">
        <f>IFERROR(IF(ventas_b_mes12[[#This Row],[CUIT]]="","-",VLOOKUP(ventas_b_mes12[[#This Row],[CUIT]],Lista_CUIT[#All],2,0)),"CUIT NO CARGADO")</f>
        <v>-</v>
      </c>
      <c r="H1845" s="96">
        <f>ventas_b_mes12[[#This Row],[TOTAL]]/1.21</f>
        <v>1355.3636363636365</v>
      </c>
      <c r="I1845" s="60">
        <f>ventas_b_mes12[[#This Row],[IMPORTE NETO]]*0.21</f>
        <v>284.62636363636364</v>
      </c>
      <c r="J1845" s="229"/>
      <c r="K1845" s="229"/>
      <c r="L1845" s="229">
        <v>1639.99</v>
      </c>
      <c r="M1845" s="55"/>
    </row>
    <row r="1846" spans="2:13" x14ac:dyDescent="0.3">
      <c r="B1846" s="223" t="s">
        <v>2481</v>
      </c>
      <c r="C1846" s="37">
        <v>6</v>
      </c>
      <c r="D1846" s="225">
        <v>10</v>
      </c>
      <c r="E1846" s="226">
        <v>44062</v>
      </c>
      <c r="F1846" s="227"/>
      <c r="G1846" s="1" t="str">
        <f>IFERROR(IF(ventas_b_mes12[[#This Row],[CUIT]]="","-",VLOOKUP(ventas_b_mes12[[#This Row],[CUIT]],Lista_CUIT[#All],2,0)),"CUIT NO CARGADO")</f>
        <v>-</v>
      </c>
      <c r="H1846" s="96">
        <f>ventas_b_mes12[[#This Row],[TOTAL]]/1.21</f>
        <v>2417.3553719008264</v>
      </c>
      <c r="I1846" s="60">
        <f>ventas_b_mes12[[#This Row],[IMPORTE NETO]]*0.21</f>
        <v>507.64462809917353</v>
      </c>
      <c r="J1846" s="229"/>
      <c r="K1846" s="229"/>
      <c r="L1846" s="229">
        <v>2925</v>
      </c>
      <c r="M1846" s="55"/>
    </row>
    <row r="1847" spans="2:13" x14ac:dyDescent="0.3">
      <c r="B1847" s="223" t="s">
        <v>2481</v>
      </c>
      <c r="C1847" s="37">
        <v>6</v>
      </c>
      <c r="D1847" s="225">
        <v>10</v>
      </c>
      <c r="E1847" s="226">
        <v>44070</v>
      </c>
      <c r="F1847" s="227"/>
      <c r="G1847" s="1" t="str">
        <f>IFERROR(IF(ventas_b_mes12[[#This Row],[CUIT]]="","-",VLOOKUP(ventas_b_mes12[[#This Row],[CUIT]],Lista_CUIT[#All],2,0)),"CUIT NO CARGADO")</f>
        <v>-</v>
      </c>
      <c r="H1847" s="96">
        <f>ventas_b_mes12[[#This Row],[TOTAL]]/1.21</f>
        <v>462.80991735537191</v>
      </c>
      <c r="I1847" s="60">
        <f>ventas_b_mes12[[#This Row],[IMPORTE NETO]]*0.21</f>
        <v>97.190082644628092</v>
      </c>
      <c r="J1847" s="229"/>
      <c r="K1847" s="229"/>
      <c r="L1847" s="229">
        <v>560</v>
      </c>
      <c r="M1847" s="55"/>
    </row>
    <row r="1848" spans="2:13" x14ac:dyDescent="0.3">
      <c r="B1848" s="223" t="s">
        <v>2481</v>
      </c>
      <c r="C1848" s="37">
        <v>6</v>
      </c>
      <c r="D1848" s="225">
        <v>11</v>
      </c>
      <c r="E1848" s="226">
        <v>30240</v>
      </c>
      <c r="F1848" s="227"/>
      <c r="G1848" s="1" t="str">
        <f>IFERROR(IF(ventas_b_mes12[[#This Row],[CUIT]]="","-",VLOOKUP(ventas_b_mes12[[#This Row],[CUIT]],Lista_CUIT[#All],2,0)),"CUIT NO CARGADO")</f>
        <v>-</v>
      </c>
      <c r="H1848" s="96">
        <f>ventas_b_mes12[[#This Row],[TOTAL]]/1.21</f>
        <v>991.73553719008271</v>
      </c>
      <c r="I1848" s="60">
        <f>ventas_b_mes12[[#This Row],[IMPORTE NETO]]*0.21</f>
        <v>208.26446280991735</v>
      </c>
      <c r="J1848" s="229"/>
      <c r="K1848" s="229"/>
      <c r="L1848" s="229">
        <v>1200</v>
      </c>
      <c r="M1848" s="55"/>
    </row>
    <row r="1849" spans="2:13" x14ac:dyDescent="0.3">
      <c r="B1849" s="223" t="s">
        <v>2481</v>
      </c>
      <c r="C1849" s="37">
        <v>6</v>
      </c>
      <c r="D1849" s="225">
        <v>13</v>
      </c>
      <c r="E1849" s="226">
        <v>26917</v>
      </c>
      <c r="F1849" s="227"/>
      <c r="G1849" s="1" t="str">
        <f>IFERROR(IF(ventas_b_mes12[[#This Row],[CUIT]]="","-",VLOOKUP(ventas_b_mes12[[#This Row],[CUIT]],Lista_CUIT[#All],2,0)),"CUIT NO CARGADO")</f>
        <v>-</v>
      </c>
      <c r="H1849" s="96">
        <f>ventas_b_mes12[[#This Row],[TOTAL]]/1.21</f>
        <v>10190.09090909091</v>
      </c>
      <c r="I1849" s="60">
        <f>ventas_b_mes12[[#This Row],[IMPORTE NETO]]*0.21</f>
        <v>2139.9190909090912</v>
      </c>
      <c r="J1849" s="229"/>
      <c r="K1849" s="229"/>
      <c r="L1849" s="229">
        <v>12330.01</v>
      </c>
      <c r="M1849" s="55"/>
    </row>
    <row r="1850" spans="2:13" x14ac:dyDescent="0.3">
      <c r="B1850" s="223" t="s">
        <v>2481</v>
      </c>
      <c r="C1850" s="37">
        <v>6</v>
      </c>
      <c r="D1850" s="225">
        <v>15</v>
      </c>
      <c r="E1850" s="226">
        <v>7319</v>
      </c>
      <c r="F1850" s="227"/>
      <c r="G1850" s="1" t="str">
        <f>IFERROR(IF(ventas_b_mes12[[#This Row],[CUIT]]="","-",VLOOKUP(ventas_b_mes12[[#This Row],[CUIT]],Lista_CUIT[#All],2,0)),"CUIT NO CARGADO")</f>
        <v>-</v>
      </c>
      <c r="H1850" s="96">
        <f>ventas_b_mes12[[#This Row],[TOTAL]]/1.21</f>
        <v>2272.7355371900831</v>
      </c>
      <c r="I1850" s="60">
        <f>ventas_b_mes12[[#This Row],[IMPORTE NETO]]*0.21</f>
        <v>477.2744628099174</v>
      </c>
      <c r="J1850" s="229"/>
      <c r="K1850" s="229"/>
      <c r="L1850" s="229">
        <v>2750.01</v>
      </c>
      <c r="M1850" s="55"/>
    </row>
    <row r="1851" spans="2:13" x14ac:dyDescent="0.3">
      <c r="B1851" s="223" t="s">
        <v>2481</v>
      </c>
      <c r="C1851" s="37">
        <v>6</v>
      </c>
      <c r="D1851" s="225">
        <v>11</v>
      </c>
      <c r="E1851" s="226">
        <v>30238</v>
      </c>
      <c r="F1851" s="227"/>
      <c r="G1851" s="1" t="str">
        <f>IFERROR(IF(ventas_b_mes12[[#This Row],[CUIT]]="","-",VLOOKUP(ventas_b_mes12[[#This Row],[CUIT]],Lista_CUIT[#All],2,0)),"CUIT NO CARGADO")</f>
        <v>-</v>
      </c>
      <c r="H1851" s="96">
        <f>ventas_b_mes12[[#This Row],[TOTAL]]/1.21</f>
        <v>2921.4876033057853</v>
      </c>
      <c r="I1851" s="60">
        <f>ventas_b_mes12[[#This Row],[IMPORTE NETO]]*0.21</f>
        <v>613.51239669421489</v>
      </c>
      <c r="J1851" s="229"/>
      <c r="K1851" s="229"/>
      <c r="L1851" s="229">
        <v>3535</v>
      </c>
      <c r="M1851" s="55"/>
    </row>
    <row r="1852" spans="2:13" x14ac:dyDescent="0.3">
      <c r="B1852" s="223" t="s">
        <v>2481</v>
      </c>
      <c r="C1852" s="37">
        <v>6</v>
      </c>
      <c r="D1852" s="225">
        <v>12</v>
      </c>
      <c r="E1852" s="226">
        <v>22687</v>
      </c>
      <c r="F1852" s="227"/>
      <c r="G1852" s="1" t="str">
        <f>IFERROR(IF(ventas_b_mes12[[#This Row],[CUIT]]="","-",VLOOKUP(ventas_b_mes12[[#This Row],[CUIT]],Lista_CUIT[#All],2,0)),"CUIT NO CARGADO")</f>
        <v>-</v>
      </c>
      <c r="H1852" s="96">
        <f>ventas_b_mes12[[#This Row],[TOTAL]]/1.21</f>
        <v>10785.123966942148</v>
      </c>
      <c r="I1852" s="60">
        <f>ventas_b_mes12[[#This Row],[IMPORTE NETO]]*0.21</f>
        <v>2264.8760330578511</v>
      </c>
      <c r="J1852" s="229"/>
      <c r="K1852" s="229"/>
      <c r="L1852" s="229">
        <v>13050</v>
      </c>
      <c r="M1852" s="55"/>
    </row>
    <row r="1853" spans="2:13" x14ac:dyDescent="0.3">
      <c r="B1853" s="223" t="s">
        <v>2481</v>
      </c>
      <c r="C1853" s="37">
        <v>6</v>
      </c>
      <c r="D1853" s="225">
        <v>10</v>
      </c>
      <c r="E1853" s="226">
        <v>44069</v>
      </c>
      <c r="F1853" s="227"/>
      <c r="G1853" s="1" t="str">
        <f>IFERROR(IF(ventas_b_mes12[[#This Row],[CUIT]]="","-",VLOOKUP(ventas_b_mes12[[#This Row],[CUIT]],Lista_CUIT[#All],2,0)),"CUIT NO CARGADO")</f>
        <v>-</v>
      </c>
      <c r="H1853" s="96">
        <f>ventas_b_mes12[[#This Row],[TOTAL]]/1.21</f>
        <v>17785.909090909092</v>
      </c>
      <c r="I1853" s="60">
        <f>ventas_b_mes12[[#This Row],[IMPORTE NETO]]*0.21</f>
        <v>3735.0409090909093</v>
      </c>
      <c r="J1853" s="229"/>
      <c r="K1853" s="229"/>
      <c r="L1853" s="229">
        <v>21520.95</v>
      </c>
      <c r="M1853" s="55"/>
    </row>
    <row r="1854" spans="2:13" x14ac:dyDescent="0.3">
      <c r="B1854" s="223" t="s">
        <v>2481</v>
      </c>
      <c r="C1854" s="37">
        <v>6</v>
      </c>
      <c r="D1854" s="225">
        <v>12</v>
      </c>
      <c r="E1854" s="226">
        <v>22685</v>
      </c>
      <c r="F1854" s="227"/>
      <c r="G1854" s="1" t="str">
        <f>IFERROR(IF(ventas_b_mes12[[#This Row],[CUIT]]="","-",VLOOKUP(ventas_b_mes12[[#This Row],[CUIT]],Lista_CUIT[#All],2,0)),"CUIT NO CARGADO")</f>
        <v>-</v>
      </c>
      <c r="H1854" s="96">
        <f>ventas_b_mes12[[#This Row],[TOTAL]]/1.21</f>
        <v>5057.8512396694214</v>
      </c>
      <c r="I1854" s="60">
        <f>ventas_b_mes12[[#This Row],[IMPORTE NETO]]*0.21</f>
        <v>1062.1487603305784</v>
      </c>
      <c r="J1854" s="229"/>
      <c r="K1854" s="229"/>
      <c r="L1854" s="229">
        <v>6120</v>
      </c>
      <c r="M1854" s="55"/>
    </row>
    <row r="1855" spans="2:13" x14ac:dyDescent="0.3">
      <c r="B1855" s="223" t="s">
        <v>2481</v>
      </c>
      <c r="C1855" s="37">
        <v>6</v>
      </c>
      <c r="D1855" s="225">
        <v>12</v>
      </c>
      <c r="E1855" s="226">
        <v>22689</v>
      </c>
      <c r="F1855" s="227"/>
      <c r="G1855" s="1" t="str">
        <f>IFERROR(IF(ventas_b_mes12[[#This Row],[CUIT]]="","-",VLOOKUP(ventas_b_mes12[[#This Row],[CUIT]],Lista_CUIT[#All],2,0)),"CUIT NO CARGADO")</f>
        <v>-</v>
      </c>
      <c r="H1855" s="96">
        <f>ventas_b_mes12[[#This Row],[TOTAL]]/1.21</f>
        <v>5785.1322314049594</v>
      </c>
      <c r="I1855" s="60">
        <f>ventas_b_mes12[[#This Row],[IMPORTE NETO]]*0.21</f>
        <v>1214.8777685950415</v>
      </c>
      <c r="J1855" s="229"/>
      <c r="K1855" s="229"/>
      <c r="L1855" s="229">
        <v>7000.01</v>
      </c>
      <c r="M1855" s="55"/>
    </row>
    <row r="1856" spans="2:13" x14ac:dyDescent="0.3">
      <c r="B1856" s="223" t="s">
        <v>2481</v>
      </c>
      <c r="C1856" s="37">
        <v>6</v>
      </c>
      <c r="D1856" s="225">
        <v>11</v>
      </c>
      <c r="E1856" s="226">
        <v>30242</v>
      </c>
      <c r="F1856" s="227"/>
      <c r="G1856" s="1" t="str">
        <f>IFERROR(IF(ventas_b_mes12[[#This Row],[CUIT]]="","-",VLOOKUP(ventas_b_mes12[[#This Row],[CUIT]],Lista_CUIT[#All],2,0)),"CUIT NO CARGADO")</f>
        <v>-</v>
      </c>
      <c r="H1856" s="96">
        <f>ventas_b_mes12[[#This Row],[TOTAL]]/1.21</f>
        <v>3884.2975206611573</v>
      </c>
      <c r="I1856" s="60">
        <f>ventas_b_mes12[[#This Row],[IMPORTE NETO]]*0.21</f>
        <v>815.70247933884298</v>
      </c>
      <c r="J1856" s="229"/>
      <c r="K1856" s="229"/>
      <c r="L1856" s="229">
        <v>4700</v>
      </c>
      <c r="M1856" s="55"/>
    </row>
    <row r="1857" spans="2:13" x14ac:dyDescent="0.3">
      <c r="B1857" s="223" t="s">
        <v>2481</v>
      </c>
      <c r="C1857" s="37">
        <v>6</v>
      </c>
      <c r="D1857" s="225">
        <v>10</v>
      </c>
      <c r="E1857" s="226">
        <v>44064</v>
      </c>
      <c r="F1857" s="227"/>
      <c r="G1857" s="1" t="str">
        <f>IFERROR(IF(ventas_b_mes12[[#This Row],[CUIT]]="","-",VLOOKUP(ventas_b_mes12[[#This Row],[CUIT]],Lista_CUIT[#All],2,0)),"CUIT NO CARGADO")</f>
        <v>-</v>
      </c>
      <c r="H1857" s="96">
        <f>ventas_b_mes12[[#This Row],[TOTAL]]/1.21</f>
        <v>681.81818181818187</v>
      </c>
      <c r="I1857" s="60">
        <f>ventas_b_mes12[[#This Row],[IMPORTE NETO]]*0.21</f>
        <v>143.18181818181819</v>
      </c>
      <c r="J1857" s="229"/>
      <c r="K1857" s="229"/>
      <c r="L1857" s="229">
        <v>825</v>
      </c>
      <c r="M1857" s="55"/>
    </row>
    <row r="1858" spans="2:13" x14ac:dyDescent="0.3">
      <c r="B1858" s="223" t="s">
        <v>2481</v>
      </c>
      <c r="C1858" s="37">
        <v>6</v>
      </c>
      <c r="D1858" s="225">
        <v>13</v>
      </c>
      <c r="E1858" s="226">
        <v>26914</v>
      </c>
      <c r="F1858" s="227"/>
      <c r="G1858" s="1" t="str">
        <f>IFERROR(IF(ventas_b_mes12[[#This Row],[CUIT]]="","-",VLOOKUP(ventas_b_mes12[[#This Row],[CUIT]],Lista_CUIT[#All],2,0)),"CUIT NO CARGADO")</f>
        <v>-</v>
      </c>
      <c r="H1858" s="96">
        <f>ventas_b_mes12[[#This Row],[TOTAL]]/1.21</f>
        <v>4595.0413223140495</v>
      </c>
      <c r="I1858" s="60">
        <f>ventas_b_mes12[[#This Row],[IMPORTE NETO]]*0.21</f>
        <v>964.95867768595031</v>
      </c>
      <c r="J1858" s="229"/>
      <c r="K1858" s="229"/>
      <c r="L1858" s="229">
        <v>5560</v>
      </c>
      <c r="M1858" s="55"/>
    </row>
    <row r="1859" spans="2:13" x14ac:dyDescent="0.3">
      <c r="B1859" s="223" t="s">
        <v>2481</v>
      </c>
      <c r="C1859" s="37">
        <v>6</v>
      </c>
      <c r="D1859" s="225">
        <v>13</v>
      </c>
      <c r="E1859" s="226">
        <v>26910</v>
      </c>
      <c r="F1859" s="227"/>
      <c r="G1859" s="1" t="str">
        <f>IFERROR(IF(ventas_b_mes12[[#This Row],[CUIT]]="","-",VLOOKUP(ventas_b_mes12[[#This Row],[CUIT]],Lista_CUIT[#All],2,0)),"CUIT NO CARGADO")</f>
        <v>-</v>
      </c>
      <c r="H1859" s="96">
        <f>ventas_b_mes12[[#This Row],[TOTAL]]/1.21</f>
        <v>683.17355371900828</v>
      </c>
      <c r="I1859" s="60">
        <f>ventas_b_mes12[[#This Row],[IMPORTE NETO]]*0.21</f>
        <v>143.46644628099173</v>
      </c>
      <c r="J1859" s="229"/>
      <c r="K1859" s="229"/>
      <c r="L1859" s="229">
        <v>826.64</v>
      </c>
      <c r="M1859" s="55"/>
    </row>
    <row r="1860" spans="2:13" x14ac:dyDescent="0.3">
      <c r="B1860" s="223" t="s">
        <v>2481</v>
      </c>
      <c r="C1860" s="37">
        <v>6</v>
      </c>
      <c r="D1860" s="225">
        <v>10</v>
      </c>
      <c r="E1860" s="226">
        <v>44068</v>
      </c>
      <c r="F1860" s="227"/>
      <c r="G1860" s="1" t="str">
        <f>IFERROR(IF(ventas_b_mes12[[#This Row],[CUIT]]="","-",VLOOKUP(ventas_b_mes12[[#This Row],[CUIT]],Lista_CUIT[#All],2,0)),"CUIT NO CARGADO")</f>
        <v>-</v>
      </c>
      <c r="H1860" s="96">
        <f>ventas_b_mes12[[#This Row],[TOTAL]]/1.21</f>
        <v>19825.289256198346</v>
      </c>
      <c r="I1860" s="60">
        <f>ventas_b_mes12[[#This Row],[IMPORTE NETO]]*0.21</f>
        <v>4163.3107438016523</v>
      </c>
      <c r="J1860" s="229"/>
      <c r="K1860" s="229"/>
      <c r="L1860" s="229">
        <v>23988.6</v>
      </c>
      <c r="M1860" s="55"/>
    </row>
    <row r="1861" spans="2:13" x14ac:dyDescent="0.3">
      <c r="B1861" s="223" t="s">
        <v>2481</v>
      </c>
      <c r="C1861" s="37">
        <v>6</v>
      </c>
      <c r="D1861" s="225">
        <v>12</v>
      </c>
      <c r="E1861" s="226">
        <v>22691</v>
      </c>
      <c r="F1861" s="227"/>
      <c r="G1861" s="1" t="str">
        <f>IFERROR(IF(ventas_b_mes12[[#This Row],[CUIT]]="","-",VLOOKUP(ventas_b_mes12[[#This Row],[CUIT]],Lista_CUIT[#All],2,0)),"CUIT NO CARGADO")</f>
        <v>-</v>
      </c>
      <c r="H1861" s="96">
        <f>ventas_b_mes12[[#This Row],[TOTAL]]/1.21</f>
        <v>6074.3801652892562</v>
      </c>
      <c r="I1861" s="60">
        <f>ventas_b_mes12[[#This Row],[IMPORTE NETO]]*0.21</f>
        <v>1275.6198347107438</v>
      </c>
      <c r="J1861" s="229"/>
      <c r="K1861" s="229"/>
      <c r="L1861" s="229">
        <v>7350</v>
      </c>
      <c r="M1861" s="55"/>
    </row>
    <row r="1862" spans="2:13" x14ac:dyDescent="0.3">
      <c r="B1862" s="223" t="s">
        <v>2481</v>
      </c>
      <c r="C1862" s="37">
        <v>6</v>
      </c>
      <c r="D1862" s="225">
        <v>15</v>
      </c>
      <c r="E1862" s="226">
        <v>7323</v>
      </c>
      <c r="F1862" s="227"/>
      <c r="G1862" s="1" t="str">
        <f>IFERROR(IF(ventas_b_mes12[[#This Row],[CUIT]]="","-",VLOOKUP(ventas_b_mes12[[#This Row],[CUIT]],Lista_CUIT[#All],2,0)),"CUIT NO CARGADO")</f>
        <v>-</v>
      </c>
      <c r="H1862" s="96">
        <f>ventas_b_mes12[[#This Row],[TOTAL]]/1.21</f>
        <v>4702.4793388429753</v>
      </c>
      <c r="I1862" s="60">
        <f>ventas_b_mes12[[#This Row],[IMPORTE NETO]]*0.21</f>
        <v>987.52066115702473</v>
      </c>
      <c r="J1862" s="229"/>
      <c r="K1862" s="229"/>
      <c r="L1862" s="229">
        <v>5690</v>
      </c>
      <c r="M1862" s="55"/>
    </row>
    <row r="1863" spans="2:13" x14ac:dyDescent="0.3">
      <c r="B1863" s="223" t="s">
        <v>2481</v>
      </c>
      <c r="C1863" s="37">
        <v>6</v>
      </c>
      <c r="D1863" s="225">
        <v>10</v>
      </c>
      <c r="E1863" s="226">
        <v>44060</v>
      </c>
      <c r="F1863" s="227"/>
      <c r="G1863" s="1" t="str">
        <f>IFERROR(IF(ventas_b_mes12[[#This Row],[CUIT]]="","-",VLOOKUP(ventas_b_mes12[[#This Row],[CUIT]],Lista_CUIT[#All],2,0)),"CUIT NO CARGADO")</f>
        <v>-</v>
      </c>
      <c r="H1863" s="96">
        <f>ventas_b_mes12[[#This Row],[TOTAL]]/1.21</f>
        <v>4958.6776859504134</v>
      </c>
      <c r="I1863" s="60">
        <f>ventas_b_mes12[[#This Row],[IMPORTE NETO]]*0.21</f>
        <v>1041.3223140495868</v>
      </c>
      <c r="J1863" s="229"/>
      <c r="K1863" s="229"/>
      <c r="L1863" s="229">
        <v>6000</v>
      </c>
      <c r="M1863" s="55"/>
    </row>
    <row r="1864" spans="2:13" x14ac:dyDescent="0.3">
      <c r="B1864" s="223" t="s">
        <v>2481</v>
      </c>
      <c r="C1864" s="37">
        <v>6</v>
      </c>
      <c r="D1864" s="225">
        <v>13</v>
      </c>
      <c r="E1864" s="226">
        <v>26916</v>
      </c>
      <c r="F1864" s="227"/>
      <c r="G1864" s="1" t="str">
        <f>IFERROR(IF(ventas_b_mes12[[#This Row],[CUIT]]="","-",VLOOKUP(ventas_b_mes12[[#This Row],[CUIT]],Lista_CUIT[#All],2,0)),"CUIT NO CARGADO")</f>
        <v>-</v>
      </c>
      <c r="H1864" s="96">
        <f>ventas_b_mes12[[#This Row],[TOTAL]]/1.21</f>
        <v>6938.7933884297527</v>
      </c>
      <c r="I1864" s="60">
        <f>ventas_b_mes12[[#This Row],[IMPORTE NETO]]*0.21</f>
        <v>1457.1466115702481</v>
      </c>
      <c r="J1864" s="229"/>
      <c r="K1864" s="229"/>
      <c r="L1864" s="229">
        <v>8395.94</v>
      </c>
      <c r="M1864" s="55"/>
    </row>
    <row r="1865" spans="2:13" x14ac:dyDescent="0.3">
      <c r="B1865" s="223" t="s">
        <v>2481</v>
      </c>
      <c r="C1865" s="37">
        <v>6</v>
      </c>
      <c r="D1865" s="225">
        <v>11</v>
      </c>
      <c r="E1865" s="226">
        <v>30247</v>
      </c>
      <c r="F1865" s="227"/>
      <c r="G1865" s="1" t="str">
        <f>IFERROR(IF(ventas_b_mes12[[#This Row],[CUIT]]="","-",VLOOKUP(ventas_b_mes12[[#This Row],[CUIT]],Lista_CUIT[#All],2,0)),"CUIT NO CARGADO")</f>
        <v>-</v>
      </c>
      <c r="H1865" s="96">
        <f>ventas_b_mes12[[#This Row],[TOTAL]]/1.21</f>
        <v>6708.6776859504134</v>
      </c>
      <c r="I1865" s="60">
        <f>ventas_b_mes12[[#This Row],[IMPORTE NETO]]*0.21</f>
        <v>1408.8223140495868</v>
      </c>
      <c r="J1865" s="229"/>
      <c r="K1865" s="229"/>
      <c r="L1865" s="229">
        <v>8117.5</v>
      </c>
      <c r="M1865" s="55"/>
    </row>
    <row r="1866" spans="2:13" x14ac:dyDescent="0.3">
      <c r="B1866" s="223" t="s">
        <v>2481</v>
      </c>
      <c r="C1866" s="37">
        <v>6</v>
      </c>
      <c r="D1866" s="225">
        <v>11</v>
      </c>
      <c r="E1866" s="226">
        <v>30245</v>
      </c>
      <c r="F1866" s="227"/>
      <c r="G1866" s="1" t="str">
        <f>IFERROR(IF(ventas_b_mes12[[#This Row],[CUIT]]="","-",VLOOKUP(ventas_b_mes12[[#This Row],[CUIT]],Lista_CUIT[#All],2,0)),"CUIT NO CARGADO")</f>
        <v>-</v>
      </c>
      <c r="H1866" s="96">
        <f>ventas_b_mes12[[#This Row],[TOTAL]]/1.21</f>
        <v>8966.9421487603304</v>
      </c>
      <c r="I1866" s="60">
        <f>ventas_b_mes12[[#This Row],[IMPORTE NETO]]*0.21</f>
        <v>1883.0578512396694</v>
      </c>
      <c r="J1866" s="229"/>
      <c r="K1866" s="229"/>
      <c r="L1866" s="229">
        <v>10850</v>
      </c>
      <c r="M1866" s="55"/>
    </row>
    <row r="1867" spans="2:13" x14ac:dyDescent="0.3">
      <c r="B1867" s="223" t="s">
        <v>2481</v>
      </c>
      <c r="C1867" s="37">
        <v>6</v>
      </c>
      <c r="D1867" s="225">
        <v>15</v>
      </c>
      <c r="E1867" s="226">
        <v>7324</v>
      </c>
      <c r="F1867" s="227"/>
      <c r="G1867" s="1" t="str">
        <f>IFERROR(IF(ventas_b_mes12[[#This Row],[CUIT]]="","-",VLOOKUP(ventas_b_mes12[[#This Row],[CUIT]],Lista_CUIT[#All],2,0)),"CUIT NO CARGADO")</f>
        <v>-</v>
      </c>
      <c r="H1867" s="96">
        <f>ventas_b_mes12[[#This Row],[TOTAL]]/1.21</f>
        <v>4553.7190082644629</v>
      </c>
      <c r="I1867" s="60">
        <f>ventas_b_mes12[[#This Row],[IMPORTE NETO]]*0.21</f>
        <v>956.28099173553721</v>
      </c>
      <c r="J1867" s="229"/>
      <c r="K1867" s="229"/>
      <c r="L1867" s="229">
        <v>5510</v>
      </c>
      <c r="M1867" s="55"/>
    </row>
    <row r="1868" spans="2:13" x14ac:dyDescent="0.3">
      <c r="B1868" s="223" t="s">
        <v>2482</v>
      </c>
      <c r="C1868" s="37">
        <v>6</v>
      </c>
      <c r="D1868" s="225">
        <v>12</v>
      </c>
      <c r="E1868" s="226">
        <v>22697</v>
      </c>
      <c r="F1868" s="227"/>
      <c r="G1868" s="1" t="str">
        <f>IFERROR(IF(ventas_b_mes12[[#This Row],[CUIT]]="","-",VLOOKUP(ventas_b_mes12[[#This Row],[CUIT]],Lista_CUIT[#All],2,0)),"CUIT NO CARGADO")</f>
        <v>-</v>
      </c>
      <c r="H1868" s="96">
        <f>ventas_b_mes12[[#This Row],[TOTAL]]/1.21</f>
        <v>11768.595041322315</v>
      </c>
      <c r="I1868" s="60">
        <f>ventas_b_mes12[[#This Row],[IMPORTE NETO]]*0.21</f>
        <v>2471.404958677686</v>
      </c>
      <c r="J1868" s="229"/>
      <c r="K1868" s="229"/>
      <c r="L1868" s="229">
        <v>14240</v>
      </c>
      <c r="M1868" s="55"/>
    </row>
    <row r="1869" spans="2:13" x14ac:dyDescent="0.3">
      <c r="B1869" s="223" t="s">
        <v>2482</v>
      </c>
      <c r="C1869" s="37">
        <v>6</v>
      </c>
      <c r="D1869" s="225">
        <v>13</v>
      </c>
      <c r="E1869" s="226">
        <v>26920</v>
      </c>
      <c r="F1869" s="227"/>
      <c r="G1869" s="1" t="str">
        <f>IFERROR(IF(ventas_b_mes12[[#This Row],[CUIT]]="","-",VLOOKUP(ventas_b_mes12[[#This Row],[CUIT]],Lista_CUIT[#All],2,0)),"CUIT NO CARGADO")</f>
        <v>-</v>
      </c>
      <c r="H1869" s="96">
        <f>ventas_b_mes12[[#This Row],[TOTAL]]/1.21</f>
        <v>6681.818181818182</v>
      </c>
      <c r="I1869" s="60">
        <f>ventas_b_mes12[[#This Row],[IMPORTE NETO]]*0.21</f>
        <v>1403.1818181818182</v>
      </c>
      <c r="J1869" s="229"/>
      <c r="K1869" s="229"/>
      <c r="L1869" s="229">
        <v>8085</v>
      </c>
      <c r="M1869" s="55"/>
    </row>
    <row r="1870" spans="2:13" x14ac:dyDescent="0.3">
      <c r="B1870" s="223" t="s">
        <v>2482</v>
      </c>
      <c r="C1870" s="37">
        <v>6</v>
      </c>
      <c r="D1870" s="225">
        <v>12</v>
      </c>
      <c r="E1870" s="226">
        <v>22706</v>
      </c>
      <c r="F1870" s="227"/>
      <c r="G1870" s="1" t="str">
        <f>IFERROR(IF(ventas_b_mes12[[#This Row],[CUIT]]="","-",VLOOKUP(ventas_b_mes12[[#This Row],[CUIT]],Lista_CUIT[#All],2,0)),"CUIT NO CARGADO")</f>
        <v>-</v>
      </c>
      <c r="H1870" s="96">
        <f>ventas_b_mes12[[#This Row],[TOTAL]]/1.21</f>
        <v>2148.7603305785124</v>
      </c>
      <c r="I1870" s="60">
        <f>ventas_b_mes12[[#This Row],[IMPORTE NETO]]*0.21</f>
        <v>451.23966942148758</v>
      </c>
      <c r="J1870" s="229"/>
      <c r="K1870" s="229"/>
      <c r="L1870" s="229">
        <v>2600</v>
      </c>
      <c r="M1870" s="55"/>
    </row>
    <row r="1871" spans="2:13" x14ac:dyDescent="0.3">
      <c r="B1871" s="223" t="s">
        <v>2482</v>
      </c>
      <c r="C1871" s="37">
        <v>6</v>
      </c>
      <c r="D1871" s="225">
        <v>13</v>
      </c>
      <c r="E1871" s="226">
        <v>26923</v>
      </c>
      <c r="F1871" s="227"/>
      <c r="G1871" s="1" t="str">
        <f>IFERROR(IF(ventas_b_mes12[[#This Row],[CUIT]]="","-",VLOOKUP(ventas_b_mes12[[#This Row],[CUIT]],Lista_CUIT[#All],2,0)),"CUIT NO CARGADO")</f>
        <v>-</v>
      </c>
      <c r="H1871" s="96">
        <f>ventas_b_mes12[[#This Row],[TOTAL]]/1.21</f>
        <v>7024.7933884297527</v>
      </c>
      <c r="I1871" s="60">
        <f>ventas_b_mes12[[#This Row],[IMPORTE NETO]]*0.21</f>
        <v>1475.206611570248</v>
      </c>
      <c r="J1871" s="229"/>
      <c r="K1871" s="229"/>
      <c r="L1871" s="229">
        <v>8500</v>
      </c>
      <c r="M1871" s="55"/>
    </row>
    <row r="1872" spans="2:13" x14ac:dyDescent="0.3">
      <c r="B1872" s="223" t="s">
        <v>2482</v>
      </c>
      <c r="C1872" s="37">
        <v>6</v>
      </c>
      <c r="D1872" s="225">
        <v>12</v>
      </c>
      <c r="E1872" s="226">
        <v>22709</v>
      </c>
      <c r="F1872" s="227"/>
      <c r="G1872" s="1" t="str">
        <f>IFERROR(IF(ventas_b_mes12[[#This Row],[CUIT]]="","-",VLOOKUP(ventas_b_mes12[[#This Row],[CUIT]],Lista_CUIT[#All],2,0)),"CUIT NO CARGADO")</f>
        <v>-</v>
      </c>
      <c r="H1872" s="96">
        <f>ventas_b_mes12[[#This Row],[TOTAL]]/1.21</f>
        <v>21282.603305785124</v>
      </c>
      <c r="I1872" s="60">
        <f>ventas_b_mes12[[#This Row],[IMPORTE NETO]]*0.21</f>
        <v>4469.3466942148762</v>
      </c>
      <c r="J1872" s="229"/>
      <c r="K1872" s="229"/>
      <c r="L1872" s="229">
        <v>25751.95</v>
      </c>
      <c r="M1872" s="55"/>
    </row>
    <row r="1873" spans="2:13" x14ac:dyDescent="0.3">
      <c r="B1873" s="223" t="s">
        <v>2482</v>
      </c>
      <c r="C1873" s="37">
        <v>6</v>
      </c>
      <c r="D1873" s="225">
        <v>12</v>
      </c>
      <c r="E1873" s="226">
        <v>22708</v>
      </c>
      <c r="F1873" s="227"/>
      <c r="G1873" s="1" t="str">
        <f>IFERROR(IF(ventas_b_mes12[[#This Row],[CUIT]]="","-",VLOOKUP(ventas_b_mes12[[#This Row],[CUIT]],Lista_CUIT[#All],2,0)),"CUIT NO CARGADO")</f>
        <v>-</v>
      </c>
      <c r="H1873" s="96">
        <f>ventas_b_mes12[[#This Row],[TOTAL]]/1.21</f>
        <v>4958.6776859504134</v>
      </c>
      <c r="I1873" s="60">
        <f>ventas_b_mes12[[#This Row],[IMPORTE NETO]]*0.21</f>
        <v>1041.3223140495868</v>
      </c>
      <c r="J1873" s="229"/>
      <c r="K1873" s="229"/>
      <c r="L1873" s="229">
        <v>6000</v>
      </c>
      <c r="M1873" s="55"/>
    </row>
    <row r="1874" spans="2:13" x14ac:dyDescent="0.3">
      <c r="B1874" s="223" t="s">
        <v>2482</v>
      </c>
      <c r="C1874" s="37">
        <v>6</v>
      </c>
      <c r="D1874" s="225">
        <v>10</v>
      </c>
      <c r="E1874" s="226">
        <v>44073</v>
      </c>
      <c r="F1874" s="227"/>
      <c r="G1874" s="1" t="str">
        <f>IFERROR(IF(ventas_b_mes12[[#This Row],[CUIT]]="","-",VLOOKUP(ventas_b_mes12[[#This Row],[CUIT]],Lista_CUIT[#All],2,0)),"CUIT NO CARGADO")</f>
        <v>-</v>
      </c>
      <c r="H1874" s="96">
        <f>ventas_b_mes12[[#This Row],[TOTAL]]/1.21</f>
        <v>1611.5702479338843</v>
      </c>
      <c r="I1874" s="60">
        <f>ventas_b_mes12[[#This Row],[IMPORTE NETO]]*0.21</f>
        <v>338.42975206611567</v>
      </c>
      <c r="J1874" s="229"/>
      <c r="K1874" s="229"/>
      <c r="L1874" s="229">
        <v>1950</v>
      </c>
      <c r="M1874" s="55"/>
    </row>
    <row r="1875" spans="2:13" x14ac:dyDescent="0.3">
      <c r="B1875" s="223" t="s">
        <v>2482</v>
      </c>
      <c r="C1875" s="37">
        <v>6</v>
      </c>
      <c r="D1875" s="225">
        <v>10</v>
      </c>
      <c r="E1875" s="226">
        <v>44082</v>
      </c>
      <c r="F1875" s="227"/>
      <c r="G1875" s="1" t="str">
        <f>IFERROR(IF(ventas_b_mes12[[#This Row],[CUIT]]="","-",VLOOKUP(ventas_b_mes12[[#This Row],[CUIT]],Lista_CUIT[#All],2,0)),"CUIT NO CARGADO")</f>
        <v>-</v>
      </c>
      <c r="H1875" s="96">
        <f>ventas_b_mes12[[#This Row],[TOTAL]]/1.21</f>
        <v>29838.016528925622</v>
      </c>
      <c r="I1875" s="60">
        <f>ventas_b_mes12[[#This Row],[IMPORTE NETO]]*0.21</f>
        <v>6265.9834710743808</v>
      </c>
      <c r="J1875" s="229"/>
      <c r="K1875" s="229"/>
      <c r="L1875" s="229">
        <v>36104</v>
      </c>
      <c r="M1875" s="55"/>
    </row>
    <row r="1876" spans="2:13" x14ac:dyDescent="0.3">
      <c r="B1876" s="223" t="s">
        <v>2482</v>
      </c>
      <c r="C1876" s="37">
        <v>6</v>
      </c>
      <c r="D1876" s="225">
        <v>12</v>
      </c>
      <c r="E1876" s="226">
        <v>22721</v>
      </c>
      <c r="F1876" s="227"/>
      <c r="G1876" s="1" t="str">
        <f>IFERROR(IF(ventas_b_mes12[[#This Row],[CUIT]]="","-",VLOOKUP(ventas_b_mes12[[#This Row],[CUIT]],Lista_CUIT[#All],2,0)),"CUIT NO CARGADO")</f>
        <v>-</v>
      </c>
      <c r="H1876" s="96">
        <f>ventas_b_mes12[[#This Row],[TOTAL]]/1.21</f>
        <v>1636.3636363636365</v>
      </c>
      <c r="I1876" s="60">
        <f>ventas_b_mes12[[#This Row],[IMPORTE NETO]]*0.21</f>
        <v>343.63636363636363</v>
      </c>
      <c r="J1876" s="229"/>
      <c r="K1876" s="229"/>
      <c r="L1876" s="229">
        <v>1980</v>
      </c>
      <c r="M1876" s="55"/>
    </row>
    <row r="1877" spans="2:13" x14ac:dyDescent="0.3">
      <c r="B1877" s="223" t="s">
        <v>2482</v>
      </c>
      <c r="C1877" s="37">
        <v>6</v>
      </c>
      <c r="D1877" s="225">
        <v>10</v>
      </c>
      <c r="E1877" s="226">
        <v>44084</v>
      </c>
      <c r="F1877" s="227"/>
      <c r="G1877" s="1" t="str">
        <f>IFERROR(IF(ventas_b_mes12[[#This Row],[CUIT]]="","-",VLOOKUP(ventas_b_mes12[[#This Row],[CUIT]],Lista_CUIT[#All],2,0)),"CUIT NO CARGADO")</f>
        <v>-</v>
      </c>
      <c r="H1877" s="96">
        <f>ventas_b_mes12[[#This Row],[TOTAL]]/1.21</f>
        <v>1363.6363636363637</v>
      </c>
      <c r="I1877" s="60">
        <f>ventas_b_mes12[[#This Row],[IMPORTE NETO]]*0.21</f>
        <v>286.36363636363637</v>
      </c>
      <c r="J1877" s="229"/>
      <c r="K1877" s="229"/>
      <c r="L1877" s="229">
        <v>1650</v>
      </c>
      <c r="M1877" s="55"/>
    </row>
    <row r="1878" spans="2:13" x14ac:dyDescent="0.3">
      <c r="B1878" s="223" t="s">
        <v>2482</v>
      </c>
      <c r="C1878" s="37">
        <v>6</v>
      </c>
      <c r="D1878" s="225">
        <v>11</v>
      </c>
      <c r="E1878" s="226">
        <v>30258</v>
      </c>
      <c r="F1878" s="227"/>
      <c r="G1878" s="1" t="str">
        <f>IFERROR(IF(ventas_b_mes12[[#This Row],[CUIT]]="","-",VLOOKUP(ventas_b_mes12[[#This Row],[CUIT]],Lista_CUIT[#All],2,0)),"CUIT NO CARGADO")</f>
        <v>-</v>
      </c>
      <c r="H1878" s="96">
        <f>ventas_b_mes12[[#This Row],[TOTAL]]/1.21</f>
        <v>3809.9173553719011</v>
      </c>
      <c r="I1878" s="60">
        <f>ventas_b_mes12[[#This Row],[IMPORTE NETO]]*0.21</f>
        <v>800.08264462809916</v>
      </c>
      <c r="J1878" s="229"/>
      <c r="K1878" s="229"/>
      <c r="L1878" s="229">
        <v>4610</v>
      </c>
      <c r="M1878" s="55"/>
    </row>
    <row r="1879" spans="2:13" x14ac:dyDescent="0.3">
      <c r="B1879" s="223" t="s">
        <v>2482</v>
      </c>
      <c r="C1879" s="37">
        <v>6</v>
      </c>
      <c r="D1879" s="225">
        <v>10</v>
      </c>
      <c r="E1879" s="226">
        <v>44079</v>
      </c>
      <c r="F1879" s="227"/>
      <c r="G1879" s="1" t="str">
        <f>IFERROR(IF(ventas_b_mes12[[#This Row],[CUIT]]="","-",VLOOKUP(ventas_b_mes12[[#This Row],[CUIT]],Lista_CUIT[#All],2,0)),"CUIT NO CARGADO")</f>
        <v>-</v>
      </c>
      <c r="H1879" s="96">
        <f>ventas_b_mes12[[#This Row],[TOTAL]]/1.21</f>
        <v>22532.727272727272</v>
      </c>
      <c r="I1879" s="60">
        <f>ventas_b_mes12[[#This Row],[IMPORTE NETO]]*0.21</f>
        <v>4731.8727272727274</v>
      </c>
      <c r="J1879" s="229"/>
      <c r="K1879" s="229"/>
      <c r="L1879" s="229">
        <v>27264.6</v>
      </c>
      <c r="M1879" s="55"/>
    </row>
    <row r="1880" spans="2:13" x14ac:dyDescent="0.3">
      <c r="B1880" s="223" t="s">
        <v>2482</v>
      </c>
      <c r="C1880" s="37">
        <v>6</v>
      </c>
      <c r="D1880" s="225">
        <v>15</v>
      </c>
      <c r="E1880" s="226">
        <v>7326</v>
      </c>
      <c r="F1880" s="227"/>
      <c r="G1880" s="1" t="str">
        <f>IFERROR(IF(ventas_b_mes12[[#This Row],[CUIT]]="","-",VLOOKUP(ventas_b_mes12[[#This Row],[CUIT]],Lista_CUIT[#All],2,0)),"CUIT NO CARGADO")</f>
        <v>-</v>
      </c>
      <c r="H1880" s="96">
        <f>ventas_b_mes12[[#This Row],[TOTAL]]/1.21</f>
        <v>4545.454545454546</v>
      </c>
      <c r="I1880" s="60">
        <f>ventas_b_mes12[[#This Row],[IMPORTE NETO]]*0.21</f>
        <v>954.54545454545462</v>
      </c>
      <c r="J1880" s="229"/>
      <c r="K1880" s="229"/>
      <c r="L1880" s="229">
        <v>5500</v>
      </c>
      <c r="M1880" s="55"/>
    </row>
    <row r="1881" spans="2:13" x14ac:dyDescent="0.3">
      <c r="B1881" s="223" t="s">
        <v>2482</v>
      </c>
      <c r="C1881" s="37">
        <v>6</v>
      </c>
      <c r="D1881" s="225">
        <v>10</v>
      </c>
      <c r="E1881" s="226">
        <v>44081</v>
      </c>
      <c r="F1881" s="227"/>
      <c r="G1881" s="1" t="str">
        <f>IFERROR(IF(ventas_b_mes12[[#This Row],[CUIT]]="","-",VLOOKUP(ventas_b_mes12[[#This Row],[CUIT]],Lista_CUIT[#All],2,0)),"CUIT NO CARGADO")</f>
        <v>-</v>
      </c>
      <c r="H1881" s="96">
        <f>ventas_b_mes12[[#This Row],[TOTAL]]/1.21</f>
        <v>4958.6776859504134</v>
      </c>
      <c r="I1881" s="60">
        <f>ventas_b_mes12[[#This Row],[IMPORTE NETO]]*0.21</f>
        <v>1041.3223140495868</v>
      </c>
      <c r="J1881" s="229"/>
      <c r="K1881" s="229"/>
      <c r="L1881" s="229">
        <v>6000</v>
      </c>
      <c r="M1881" s="55"/>
    </row>
    <row r="1882" spans="2:13" x14ac:dyDescent="0.3">
      <c r="B1882" s="223" t="s">
        <v>2482</v>
      </c>
      <c r="C1882" s="37">
        <v>6</v>
      </c>
      <c r="D1882" s="225">
        <v>10</v>
      </c>
      <c r="E1882" s="226">
        <v>44080</v>
      </c>
      <c r="F1882" s="227"/>
      <c r="G1882" s="1" t="str">
        <f>IFERROR(IF(ventas_b_mes12[[#This Row],[CUIT]]="","-",VLOOKUP(ventas_b_mes12[[#This Row],[CUIT]],Lista_CUIT[#All],2,0)),"CUIT NO CARGADO")</f>
        <v>-</v>
      </c>
      <c r="H1882" s="96">
        <f>ventas_b_mes12[[#This Row],[TOTAL]]/1.21</f>
        <v>20413.223140495869</v>
      </c>
      <c r="I1882" s="60">
        <f>ventas_b_mes12[[#This Row],[IMPORTE NETO]]*0.21</f>
        <v>4286.7768595041325</v>
      </c>
      <c r="J1882" s="229"/>
      <c r="K1882" s="229"/>
      <c r="L1882" s="229">
        <v>24700</v>
      </c>
      <c r="M1882" s="55"/>
    </row>
    <row r="1883" spans="2:13" x14ac:dyDescent="0.3">
      <c r="B1883" s="223" t="s">
        <v>2482</v>
      </c>
      <c r="C1883" s="37">
        <v>6</v>
      </c>
      <c r="D1883" s="225">
        <v>11</v>
      </c>
      <c r="E1883" s="226">
        <v>30261</v>
      </c>
      <c r="F1883" s="227"/>
      <c r="G1883" s="1" t="str">
        <f>IFERROR(IF(ventas_b_mes12[[#This Row],[CUIT]]="","-",VLOOKUP(ventas_b_mes12[[#This Row],[CUIT]],Lista_CUIT[#All],2,0)),"CUIT NO CARGADO")</f>
        <v>-</v>
      </c>
      <c r="H1883" s="96">
        <f>ventas_b_mes12[[#This Row],[TOTAL]]/1.21</f>
        <v>5487.6033057851246</v>
      </c>
      <c r="I1883" s="60">
        <f>ventas_b_mes12[[#This Row],[IMPORTE NETO]]*0.21</f>
        <v>1152.3966942148761</v>
      </c>
      <c r="J1883" s="229"/>
      <c r="K1883" s="229"/>
      <c r="L1883" s="229">
        <v>6640</v>
      </c>
      <c r="M1883" s="55"/>
    </row>
    <row r="1884" spans="2:13" x14ac:dyDescent="0.3">
      <c r="B1884" s="223" t="s">
        <v>2482</v>
      </c>
      <c r="C1884" s="37">
        <v>6</v>
      </c>
      <c r="D1884" s="225">
        <v>13</v>
      </c>
      <c r="E1884" s="226">
        <v>26924</v>
      </c>
      <c r="F1884" s="227"/>
      <c r="G1884" s="1" t="str">
        <f>IFERROR(IF(ventas_b_mes12[[#This Row],[CUIT]]="","-",VLOOKUP(ventas_b_mes12[[#This Row],[CUIT]],Lista_CUIT[#All],2,0)),"CUIT NO CARGADO")</f>
        <v>-</v>
      </c>
      <c r="H1884" s="96">
        <f>ventas_b_mes12[[#This Row],[TOTAL]]/1.21</f>
        <v>5628.0991735537191</v>
      </c>
      <c r="I1884" s="60">
        <f>ventas_b_mes12[[#This Row],[IMPORTE NETO]]*0.21</f>
        <v>1181.9008264462809</v>
      </c>
      <c r="J1884" s="229"/>
      <c r="K1884" s="229"/>
      <c r="L1884" s="229">
        <v>6810</v>
      </c>
      <c r="M1884" s="55"/>
    </row>
    <row r="1885" spans="2:13" x14ac:dyDescent="0.3">
      <c r="B1885" s="223" t="s">
        <v>2482</v>
      </c>
      <c r="C1885" s="37">
        <v>6</v>
      </c>
      <c r="D1885" s="225">
        <v>10</v>
      </c>
      <c r="E1885" s="226">
        <v>44086</v>
      </c>
      <c r="F1885" s="227"/>
      <c r="G1885" s="1" t="str">
        <f>IFERROR(IF(ventas_b_mes12[[#This Row],[CUIT]]="","-",VLOOKUP(ventas_b_mes12[[#This Row],[CUIT]],Lista_CUIT[#All],2,0)),"CUIT NO CARGADO")</f>
        <v>-</v>
      </c>
      <c r="H1885" s="96">
        <f>ventas_b_mes12[[#This Row],[TOTAL]]/1.21</f>
        <v>9214.8760330578516</v>
      </c>
      <c r="I1885" s="60">
        <f>ventas_b_mes12[[#This Row],[IMPORTE NETO]]*0.21</f>
        <v>1935.1239669421489</v>
      </c>
      <c r="J1885" s="229"/>
      <c r="K1885" s="229"/>
      <c r="L1885" s="229">
        <v>11150</v>
      </c>
      <c r="M1885" s="55"/>
    </row>
    <row r="1886" spans="2:13" x14ac:dyDescent="0.3">
      <c r="B1886" s="223" t="s">
        <v>2482</v>
      </c>
      <c r="C1886" s="37">
        <v>6</v>
      </c>
      <c r="D1886" s="225">
        <v>12</v>
      </c>
      <c r="E1886" s="226">
        <v>22719</v>
      </c>
      <c r="F1886" s="227"/>
      <c r="G1886" s="1" t="str">
        <f>IFERROR(IF(ventas_b_mes12[[#This Row],[CUIT]]="","-",VLOOKUP(ventas_b_mes12[[#This Row],[CUIT]],Lista_CUIT[#All],2,0)),"CUIT NO CARGADO")</f>
        <v>-</v>
      </c>
      <c r="H1886" s="96">
        <f>ventas_b_mes12[[#This Row],[TOTAL]]/1.21</f>
        <v>4773.553719008265</v>
      </c>
      <c r="I1886" s="60">
        <f>ventas_b_mes12[[#This Row],[IMPORTE NETO]]*0.21</f>
        <v>1002.4462809917356</v>
      </c>
      <c r="J1886" s="229"/>
      <c r="K1886" s="229"/>
      <c r="L1886" s="229">
        <v>5776</v>
      </c>
      <c r="M1886" s="55"/>
    </row>
    <row r="1887" spans="2:13" x14ac:dyDescent="0.3">
      <c r="B1887" s="223" t="s">
        <v>2482</v>
      </c>
      <c r="C1887" s="37">
        <v>6</v>
      </c>
      <c r="D1887" s="225">
        <v>12</v>
      </c>
      <c r="E1887" s="226">
        <v>22696</v>
      </c>
      <c r="F1887" s="227"/>
      <c r="G1887" s="1" t="str">
        <f>IFERROR(IF(ventas_b_mes12[[#This Row],[CUIT]]="","-",VLOOKUP(ventas_b_mes12[[#This Row],[CUIT]],Lista_CUIT[#All],2,0)),"CUIT NO CARGADO")</f>
        <v>-</v>
      </c>
      <c r="H1887" s="96">
        <f>ventas_b_mes12[[#This Row],[TOTAL]]/1.21</f>
        <v>7892.5619834710742</v>
      </c>
      <c r="I1887" s="60">
        <f>ventas_b_mes12[[#This Row],[IMPORTE NETO]]*0.21</f>
        <v>1657.4380165289256</v>
      </c>
      <c r="J1887" s="229"/>
      <c r="K1887" s="229"/>
      <c r="L1887" s="229">
        <v>9550</v>
      </c>
      <c r="M1887" s="55"/>
    </row>
    <row r="1888" spans="2:13" x14ac:dyDescent="0.3">
      <c r="B1888" s="223" t="s">
        <v>2482</v>
      </c>
      <c r="C1888" s="37">
        <v>6</v>
      </c>
      <c r="D1888" s="225">
        <v>11</v>
      </c>
      <c r="E1888" s="226">
        <v>30262</v>
      </c>
      <c r="F1888" s="227"/>
      <c r="G1888" s="1" t="str">
        <f>IFERROR(IF(ventas_b_mes12[[#This Row],[CUIT]]="","-",VLOOKUP(ventas_b_mes12[[#This Row],[CUIT]],Lista_CUIT[#All],2,0)),"CUIT NO CARGADO")</f>
        <v>-</v>
      </c>
      <c r="H1888" s="96">
        <f>ventas_b_mes12[[#This Row],[TOTAL]]/1.21</f>
        <v>4297.5206611570247</v>
      </c>
      <c r="I1888" s="60">
        <f>ventas_b_mes12[[#This Row],[IMPORTE NETO]]*0.21</f>
        <v>902.47933884297515</v>
      </c>
      <c r="J1888" s="229"/>
      <c r="K1888" s="229"/>
      <c r="L1888" s="229">
        <v>5200</v>
      </c>
      <c r="M1888" s="55"/>
    </row>
    <row r="1889" spans="2:13" x14ac:dyDescent="0.3">
      <c r="B1889" s="223" t="s">
        <v>2482</v>
      </c>
      <c r="C1889" s="37">
        <v>6</v>
      </c>
      <c r="D1889" s="225">
        <v>12</v>
      </c>
      <c r="E1889" s="226">
        <v>22707</v>
      </c>
      <c r="F1889" s="227"/>
      <c r="G1889" s="1" t="str">
        <f>IFERROR(IF(ventas_b_mes12[[#This Row],[CUIT]]="","-",VLOOKUP(ventas_b_mes12[[#This Row],[CUIT]],Lista_CUIT[#All],2,0)),"CUIT NO CARGADO")</f>
        <v>-</v>
      </c>
      <c r="H1889" s="96">
        <f>ventas_b_mes12[[#This Row],[TOTAL]]/1.21</f>
        <v>1004.1322314049587</v>
      </c>
      <c r="I1889" s="60">
        <f>ventas_b_mes12[[#This Row],[IMPORTE NETO]]*0.21</f>
        <v>210.86776859504133</v>
      </c>
      <c r="J1889" s="229"/>
      <c r="K1889" s="229"/>
      <c r="L1889" s="229">
        <v>1215</v>
      </c>
      <c r="M1889" s="55"/>
    </row>
    <row r="1890" spans="2:13" x14ac:dyDescent="0.3">
      <c r="B1890" s="223" t="s">
        <v>2482</v>
      </c>
      <c r="C1890" s="37">
        <v>6</v>
      </c>
      <c r="D1890" s="225">
        <v>10</v>
      </c>
      <c r="E1890" s="226">
        <v>44076</v>
      </c>
      <c r="F1890" s="227"/>
      <c r="G1890" s="1" t="str">
        <f>IFERROR(IF(ventas_b_mes12[[#This Row],[CUIT]]="","-",VLOOKUP(ventas_b_mes12[[#This Row],[CUIT]],Lista_CUIT[#All],2,0)),"CUIT NO CARGADO")</f>
        <v>-</v>
      </c>
      <c r="H1890" s="96">
        <f>ventas_b_mes12[[#This Row],[TOTAL]]/1.21</f>
        <v>10495.867768595042</v>
      </c>
      <c r="I1890" s="60">
        <f>ventas_b_mes12[[#This Row],[IMPORTE NETO]]*0.21</f>
        <v>2204.1322314049589</v>
      </c>
      <c r="J1890" s="229"/>
      <c r="K1890" s="229"/>
      <c r="L1890" s="229">
        <v>12700</v>
      </c>
      <c r="M1890" s="55"/>
    </row>
    <row r="1891" spans="2:13" x14ac:dyDescent="0.3">
      <c r="B1891" s="223" t="s">
        <v>2482</v>
      </c>
      <c r="C1891" s="37">
        <v>6</v>
      </c>
      <c r="D1891" s="225">
        <v>11</v>
      </c>
      <c r="E1891" s="226">
        <v>30260</v>
      </c>
      <c r="F1891" s="227"/>
      <c r="G1891" s="1" t="str">
        <f>IFERROR(IF(ventas_b_mes12[[#This Row],[CUIT]]="","-",VLOOKUP(ventas_b_mes12[[#This Row],[CUIT]],Lista_CUIT[#All],2,0)),"CUIT NO CARGADO")</f>
        <v>-</v>
      </c>
      <c r="H1891" s="96">
        <f>ventas_b_mes12[[#This Row],[TOTAL]]/1.21</f>
        <v>1157.0247933884298</v>
      </c>
      <c r="I1891" s="60">
        <f>ventas_b_mes12[[#This Row],[IMPORTE NETO]]*0.21</f>
        <v>242.97520661157023</v>
      </c>
      <c r="J1891" s="229"/>
      <c r="K1891" s="229"/>
      <c r="L1891" s="229">
        <v>1400</v>
      </c>
      <c r="M1891" s="55"/>
    </row>
    <row r="1892" spans="2:13" x14ac:dyDescent="0.3">
      <c r="B1892" s="223" t="s">
        <v>2482</v>
      </c>
      <c r="C1892" s="37">
        <v>6</v>
      </c>
      <c r="D1892" s="225">
        <v>12</v>
      </c>
      <c r="E1892" s="226">
        <v>22718</v>
      </c>
      <c r="F1892" s="227"/>
      <c r="G1892" s="1" t="str">
        <f>IFERROR(IF(ventas_b_mes12[[#This Row],[CUIT]]="","-",VLOOKUP(ventas_b_mes12[[#This Row],[CUIT]],Lista_CUIT[#All],2,0)),"CUIT NO CARGADO")</f>
        <v>-</v>
      </c>
      <c r="H1892" s="96">
        <f>ventas_b_mes12[[#This Row],[TOTAL]]/1.21</f>
        <v>3595.0413223140495</v>
      </c>
      <c r="I1892" s="60">
        <f>ventas_b_mes12[[#This Row],[IMPORTE NETO]]*0.21</f>
        <v>754.95867768595031</v>
      </c>
      <c r="J1892" s="229"/>
      <c r="K1892" s="229"/>
      <c r="L1892" s="229">
        <v>4350</v>
      </c>
      <c r="M1892" s="55"/>
    </row>
    <row r="1893" spans="2:13" x14ac:dyDescent="0.3">
      <c r="B1893" s="223" t="s">
        <v>2482</v>
      </c>
      <c r="C1893" s="37">
        <v>6</v>
      </c>
      <c r="D1893" s="225">
        <v>12</v>
      </c>
      <c r="E1893" s="226">
        <v>22703</v>
      </c>
      <c r="F1893" s="227"/>
      <c r="G1893" s="1" t="str">
        <f>IFERROR(IF(ventas_b_mes12[[#This Row],[CUIT]]="","-",VLOOKUP(ventas_b_mes12[[#This Row],[CUIT]],Lista_CUIT[#All],2,0)),"CUIT NO CARGADO")</f>
        <v>-</v>
      </c>
      <c r="H1893" s="96">
        <f>ventas_b_mes12[[#This Row],[TOTAL]]/1.21</f>
        <v>4958.6776859504134</v>
      </c>
      <c r="I1893" s="60">
        <f>ventas_b_mes12[[#This Row],[IMPORTE NETO]]*0.21</f>
        <v>1041.3223140495868</v>
      </c>
      <c r="J1893" s="229"/>
      <c r="K1893" s="229"/>
      <c r="L1893" s="229">
        <v>6000</v>
      </c>
      <c r="M1893" s="55"/>
    </row>
    <row r="1894" spans="2:13" x14ac:dyDescent="0.3">
      <c r="B1894" s="223" t="s">
        <v>2482</v>
      </c>
      <c r="C1894" s="37">
        <v>6</v>
      </c>
      <c r="D1894" s="225">
        <v>10</v>
      </c>
      <c r="E1894" s="226">
        <v>44075</v>
      </c>
      <c r="F1894" s="227"/>
      <c r="G1894" s="1" t="str">
        <f>IFERROR(IF(ventas_b_mes12[[#This Row],[CUIT]]="","-",VLOOKUP(ventas_b_mes12[[#This Row],[CUIT]],Lista_CUIT[#All],2,0)),"CUIT NO CARGADO")</f>
        <v>-</v>
      </c>
      <c r="H1894" s="96">
        <f>ventas_b_mes12[[#This Row],[TOTAL]]/1.21</f>
        <v>4545.454545454546</v>
      </c>
      <c r="I1894" s="60">
        <f>ventas_b_mes12[[#This Row],[IMPORTE NETO]]*0.21</f>
        <v>954.54545454545462</v>
      </c>
      <c r="J1894" s="229"/>
      <c r="K1894" s="229"/>
      <c r="L1894" s="229">
        <v>5500</v>
      </c>
      <c r="M1894" s="55"/>
    </row>
    <row r="1895" spans="2:13" x14ac:dyDescent="0.3">
      <c r="B1895" s="223" t="s">
        <v>2482</v>
      </c>
      <c r="C1895" s="37">
        <v>6</v>
      </c>
      <c r="D1895" s="225">
        <v>10</v>
      </c>
      <c r="E1895" s="226">
        <v>44074</v>
      </c>
      <c r="F1895" s="227"/>
      <c r="G1895" s="1" t="str">
        <f>IFERROR(IF(ventas_b_mes12[[#This Row],[CUIT]]="","-",VLOOKUP(ventas_b_mes12[[#This Row],[CUIT]],Lista_CUIT[#All],2,0)),"CUIT NO CARGADO")</f>
        <v>-</v>
      </c>
      <c r="H1895" s="96">
        <f>ventas_b_mes12[[#This Row],[TOTAL]]/1.21</f>
        <v>1115.702479338843</v>
      </c>
      <c r="I1895" s="60">
        <f>ventas_b_mes12[[#This Row],[IMPORTE NETO]]*0.21</f>
        <v>234.29752066115702</v>
      </c>
      <c r="J1895" s="229"/>
      <c r="K1895" s="229"/>
      <c r="L1895" s="229">
        <v>1350</v>
      </c>
      <c r="M1895" s="55"/>
    </row>
    <row r="1896" spans="2:13" x14ac:dyDescent="0.3">
      <c r="B1896" s="223" t="s">
        <v>2482</v>
      </c>
      <c r="C1896" s="37">
        <v>6</v>
      </c>
      <c r="D1896" s="225">
        <v>10</v>
      </c>
      <c r="E1896" s="226">
        <v>44089</v>
      </c>
      <c r="F1896" s="227"/>
      <c r="G1896" s="1" t="str">
        <f>IFERROR(IF(ventas_b_mes12[[#This Row],[CUIT]]="","-",VLOOKUP(ventas_b_mes12[[#This Row],[CUIT]],Lista_CUIT[#All],2,0)),"CUIT NO CARGADO")</f>
        <v>-</v>
      </c>
      <c r="H1896" s="96">
        <f>ventas_b_mes12[[#This Row],[TOTAL]]/1.21</f>
        <v>7438.0165289256202</v>
      </c>
      <c r="I1896" s="60">
        <f>ventas_b_mes12[[#This Row],[IMPORTE NETO]]*0.21</f>
        <v>1561.9834710743801</v>
      </c>
      <c r="J1896" s="229"/>
      <c r="K1896" s="229"/>
      <c r="L1896" s="229">
        <v>9000</v>
      </c>
      <c r="M1896" s="55"/>
    </row>
    <row r="1897" spans="2:13" x14ac:dyDescent="0.3">
      <c r="B1897" s="223" t="s">
        <v>2482</v>
      </c>
      <c r="C1897" s="37">
        <v>6</v>
      </c>
      <c r="D1897" s="225">
        <v>12</v>
      </c>
      <c r="E1897" s="226">
        <v>22698</v>
      </c>
      <c r="F1897" s="227"/>
      <c r="G1897" s="1" t="str">
        <f>IFERROR(IF(ventas_b_mes12[[#This Row],[CUIT]]="","-",VLOOKUP(ventas_b_mes12[[#This Row],[CUIT]],Lista_CUIT[#All],2,0)),"CUIT NO CARGADO")</f>
        <v>-</v>
      </c>
      <c r="H1897" s="96">
        <f>ventas_b_mes12[[#This Row],[TOTAL]]/1.21</f>
        <v>6322.3140495867774</v>
      </c>
      <c r="I1897" s="60">
        <f>ventas_b_mes12[[#This Row],[IMPORTE NETO]]*0.21</f>
        <v>1327.6859504132233</v>
      </c>
      <c r="J1897" s="229"/>
      <c r="K1897" s="229"/>
      <c r="L1897" s="229">
        <v>7650</v>
      </c>
      <c r="M1897" s="55"/>
    </row>
    <row r="1898" spans="2:13" x14ac:dyDescent="0.3">
      <c r="B1898" s="223" t="s">
        <v>2482</v>
      </c>
      <c r="C1898" s="37">
        <v>6</v>
      </c>
      <c r="D1898" s="225">
        <v>11</v>
      </c>
      <c r="E1898" s="226">
        <v>30267</v>
      </c>
      <c r="F1898" s="227"/>
      <c r="G1898" s="1" t="str">
        <f>IFERROR(IF(ventas_b_mes12[[#This Row],[CUIT]]="","-",VLOOKUP(ventas_b_mes12[[#This Row],[CUIT]],Lista_CUIT[#All],2,0)),"CUIT NO CARGADO")</f>
        <v>-</v>
      </c>
      <c r="H1898" s="96">
        <f>ventas_b_mes12[[#This Row],[TOTAL]]/1.21</f>
        <v>1338.8429752066115</v>
      </c>
      <c r="I1898" s="60">
        <f>ventas_b_mes12[[#This Row],[IMPORTE NETO]]*0.21</f>
        <v>281.15702479338842</v>
      </c>
      <c r="J1898" s="229"/>
      <c r="K1898" s="229"/>
      <c r="L1898" s="229">
        <v>1620</v>
      </c>
      <c r="M1898" s="55"/>
    </row>
    <row r="1899" spans="2:13" x14ac:dyDescent="0.3">
      <c r="B1899" s="223" t="s">
        <v>2482</v>
      </c>
      <c r="C1899" s="37">
        <v>6</v>
      </c>
      <c r="D1899" s="225">
        <v>10</v>
      </c>
      <c r="E1899" s="226">
        <v>44085</v>
      </c>
      <c r="F1899" s="227"/>
      <c r="G1899" s="1" t="str">
        <f>IFERROR(IF(ventas_b_mes12[[#This Row],[CUIT]]="","-",VLOOKUP(ventas_b_mes12[[#This Row],[CUIT]],Lista_CUIT[#All],2,0)),"CUIT NO CARGADO")</f>
        <v>-</v>
      </c>
      <c r="H1899" s="96">
        <f>ventas_b_mes12[[#This Row],[TOTAL]]/1.21</f>
        <v>4173.553719008265</v>
      </c>
      <c r="I1899" s="60">
        <f>ventas_b_mes12[[#This Row],[IMPORTE NETO]]*0.21</f>
        <v>876.44628099173565</v>
      </c>
      <c r="J1899" s="229"/>
      <c r="K1899" s="229"/>
      <c r="L1899" s="229">
        <v>5050</v>
      </c>
      <c r="M1899" s="55"/>
    </row>
    <row r="1900" spans="2:13" x14ac:dyDescent="0.3">
      <c r="B1900" s="223" t="s">
        <v>2482</v>
      </c>
      <c r="C1900" s="37">
        <v>6</v>
      </c>
      <c r="D1900" s="225">
        <v>12</v>
      </c>
      <c r="E1900" s="226">
        <v>22715</v>
      </c>
      <c r="F1900" s="227"/>
      <c r="G1900" s="1" t="str">
        <f>IFERROR(IF(ventas_b_mes12[[#This Row],[CUIT]]="","-",VLOOKUP(ventas_b_mes12[[#This Row],[CUIT]],Lista_CUIT[#All],2,0)),"CUIT NO CARGADO")</f>
        <v>-</v>
      </c>
      <c r="H1900" s="96">
        <f>ventas_b_mes12[[#This Row],[TOTAL]]/1.21</f>
        <v>5801.6611570247942</v>
      </c>
      <c r="I1900" s="60">
        <f>ventas_b_mes12[[#This Row],[IMPORTE NETO]]*0.21</f>
        <v>1218.3488429752067</v>
      </c>
      <c r="J1900" s="229"/>
      <c r="K1900" s="229"/>
      <c r="L1900" s="229">
        <v>7020.01</v>
      </c>
      <c r="M1900" s="55"/>
    </row>
    <row r="1901" spans="2:13" x14ac:dyDescent="0.3">
      <c r="B1901" s="223" t="s">
        <v>2482</v>
      </c>
      <c r="C1901" s="37">
        <v>6</v>
      </c>
      <c r="D1901" s="225">
        <v>12</v>
      </c>
      <c r="E1901" s="226">
        <v>22716</v>
      </c>
      <c r="F1901" s="227"/>
      <c r="G1901" s="1" t="str">
        <f>IFERROR(IF(ventas_b_mes12[[#This Row],[CUIT]]="","-",VLOOKUP(ventas_b_mes12[[#This Row],[CUIT]],Lista_CUIT[#All],2,0)),"CUIT NO CARGADO")</f>
        <v>-</v>
      </c>
      <c r="H1901" s="96">
        <f>ventas_b_mes12[[#This Row],[TOTAL]]/1.21</f>
        <v>5090.909090909091</v>
      </c>
      <c r="I1901" s="60">
        <f>ventas_b_mes12[[#This Row],[IMPORTE NETO]]*0.21</f>
        <v>1069.090909090909</v>
      </c>
      <c r="J1901" s="229"/>
      <c r="K1901" s="229"/>
      <c r="L1901" s="229">
        <v>6160</v>
      </c>
      <c r="M1901" s="55"/>
    </row>
    <row r="1902" spans="2:13" x14ac:dyDescent="0.3">
      <c r="B1902" s="223" t="s">
        <v>2482</v>
      </c>
      <c r="C1902" s="37">
        <v>6</v>
      </c>
      <c r="D1902" s="225">
        <v>12</v>
      </c>
      <c r="E1902" s="226">
        <v>22720</v>
      </c>
      <c r="F1902" s="227"/>
      <c r="G1902" s="1" t="str">
        <f>IFERROR(IF(ventas_b_mes12[[#This Row],[CUIT]]="","-",VLOOKUP(ventas_b_mes12[[#This Row],[CUIT]],Lista_CUIT[#All],2,0)),"CUIT NO CARGADO")</f>
        <v>-</v>
      </c>
      <c r="H1902" s="96">
        <f>ventas_b_mes12[[#This Row],[TOTAL]]/1.21</f>
        <v>3146.2809917355371</v>
      </c>
      <c r="I1902" s="60">
        <f>ventas_b_mes12[[#This Row],[IMPORTE NETO]]*0.21</f>
        <v>660.71900826446279</v>
      </c>
      <c r="J1902" s="229"/>
      <c r="K1902" s="229"/>
      <c r="L1902" s="229">
        <v>3807</v>
      </c>
      <c r="M1902" s="55"/>
    </row>
    <row r="1903" spans="2:13" x14ac:dyDescent="0.3">
      <c r="B1903" s="223" t="s">
        <v>2482</v>
      </c>
      <c r="C1903" s="37">
        <v>6</v>
      </c>
      <c r="D1903" s="225">
        <v>11</v>
      </c>
      <c r="E1903" s="226">
        <v>30250</v>
      </c>
      <c r="F1903" s="227"/>
      <c r="G1903" s="1" t="str">
        <f>IFERROR(IF(ventas_b_mes12[[#This Row],[CUIT]]="","-",VLOOKUP(ventas_b_mes12[[#This Row],[CUIT]],Lista_CUIT[#All],2,0)),"CUIT NO CARGADO")</f>
        <v>-</v>
      </c>
      <c r="H1903" s="96">
        <f>ventas_b_mes12[[#This Row],[TOTAL]]/1.21</f>
        <v>2479.3388429752067</v>
      </c>
      <c r="I1903" s="60">
        <f>ventas_b_mes12[[#This Row],[IMPORTE NETO]]*0.21</f>
        <v>520.6611570247934</v>
      </c>
      <c r="J1903" s="229"/>
      <c r="K1903" s="229"/>
      <c r="L1903" s="229">
        <v>3000</v>
      </c>
      <c r="M1903" s="55"/>
    </row>
    <row r="1904" spans="2:13" x14ac:dyDescent="0.3">
      <c r="B1904" s="223" t="s">
        <v>2482</v>
      </c>
      <c r="C1904" s="37">
        <v>6</v>
      </c>
      <c r="D1904" s="225">
        <v>11</v>
      </c>
      <c r="E1904" s="226">
        <v>30268</v>
      </c>
      <c r="F1904" s="227"/>
      <c r="G1904" s="1" t="str">
        <f>IFERROR(IF(ventas_b_mes12[[#This Row],[CUIT]]="","-",VLOOKUP(ventas_b_mes12[[#This Row],[CUIT]],Lista_CUIT[#All],2,0)),"CUIT NO CARGADO")</f>
        <v>-</v>
      </c>
      <c r="H1904" s="96">
        <f>ventas_b_mes12[[#This Row],[TOTAL]]/1.21</f>
        <v>4173.545454545454</v>
      </c>
      <c r="I1904" s="60">
        <f>ventas_b_mes12[[#This Row],[IMPORTE NETO]]*0.21</f>
        <v>876.44454545454528</v>
      </c>
      <c r="J1904" s="229"/>
      <c r="K1904" s="229"/>
      <c r="L1904" s="229">
        <v>5049.99</v>
      </c>
      <c r="M1904" s="55"/>
    </row>
    <row r="1905" spans="2:13" x14ac:dyDescent="0.3">
      <c r="B1905" s="223" t="s">
        <v>2482</v>
      </c>
      <c r="C1905" s="37">
        <v>6</v>
      </c>
      <c r="D1905" s="225">
        <v>10</v>
      </c>
      <c r="E1905" s="226">
        <v>44088</v>
      </c>
      <c r="F1905" s="227"/>
      <c r="G1905" s="1" t="str">
        <f>IFERROR(IF(ventas_b_mes12[[#This Row],[CUIT]]="","-",VLOOKUP(ventas_b_mes12[[#This Row],[CUIT]],Lista_CUIT[#All],2,0)),"CUIT NO CARGADO")</f>
        <v>-</v>
      </c>
      <c r="H1905" s="96">
        <f>ventas_b_mes12[[#This Row],[TOTAL]]/1.21</f>
        <v>36558.512396694219</v>
      </c>
      <c r="I1905" s="60">
        <f>ventas_b_mes12[[#This Row],[IMPORTE NETO]]*0.21</f>
        <v>7677.2876033057855</v>
      </c>
      <c r="J1905" s="229"/>
      <c r="K1905" s="229"/>
      <c r="L1905" s="229">
        <v>44235.8</v>
      </c>
      <c r="M1905" s="55"/>
    </row>
    <row r="1906" spans="2:13" x14ac:dyDescent="0.3">
      <c r="B1906" s="223" t="s">
        <v>2482</v>
      </c>
      <c r="C1906" s="37">
        <v>6</v>
      </c>
      <c r="D1906" s="225">
        <v>13</v>
      </c>
      <c r="E1906" s="226">
        <v>26919</v>
      </c>
      <c r="F1906" s="227"/>
      <c r="G1906" s="1" t="str">
        <f>IFERROR(IF(ventas_b_mes12[[#This Row],[CUIT]]="","-",VLOOKUP(ventas_b_mes12[[#This Row],[CUIT]],Lista_CUIT[#All],2,0)),"CUIT NO CARGADO")</f>
        <v>-</v>
      </c>
      <c r="H1906" s="96">
        <f>ventas_b_mes12[[#This Row],[TOTAL]]/1.21</f>
        <v>1326.4462809917356</v>
      </c>
      <c r="I1906" s="60">
        <f>ventas_b_mes12[[#This Row],[IMPORTE NETO]]*0.21</f>
        <v>278.55371900826447</v>
      </c>
      <c r="J1906" s="229"/>
      <c r="K1906" s="229"/>
      <c r="L1906" s="229">
        <v>1605</v>
      </c>
      <c r="M1906" s="55"/>
    </row>
    <row r="1907" spans="2:13" x14ac:dyDescent="0.3">
      <c r="B1907" s="223" t="s">
        <v>2482</v>
      </c>
      <c r="C1907" s="37">
        <v>6</v>
      </c>
      <c r="D1907" s="225">
        <v>12</v>
      </c>
      <c r="E1907" s="226">
        <v>22705</v>
      </c>
      <c r="F1907" s="227"/>
      <c r="G1907" s="1" t="str">
        <f>IFERROR(IF(ventas_b_mes12[[#This Row],[CUIT]]="","-",VLOOKUP(ventas_b_mes12[[#This Row],[CUIT]],Lista_CUIT[#All],2,0)),"CUIT NO CARGADO")</f>
        <v>-</v>
      </c>
      <c r="H1907" s="96">
        <f>ventas_b_mes12[[#This Row],[TOTAL]]/1.21</f>
        <v>2148.7603305785124</v>
      </c>
      <c r="I1907" s="60">
        <f>ventas_b_mes12[[#This Row],[IMPORTE NETO]]*0.21</f>
        <v>451.23966942148758</v>
      </c>
      <c r="J1907" s="229"/>
      <c r="K1907" s="229"/>
      <c r="L1907" s="229">
        <v>2600</v>
      </c>
      <c r="M1907" s="55"/>
    </row>
    <row r="1908" spans="2:13" x14ac:dyDescent="0.3">
      <c r="B1908" s="223" t="s">
        <v>2482</v>
      </c>
      <c r="C1908" s="37">
        <v>6</v>
      </c>
      <c r="D1908" s="225">
        <v>12</v>
      </c>
      <c r="E1908" s="226">
        <v>22701</v>
      </c>
      <c r="F1908" s="227"/>
      <c r="G1908" s="1" t="str">
        <f>IFERROR(IF(ventas_b_mes12[[#This Row],[CUIT]]="","-",VLOOKUP(ventas_b_mes12[[#This Row],[CUIT]],Lista_CUIT[#All],2,0)),"CUIT NO CARGADO")</f>
        <v>-</v>
      </c>
      <c r="H1908" s="96">
        <f>ventas_b_mes12[[#This Row],[TOTAL]]/1.21</f>
        <v>10661.1652892562</v>
      </c>
      <c r="I1908" s="60">
        <f>ventas_b_mes12[[#This Row],[IMPORTE NETO]]*0.21</f>
        <v>2238.8447107438019</v>
      </c>
      <c r="J1908" s="229"/>
      <c r="K1908" s="229"/>
      <c r="L1908" s="229">
        <v>12900.01</v>
      </c>
      <c r="M1908" s="55"/>
    </row>
    <row r="1909" spans="2:13" x14ac:dyDescent="0.3">
      <c r="B1909" s="223" t="s">
        <v>2482</v>
      </c>
      <c r="C1909" s="37">
        <v>6</v>
      </c>
      <c r="D1909" s="225">
        <v>12</v>
      </c>
      <c r="E1909" s="226">
        <v>22717</v>
      </c>
      <c r="F1909" s="227"/>
      <c r="G1909" s="1" t="str">
        <f>IFERROR(IF(ventas_b_mes12[[#This Row],[CUIT]]="","-",VLOOKUP(ventas_b_mes12[[#This Row],[CUIT]],Lista_CUIT[#All],2,0)),"CUIT NO CARGADO")</f>
        <v>-</v>
      </c>
      <c r="H1909" s="96">
        <f>ventas_b_mes12[[#This Row],[TOTAL]]/1.21</f>
        <v>13172.727272727274</v>
      </c>
      <c r="I1909" s="60">
        <f>ventas_b_mes12[[#This Row],[IMPORTE NETO]]*0.21</f>
        <v>2766.2727272727275</v>
      </c>
      <c r="J1909" s="229"/>
      <c r="K1909" s="229"/>
      <c r="L1909" s="229">
        <v>15939</v>
      </c>
      <c r="M1909" s="55"/>
    </row>
    <row r="1910" spans="2:13" x14ac:dyDescent="0.3">
      <c r="B1910" s="223" t="s">
        <v>2482</v>
      </c>
      <c r="C1910" s="37">
        <v>6</v>
      </c>
      <c r="D1910" s="225">
        <v>10</v>
      </c>
      <c r="E1910" s="226">
        <v>44077</v>
      </c>
      <c r="F1910" s="227"/>
      <c r="G1910" s="1" t="str">
        <f>IFERROR(IF(ventas_b_mes12[[#This Row],[CUIT]]="","-",VLOOKUP(ventas_b_mes12[[#This Row],[CUIT]],Lista_CUIT[#All],2,0)),"CUIT NO CARGADO")</f>
        <v>-</v>
      </c>
      <c r="H1910" s="96">
        <f>ventas_b_mes12[[#This Row],[TOTAL]]/1.21</f>
        <v>1731.404958677686</v>
      </c>
      <c r="I1910" s="60">
        <f>ventas_b_mes12[[#This Row],[IMPORTE NETO]]*0.21</f>
        <v>363.59504132231405</v>
      </c>
      <c r="J1910" s="229"/>
      <c r="K1910" s="229"/>
      <c r="L1910" s="229">
        <v>2095</v>
      </c>
      <c r="M1910" s="55"/>
    </row>
    <row r="1911" spans="2:13" x14ac:dyDescent="0.3">
      <c r="B1911" s="223" t="s">
        <v>2482</v>
      </c>
      <c r="C1911" s="37">
        <v>6</v>
      </c>
      <c r="D1911" s="225">
        <v>10</v>
      </c>
      <c r="E1911" s="226">
        <v>44072</v>
      </c>
      <c r="F1911" s="227"/>
      <c r="G1911" s="1" t="str">
        <f>IFERROR(IF(ventas_b_mes12[[#This Row],[CUIT]]="","-",VLOOKUP(ventas_b_mes12[[#This Row],[CUIT]],Lista_CUIT[#All],2,0)),"CUIT NO CARGADO")</f>
        <v>-</v>
      </c>
      <c r="H1911" s="96">
        <f>ventas_b_mes12[[#This Row],[TOTAL]]/1.21</f>
        <v>2148.7603305785124</v>
      </c>
      <c r="I1911" s="60">
        <f>ventas_b_mes12[[#This Row],[IMPORTE NETO]]*0.21</f>
        <v>451.23966942148758</v>
      </c>
      <c r="J1911" s="229"/>
      <c r="K1911" s="229"/>
      <c r="L1911" s="229">
        <v>2600</v>
      </c>
      <c r="M1911" s="55"/>
    </row>
    <row r="1912" spans="2:13" x14ac:dyDescent="0.3">
      <c r="B1912" s="223" t="s">
        <v>2482</v>
      </c>
      <c r="C1912" s="37">
        <v>6</v>
      </c>
      <c r="D1912" s="225">
        <v>11</v>
      </c>
      <c r="E1912" s="226">
        <v>30252</v>
      </c>
      <c r="F1912" s="227"/>
      <c r="G1912" s="1" t="str">
        <f>IFERROR(IF(ventas_b_mes12[[#This Row],[CUIT]]="","-",VLOOKUP(ventas_b_mes12[[#This Row],[CUIT]],Lista_CUIT[#All],2,0)),"CUIT NO CARGADO")</f>
        <v>-</v>
      </c>
      <c r="H1912" s="96">
        <f>ventas_b_mes12[[#This Row],[TOTAL]]/1.21</f>
        <v>4581.818181818182</v>
      </c>
      <c r="I1912" s="60">
        <f>ventas_b_mes12[[#This Row],[IMPORTE NETO]]*0.21</f>
        <v>962.18181818181813</v>
      </c>
      <c r="J1912" s="229"/>
      <c r="K1912" s="229"/>
      <c r="L1912" s="229">
        <v>5544</v>
      </c>
      <c r="M1912" s="55"/>
    </row>
    <row r="1913" spans="2:13" x14ac:dyDescent="0.3">
      <c r="B1913" s="223" t="s">
        <v>2482</v>
      </c>
      <c r="C1913" s="37">
        <v>6</v>
      </c>
      <c r="D1913" s="225">
        <v>15</v>
      </c>
      <c r="E1913" s="226">
        <v>7327</v>
      </c>
      <c r="F1913" s="227"/>
      <c r="G1913" s="1" t="str">
        <f>IFERROR(IF(ventas_b_mes12[[#This Row],[CUIT]]="","-",VLOOKUP(ventas_b_mes12[[#This Row],[CUIT]],Lista_CUIT[#All],2,0)),"CUIT NO CARGADO")</f>
        <v>-</v>
      </c>
      <c r="H1913" s="96">
        <f>ventas_b_mes12[[#This Row],[TOTAL]]/1.21</f>
        <v>5578.5123966942147</v>
      </c>
      <c r="I1913" s="60">
        <f>ventas_b_mes12[[#This Row],[IMPORTE NETO]]*0.21</f>
        <v>1171.4876033057851</v>
      </c>
      <c r="J1913" s="229"/>
      <c r="K1913" s="229"/>
      <c r="L1913" s="229">
        <v>6750</v>
      </c>
      <c r="M1913" s="55"/>
    </row>
    <row r="1914" spans="2:13" x14ac:dyDescent="0.3">
      <c r="B1914" s="223" t="s">
        <v>2482</v>
      </c>
      <c r="C1914" s="37">
        <v>6</v>
      </c>
      <c r="D1914" s="225">
        <v>10</v>
      </c>
      <c r="E1914" s="226">
        <v>44078</v>
      </c>
      <c r="F1914" s="227"/>
      <c r="G1914" s="1" t="str">
        <f>IFERROR(IF(ventas_b_mes12[[#This Row],[CUIT]]="","-",VLOOKUP(ventas_b_mes12[[#This Row],[CUIT]],Lista_CUIT[#All],2,0)),"CUIT NO CARGADO")</f>
        <v>-</v>
      </c>
      <c r="H1914" s="96">
        <f>ventas_b_mes12[[#This Row],[TOTAL]]/1.21</f>
        <v>27947.603305785124</v>
      </c>
      <c r="I1914" s="60">
        <f>ventas_b_mes12[[#This Row],[IMPORTE NETO]]*0.21</f>
        <v>5868.9966942148758</v>
      </c>
      <c r="J1914" s="229"/>
      <c r="K1914" s="229"/>
      <c r="L1914" s="229">
        <v>33816.6</v>
      </c>
      <c r="M1914" s="55"/>
    </row>
    <row r="1915" spans="2:13" x14ac:dyDescent="0.3">
      <c r="B1915" s="223" t="s">
        <v>2482</v>
      </c>
      <c r="C1915" s="37">
        <v>6</v>
      </c>
      <c r="D1915" s="225">
        <v>11</v>
      </c>
      <c r="E1915" s="226">
        <v>30256</v>
      </c>
      <c r="F1915" s="227"/>
      <c r="G1915" s="1" t="str">
        <f>IFERROR(IF(ventas_b_mes12[[#This Row],[CUIT]]="","-",VLOOKUP(ventas_b_mes12[[#This Row],[CUIT]],Lista_CUIT[#All],2,0)),"CUIT NO CARGADO")</f>
        <v>-</v>
      </c>
      <c r="H1915" s="96">
        <f>ventas_b_mes12[[#This Row],[TOTAL]]/1.21</f>
        <v>7305.7851239669426</v>
      </c>
      <c r="I1915" s="60">
        <f>ventas_b_mes12[[#This Row],[IMPORTE NETO]]*0.21</f>
        <v>1534.2148760330579</v>
      </c>
      <c r="J1915" s="229"/>
      <c r="K1915" s="229"/>
      <c r="L1915" s="229">
        <v>8840</v>
      </c>
      <c r="M1915" s="55"/>
    </row>
    <row r="1916" spans="2:13" x14ac:dyDescent="0.3">
      <c r="B1916" s="223" t="s">
        <v>2482</v>
      </c>
      <c r="C1916" s="37">
        <v>6</v>
      </c>
      <c r="D1916" s="225">
        <v>11</v>
      </c>
      <c r="E1916" s="226">
        <v>30264</v>
      </c>
      <c r="F1916" s="227"/>
      <c r="G1916" s="1" t="str">
        <f>IFERROR(IF(ventas_b_mes12[[#This Row],[CUIT]]="","-",VLOOKUP(ventas_b_mes12[[#This Row],[CUIT]],Lista_CUIT[#All],2,0)),"CUIT NO CARGADO")</f>
        <v>-</v>
      </c>
      <c r="H1916" s="96">
        <f>ventas_b_mes12[[#This Row],[TOTAL]]/1.21</f>
        <v>3471.0743801652893</v>
      </c>
      <c r="I1916" s="60">
        <f>ventas_b_mes12[[#This Row],[IMPORTE NETO]]*0.21</f>
        <v>728.92561983471069</v>
      </c>
      <c r="J1916" s="229"/>
      <c r="K1916" s="229"/>
      <c r="L1916" s="229">
        <v>4200</v>
      </c>
      <c r="M1916" s="55"/>
    </row>
    <row r="1917" spans="2:13" x14ac:dyDescent="0.3">
      <c r="B1917" s="223" t="s">
        <v>2482</v>
      </c>
      <c r="C1917" s="37">
        <v>6</v>
      </c>
      <c r="D1917" s="225">
        <v>13</v>
      </c>
      <c r="E1917" s="226">
        <v>26921</v>
      </c>
      <c r="F1917" s="227"/>
      <c r="G1917" s="1" t="str">
        <f>IFERROR(IF(ventas_b_mes12[[#This Row],[CUIT]]="","-",VLOOKUP(ventas_b_mes12[[#This Row],[CUIT]],Lista_CUIT[#All],2,0)),"CUIT NO CARGADO")</f>
        <v>-</v>
      </c>
      <c r="H1917" s="96">
        <f>ventas_b_mes12[[#This Row],[TOTAL]]/1.21</f>
        <v>12272.735537190083</v>
      </c>
      <c r="I1917" s="60">
        <f>ventas_b_mes12[[#This Row],[IMPORTE NETO]]*0.21</f>
        <v>2577.2744628099172</v>
      </c>
      <c r="J1917" s="229"/>
      <c r="K1917" s="229"/>
      <c r="L1917" s="229">
        <v>14850.01</v>
      </c>
      <c r="M1917" s="55"/>
    </row>
    <row r="1918" spans="2:13" x14ac:dyDescent="0.3">
      <c r="B1918" s="223" t="s">
        <v>2482</v>
      </c>
      <c r="C1918" s="37">
        <v>6</v>
      </c>
      <c r="D1918" s="225">
        <v>12</v>
      </c>
      <c r="E1918" s="226">
        <v>22714</v>
      </c>
      <c r="F1918" s="227"/>
      <c r="G1918" s="1" t="str">
        <f>IFERROR(IF(ventas_b_mes12[[#This Row],[CUIT]]="","-",VLOOKUP(ventas_b_mes12[[#This Row],[CUIT]],Lista_CUIT[#All],2,0)),"CUIT NO CARGADO")</f>
        <v>-</v>
      </c>
      <c r="H1918" s="96">
        <f>ventas_b_mes12[[#This Row],[TOTAL]]/1.21</f>
        <v>2766.9421487603308</v>
      </c>
      <c r="I1918" s="60">
        <f>ventas_b_mes12[[#This Row],[IMPORTE NETO]]*0.21</f>
        <v>581.0578512396695</v>
      </c>
      <c r="J1918" s="229"/>
      <c r="K1918" s="229"/>
      <c r="L1918" s="229">
        <v>3348</v>
      </c>
      <c r="M1918" s="55"/>
    </row>
    <row r="1919" spans="2:13" x14ac:dyDescent="0.3">
      <c r="B1919" s="223" t="s">
        <v>2482</v>
      </c>
      <c r="C1919" s="37">
        <v>6</v>
      </c>
      <c r="D1919" s="225">
        <v>11</v>
      </c>
      <c r="E1919" s="226">
        <v>30255</v>
      </c>
      <c r="F1919" s="227"/>
      <c r="G1919" s="1" t="str">
        <f>IFERROR(IF(ventas_b_mes12[[#This Row],[CUIT]]="","-",VLOOKUP(ventas_b_mes12[[#This Row],[CUIT]],Lista_CUIT[#All],2,0)),"CUIT NO CARGADO")</f>
        <v>-</v>
      </c>
      <c r="H1919" s="96">
        <f>ventas_b_mes12[[#This Row],[TOTAL]]/1.21</f>
        <v>13785.099173553721</v>
      </c>
      <c r="I1919" s="60">
        <f>ventas_b_mes12[[#This Row],[IMPORTE NETO]]*0.21</f>
        <v>2894.8708264462812</v>
      </c>
      <c r="J1919" s="229"/>
      <c r="K1919" s="229"/>
      <c r="L1919" s="229">
        <v>16679.97</v>
      </c>
      <c r="M1919" s="55"/>
    </row>
    <row r="1920" spans="2:13" x14ac:dyDescent="0.3">
      <c r="B1920" s="223" t="s">
        <v>2482</v>
      </c>
      <c r="C1920" s="37">
        <v>6</v>
      </c>
      <c r="D1920" s="225">
        <v>11</v>
      </c>
      <c r="E1920" s="226">
        <v>30251</v>
      </c>
      <c r="F1920" s="227"/>
      <c r="G1920" s="1" t="str">
        <f>IFERROR(IF(ventas_b_mes12[[#This Row],[CUIT]]="","-",VLOOKUP(ventas_b_mes12[[#This Row],[CUIT]],Lista_CUIT[#All],2,0)),"CUIT NO CARGADO")</f>
        <v>-</v>
      </c>
      <c r="H1920" s="96">
        <f>ventas_b_mes12[[#This Row],[TOTAL]]/1.21</f>
        <v>7396.6942148760336</v>
      </c>
      <c r="I1920" s="60">
        <f>ventas_b_mes12[[#This Row],[IMPORTE NETO]]*0.21</f>
        <v>1553.3057851239671</v>
      </c>
      <c r="J1920" s="229"/>
      <c r="K1920" s="229"/>
      <c r="L1920" s="229">
        <v>8950</v>
      </c>
      <c r="M1920" s="55"/>
    </row>
    <row r="1921" spans="2:13" x14ac:dyDescent="0.3">
      <c r="B1921" s="223" t="s">
        <v>2482</v>
      </c>
      <c r="C1921" s="37">
        <v>6</v>
      </c>
      <c r="D1921" s="225">
        <v>11</v>
      </c>
      <c r="E1921" s="226">
        <v>30266</v>
      </c>
      <c r="F1921" s="227"/>
      <c r="G1921" s="1" t="str">
        <f>IFERROR(IF(ventas_b_mes12[[#This Row],[CUIT]]="","-",VLOOKUP(ventas_b_mes12[[#This Row],[CUIT]],Lista_CUIT[#All],2,0)),"CUIT NO CARGADO")</f>
        <v>-</v>
      </c>
      <c r="H1921" s="96">
        <f>ventas_b_mes12[[#This Row],[TOTAL]]/1.21</f>
        <v>12113.644628099175</v>
      </c>
      <c r="I1921" s="60">
        <f>ventas_b_mes12[[#This Row],[IMPORTE NETO]]*0.21</f>
        <v>2543.8653719008266</v>
      </c>
      <c r="J1921" s="229"/>
      <c r="K1921" s="229"/>
      <c r="L1921" s="229">
        <v>14657.51</v>
      </c>
      <c r="M1921" s="55"/>
    </row>
    <row r="1922" spans="2:13" x14ac:dyDescent="0.3">
      <c r="B1922" s="223" t="s">
        <v>2482</v>
      </c>
      <c r="C1922" s="37">
        <v>6</v>
      </c>
      <c r="D1922" s="225">
        <v>11</v>
      </c>
      <c r="E1922" s="226">
        <v>30254</v>
      </c>
      <c r="F1922" s="227"/>
      <c r="G1922" s="1" t="str">
        <f>IFERROR(IF(ventas_b_mes12[[#This Row],[CUIT]]="","-",VLOOKUP(ventas_b_mes12[[#This Row],[CUIT]],Lista_CUIT[#All],2,0)),"CUIT NO CARGADO")</f>
        <v>-</v>
      </c>
      <c r="H1922" s="96">
        <f>ventas_b_mes12[[#This Row],[TOTAL]]/1.21</f>
        <v>3272.727272727273</v>
      </c>
      <c r="I1922" s="60">
        <f>ventas_b_mes12[[#This Row],[IMPORTE NETO]]*0.21</f>
        <v>687.27272727272725</v>
      </c>
      <c r="J1922" s="229"/>
      <c r="K1922" s="229"/>
      <c r="L1922" s="229">
        <v>3960</v>
      </c>
      <c r="M1922" s="55"/>
    </row>
    <row r="1923" spans="2:13" x14ac:dyDescent="0.3">
      <c r="B1923" s="223" t="s">
        <v>2482</v>
      </c>
      <c r="C1923" s="37">
        <v>6</v>
      </c>
      <c r="D1923" s="225">
        <v>11</v>
      </c>
      <c r="E1923" s="226">
        <v>30253</v>
      </c>
      <c r="F1923" s="227"/>
      <c r="G1923" s="1" t="str">
        <f>IFERROR(IF(ventas_b_mes12[[#This Row],[CUIT]]="","-",VLOOKUP(ventas_b_mes12[[#This Row],[CUIT]],Lista_CUIT[#All],2,0)),"CUIT NO CARGADO")</f>
        <v>-</v>
      </c>
      <c r="H1923" s="96">
        <f>ventas_b_mes12[[#This Row],[TOTAL]]/1.21</f>
        <v>17282.644628099173</v>
      </c>
      <c r="I1923" s="60">
        <f>ventas_b_mes12[[#This Row],[IMPORTE NETO]]*0.21</f>
        <v>3629.3553719008264</v>
      </c>
      <c r="J1923" s="229"/>
      <c r="K1923" s="229"/>
      <c r="L1923" s="229">
        <v>20912</v>
      </c>
      <c r="M1923" s="55"/>
    </row>
    <row r="1924" spans="2:13" x14ac:dyDescent="0.3">
      <c r="B1924" s="223" t="s">
        <v>2482</v>
      </c>
      <c r="C1924" s="37">
        <v>6</v>
      </c>
      <c r="D1924" s="225">
        <v>11</v>
      </c>
      <c r="E1924" s="226">
        <v>30263</v>
      </c>
      <c r="F1924" s="227"/>
      <c r="G1924" s="1" t="str">
        <f>IFERROR(IF(ventas_b_mes12[[#This Row],[CUIT]]="","-",VLOOKUP(ventas_b_mes12[[#This Row],[CUIT]],Lista_CUIT[#All],2,0)),"CUIT NO CARGADO")</f>
        <v>-</v>
      </c>
      <c r="H1924" s="96">
        <f>ventas_b_mes12[[#This Row],[TOTAL]]/1.21</f>
        <v>2314.0495867768595</v>
      </c>
      <c r="I1924" s="60">
        <f>ventas_b_mes12[[#This Row],[IMPORTE NETO]]*0.21</f>
        <v>485.95041322314046</v>
      </c>
      <c r="J1924" s="229"/>
      <c r="K1924" s="229"/>
      <c r="L1924" s="229">
        <v>2800</v>
      </c>
      <c r="M1924" s="55"/>
    </row>
    <row r="1925" spans="2:13" x14ac:dyDescent="0.3">
      <c r="B1925" s="223" t="s">
        <v>2482</v>
      </c>
      <c r="C1925" s="37">
        <v>6</v>
      </c>
      <c r="D1925" s="225">
        <v>10</v>
      </c>
      <c r="E1925" s="226">
        <v>44087</v>
      </c>
      <c r="F1925" s="227"/>
      <c r="G1925" s="1" t="str">
        <f>IFERROR(IF(ventas_b_mes12[[#This Row],[CUIT]]="","-",VLOOKUP(ventas_b_mes12[[#This Row],[CUIT]],Lista_CUIT[#All],2,0)),"CUIT NO CARGADO")</f>
        <v>-</v>
      </c>
      <c r="H1925" s="96">
        <f>ventas_b_mes12[[#This Row],[TOTAL]]/1.21</f>
        <v>23837.933884297523</v>
      </c>
      <c r="I1925" s="60">
        <f>ventas_b_mes12[[#This Row],[IMPORTE NETO]]*0.21</f>
        <v>5005.9661157024793</v>
      </c>
      <c r="J1925" s="229"/>
      <c r="K1925" s="229"/>
      <c r="L1925" s="229">
        <v>28843.9</v>
      </c>
      <c r="M1925" s="55"/>
    </row>
    <row r="1926" spans="2:13" x14ac:dyDescent="0.3">
      <c r="B1926" s="223" t="s">
        <v>2482</v>
      </c>
      <c r="C1926" s="37">
        <v>6</v>
      </c>
      <c r="D1926" s="225">
        <v>11</v>
      </c>
      <c r="E1926" s="226">
        <v>30257</v>
      </c>
      <c r="F1926" s="227"/>
      <c r="G1926" s="1" t="str">
        <f>IFERROR(IF(ventas_b_mes12[[#This Row],[CUIT]]="","-",VLOOKUP(ventas_b_mes12[[#This Row],[CUIT]],Lista_CUIT[#All],2,0)),"CUIT NO CARGADO")</f>
        <v>-</v>
      </c>
      <c r="H1926" s="96">
        <f>ventas_b_mes12[[#This Row],[TOTAL]]/1.21</f>
        <v>1239.6694214876034</v>
      </c>
      <c r="I1926" s="60">
        <f>ventas_b_mes12[[#This Row],[IMPORTE NETO]]*0.21</f>
        <v>260.3305785123967</v>
      </c>
      <c r="J1926" s="229"/>
      <c r="K1926" s="229"/>
      <c r="L1926" s="229">
        <v>1500</v>
      </c>
      <c r="M1926" s="55"/>
    </row>
    <row r="1927" spans="2:13" x14ac:dyDescent="0.3">
      <c r="B1927" s="223" t="s">
        <v>2482</v>
      </c>
      <c r="C1927" s="37">
        <v>6</v>
      </c>
      <c r="D1927" s="225">
        <v>10</v>
      </c>
      <c r="E1927" s="226">
        <v>44083</v>
      </c>
      <c r="F1927" s="227"/>
      <c r="G1927" s="1" t="str">
        <f>IFERROR(IF(ventas_b_mes12[[#This Row],[CUIT]]="","-",VLOOKUP(ventas_b_mes12[[#This Row],[CUIT]],Lista_CUIT[#All],2,0)),"CUIT NO CARGADO")</f>
        <v>-</v>
      </c>
      <c r="H1927" s="96">
        <f>ventas_b_mes12[[#This Row],[TOTAL]]/1.21</f>
        <v>3252.0661157024792</v>
      </c>
      <c r="I1927" s="60">
        <f>ventas_b_mes12[[#This Row],[IMPORTE NETO]]*0.21</f>
        <v>682.93388429752065</v>
      </c>
      <c r="J1927" s="229"/>
      <c r="K1927" s="229"/>
      <c r="L1927" s="229">
        <v>3935</v>
      </c>
      <c r="M1927" s="55"/>
    </row>
    <row r="1928" spans="2:13" x14ac:dyDescent="0.3">
      <c r="B1928" s="223" t="s">
        <v>2482</v>
      </c>
      <c r="C1928" s="37">
        <v>6</v>
      </c>
      <c r="D1928" s="225">
        <v>12</v>
      </c>
      <c r="E1928" s="226">
        <v>22694</v>
      </c>
      <c r="F1928" s="227"/>
      <c r="G1928" s="1" t="str">
        <f>IFERROR(IF(ventas_b_mes12[[#This Row],[CUIT]]="","-",VLOOKUP(ventas_b_mes12[[#This Row],[CUIT]],Lista_CUIT[#All],2,0)),"CUIT NO CARGADO")</f>
        <v>-</v>
      </c>
      <c r="H1928" s="96">
        <f>ventas_b_mes12[[#This Row],[TOTAL]]/1.21</f>
        <v>4958.6776859504134</v>
      </c>
      <c r="I1928" s="60">
        <f>ventas_b_mes12[[#This Row],[IMPORTE NETO]]*0.21</f>
        <v>1041.3223140495868</v>
      </c>
      <c r="J1928" s="229"/>
      <c r="K1928" s="229"/>
      <c r="L1928" s="229">
        <v>6000</v>
      </c>
      <c r="M1928" s="55"/>
    </row>
    <row r="1929" spans="2:13" x14ac:dyDescent="0.3">
      <c r="B1929" s="223" t="s">
        <v>2482</v>
      </c>
      <c r="C1929" s="37">
        <v>6</v>
      </c>
      <c r="D1929" s="225">
        <v>12</v>
      </c>
      <c r="E1929" s="226">
        <v>22693</v>
      </c>
      <c r="F1929" s="227"/>
      <c r="G1929" s="1" t="str">
        <f>IFERROR(IF(ventas_b_mes12[[#This Row],[CUIT]]="","-",VLOOKUP(ventas_b_mes12[[#This Row],[CUIT]],Lista_CUIT[#All],2,0)),"CUIT NO CARGADO")</f>
        <v>-</v>
      </c>
      <c r="H1929" s="96">
        <f>ventas_b_mes12[[#This Row],[TOTAL]]/1.21</f>
        <v>2776.8595041322315</v>
      </c>
      <c r="I1929" s="60">
        <f>ventas_b_mes12[[#This Row],[IMPORTE NETO]]*0.21</f>
        <v>583.14049586776855</v>
      </c>
      <c r="J1929" s="229"/>
      <c r="K1929" s="229"/>
      <c r="L1929" s="229">
        <v>3360</v>
      </c>
      <c r="M1929" s="55"/>
    </row>
    <row r="1930" spans="2:13" x14ac:dyDescent="0.3">
      <c r="B1930" s="223" t="s">
        <v>2482</v>
      </c>
      <c r="C1930" s="37">
        <v>6</v>
      </c>
      <c r="D1930" s="225">
        <v>12</v>
      </c>
      <c r="E1930" s="226">
        <v>22700</v>
      </c>
      <c r="F1930" s="227"/>
      <c r="G1930" s="1" t="str">
        <f>IFERROR(IF(ventas_b_mes12[[#This Row],[CUIT]]="","-",VLOOKUP(ventas_b_mes12[[#This Row],[CUIT]],Lista_CUIT[#All],2,0)),"CUIT NO CARGADO")</f>
        <v>-</v>
      </c>
      <c r="H1930" s="96">
        <f>ventas_b_mes12[[#This Row],[TOTAL]]/1.21</f>
        <v>1446.2809917355373</v>
      </c>
      <c r="I1930" s="60">
        <f>ventas_b_mes12[[#This Row],[IMPORTE NETO]]*0.21</f>
        <v>303.71900826446284</v>
      </c>
      <c r="J1930" s="229"/>
      <c r="K1930" s="229"/>
      <c r="L1930" s="229">
        <v>1750</v>
      </c>
      <c r="M1930" s="55"/>
    </row>
    <row r="1931" spans="2:13" x14ac:dyDescent="0.3">
      <c r="B1931" s="223" t="s">
        <v>2482</v>
      </c>
      <c r="C1931" s="37">
        <v>6</v>
      </c>
      <c r="D1931" s="225">
        <v>13</v>
      </c>
      <c r="E1931" s="226">
        <v>26922</v>
      </c>
      <c r="F1931" s="227"/>
      <c r="G1931" s="1" t="str">
        <f>IFERROR(IF(ventas_b_mes12[[#This Row],[CUIT]]="","-",VLOOKUP(ventas_b_mes12[[#This Row],[CUIT]],Lista_CUIT[#All],2,0)),"CUIT NO CARGADO")</f>
        <v>-</v>
      </c>
      <c r="H1931" s="96">
        <f>ventas_b_mes12[[#This Row],[TOTAL]]/1.21</f>
        <v>4586.7768595041325</v>
      </c>
      <c r="I1931" s="60">
        <f>ventas_b_mes12[[#This Row],[IMPORTE NETO]]*0.21</f>
        <v>963.22314049586782</v>
      </c>
      <c r="J1931" s="229"/>
      <c r="K1931" s="229"/>
      <c r="L1931" s="229">
        <v>5550</v>
      </c>
      <c r="M1931" s="55"/>
    </row>
    <row r="1932" spans="2:13" x14ac:dyDescent="0.3">
      <c r="B1932" s="223" t="s">
        <v>2482</v>
      </c>
      <c r="C1932" s="37">
        <v>6</v>
      </c>
      <c r="D1932" s="225">
        <v>12</v>
      </c>
      <c r="E1932" s="226">
        <v>22713</v>
      </c>
      <c r="F1932" s="227"/>
      <c r="G1932" s="1" t="str">
        <f>IFERROR(IF(ventas_b_mes12[[#This Row],[CUIT]]="","-",VLOOKUP(ventas_b_mes12[[#This Row],[CUIT]],Lista_CUIT[#All],2,0)),"CUIT NO CARGADO")</f>
        <v>-</v>
      </c>
      <c r="H1932" s="96">
        <f>ventas_b_mes12[[#This Row],[TOTAL]]/1.21</f>
        <v>12384.297520661157</v>
      </c>
      <c r="I1932" s="60">
        <f>ventas_b_mes12[[#This Row],[IMPORTE NETO]]*0.21</f>
        <v>2600.7024793388427</v>
      </c>
      <c r="J1932" s="229"/>
      <c r="K1932" s="229"/>
      <c r="L1932" s="229">
        <v>14985</v>
      </c>
      <c r="M1932" s="55"/>
    </row>
    <row r="1933" spans="2:13" x14ac:dyDescent="0.3">
      <c r="B1933" s="223" t="s">
        <v>2482</v>
      </c>
      <c r="C1933" s="37">
        <v>6</v>
      </c>
      <c r="D1933" s="225">
        <v>12</v>
      </c>
      <c r="E1933" s="226">
        <v>22711</v>
      </c>
      <c r="F1933" s="227"/>
      <c r="G1933" s="1" t="str">
        <f>IFERROR(IF(ventas_b_mes12[[#This Row],[CUIT]]="","-",VLOOKUP(ventas_b_mes12[[#This Row],[CUIT]],Lista_CUIT[#All],2,0)),"CUIT NO CARGADO")</f>
        <v>-</v>
      </c>
      <c r="H1933" s="96">
        <f>ventas_b_mes12[[#This Row],[TOTAL]]/1.21</f>
        <v>1338.8429752066115</v>
      </c>
      <c r="I1933" s="60">
        <f>ventas_b_mes12[[#This Row],[IMPORTE NETO]]*0.21</f>
        <v>281.15702479338842</v>
      </c>
      <c r="J1933" s="229"/>
      <c r="K1933" s="229"/>
      <c r="L1933" s="229">
        <v>1620</v>
      </c>
      <c r="M1933" s="55"/>
    </row>
    <row r="1934" spans="2:13" x14ac:dyDescent="0.3">
      <c r="B1934" s="223" t="s">
        <v>2482</v>
      </c>
      <c r="C1934" s="37">
        <v>6</v>
      </c>
      <c r="D1934" s="225">
        <v>12</v>
      </c>
      <c r="E1934" s="226">
        <v>22710</v>
      </c>
      <c r="F1934" s="227"/>
      <c r="G1934" s="1" t="str">
        <f>IFERROR(IF(ventas_b_mes12[[#This Row],[CUIT]]="","-",VLOOKUP(ventas_b_mes12[[#This Row],[CUIT]],Lista_CUIT[#All],2,0)),"CUIT NO CARGADO")</f>
        <v>-</v>
      </c>
      <c r="H1934" s="96">
        <f>ventas_b_mes12[[#This Row],[TOTAL]]/1.21</f>
        <v>4675.6280991735539</v>
      </c>
      <c r="I1934" s="60">
        <f>ventas_b_mes12[[#This Row],[IMPORTE NETO]]*0.21</f>
        <v>981.88190082644633</v>
      </c>
      <c r="J1934" s="229"/>
      <c r="K1934" s="229"/>
      <c r="L1934" s="229">
        <v>5657.51</v>
      </c>
      <c r="M1934" s="55"/>
    </row>
    <row r="1935" spans="2:13" x14ac:dyDescent="0.3">
      <c r="B1935" s="223" t="s">
        <v>2482</v>
      </c>
      <c r="C1935" s="37">
        <v>6</v>
      </c>
      <c r="D1935" s="225">
        <v>11</v>
      </c>
      <c r="E1935" s="226">
        <v>30265</v>
      </c>
      <c r="F1935" s="227"/>
      <c r="G1935" s="1" t="str">
        <f>IFERROR(IF(ventas_b_mes12[[#This Row],[CUIT]]="","-",VLOOKUP(ventas_b_mes12[[#This Row],[CUIT]],Lista_CUIT[#All],2,0)),"CUIT NO CARGADO")</f>
        <v>-</v>
      </c>
      <c r="H1935" s="96">
        <f>ventas_b_mes12[[#This Row],[TOTAL]]/1.21</f>
        <v>6074.3801652892562</v>
      </c>
      <c r="I1935" s="60">
        <f>ventas_b_mes12[[#This Row],[IMPORTE NETO]]*0.21</f>
        <v>1275.6198347107438</v>
      </c>
      <c r="J1935" s="229"/>
      <c r="K1935" s="229"/>
      <c r="L1935" s="229">
        <v>7350</v>
      </c>
      <c r="M1935" s="55"/>
    </row>
    <row r="1936" spans="2:13" x14ac:dyDescent="0.3">
      <c r="B1936" s="223" t="s">
        <v>2482</v>
      </c>
      <c r="C1936" s="37">
        <v>6</v>
      </c>
      <c r="D1936" s="225">
        <v>12</v>
      </c>
      <c r="E1936" s="226">
        <v>22699</v>
      </c>
      <c r="F1936" s="227"/>
      <c r="G1936" s="1" t="str">
        <f>IFERROR(IF(ventas_b_mes12[[#This Row],[CUIT]]="","-",VLOOKUP(ventas_b_mes12[[#This Row],[CUIT]],Lista_CUIT[#All],2,0)),"CUIT NO CARGADO")</f>
        <v>-</v>
      </c>
      <c r="H1936" s="96">
        <f>ventas_b_mes12[[#This Row],[TOTAL]]/1.21</f>
        <v>2892.5619834710747</v>
      </c>
      <c r="I1936" s="60">
        <f>ventas_b_mes12[[#This Row],[IMPORTE NETO]]*0.21</f>
        <v>607.43801652892569</v>
      </c>
      <c r="J1936" s="229"/>
      <c r="K1936" s="229"/>
      <c r="L1936" s="229">
        <v>3500</v>
      </c>
      <c r="M1936" s="55"/>
    </row>
    <row r="1937" spans="2:13" x14ac:dyDescent="0.3">
      <c r="B1937" s="223" t="s">
        <v>2482</v>
      </c>
      <c r="C1937" s="37">
        <v>6</v>
      </c>
      <c r="D1937" s="225">
        <v>12</v>
      </c>
      <c r="E1937" s="226">
        <v>22712</v>
      </c>
      <c r="F1937" s="227"/>
      <c r="G1937" s="1" t="str">
        <f>IFERROR(IF(ventas_b_mes12[[#This Row],[CUIT]]="","-",VLOOKUP(ventas_b_mes12[[#This Row],[CUIT]],Lista_CUIT[#All],2,0)),"CUIT NO CARGADO")</f>
        <v>-</v>
      </c>
      <c r="H1937" s="96">
        <f>ventas_b_mes12[[#This Row],[TOTAL]]/1.21</f>
        <v>5388.4297520661157</v>
      </c>
      <c r="I1937" s="60">
        <f>ventas_b_mes12[[#This Row],[IMPORTE NETO]]*0.21</f>
        <v>1131.5702479338843</v>
      </c>
      <c r="J1937" s="229"/>
      <c r="K1937" s="229"/>
      <c r="L1937" s="229">
        <v>6520</v>
      </c>
      <c r="M1937" s="55"/>
    </row>
    <row r="1938" spans="2:13" x14ac:dyDescent="0.3">
      <c r="B1938" s="223" t="s">
        <v>2482</v>
      </c>
      <c r="C1938" s="37">
        <v>6</v>
      </c>
      <c r="D1938" s="225">
        <v>15</v>
      </c>
      <c r="E1938" s="226">
        <v>7325</v>
      </c>
      <c r="F1938" s="227"/>
      <c r="G1938" s="1" t="str">
        <f>IFERROR(IF(ventas_b_mes12[[#This Row],[CUIT]]="","-",VLOOKUP(ventas_b_mes12[[#This Row],[CUIT]],Lista_CUIT[#All],2,0)),"CUIT NO CARGADO")</f>
        <v>-</v>
      </c>
      <c r="H1938" s="96">
        <f>ventas_b_mes12[[#This Row],[TOTAL]]/1.21</f>
        <v>1157.0330578512396</v>
      </c>
      <c r="I1938" s="60">
        <f>ventas_b_mes12[[#This Row],[IMPORTE NETO]]*0.21</f>
        <v>242.97694214876032</v>
      </c>
      <c r="J1938" s="229"/>
      <c r="K1938" s="229"/>
      <c r="L1938" s="229">
        <v>1400.01</v>
      </c>
      <c r="M1938" s="55"/>
    </row>
    <row r="1939" spans="2:13" x14ac:dyDescent="0.3">
      <c r="B1939" s="223" t="s">
        <v>2482</v>
      </c>
      <c r="C1939" s="37">
        <v>6</v>
      </c>
      <c r="D1939" s="225">
        <v>12</v>
      </c>
      <c r="E1939" s="226">
        <v>22692</v>
      </c>
      <c r="F1939" s="227"/>
      <c r="G1939" s="1" t="str">
        <f>IFERROR(IF(ventas_b_mes12[[#This Row],[CUIT]]="","-",VLOOKUP(ventas_b_mes12[[#This Row],[CUIT]],Lista_CUIT[#All],2,0)),"CUIT NO CARGADO")</f>
        <v>-</v>
      </c>
      <c r="H1939" s="96">
        <f>ventas_b_mes12[[#This Row],[TOTAL]]/1.21</f>
        <v>4958.6776859504134</v>
      </c>
      <c r="I1939" s="60">
        <f>ventas_b_mes12[[#This Row],[IMPORTE NETO]]*0.21</f>
        <v>1041.3223140495868</v>
      </c>
      <c r="J1939" s="229"/>
      <c r="K1939" s="229"/>
      <c r="L1939" s="229">
        <v>6000</v>
      </c>
      <c r="M1939" s="55"/>
    </row>
    <row r="1940" spans="2:13" x14ac:dyDescent="0.3">
      <c r="B1940" s="223" t="s">
        <v>2482</v>
      </c>
      <c r="C1940" s="37">
        <v>6</v>
      </c>
      <c r="D1940" s="225">
        <v>11</v>
      </c>
      <c r="E1940" s="226">
        <v>30269</v>
      </c>
      <c r="F1940" s="227"/>
      <c r="G1940" s="1" t="str">
        <f>IFERROR(IF(ventas_b_mes12[[#This Row],[CUIT]]="","-",VLOOKUP(ventas_b_mes12[[#This Row],[CUIT]],Lista_CUIT[#All],2,0)),"CUIT NO CARGADO")</f>
        <v>-</v>
      </c>
      <c r="H1940" s="96">
        <f>ventas_b_mes12[[#This Row],[TOTAL]]/1.21</f>
        <v>4388.4297520661157</v>
      </c>
      <c r="I1940" s="60">
        <f>ventas_b_mes12[[#This Row],[IMPORTE NETO]]*0.21</f>
        <v>921.57024793388427</v>
      </c>
      <c r="J1940" s="229"/>
      <c r="K1940" s="229"/>
      <c r="L1940" s="229">
        <v>5310</v>
      </c>
      <c r="M1940" s="55"/>
    </row>
    <row r="1941" spans="2:13" x14ac:dyDescent="0.3">
      <c r="B1941" s="223" t="s">
        <v>2482</v>
      </c>
      <c r="C1941" s="37">
        <v>6</v>
      </c>
      <c r="D1941" s="225">
        <v>10</v>
      </c>
      <c r="E1941" s="226">
        <v>44090</v>
      </c>
      <c r="F1941" s="227"/>
      <c r="G1941" s="1" t="str">
        <f>IFERROR(IF(ventas_b_mes12[[#This Row],[CUIT]]="","-",VLOOKUP(ventas_b_mes12[[#This Row],[CUIT]],Lista_CUIT[#All],2,0)),"CUIT NO CARGADO")</f>
        <v>-</v>
      </c>
      <c r="H1941" s="96">
        <f>ventas_b_mes12[[#This Row],[TOTAL]]/1.21</f>
        <v>21030.330578512399</v>
      </c>
      <c r="I1941" s="60">
        <f>ventas_b_mes12[[#This Row],[IMPORTE NETO]]*0.21</f>
        <v>4416.3694214876041</v>
      </c>
      <c r="J1941" s="229"/>
      <c r="K1941" s="229"/>
      <c r="L1941" s="229">
        <v>25446.7</v>
      </c>
      <c r="M1941" s="55"/>
    </row>
    <row r="1942" spans="2:13" x14ac:dyDescent="0.3">
      <c r="B1942" s="223" t="s">
        <v>2482</v>
      </c>
      <c r="C1942" s="37">
        <v>6</v>
      </c>
      <c r="D1942" s="225">
        <v>12</v>
      </c>
      <c r="E1942" s="226">
        <v>22702</v>
      </c>
      <c r="F1942" s="227"/>
      <c r="G1942" s="1" t="str">
        <f>IFERROR(IF(ventas_b_mes12[[#This Row],[CUIT]]="","-",VLOOKUP(ventas_b_mes12[[#This Row],[CUIT]],Lista_CUIT[#All],2,0)),"CUIT NO CARGADO")</f>
        <v>-</v>
      </c>
      <c r="H1942" s="96">
        <f>ventas_b_mes12[[#This Row],[TOTAL]]/1.21</f>
        <v>2148.7603305785124</v>
      </c>
      <c r="I1942" s="60">
        <f>ventas_b_mes12[[#This Row],[IMPORTE NETO]]*0.21</f>
        <v>451.23966942148758</v>
      </c>
      <c r="J1942" s="229"/>
      <c r="K1942" s="229"/>
      <c r="L1942" s="229">
        <v>2600</v>
      </c>
      <c r="M1942" s="55"/>
    </row>
    <row r="1943" spans="2:13" x14ac:dyDescent="0.3">
      <c r="B1943" s="223" t="s">
        <v>2482</v>
      </c>
      <c r="C1943" s="37">
        <v>6</v>
      </c>
      <c r="D1943" s="225">
        <v>11</v>
      </c>
      <c r="E1943" s="226">
        <v>30259</v>
      </c>
      <c r="F1943" s="227"/>
      <c r="G1943" s="1" t="str">
        <f>IFERROR(IF(ventas_b_mes12[[#This Row],[CUIT]]="","-",VLOOKUP(ventas_b_mes12[[#This Row],[CUIT]],Lista_CUIT[#All],2,0)),"CUIT NO CARGADO")</f>
        <v>-</v>
      </c>
      <c r="H1943" s="96">
        <f>ventas_b_mes12[[#This Row],[TOTAL]]/1.21</f>
        <v>1363.6363636363637</v>
      </c>
      <c r="I1943" s="60">
        <f>ventas_b_mes12[[#This Row],[IMPORTE NETO]]*0.21</f>
        <v>286.36363636363637</v>
      </c>
      <c r="J1943" s="229"/>
      <c r="K1943" s="229"/>
      <c r="L1943" s="229">
        <v>1650</v>
      </c>
      <c r="M1943" s="55"/>
    </row>
    <row r="1944" spans="2:13" x14ac:dyDescent="0.3">
      <c r="B1944" s="223" t="s">
        <v>2482</v>
      </c>
      <c r="C1944" s="37">
        <v>6</v>
      </c>
      <c r="D1944" s="225">
        <v>12</v>
      </c>
      <c r="E1944" s="226">
        <v>22704</v>
      </c>
      <c r="F1944" s="227"/>
      <c r="G1944" s="1" t="str">
        <f>IFERROR(IF(ventas_b_mes12[[#This Row],[CUIT]]="","-",VLOOKUP(ventas_b_mes12[[#This Row],[CUIT]],Lista_CUIT[#All],2,0)),"CUIT NO CARGADO")</f>
        <v>-</v>
      </c>
      <c r="H1944" s="96">
        <f>ventas_b_mes12[[#This Row],[TOTAL]]/1.21</f>
        <v>9917.3553719008269</v>
      </c>
      <c r="I1944" s="60">
        <f>ventas_b_mes12[[#This Row],[IMPORTE NETO]]*0.21</f>
        <v>2082.6446280991736</v>
      </c>
      <c r="J1944" s="229"/>
      <c r="K1944" s="229"/>
      <c r="L1944" s="229">
        <v>12000</v>
      </c>
      <c r="M1944" s="55"/>
    </row>
    <row r="1945" spans="2:13" x14ac:dyDescent="0.3">
      <c r="B1945" s="223" t="s">
        <v>2482</v>
      </c>
      <c r="C1945" s="37">
        <v>6</v>
      </c>
      <c r="D1945" s="225">
        <v>12</v>
      </c>
      <c r="E1945" s="226">
        <v>22695</v>
      </c>
      <c r="F1945" s="227"/>
      <c r="G1945" s="1" t="str">
        <f>IFERROR(IF(ventas_b_mes12[[#This Row],[CUIT]]="","-",VLOOKUP(ventas_b_mes12[[#This Row],[CUIT]],Lista_CUIT[#All],2,0)),"CUIT NO CARGADO")</f>
        <v>-</v>
      </c>
      <c r="H1945" s="96">
        <f>ventas_b_mes12[[#This Row],[TOTAL]]/1.21</f>
        <v>7348.7768595041325</v>
      </c>
      <c r="I1945" s="60">
        <f>ventas_b_mes12[[#This Row],[IMPORTE NETO]]*0.21</f>
        <v>1543.2431404958677</v>
      </c>
      <c r="J1945" s="229"/>
      <c r="K1945" s="229"/>
      <c r="L1945" s="229">
        <v>8892.02</v>
      </c>
      <c r="M1945" s="55"/>
    </row>
    <row r="1946" spans="2:13" x14ac:dyDescent="0.3">
      <c r="B1946" s="223" t="s">
        <v>2482</v>
      </c>
      <c r="C1946" s="37">
        <v>6</v>
      </c>
      <c r="D1946" s="225">
        <v>11</v>
      </c>
      <c r="E1946" s="226">
        <v>30249</v>
      </c>
      <c r="F1946" s="227"/>
      <c r="G1946" s="1" t="str">
        <f>IFERROR(IF(ventas_b_mes12[[#This Row],[CUIT]]="","-",VLOOKUP(ventas_b_mes12[[#This Row],[CUIT]],Lista_CUIT[#All],2,0)),"CUIT NO CARGADO")</f>
        <v>-</v>
      </c>
      <c r="H1946" s="96">
        <f>ventas_b_mes12[[#This Row],[TOTAL]]/1.21</f>
        <v>4958.6776859504134</v>
      </c>
      <c r="I1946" s="60">
        <f>ventas_b_mes12[[#This Row],[IMPORTE NETO]]*0.21</f>
        <v>1041.3223140495868</v>
      </c>
      <c r="J1946" s="229"/>
      <c r="K1946" s="229"/>
      <c r="L1946" s="229">
        <v>6000</v>
      </c>
      <c r="M1946" s="55"/>
    </row>
    <row r="1947" spans="2:13" x14ac:dyDescent="0.3">
      <c r="B1947" s="223" t="s">
        <v>2483</v>
      </c>
      <c r="C1947" s="37">
        <v>6</v>
      </c>
      <c r="D1947" s="225">
        <v>11</v>
      </c>
      <c r="E1947" s="226">
        <v>30274</v>
      </c>
      <c r="F1947" s="227"/>
      <c r="G1947" s="1" t="str">
        <f>IFERROR(IF(ventas_b_mes12[[#This Row],[CUIT]]="","-",VLOOKUP(ventas_b_mes12[[#This Row],[CUIT]],Lista_CUIT[#All],2,0)),"CUIT NO CARGADO")</f>
        <v>-</v>
      </c>
      <c r="H1947" s="96">
        <f>ventas_b_mes12[[#This Row],[TOTAL]]/1.21</f>
        <v>3719.0082644628101</v>
      </c>
      <c r="I1947" s="60">
        <f>ventas_b_mes12[[#This Row],[IMPORTE NETO]]*0.21</f>
        <v>780.99173553719004</v>
      </c>
      <c r="J1947" s="229"/>
      <c r="K1947" s="229"/>
      <c r="L1947" s="229">
        <v>4500</v>
      </c>
      <c r="M1947" s="55"/>
    </row>
    <row r="1948" spans="2:13" x14ac:dyDescent="0.3">
      <c r="B1948" s="223" t="s">
        <v>2483</v>
      </c>
      <c r="C1948" s="37">
        <v>6</v>
      </c>
      <c r="D1948" s="225">
        <v>10</v>
      </c>
      <c r="E1948" s="226">
        <v>44112</v>
      </c>
      <c r="F1948" s="227"/>
      <c r="G1948" s="1" t="str">
        <f>IFERROR(IF(ventas_b_mes12[[#This Row],[CUIT]]="","-",VLOOKUP(ventas_b_mes12[[#This Row],[CUIT]],Lista_CUIT[#All],2,0)),"CUIT NO CARGADO")</f>
        <v>-</v>
      </c>
      <c r="H1948" s="96">
        <f>ventas_b_mes12[[#This Row],[TOTAL]]/1.21</f>
        <v>10301.652892561984</v>
      </c>
      <c r="I1948" s="60">
        <f>ventas_b_mes12[[#This Row],[IMPORTE NETO]]*0.21</f>
        <v>2163.3471074380168</v>
      </c>
      <c r="J1948" s="229"/>
      <c r="K1948" s="229"/>
      <c r="L1948" s="229">
        <v>12465</v>
      </c>
      <c r="M1948" s="55"/>
    </row>
    <row r="1949" spans="2:13" x14ac:dyDescent="0.3">
      <c r="B1949" s="223" t="s">
        <v>2483</v>
      </c>
      <c r="C1949" s="37">
        <v>6</v>
      </c>
      <c r="D1949" s="225">
        <v>15</v>
      </c>
      <c r="E1949" s="226">
        <v>7334</v>
      </c>
      <c r="F1949" s="227"/>
      <c r="G1949" s="1" t="str">
        <f>IFERROR(IF(ventas_b_mes12[[#This Row],[CUIT]]="","-",VLOOKUP(ventas_b_mes12[[#This Row],[CUIT]],Lista_CUIT[#All],2,0)),"CUIT NO CARGADO")</f>
        <v>-</v>
      </c>
      <c r="H1949" s="96">
        <f>ventas_b_mes12[[#This Row],[TOTAL]]/1.21</f>
        <v>3702.4793388429753</v>
      </c>
      <c r="I1949" s="60">
        <f>ventas_b_mes12[[#This Row],[IMPORTE NETO]]*0.21</f>
        <v>777.52066115702473</v>
      </c>
      <c r="J1949" s="229"/>
      <c r="K1949" s="229"/>
      <c r="L1949" s="229">
        <v>4480</v>
      </c>
      <c r="M1949" s="55"/>
    </row>
    <row r="1950" spans="2:13" x14ac:dyDescent="0.3">
      <c r="B1950" s="223" t="s">
        <v>2483</v>
      </c>
      <c r="C1950" s="37">
        <v>6</v>
      </c>
      <c r="D1950" s="225">
        <v>13</v>
      </c>
      <c r="E1950" s="226">
        <v>26930</v>
      </c>
      <c r="F1950" s="227"/>
      <c r="G1950" s="1" t="str">
        <f>IFERROR(IF(ventas_b_mes12[[#This Row],[CUIT]]="","-",VLOOKUP(ventas_b_mes12[[#This Row],[CUIT]],Lista_CUIT[#All],2,0)),"CUIT NO CARGADO")</f>
        <v>-</v>
      </c>
      <c r="H1950" s="96">
        <f>ventas_b_mes12[[#This Row],[TOTAL]]/1.21</f>
        <v>4115.7024793388427</v>
      </c>
      <c r="I1950" s="60">
        <f>ventas_b_mes12[[#This Row],[IMPORTE NETO]]*0.21</f>
        <v>864.29752066115691</v>
      </c>
      <c r="J1950" s="229"/>
      <c r="K1950" s="229"/>
      <c r="L1950" s="229">
        <v>4980</v>
      </c>
      <c r="M1950" s="55"/>
    </row>
    <row r="1951" spans="2:13" x14ac:dyDescent="0.3">
      <c r="B1951" s="223" t="s">
        <v>2483</v>
      </c>
      <c r="C1951" s="37">
        <v>6</v>
      </c>
      <c r="D1951" s="225">
        <v>12</v>
      </c>
      <c r="E1951" s="226">
        <v>22725</v>
      </c>
      <c r="F1951" s="227"/>
      <c r="G1951" s="1" t="str">
        <f>IFERROR(IF(ventas_b_mes12[[#This Row],[CUIT]]="","-",VLOOKUP(ventas_b_mes12[[#This Row],[CUIT]],Lista_CUIT[#All],2,0)),"CUIT NO CARGADO")</f>
        <v>-</v>
      </c>
      <c r="H1951" s="96">
        <f>ventas_b_mes12[[#This Row],[TOTAL]]/1.21</f>
        <v>10747.933884297521</v>
      </c>
      <c r="I1951" s="60">
        <f>ventas_b_mes12[[#This Row],[IMPORTE NETO]]*0.21</f>
        <v>2257.0661157024792</v>
      </c>
      <c r="J1951" s="229"/>
      <c r="K1951" s="229"/>
      <c r="L1951" s="229">
        <v>13005</v>
      </c>
      <c r="M1951" s="55"/>
    </row>
    <row r="1952" spans="2:13" x14ac:dyDescent="0.3">
      <c r="B1952" s="223" t="s">
        <v>2483</v>
      </c>
      <c r="C1952" s="37">
        <v>6</v>
      </c>
      <c r="D1952" s="225">
        <v>13</v>
      </c>
      <c r="E1952" s="226">
        <v>26931</v>
      </c>
      <c r="F1952" s="227"/>
      <c r="G1952" s="1" t="str">
        <f>IFERROR(IF(ventas_b_mes12[[#This Row],[CUIT]]="","-",VLOOKUP(ventas_b_mes12[[#This Row],[CUIT]],Lista_CUIT[#All],2,0)),"CUIT NO CARGADO")</f>
        <v>-</v>
      </c>
      <c r="H1952" s="96">
        <f>ventas_b_mes12[[#This Row],[TOTAL]]/1.21</f>
        <v>6090.9173553719011</v>
      </c>
      <c r="I1952" s="60">
        <f>ventas_b_mes12[[#This Row],[IMPORTE NETO]]*0.21</f>
        <v>1279.0926446280992</v>
      </c>
      <c r="J1952" s="229"/>
      <c r="K1952" s="229"/>
      <c r="L1952" s="229">
        <v>7370.01</v>
      </c>
      <c r="M1952" s="55"/>
    </row>
    <row r="1953" spans="2:13" x14ac:dyDescent="0.3">
      <c r="B1953" s="223" t="s">
        <v>2483</v>
      </c>
      <c r="C1953" s="37">
        <v>6</v>
      </c>
      <c r="D1953" s="225">
        <v>13</v>
      </c>
      <c r="E1953" s="226">
        <v>26929</v>
      </c>
      <c r="F1953" s="227"/>
      <c r="G1953" s="1" t="str">
        <f>IFERROR(IF(ventas_b_mes12[[#This Row],[CUIT]]="","-",VLOOKUP(ventas_b_mes12[[#This Row],[CUIT]],Lista_CUIT[#All],2,0)),"CUIT NO CARGADO")</f>
        <v>-</v>
      </c>
      <c r="H1953" s="96">
        <f>ventas_b_mes12[[#This Row],[TOTAL]]/1.21</f>
        <v>10533.04958677686</v>
      </c>
      <c r="I1953" s="60">
        <f>ventas_b_mes12[[#This Row],[IMPORTE NETO]]*0.21</f>
        <v>2211.9404132231407</v>
      </c>
      <c r="J1953" s="229"/>
      <c r="K1953" s="229"/>
      <c r="L1953" s="229">
        <v>12744.99</v>
      </c>
      <c r="M1953" s="55"/>
    </row>
    <row r="1954" spans="2:13" x14ac:dyDescent="0.3">
      <c r="B1954" s="223" t="s">
        <v>2483</v>
      </c>
      <c r="C1954" s="37">
        <v>6</v>
      </c>
      <c r="D1954" s="225">
        <v>13</v>
      </c>
      <c r="E1954" s="226">
        <v>26927</v>
      </c>
      <c r="F1954" s="227"/>
      <c r="G1954" s="1" t="str">
        <f>IFERROR(IF(ventas_b_mes12[[#This Row],[CUIT]]="","-",VLOOKUP(ventas_b_mes12[[#This Row],[CUIT]],Lista_CUIT[#All],2,0)),"CUIT NO CARGADO")</f>
        <v>-</v>
      </c>
      <c r="H1954" s="96">
        <f>ventas_b_mes12[[#This Row],[TOTAL]]/1.21</f>
        <v>5289.2561983471078</v>
      </c>
      <c r="I1954" s="60">
        <f>ventas_b_mes12[[#This Row],[IMPORTE NETO]]*0.21</f>
        <v>1110.7438016528927</v>
      </c>
      <c r="J1954" s="229"/>
      <c r="K1954" s="229"/>
      <c r="L1954" s="229">
        <v>6400</v>
      </c>
      <c r="M1954" s="55"/>
    </row>
    <row r="1955" spans="2:13" x14ac:dyDescent="0.3">
      <c r="B1955" s="223" t="s">
        <v>2483</v>
      </c>
      <c r="C1955" s="37">
        <v>6</v>
      </c>
      <c r="D1955" s="225">
        <v>11</v>
      </c>
      <c r="E1955" s="226">
        <v>30286</v>
      </c>
      <c r="F1955" s="227"/>
      <c r="G1955" s="1" t="str">
        <f>IFERROR(IF(ventas_b_mes12[[#This Row],[CUIT]]="","-",VLOOKUP(ventas_b_mes12[[#This Row],[CUIT]],Lista_CUIT[#All],2,0)),"CUIT NO CARGADO")</f>
        <v>-</v>
      </c>
      <c r="H1955" s="96">
        <f>ventas_b_mes12[[#This Row],[TOTAL]]/1.21</f>
        <v>466.94214876033061</v>
      </c>
      <c r="I1955" s="60">
        <f>ventas_b_mes12[[#This Row],[IMPORTE NETO]]*0.21</f>
        <v>98.057851239669418</v>
      </c>
      <c r="J1955" s="229"/>
      <c r="K1955" s="229"/>
      <c r="L1955" s="229">
        <v>565</v>
      </c>
      <c r="M1955" s="55"/>
    </row>
    <row r="1956" spans="2:13" x14ac:dyDescent="0.3">
      <c r="B1956" s="223" t="s">
        <v>2483</v>
      </c>
      <c r="C1956" s="37">
        <v>6</v>
      </c>
      <c r="D1956" s="225">
        <v>15</v>
      </c>
      <c r="E1956" s="226">
        <v>7331</v>
      </c>
      <c r="F1956" s="227"/>
      <c r="G1956" s="1" t="str">
        <f>IFERROR(IF(ventas_b_mes12[[#This Row],[CUIT]]="","-",VLOOKUP(ventas_b_mes12[[#This Row],[CUIT]],Lista_CUIT[#All],2,0)),"CUIT NO CARGADO")</f>
        <v>-</v>
      </c>
      <c r="H1956" s="96">
        <f>ventas_b_mes12[[#This Row],[TOTAL]]/1.21</f>
        <v>4628.0991735537191</v>
      </c>
      <c r="I1956" s="60">
        <f>ventas_b_mes12[[#This Row],[IMPORTE NETO]]*0.21</f>
        <v>971.90082644628092</v>
      </c>
      <c r="J1956" s="229"/>
      <c r="K1956" s="229"/>
      <c r="L1956" s="229">
        <v>5600</v>
      </c>
      <c r="M1956" s="55"/>
    </row>
    <row r="1957" spans="2:13" x14ac:dyDescent="0.3">
      <c r="B1957" s="223" t="s">
        <v>2483</v>
      </c>
      <c r="C1957" s="37">
        <v>6</v>
      </c>
      <c r="D1957" s="225">
        <v>10</v>
      </c>
      <c r="E1957" s="226">
        <v>44119</v>
      </c>
      <c r="F1957" s="227"/>
      <c r="G1957" s="1" t="str">
        <f>IFERROR(IF(ventas_b_mes12[[#This Row],[CUIT]]="","-",VLOOKUP(ventas_b_mes12[[#This Row],[CUIT]],Lista_CUIT[#All],2,0)),"CUIT NO CARGADO")</f>
        <v>-</v>
      </c>
      <c r="H1957" s="96">
        <f>ventas_b_mes12[[#This Row],[TOTAL]]/1.21</f>
        <v>1322.3140495867769</v>
      </c>
      <c r="I1957" s="60">
        <f>ventas_b_mes12[[#This Row],[IMPORTE NETO]]*0.21</f>
        <v>277.68595041322317</v>
      </c>
      <c r="J1957" s="229"/>
      <c r="K1957" s="229"/>
      <c r="L1957" s="229">
        <v>1600</v>
      </c>
      <c r="M1957" s="55"/>
    </row>
    <row r="1958" spans="2:13" x14ac:dyDescent="0.3">
      <c r="B1958" s="223" t="s">
        <v>2483</v>
      </c>
      <c r="C1958" s="37">
        <v>6</v>
      </c>
      <c r="D1958" s="225">
        <v>10</v>
      </c>
      <c r="E1958" s="226">
        <v>44109</v>
      </c>
      <c r="F1958" s="227"/>
      <c r="G1958" s="1" t="str">
        <f>IFERROR(IF(ventas_b_mes12[[#This Row],[CUIT]]="","-",VLOOKUP(ventas_b_mes12[[#This Row],[CUIT]],Lista_CUIT[#All],2,0)),"CUIT NO CARGADO")</f>
        <v>-</v>
      </c>
      <c r="H1958" s="96">
        <f>ventas_b_mes12[[#This Row],[TOTAL]]/1.21</f>
        <v>8439.6859504132244</v>
      </c>
      <c r="I1958" s="60">
        <f>ventas_b_mes12[[#This Row],[IMPORTE NETO]]*0.21</f>
        <v>1772.3340495867772</v>
      </c>
      <c r="J1958" s="229"/>
      <c r="K1958" s="229"/>
      <c r="L1958" s="229">
        <v>10212.02</v>
      </c>
      <c r="M1958" s="55"/>
    </row>
    <row r="1959" spans="2:13" x14ac:dyDescent="0.3">
      <c r="B1959" s="223" t="s">
        <v>2483</v>
      </c>
      <c r="C1959" s="37">
        <v>6</v>
      </c>
      <c r="D1959" s="225">
        <v>12</v>
      </c>
      <c r="E1959" s="226">
        <v>22722</v>
      </c>
      <c r="F1959" s="227"/>
      <c r="G1959" s="1" t="str">
        <f>IFERROR(IF(ventas_b_mes12[[#This Row],[CUIT]]="","-",VLOOKUP(ventas_b_mes12[[#This Row],[CUIT]],Lista_CUIT[#All],2,0)),"CUIT NO CARGADO")</f>
        <v>-</v>
      </c>
      <c r="H1959" s="96">
        <f>ventas_b_mes12[[#This Row],[TOTAL]]/1.21</f>
        <v>5785.1239669421493</v>
      </c>
      <c r="I1959" s="60">
        <f>ventas_b_mes12[[#This Row],[IMPORTE NETO]]*0.21</f>
        <v>1214.8760330578514</v>
      </c>
      <c r="J1959" s="229"/>
      <c r="K1959" s="229"/>
      <c r="L1959" s="229">
        <v>7000</v>
      </c>
      <c r="M1959" s="55"/>
    </row>
    <row r="1960" spans="2:13" x14ac:dyDescent="0.3">
      <c r="B1960" s="223" t="s">
        <v>2483</v>
      </c>
      <c r="C1960" s="37">
        <v>6</v>
      </c>
      <c r="D1960" s="225">
        <v>13</v>
      </c>
      <c r="E1960" s="226">
        <v>26928</v>
      </c>
      <c r="F1960" s="227"/>
      <c r="G1960" s="1" t="str">
        <f>IFERROR(IF(ventas_b_mes12[[#This Row],[CUIT]]="","-",VLOOKUP(ventas_b_mes12[[#This Row],[CUIT]],Lista_CUIT[#All],2,0)),"CUIT NO CARGADO")</f>
        <v>-</v>
      </c>
      <c r="H1960" s="96">
        <f>ventas_b_mes12[[#This Row],[TOTAL]]/1.21</f>
        <v>1363.6363636363637</v>
      </c>
      <c r="I1960" s="60">
        <f>ventas_b_mes12[[#This Row],[IMPORTE NETO]]*0.21</f>
        <v>286.36363636363637</v>
      </c>
      <c r="J1960" s="229"/>
      <c r="K1960" s="229"/>
      <c r="L1960" s="229">
        <v>1650</v>
      </c>
      <c r="M1960" s="55"/>
    </row>
    <row r="1961" spans="2:13" x14ac:dyDescent="0.3">
      <c r="B1961" s="223" t="s">
        <v>2483</v>
      </c>
      <c r="C1961" s="37">
        <v>6</v>
      </c>
      <c r="D1961" s="225">
        <v>15</v>
      </c>
      <c r="E1961" s="226">
        <v>7333</v>
      </c>
      <c r="F1961" s="227"/>
      <c r="G1961" s="1" t="str">
        <f>IFERROR(IF(ventas_b_mes12[[#This Row],[CUIT]]="","-",VLOOKUP(ventas_b_mes12[[#This Row],[CUIT]],Lista_CUIT[#All],2,0)),"CUIT NO CARGADO")</f>
        <v>-</v>
      </c>
      <c r="H1961" s="96">
        <f>ventas_b_mes12[[#This Row],[TOTAL]]/1.21</f>
        <v>241.73553719008265</v>
      </c>
      <c r="I1961" s="60">
        <f>ventas_b_mes12[[#This Row],[IMPORTE NETO]]*0.21</f>
        <v>50.764462809917354</v>
      </c>
      <c r="J1961" s="229"/>
      <c r="K1961" s="229"/>
      <c r="L1961" s="229">
        <v>292.5</v>
      </c>
      <c r="M1961" s="55"/>
    </row>
    <row r="1962" spans="2:13" x14ac:dyDescent="0.3">
      <c r="B1962" s="223" t="s">
        <v>2483</v>
      </c>
      <c r="C1962" s="37">
        <v>6</v>
      </c>
      <c r="D1962" s="225">
        <v>12</v>
      </c>
      <c r="E1962" s="226">
        <v>22728</v>
      </c>
      <c r="F1962" s="227"/>
      <c r="G1962" s="1" t="str">
        <f>IFERROR(IF(ventas_b_mes12[[#This Row],[CUIT]]="","-",VLOOKUP(ventas_b_mes12[[#This Row],[CUIT]],Lista_CUIT[#All],2,0)),"CUIT NO CARGADO")</f>
        <v>-</v>
      </c>
      <c r="H1962" s="96">
        <f>ventas_b_mes12[[#This Row],[TOTAL]]/1.21</f>
        <v>4958.6776859504134</v>
      </c>
      <c r="I1962" s="60">
        <f>ventas_b_mes12[[#This Row],[IMPORTE NETO]]*0.21</f>
        <v>1041.3223140495868</v>
      </c>
      <c r="J1962" s="229"/>
      <c r="K1962" s="229"/>
      <c r="L1962" s="229">
        <v>6000</v>
      </c>
      <c r="M1962" s="55"/>
    </row>
    <row r="1963" spans="2:13" x14ac:dyDescent="0.3">
      <c r="B1963" s="223" t="s">
        <v>2483</v>
      </c>
      <c r="C1963" s="37">
        <v>6</v>
      </c>
      <c r="D1963" s="225">
        <v>10</v>
      </c>
      <c r="E1963" s="226">
        <v>44108</v>
      </c>
      <c r="F1963" s="227"/>
      <c r="G1963" s="1" t="str">
        <f>IFERROR(IF(ventas_b_mes12[[#This Row],[CUIT]]="","-",VLOOKUP(ventas_b_mes12[[#This Row],[CUIT]],Lista_CUIT[#All],2,0)),"CUIT NO CARGADO")</f>
        <v>-</v>
      </c>
      <c r="H1963" s="96">
        <f>ventas_b_mes12[[#This Row],[TOTAL]]/1.21</f>
        <v>25933.89256198347</v>
      </c>
      <c r="I1963" s="60">
        <f>ventas_b_mes12[[#This Row],[IMPORTE NETO]]*0.21</f>
        <v>5446.1174380165285</v>
      </c>
      <c r="J1963" s="229"/>
      <c r="K1963" s="229"/>
      <c r="L1963" s="229">
        <v>31380.01</v>
      </c>
      <c r="M1963" s="55"/>
    </row>
    <row r="1964" spans="2:13" x14ac:dyDescent="0.3">
      <c r="B1964" s="223" t="s">
        <v>2483</v>
      </c>
      <c r="C1964" s="37">
        <v>6</v>
      </c>
      <c r="D1964" s="225">
        <v>15</v>
      </c>
      <c r="E1964" s="226">
        <v>7332</v>
      </c>
      <c r="F1964" s="227"/>
      <c r="G1964" s="1" t="str">
        <f>IFERROR(IF(ventas_b_mes12[[#This Row],[CUIT]]="","-",VLOOKUP(ventas_b_mes12[[#This Row],[CUIT]],Lista_CUIT[#All],2,0)),"CUIT NO CARGADO")</f>
        <v>-</v>
      </c>
      <c r="H1964" s="96">
        <f>ventas_b_mes12[[#This Row],[TOTAL]]/1.21</f>
        <v>1074.3801652892562</v>
      </c>
      <c r="I1964" s="60">
        <f>ventas_b_mes12[[#This Row],[IMPORTE NETO]]*0.21</f>
        <v>225.61983471074379</v>
      </c>
      <c r="J1964" s="229"/>
      <c r="K1964" s="229"/>
      <c r="L1964" s="229">
        <v>1300</v>
      </c>
      <c r="M1964" s="55"/>
    </row>
    <row r="1965" spans="2:13" x14ac:dyDescent="0.3">
      <c r="B1965" s="223" t="s">
        <v>2483</v>
      </c>
      <c r="C1965" s="37">
        <v>6</v>
      </c>
      <c r="D1965" s="225">
        <v>15</v>
      </c>
      <c r="E1965" s="226">
        <v>7330</v>
      </c>
      <c r="F1965" s="227"/>
      <c r="G1965" s="1" t="str">
        <f>IFERROR(IF(ventas_b_mes12[[#This Row],[CUIT]]="","-",VLOOKUP(ventas_b_mes12[[#This Row],[CUIT]],Lista_CUIT[#All],2,0)),"CUIT NO CARGADO")</f>
        <v>-</v>
      </c>
      <c r="H1965" s="96">
        <f>ventas_b_mes12[[#This Row],[TOTAL]]/1.21</f>
        <v>12520.661157024793</v>
      </c>
      <c r="I1965" s="60">
        <f>ventas_b_mes12[[#This Row],[IMPORTE NETO]]*0.21</f>
        <v>2629.3388429752067</v>
      </c>
      <c r="J1965" s="229"/>
      <c r="K1965" s="229"/>
      <c r="L1965" s="229">
        <v>15150</v>
      </c>
      <c r="M1965" s="55"/>
    </row>
    <row r="1966" spans="2:13" x14ac:dyDescent="0.3">
      <c r="B1966" s="223" t="s">
        <v>2483</v>
      </c>
      <c r="C1966" s="37">
        <v>6</v>
      </c>
      <c r="D1966" s="225">
        <v>12</v>
      </c>
      <c r="E1966" s="226">
        <v>22729</v>
      </c>
      <c r="F1966" s="227"/>
      <c r="G1966" s="1" t="str">
        <f>IFERROR(IF(ventas_b_mes12[[#This Row],[CUIT]]="","-",VLOOKUP(ventas_b_mes12[[#This Row],[CUIT]],Lista_CUIT[#All],2,0)),"CUIT NO CARGADO")</f>
        <v>-</v>
      </c>
      <c r="H1966" s="96">
        <f>ventas_b_mes12[[#This Row],[TOTAL]]/1.21</f>
        <v>11000</v>
      </c>
      <c r="I1966" s="60">
        <f>ventas_b_mes12[[#This Row],[IMPORTE NETO]]*0.21</f>
        <v>2310</v>
      </c>
      <c r="J1966" s="229"/>
      <c r="K1966" s="229"/>
      <c r="L1966" s="229">
        <v>13310</v>
      </c>
      <c r="M1966" s="55"/>
    </row>
    <row r="1967" spans="2:13" x14ac:dyDescent="0.3">
      <c r="B1967" s="223" t="s">
        <v>2483</v>
      </c>
      <c r="C1967" s="37">
        <v>6</v>
      </c>
      <c r="D1967" s="225">
        <v>10</v>
      </c>
      <c r="E1967" s="226">
        <v>44104</v>
      </c>
      <c r="F1967" s="227"/>
      <c r="G1967" s="1" t="str">
        <f>IFERROR(IF(ventas_b_mes12[[#This Row],[CUIT]]="","-",VLOOKUP(ventas_b_mes12[[#This Row],[CUIT]],Lista_CUIT[#All],2,0)),"CUIT NO CARGADO")</f>
        <v>-</v>
      </c>
      <c r="H1967" s="96">
        <f>ventas_b_mes12[[#This Row],[TOTAL]]/1.21</f>
        <v>15733.85123966942</v>
      </c>
      <c r="I1967" s="60">
        <f>ventas_b_mes12[[#This Row],[IMPORTE NETO]]*0.21</f>
        <v>3304.1087603305782</v>
      </c>
      <c r="J1967" s="229"/>
      <c r="K1967" s="229"/>
      <c r="L1967" s="229">
        <v>19037.96</v>
      </c>
      <c r="M1967" s="55"/>
    </row>
    <row r="1968" spans="2:13" x14ac:dyDescent="0.3">
      <c r="B1968" s="223" t="s">
        <v>2483</v>
      </c>
      <c r="C1968" s="37">
        <v>6</v>
      </c>
      <c r="D1968" s="225">
        <v>10</v>
      </c>
      <c r="E1968" s="226">
        <v>44100</v>
      </c>
      <c r="F1968" s="227"/>
      <c r="G1968" s="1" t="str">
        <f>IFERROR(IF(ventas_b_mes12[[#This Row],[CUIT]]="","-",VLOOKUP(ventas_b_mes12[[#This Row],[CUIT]],Lista_CUIT[#All],2,0)),"CUIT NO CARGADO")</f>
        <v>-</v>
      </c>
      <c r="H1968" s="96">
        <f>ventas_b_mes12[[#This Row],[TOTAL]]/1.21</f>
        <v>19690.07438016529</v>
      </c>
      <c r="I1968" s="60">
        <f>ventas_b_mes12[[#This Row],[IMPORTE NETO]]*0.21</f>
        <v>4134.9156198347109</v>
      </c>
      <c r="J1968" s="229"/>
      <c r="K1968" s="229"/>
      <c r="L1968" s="229">
        <v>23824.99</v>
      </c>
      <c r="M1968" s="55"/>
    </row>
    <row r="1969" spans="2:13" x14ac:dyDescent="0.3">
      <c r="B1969" s="223" t="s">
        <v>2483</v>
      </c>
      <c r="C1969" s="37">
        <v>6</v>
      </c>
      <c r="D1969" s="225">
        <v>10</v>
      </c>
      <c r="E1969" s="226">
        <v>44101</v>
      </c>
      <c r="F1969" s="227"/>
      <c r="G1969" s="1" t="str">
        <f>IFERROR(IF(ventas_b_mes12[[#This Row],[CUIT]]="","-",VLOOKUP(ventas_b_mes12[[#This Row],[CUIT]],Lista_CUIT[#All],2,0)),"CUIT NO CARGADO")</f>
        <v>-</v>
      </c>
      <c r="H1969" s="96">
        <f>ventas_b_mes12[[#This Row],[TOTAL]]/1.21</f>
        <v>22532.727272727272</v>
      </c>
      <c r="I1969" s="60">
        <f>ventas_b_mes12[[#This Row],[IMPORTE NETO]]*0.21</f>
        <v>4731.8727272727274</v>
      </c>
      <c r="J1969" s="229"/>
      <c r="K1969" s="229"/>
      <c r="L1969" s="229">
        <v>27264.6</v>
      </c>
      <c r="M1969" s="55"/>
    </row>
    <row r="1970" spans="2:13" x14ac:dyDescent="0.3">
      <c r="B1970" s="223" t="s">
        <v>2483</v>
      </c>
      <c r="C1970" s="37">
        <v>6</v>
      </c>
      <c r="D1970" s="225">
        <v>10</v>
      </c>
      <c r="E1970" s="226">
        <v>44102</v>
      </c>
      <c r="F1970" s="227"/>
      <c r="G1970" s="1" t="str">
        <f>IFERROR(IF(ventas_b_mes12[[#This Row],[CUIT]]="","-",VLOOKUP(ventas_b_mes12[[#This Row],[CUIT]],Lista_CUIT[#All],2,0)),"CUIT NO CARGADO")</f>
        <v>-</v>
      </c>
      <c r="H1970" s="96">
        <f>ventas_b_mes12[[#This Row],[TOTAL]]/1.21</f>
        <v>25449.586776859505</v>
      </c>
      <c r="I1970" s="60">
        <f>ventas_b_mes12[[#This Row],[IMPORTE NETO]]*0.21</f>
        <v>5344.4132231404956</v>
      </c>
      <c r="J1970" s="229"/>
      <c r="K1970" s="229"/>
      <c r="L1970" s="229">
        <v>30794</v>
      </c>
      <c r="M1970" s="55"/>
    </row>
    <row r="1971" spans="2:13" x14ac:dyDescent="0.3">
      <c r="B1971" s="223" t="s">
        <v>2483</v>
      </c>
      <c r="C1971" s="37">
        <v>6</v>
      </c>
      <c r="D1971" s="225">
        <v>10</v>
      </c>
      <c r="E1971" s="226">
        <v>44114</v>
      </c>
      <c r="F1971" s="227"/>
      <c r="G1971" s="1" t="str">
        <f>IFERROR(IF(ventas_b_mes12[[#This Row],[CUIT]]="","-",VLOOKUP(ventas_b_mes12[[#This Row],[CUIT]],Lista_CUIT[#All],2,0)),"CUIT NO CARGADO")</f>
        <v>-</v>
      </c>
      <c r="H1971" s="96">
        <f>ventas_b_mes12[[#This Row],[TOTAL]]/1.21</f>
        <v>3243.8016528925623</v>
      </c>
      <c r="I1971" s="60">
        <f>ventas_b_mes12[[#This Row],[IMPORTE NETO]]*0.21</f>
        <v>681.19834710743805</v>
      </c>
      <c r="J1971" s="229"/>
      <c r="K1971" s="229"/>
      <c r="L1971" s="229">
        <v>3925</v>
      </c>
      <c r="M1971" s="55"/>
    </row>
    <row r="1972" spans="2:13" x14ac:dyDescent="0.3">
      <c r="B1972" s="223" t="s">
        <v>2483</v>
      </c>
      <c r="C1972" s="37">
        <v>6</v>
      </c>
      <c r="D1972" s="225">
        <v>10</v>
      </c>
      <c r="E1972" s="226">
        <v>44122</v>
      </c>
      <c r="F1972" s="227"/>
      <c r="G1972" s="1" t="str">
        <f>IFERROR(IF(ventas_b_mes12[[#This Row],[CUIT]]="","-",VLOOKUP(ventas_b_mes12[[#This Row],[CUIT]],Lista_CUIT[#All],2,0)),"CUIT NO CARGADO")</f>
        <v>-</v>
      </c>
      <c r="H1972" s="96">
        <f>ventas_b_mes12[[#This Row],[TOTAL]]/1.21</f>
        <v>14318.181818181818</v>
      </c>
      <c r="I1972" s="60">
        <f>ventas_b_mes12[[#This Row],[IMPORTE NETO]]*0.21</f>
        <v>3006.8181818181815</v>
      </c>
      <c r="J1972" s="229"/>
      <c r="K1972" s="229"/>
      <c r="L1972" s="229">
        <v>17325</v>
      </c>
      <c r="M1972" s="55"/>
    </row>
    <row r="1973" spans="2:13" x14ac:dyDescent="0.3">
      <c r="B1973" s="223" t="s">
        <v>2483</v>
      </c>
      <c r="C1973" s="37">
        <v>6</v>
      </c>
      <c r="D1973" s="225">
        <v>11</v>
      </c>
      <c r="E1973" s="226">
        <v>30290</v>
      </c>
      <c r="F1973" s="227"/>
      <c r="G1973" s="1" t="str">
        <f>IFERROR(IF(ventas_b_mes12[[#This Row],[CUIT]]="","-",VLOOKUP(ventas_b_mes12[[#This Row],[CUIT]],Lista_CUIT[#All],2,0)),"CUIT NO CARGADO")</f>
        <v>-</v>
      </c>
      <c r="H1973" s="96">
        <f>ventas_b_mes12[[#This Row],[TOTAL]]/1.21</f>
        <v>4545.454545454546</v>
      </c>
      <c r="I1973" s="60">
        <f>ventas_b_mes12[[#This Row],[IMPORTE NETO]]*0.21</f>
        <v>954.54545454545462</v>
      </c>
      <c r="J1973" s="229"/>
      <c r="K1973" s="229"/>
      <c r="L1973" s="229">
        <v>5500</v>
      </c>
      <c r="M1973" s="55"/>
    </row>
    <row r="1974" spans="2:13" x14ac:dyDescent="0.3">
      <c r="B1974" s="223" t="s">
        <v>2483</v>
      </c>
      <c r="C1974" s="37">
        <v>6</v>
      </c>
      <c r="D1974" s="225">
        <v>10</v>
      </c>
      <c r="E1974" s="226">
        <v>44115</v>
      </c>
      <c r="F1974" s="227"/>
      <c r="G1974" s="1" t="str">
        <f>IFERROR(IF(ventas_b_mes12[[#This Row],[CUIT]]="","-",VLOOKUP(ventas_b_mes12[[#This Row],[CUIT]],Lista_CUIT[#All],2,0)),"CUIT NO CARGADO")</f>
        <v>-</v>
      </c>
      <c r="H1974" s="96">
        <f>ventas_b_mes12[[#This Row],[TOTAL]]/1.21</f>
        <v>8942.1487603305795</v>
      </c>
      <c r="I1974" s="60">
        <f>ventas_b_mes12[[#This Row],[IMPORTE NETO]]*0.21</f>
        <v>1877.8512396694216</v>
      </c>
      <c r="J1974" s="229"/>
      <c r="K1974" s="229"/>
      <c r="L1974" s="229">
        <v>10820</v>
      </c>
      <c r="M1974" s="55"/>
    </row>
    <row r="1975" spans="2:13" x14ac:dyDescent="0.3">
      <c r="B1975" s="223" t="s">
        <v>2483</v>
      </c>
      <c r="C1975" s="37">
        <v>6</v>
      </c>
      <c r="D1975" s="225">
        <v>10</v>
      </c>
      <c r="E1975" s="226">
        <v>44095</v>
      </c>
      <c r="F1975" s="227"/>
      <c r="G1975" s="1" t="str">
        <f>IFERROR(IF(ventas_b_mes12[[#This Row],[CUIT]]="","-",VLOOKUP(ventas_b_mes12[[#This Row],[CUIT]],Lista_CUIT[#All],2,0)),"CUIT NO CARGADO")</f>
        <v>-</v>
      </c>
      <c r="H1975" s="96">
        <f>ventas_b_mes12[[#This Row],[TOTAL]]/1.21</f>
        <v>2148.7603305785124</v>
      </c>
      <c r="I1975" s="60">
        <f>ventas_b_mes12[[#This Row],[IMPORTE NETO]]*0.21</f>
        <v>451.23966942148758</v>
      </c>
      <c r="J1975" s="229"/>
      <c r="K1975" s="229"/>
      <c r="L1975" s="229">
        <v>2600</v>
      </c>
      <c r="M1975" s="55"/>
    </row>
    <row r="1976" spans="2:13" x14ac:dyDescent="0.3">
      <c r="B1976" s="223" t="s">
        <v>2483</v>
      </c>
      <c r="C1976" s="37">
        <v>6</v>
      </c>
      <c r="D1976" s="225">
        <v>10</v>
      </c>
      <c r="E1976" s="226">
        <v>44099</v>
      </c>
      <c r="F1976" s="227"/>
      <c r="G1976" s="1" t="str">
        <f>IFERROR(IF(ventas_b_mes12[[#This Row],[CUIT]]="","-",VLOOKUP(ventas_b_mes12[[#This Row],[CUIT]],Lista_CUIT[#All],2,0)),"CUIT NO CARGADO")</f>
        <v>-</v>
      </c>
      <c r="H1976" s="96">
        <f>ventas_b_mes12[[#This Row],[TOTAL]]/1.21</f>
        <v>70263.669421487604</v>
      </c>
      <c r="I1976" s="60">
        <f>ventas_b_mes12[[#This Row],[IMPORTE NETO]]*0.21</f>
        <v>14755.370578512397</v>
      </c>
      <c r="J1976" s="229"/>
      <c r="K1976" s="229"/>
      <c r="L1976" s="229">
        <v>85019.04</v>
      </c>
      <c r="M1976" s="55"/>
    </row>
    <row r="1977" spans="2:13" x14ac:dyDescent="0.3">
      <c r="B1977" s="223" t="s">
        <v>2483</v>
      </c>
      <c r="C1977" s="37">
        <v>6</v>
      </c>
      <c r="D1977" s="225">
        <v>10</v>
      </c>
      <c r="E1977" s="226">
        <v>44120</v>
      </c>
      <c r="F1977" s="227"/>
      <c r="G1977" s="1" t="str">
        <f>IFERROR(IF(ventas_b_mes12[[#This Row],[CUIT]]="","-",VLOOKUP(ventas_b_mes12[[#This Row],[CUIT]],Lista_CUIT[#All],2,0)),"CUIT NO CARGADO")</f>
        <v>-</v>
      </c>
      <c r="H1977" s="96">
        <f>ventas_b_mes12[[#This Row],[TOTAL]]/1.21</f>
        <v>7438.0165289256202</v>
      </c>
      <c r="I1977" s="60">
        <f>ventas_b_mes12[[#This Row],[IMPORTE NETO]]*0.21</f>
        <v>1561.9834710743801</v>
      </c>
      <c r="J1977" s="229"/>
      <c r="K1977" s="229"/>
      <c r="L1977" s="229">
        <v>9000</v>
      </c>
      <c r="M1977" s="55"/>
    </row>
    <row r="1978" spans="2:13" x14ac:dyDescent="0.3">
      <c r="B1978" s="223" t="s">
        <v>2483</v>
      </c>
      <c r="C1978" s="37">
        <v>6</v>
      </c>
      <c r="D1978" s="225">
        <v>10</v>
      </c>
      <c r="E1978" s="226">
        <v>44094</v>
      </c>
      <c r="F1978" s="227"/>
      <c r="G1978" s="1" t="str">
        <f>IFERROR(IF(ventas_b_mes12[[#This Row],[CUIT]]="","-",VLOOKUP(ventas_b_mes12[[#This Row],[CUIT]],Lista_CUIT[#All],2,0)),"CUIT NO CARGADO")</f>
        <v>-</v>
      </c>
      <c r="H1978" s="96">
        <f>ventas_b_mes12[[#This Row],[TOTAL]]/1.21</f>
        <v>4958.6776859504134</v>
      </c>
      <c r="I1978" s="60">
        <f>ventas_b_mes12[[#This Row],[IMPORTE NETO]]*0.21</f>
        <v>1041.3223140495868</v>
      </c>
      <c r="J1978" s="229"/>
      <c r="K1978" s="229"/>
      <c r="L1978" s="229">
        <v>6000</v>
      </c>
      <c r="M1978" s="55"/>
    </row>
    <row r="1979" spans="2:13" x14ac:dyDescent="0.3">
      <c r="B1979" s="223" t="s">
        <v>2483</v>
      </c>
      <c r="C1979" s="37">
        <v>6</v>
      </c>
      <c r="D1979" s="225">
        <v>11</v>
      </c>
      <c r="E1979" s="226">
        <v>30277</v>
      </c>
      <c r="F1979" s="227"/>
      <c r="G1979" s="1" t="str">
        <f>IFERROR(IF(ventas_b_mes12[[#This Row],[CUIT]]="","-",VLOOKUP(ventas_b_mes12[[#This Row],[CUIT]],Lista_CUIT[#All],2,0)),"CUIT NO CARGADO")</f>
        <v>-</v>
      </c>
      <c r="H1979" s="96">
        <f>ventas_b_mes12[[#This Row],[TOTAL]]/1.21</f>
        <v>3557.8512396694214</v>
      </c>
      <c r="I1979" s="60">
        <f>ventas_b_mes12[[#This Row],[IMPORTE NETO]]*0.21</f>
        <v>747.14876033057851</v>
      </c>
      <c r="J1979" s="229"/>
      <c r="K1979" s="229"/>
      <c r="L1979" s="229">
        <v>4305</v>
      </c>
      <c r="M1979" s="55"/>
    </row>
    <row r="1980" spans="2:13" x14ac:dyDescent="0.3">
      <c r="B1980" s="223" t="s">
        <v>2483</v>
      </c>
      <c r="C1980" s="37">
        <v>6</v>
      </c>
      <c r="D1980" s="225">
        <v>15</v>
      </c>
      <c r="E1980" s="226">
        <v>7336</v>
      </c>
      <c r="F1980" s="227"/>
      <c r="G1980" s="1" t="str">
        <f>IFERROR(IF(ventas_b_mes12[[#This Row],[CUIT]]="","-",VLOOKUP(ventas_b_mes12[[#This Row],[CUIT]],Lista_CUIT[#All],2,0)),"CUIT NO CARGADO")</f>
        <v>-</v>
      </c>
      <c r="H1980" s="96">
        <f>ventas_b_mes12[[#This Row],[TOTAL]]/1.21</f>
        <v>1322.3140495867769</v>
      </c>
      <c r="I1980" s="60">
        <f>ventas_b_mes12[[#This Row],[IMPORTE NETO]]*0.21</f>
        <v>277.68595041322317</v>
      </c>
      <c r="J1980" s="229"/>
      <c r="K1980" s="229"/>
      <c r="L1980" s="229">
        <v>1600</v>
      </c>
      <c r="M1980" s="55"/>
    </row>
    <row r="1981" spans="2:13" x14ac:dyDescent="0.3">
      <c r="B1981" s="223" t="s">
        <v>2483</v>
      </c>
      <c r="C1981" s="37">
        <v>6</v>
      </c>
      <c r="D1981" s="225">
        <v>13</v>
      </c>
      <c r="E1981" s="226">
        <v>26925</v>
      </c>
      <c r="F1981" s="227"/>
      <c r="G1981" s="1" t="str">
        <f>IFERROR(IF(ventas_b_mes12[[#This Row],[CUIT]]="","-",VLOOKUP(ventas_b_mes12[[#This Row],[CUIT]],Lista_CUIT[#All],2,0)),"CUIT NO CARGADO")</f>
        <v>-</v>
      </c>
      <c r="H1981" s="96">
        <f>ventas_b_mes12[[#This Row],[TOTAL]]/1.21</f>
        <v>3069.8347107438017</v>
      </c>
      <c r="I1981" s="60">
        <f>ventas_b_mes12[[#This Row],[IMPORTE NETO]]*0.21</f>
        <v>644.66528925619832</v>
      </c>
      <c r="J1981" s="229"/>
      <c r="K1981" s="229"/>
      <c r="L1981" s="229">
        <v>3714.5</v>
      </c>
      <c r="M1981" s="55"/>
    </row>
    <row r="1982" spans="2:13" x14ac:dyDescent="0.3">
      <c r="B1982" s="223" t="s">
        <v>2483</v>
      </c>
      <c r="C1982" s="37">
        <v>6</v>
      </c>
      <c r="D1982" s="225">
        <v>12</v>
      </c>
      <c r="E1982" s="226">
        <v>22723</v>
      </c>
      <c r="F1982" s="227"/>
      <c r="G1982" s="1" t="str">
        <f>IFERROR(IF(ventas_b_mes12[[#This Row],[CUIT]]="","-",VLOOKUP(ventas_b_mes12[[#This Row],[CUIT]],Lista_CUIT[#All],2,0)),"CUIT NO CARGADO")</f>
        <v>-</v>
      </c>
      <c r="H1982" s="96">
        <f>ventas_b_mes12[[#This Row],[TOTAL]]/1.21</f>
        <v>1404.9586776859505</v>
      </c>
      <c r="I1982" s="60">
        <f>ventas_b_mes12[[#This Row],[IMPORTE NETO]]*0.21</f>
        <v>295.04132231404958</v>
      </c>
      <c r="J1982" s="229"/>
      <c r="K1982" s="229"/>
      <c r="L1982" s="229">
        <v>1700</v>
      </c>
      <c r="M1982" s="55"/>
    </row>
    <row r="1983" spans="2:13" x14ac:dyDescent="0.3">
      <c r="B1983" s="223" t="s">
        <v>2483</v>
      </c>
      <c r="C1983" s="37">
        <v>6</v>
      </c>
      <c r="D1983" s="225">
        <v>11</v>
      </c>
      <c r="E1983" s="226">
        <v>30270</v>
      </c>
      <c r="F1983" s="227"/>
      <c r="G1983" s="1" t="str">
        <f>IFERROR(IF(ventas_b_mes12[[#This Row],[CUIT]]="","-",VLOOKUP(ventas_b_mes12[[#This Row],[CUIT]],Lista_CUIT[#All],2,0)),"CUIT NO CARGADO")</f>
        <v>-</v>
      </c>
      <c r="H1983" s="96">
        <f>ventas_b_mes12[[#This Row],[TOTAL]]/1.21</f>
        <v>2938.0165289256197</v>
      </c>
      <c r="I1983" s="60">
        <f>ventas_b_mes12[[#This Row],[IMPORTE NETO]]*0.21</f>
        <v>616.98347107438008</v>
      </c>
      <c r="J1983" s="229"/>
      <c r="K1983" s="229"/>
      <c r="L1983" s="229">
        <v>3555</v>
      </c>
      <c r="M1983" s="55"/>
    </row>
    <row r="1984" spans="2:13" x14ac:dyDescent="0.3">
      <c r="B1984" s="223" t="s">
        <v>2483</v>
      </c>
      <c r="C1984" s="37">
        <v>6</v>
      </c>
      <c r="D1984" s="225">
        <v>10</v>
      </c>
      <c r="E1984" s="226">
        <v>44111</v>
      </c>
      <c r="F1984" s="227"/>
      <c r="G1984" s="1" t="str">
        <f>IFERROR(IF(ventas_b_mes12[[#This Row],[CUIT]]="","-",VLOOKUP(ventas_b_mes12[[#This Row],[CUIT]],Lista_CUIT[#All],2,0)),"CUIT NO CARGADO")</f>
        <v>-</v>
      </c>
      <c r="H1984" s="96">
        <f>ventas_b_mes12[[#This Row],[TOTAL]]/1.21</f>
        <v>52657.479338842983</v>
      </c>
      <c r="I1984" s="60">
        <f>ventas_b_mes12[[#This Row],[IMPORTE NETO]]*0.21</f>
        <v>11058.070661157026</v>
      </c>
      <c r="J1984" s="229"/>
      <c r="K1984" s="229"/>
      <c r="L1984" s="229">
        <v>63715.55</v>
      </c>
      <c r="M1984" s="55"/>
    </row>
    <row r="1985" spans="2:13" x14ac:dyDescent="0.3">
      <c r="B1985" s="223" t="s">
        <v>2483</v>
      </c>
      <c r="C1985" s="37">
        <v>6</v>
      </c>
      <c r="D1985" s="225">
        <v>11</v>
      </c>
      <c r="E1985" s="226">
        <v>30289</v>
      </c>
      <c r="F1985" s="227"/>
      <c r="G1985" s="1" t="str">
        <f>IFERROR(IF(ventas_b_mes12[[#This Row],[CUIT]]="","-",VLOOKUP(ventas_b_mes12[[#This Row],[CUIT]],Lista_CUIT[#All],2,0)),"CUIT NO CARGADO")</f>
        <v>-</v>
      </c>
      <c r="H1985" s="96">
        <f>ventas_b_mes12[[#This Row],[TOTAL]]/1.21</f>
        <v>297.52066115702479</v>
      </c>
      <c r="I1985" s="60">
        <f>ventas_b_mes12[[#This Row],[IMPORTE NETO]]*0.21</f>
        <v>62.479338842975203</v>
      </c>
      <c r="J1985" s="229"/>
      <c r="K1985" s="229"/>
      <c r="L1985" s="229">
        <v>360</v>
      </c>
      <c r="M1985" s="55"/>
    </row>
    <row r="1986" spans="2:13" x14ac:dyDescent="0.3">
      <c r="B1986" s="223" t="s">
        <v>2483</v>
      </c>
      <c r="C1986" s="37">
        <v>6</v>
      </c>
      <c r="D1986" s="225">
        <v>10</v>
      </c>
      <c r="E1986" s="226">
        <v>44093</v>
      </c>
      <c r="F1986" s="227"/>
      <c r="G1986" s="1" t="str">
        <f>IFERROR(IF(ventas_b_mes12[[#This Row],[CUIT]]="","-",VLOOKUP(ventas_b_mes12[[#This Row],[CUIT]],Lista_CUIT[#All],2,0)),"CUIT NO CARGADO")</f>
        <v>-</v>
      </c>
      <c r="H1986" s="96">
        <f>ventas_b_mes12[[#This Row],[TOTAL]]/1.21</f>
        <v>7016.5289256198348</v>
      </c>
      <c r="I1986" s="60">
        <f>ventas_b_mes12[[#This Row],[IMPORTE NETO]]*0.21</f>
        <v>1473.4710743801652</v>
      </c>
      <c r="J1986" s="229"/>
      <c r="K1986" s="229"/>
      <c r="L1986" s="229">
        <v>8490</v>
      </c>
      <c r="M1986" s="55"/>
    </row>
    <row r="1987" spans="2:13" x14ac:dyDescent="0.3">
      <c r="B1987" s="223" t="s">
        <v>2483</v>
      </c>
      <c r="C1987" s="37">
        <v>6</v>
      </c>
      <c r="D1987" s="225">
        <v>10</v>
      </c>
      <c r="E1987" s="226">
        <v>44098</v>
      </c>
      <c r="F1987" s="227"/>
      <c r="G1987" s="1" t="str">
        <f>IFERROR(IF(ventas_b_mes12[[#This Row],[CUIT]]="","-",VLOOKUP(ventas_b_mes12[[#This Row],[CUIT]],Lista_CUIT[#All],2,0)),"CUIT NO CARGADO")</f>
        <v>-</v>
      </c>
      <c r="H1987" s="96">
        <f>ventas_b_mes12[[#This Row],[TOTAL]]/1.21</f>
        <v>1652.8925619834711</v>
      </c>
      <c r="I1987" s="60">
        <f>ventas_b_mes12[[#This Row],[IMPORTE NETO]]*0.21</f>
        <v>347.10743801652893</v>
      </c>
      <c r="J1987" s="229"/>
      <c r="K1987" s="229"/>
      <c r="L1987" s="229">
        <v>2000</v>
      </c>
      <c r="M1987" s="55"/>
    </row>
    <row r="1988" spans="2:13" x14ac:dyDescent="0.3">
      <c r="B1988" s="223" t="s">
        <v>2483</v>
      </c>
      <c r="C1988" s="37">
        <v>6</v>
      </c>
      <c r="D1988" s="225">
        <v>11</v>
      </c>
      <c r="E1988" s="226">
        <v>30275</v>
      </c>
      <c r="F1988" s="227"/>
      <c r="G1988" s="1" t="str">
        <f>IFERROR(IF(ventas_b_mes12[[#This Row],[CUIT]]="","-",VLOOKUP(ventas_b_mes12[[#This Row],[CUIT]],Lista_CUIT[#All],2,0)),"CUIT NO CARGADO")</f>
        <v>-</v>
      </c>
      <c r="H1988" s="96">
        <f>ventas_b_mes12[[#This Row],[TOTAL]]/1.21</f>
        <v>3326.4462809917354</v>
      </c>
      <c r="I1988" s="60">
        <f>ventas_b_mes12[[#This Row],[IMPORTE NETO]]*0.21</f>
        <v>698.55371900826447</v>
      </c>
      <c r="J1988" s="229"/>
      <c r="K1988" s="229"/>
      <c r="L1988" s="229">
        <v>4025</v>
      </c>
      <c r="M1988" s="55"/>
    </row>
    <row r="1989" spans="2:13" x14ac:dyDescent="0.3">
      <c r="B1989" s="223" t="s">
        <v>2483</v>
      </c>
      <c r="C1989" s="37">
        <v>6</v>
      </c>
      <c r="D1989" s="225">
        <v>10</v>
      </c>
      <c r="E1989" s="226">
        <v>44092</v>
      </c>
      <c r="F1989" s="227"/>
      <c r="G1989" s="1" t="str">
        <f>IFERROR(IF(ventas_b_mes12[[#This Row],[CUIT]]="","-",VLOOKUP(ventas_b_mes12[[#This Row],[CUIT]],Lista_CUIT[#All],2,0)),"CUIT NO CARGADO")</f>
        <v>-</v>
      </c>
      <c r="H1989" s="96">
        <f>ventas_b_mes12[[#This Row],[TOTAL]]/1.21</f>
        <v>4809.9173553719011</v>
      </c>
      <c r="I1989" s="60">
        <f>ventas_b_mes12[[#This Row],[IMPORTE NETO]]*0.21</f>
        <v>1010.0826446280992</v>
      </c>
      <c r="J1989" s="229"/>
      <c r="K1989" s="229"/>
      <c r="L1989" s="229">
        <v>5820</v>
      </c>
      <c r="M1989" s="55"/>
    </row>
    <row r="1990" spans="2:13" x14ac:dyDescent="0.3">
      <c r="B1990" s="223" t="s">
        <v>2483</v>
      </c>
      <c r="C1990" s="37">
        <v>6</v>
      </c>
      <c r="D1990" s="225">
        <v>10</v>
      </c>
      <c r="E1990" s="226">
        <v>44110</v>
      </c>
      <c r="F1990" s="227"/>
      <c r="G1990" s="1" t="str">
        <f>IFERROR(IF(ventas_b_mes12[[#This Row],[CUIT]]="","-",VLOOKUP(ventas_b_mes12[[#This Row],[CUIT]],Lista_CUIT[#All],2,0)),"CUIT NO CARGADO")</f>
        <v>-</v>
      </c>
      <c r="H1990" s="96">
        <f>ventas_b_mes12[[#This Row],[TOTAL]]/1.21</f>
        <v>8723.5123966942156</v>
      </c>
      <c r="I1990" s="60">
        <f>ventas_b_mes12[[#This Row],[IMPORTE NETO]]*0.21</f>
        <v>1831.9376033057852</v>
      </c>
      <c r="J1990" s="229"/>
      <c r="K1990" s="229"/>
      <c r="L1990" s="229">
        <v>10555.45</v>
      </c>
      <c r="M1990" s="55"/>
    </row>
    <row r="1991" spans="2:13" x14ac:dyDescent="0.3">
      <c r="B1991" s="223" t="s">
        <v>2483</v>
      </c>
      <c r="C1991" s="37">
        <v>6</v>
      </c>
      <c r="D1991" s="225">
        <v>15</v>
      </c>
      <c r="E1991" s="226">
        <v>7329</v>
      </c>
      <c r="F1991" s="227"/>
      <c r="G1991" s="1" t="str">
        <f>IFERROR(IF(ventas_b_mes12[[#This Row],[CUIT]]="","-",VLOOKUP(ventas_b_mes12[[#This Row],[CUIT]],Lista_CUIT[#All],2,0)),"CUIT NO CARGADO")</f>
        <v>-</v>
      </c>
      <c r="H1991" s="96">
        <f>ventas_b_mes12[[#This Row],[TOTAL]]/1.21</f>
        <v>1735.5371900826447</v>
      </c>
      <c r="I1991" s="60">
        <f>ventas_b_mes12[[#This Row],[IMPORTE NETO]]*0.21</f>
        <v>364.46280991735534</v>
      </c>
      <c r="J1991" s="229"/>
      <c r="K1991" s="229"/>
      <c r="L1991" s="229">
        <v>2100</v>
      </c>
      <c r="M1991" s="55"/>
    </row>
    <row r="1992" spans="2:13" x14ac:dyDescent="0.3">
      <c r="B1992" s="223" t="s">
        <v>2483</v>
      </c>
      <c r="C1992" s="37">
        <v>6</v>
      </c>
      <c r="D1992" s="225">
        <v>10</v>
      </c>
      <c r="E1992" s="226">
        <v>44107</v>
      </c>
      <c r="F1992" s="227"/>
      <c r="G1992" s="1" t="str">
        <f>IFERROR(IF(ventas_b_mes12[[#This Row],[CUIT]]="","-",VLOOKUP(ventas_b_mes12[[#This Row],[CUIT]],Lista_CUIT[#All],2,0)),"CUIT NO CARGADO")</f>
        <v>-</v>
      </c>
      <c r="H1992" s="96">
        <f>ventas_b_mes12[[#This Row],[TOTAL]]/1.21</f>
        <v>14403.099173553719</v>
      </c>
      <c r="I1992" s="60">
        <f>ventas_b_mes12[[#This Row],[IMPORTE NETO]]*0.21</f>
        <v>3024.6508264462809</v>
      </c>
      <c r="J1992" s="229"/>
      <c r="K1992" s="229"/>
      <c r="L1992" s="229">
        <v>17427.75</v>
      </c>
      <c r="M1992" s="55"/>
    </row>
    <row r="1993" spans="2:13" x14ac:dyDescent="0.3">
      <c r="B1993" s="223" t="s">
        <v>2483</v>
      </c>
      <c r="C1993" s="37">
        <v>6</v>
      </c>
      <c r="D1993" s="225">
        <v>11</v>
      </c>
      <c r="E1993" s="226">
        <v>30291</v>
      </c>
      <c r="F1993" s="227"/>
      <c r="G1993" s="1" t="str">
        <f>IFERROR(IF(ventas_b_mes12[[#This Row],[CUIT]]="","-",VLOOKUP(ventas_b_mes12[[#This Row],[CUIT]],Lista_CUIT[#All],2,0)),"CUIT NO CARGADO")</f>
        <v>-</v>
      </c>
      <c r="H1993" s="96">
        <f>ventas_b_mes12[[#This Row],[TOTAL]]/1.21</f>
        <v>1896.6942148760331</v>
      </c>
      <c r="I1993" s="60">
        <f>ventas_b_mes12[[#This Row],[IMPORTE NETO]]*0.21</f>
        <v>398.30578512396693</v>
      </c>
      <c r="J1993" s="229"/>
      <c r="K1993" s="229"/>
      <c r="L1993" s="229">
        <v>2295</v>
      </c>
      <c r="M1993" s="55"/>
    </row>
    <row r="1994" spans="2:13" x14ac:dyDescent="0.3">
      <c r="B1994" s="223" t="s">
        <v>2483</v>
      </c>
      <c r="C1994" s="37">
        <v>6</v>
      </c>
      <c r="D1994" s="225">
        <v>11</v>
      </c>
      <c r="E1994" s="226">
        <v>30276</v>
      </c>
      <c r="F1994" s="227"/>
      <c r="G1994" s="1" t="str">
        <f>IFERROR(IF(ventas_b_mes12[[#This Row],[CUIT]]="","-",VLOOKUP(ventas_b_mes12[[#This Row],[CUIT]],Lista_CUIT[#All],2,0)),"CUIT NO CARGADO")</f>
        <v>-</v>
      </c>
      <c r="H1994" s="96">
        <f>ventas_b_mes12[[#This Row],[TOTAL]]/1.21</f>
        <v>17768.595041322315</v>
      </c>
      <c r="I1994" s="60">
        <f>ventas_b_mes12[[#This Row],[IMPORTE NETO]]*0.21</f>
        <v>3731.404958677686</v>
      </c>
      <c r="J1994" s="229"/>
      <c r="K1994" s="229"/>
      <c r="L1994" s="229">
        <v>21500</v>
      </c>
      <c r="M1994" s="55"/>
    </row>
    <row r="1995" spans="2:13" x14ac:dyDescent="0.3">
      <c r="B1995" s="223" t="s">
        <v>2483</v>
      </c>
      <c r="C1995" s="37">
        <v>6</v>
      </c>
      <c r="D1995" s="225">
        <v>11</v>
      </c>
      <c r="E1995" s="226">
        <v>30272</v>
      </c>
      <c r="F1995" s="227"/>
      <c r="G1995" s="1" t="str">
        <f>IFERROR(IF(ventas_b_mes12[[#This Row],[CUIT]]="","-",VLOOKUP(ventas_b_mes12[[#This Row],[CUIT]],Lista_CUIT[#All],2,0)),"CUIT NO CARGADO")</f>
        <v>-</v>
      </c>
      <c r="H1995" s="96">
        <f>ventas_b_mes12[[#This Row],[TOTAL]]/1.21</f>
        <v>4809.9173553719011</v>
      </c>
      <c r="I1995" s="60">
        <f>ventas_b_mes12[[#This Row],[IMPORTE NETO]]*0.21</f>
        <v>1010.0826446280992</v>
      </c>
      <c r="J1995" s="229"/>
      <c r="K1995" s="229"/>
      <c r="L1995" s="229">
        <v>5820</v>
      </c>
      <c r="M1995" s="55"/>
    </row>
    <row r="1996" spans="2:13" x14ac:dyDescent="0.3">
      <c r="B1996" s="223" t="s">
        <v>2483</v>
      </c>
      <c r="C1996" s="37">
        <v>6</v>
      </c>
      <c r="D1996" s="225">
        <v>12</v>
      </c>
      <c r="E1996" s="226">
        <v>22727</v>
      </c>
      <c r="F1996" s="227"/>
      <c r="G1996" s="1" t="str">
        <f>IFERROR(IF(ventas_b_mes12[[#This Row],[CUIT]]="","-",VLOOKUP(ventas_b_mes12[[#This Row],[CUIT]],Lista_CUIT[#All],2,0)),"CUIT NO CARGADO")</f>
        <v>-</v>
      </c>
      <c r="H1996" s="96">
        <f>ventas_b_mes12[[#This Row],[TOTAL]]/1.21</f>
        <v>1227.2727272727273</v>
      </c>
      <c r="I1996" s="60">
        <f>ventas_b_mes12[[#This Row],[IMPORTE NETO]]*0.21</f>
        <v>257.72727272727269</v>
      </c>
      <c r="J1996" s="229"/>
      <c r="K1996" s="229"/>
      <c r="L1996" s="229">
        <v>1485</v>
      </c>
      <c r="M1996" s="55"/>
    </row>
    <row r="1997" spans="2:13" x14ac:dyDescent="0.3">
      <c r="B1997" s="223" t="s">
        <v>2483</v>
      </c>
      <c r="C1997" s="37">
        <v>6</v>
      </c>
      <c r="D1997" s="225">
        <v>15</v>
      </c>
      <c r="E1997" s="226">
        <v>7328</v>
      </c>
      <c r="F1997" s="227"/>
      <c r="G1997" s="1" t="str">
        <f>IFERROR(IF(ventas_b_mes12[[#This Row],[CUIT]]="","-",VLOOKUP(ventas_b_mes12[[#This Row],[CUIT]],Lista_CUIT[#All],2,0)),"CUIT NO CARGADO")</f>
        <v>-</v>
      </c>
      <c r="H1997" s="96">
        <f>ventas_b_mes12[[#This Row],[TOTAL]]/1.21</f>
        <v>9090.9090909090919</v>
      </c>
      <c r="I1997" s="60">
        <f>ventas_b_mes12[[#This Row],[IMPORTE NETO]]*0.21</f>
        <v>1909.0909090909092</v>
      </c>
      <c r="J1997" s="229"/>
      <c r="K1997" s="229"/>
      <c r="L1997" s="229">
        <v>11000</v>
      </c>
      <c r="M1997" s="55"/>
    </row>
    <row r="1998" spans="2:13" x14ac:dyDescent="0.3">
      <c r="B1998" s="223" t="s">
        <v>2483</v>
      </c>
      <c r="C1998" s="37">
        <v>6</v>
      </c>
      <c r="D1998" s="225">
        <v>12</v>
      </c>
      <c r="E1998" s="226">
        <v>22724</v>
      </c>
      <c r="F1998" s="227"/>
      <c r="G1998" s="1" t="str">
        <f>IFERROR(IF(ventas_b_mes12[[#This Row],[CUIT]]="","-",VLOOKUP(ventas_b_mes12[[#This Row],[CUIT]],Lista_CUIT[#All],2,0)),"CUIT NO CARGADO")</f>
        <v>-</v>
      </c>
      <c r="H1998" s="96">
        <f>ventas_b_mes12[[#This Row],[TOTAL]]/1.21</f>
        <v>11760.330578512398</v>
      </c>
      <c r="I1998" s="60">
        <f>ventas_b_mes12[[#This Row],[IMPORTE NETO]]*0.21</f>
        <v>2469.6694214876034</v>
      </c>
      <c r="J1998" s="229"/>
      <c r="K1998" s="229"/>
      <c r="L1998" s="229">
        <v>14230</v>
      </c>
      <c r="M1998" s="55"/>
    </row>
    <row r="1999" spans="2:13" x14ac:dyDescent="0.3">
      <c r="B1999" s="223" t="s">
        <v>2483</v>
      </c>
      <c r="C1999" s="37">
        <v>6</v>
      </c>
      <c r="D1999" s="225">
        <v>11</v>
      </c>
      <c r="E1999" s="226">
        <v>30283</v>
      </c>
      <c r="F1999" s="227"/>
      <c r="G1999" s="1" t="str">
        <f>IFERROR(IF(ventas_b_mes12[[#This Row],[CUIT]]="","-",VLOOKUP(ventas_b_mes12[[#This Row],[CUIT]],Lista_CUIT[#All],2,0)),"CUIT NO CARGADO")</f>
        <v>-</v>
      </c>
      <c r="H1999" s="96">
        <f>ventas_b_mes12[[#This Row],[TOTAL]]/1.21</f>
        <v>1971.0743801652893</v>
      </c>
      <c r="I1999" s="60">
        <f>ventas_b_mes12[[#This Row],[IMPORTE NETO]]*0.21</f>
        <v>413.92561983471074</v>
      </c>
      <c r="J1999" s="229"/>
      <c r="K1999" s="229"/>
      <c r="L1999" s="229">
        <v>2385</v>
      </c>
      <c r="M1999" s="55"/>
    </row>
    <row r="2000" spans="2:13" x14ac:dyDescent="0.3">
      <c r="B2000" s="223" t="s">
        <v>2483</v>
      </c>
      <c r="C2000" s="37">
        <v>6</v>
      </c>
      <c r="D2000" s="225">
        <v>11</v>
      </c>
      <c r="E2000" s="226">
        <v>30271</v>
      </c>
      <c r="F2000" s="227"/>
      <c r="G2000" s="1" t="str">
        <f>IFERROR(IF(ventas_b_mes12[[#This Row],[CUIT]]="","-",VLOOKUP(ventas_b_mes12[[#This Row],[CUIT]],Lista_CUIT[#All],2,0)),"CUIT NO CARGADO")</f>
        <v>-</v>
      </c>
      <c r="H2000" s="96">
        <f>ventas_b_mes12[[#This Row],[TOTAL]]/1.21</f>
        <v>805.78512396694214</v>
      </c>
      <c r="I2000" s="60">
        <f>ventas_b_mes12[[#This Row],[IMPORTE NETO]]*0.21</f>
        <v>169.21487603305783</v>
      </c>
      <c r="J2000" s="229"/>
      <c r="K2000" s="229"/>
      <c r="L2000" s="229">
        <v>975</v>
      </c>
      <c r="M2000" s="55"/>
    </row>
    <row r="2001" spans="2:13" x14ac:dyDescent="0.3">
      <c r="B2001" s="223" t="s">
        <v>2483</v>
      </c>
      <c r="C2001" s="37">
        <v>6</v>
      </c>
      <c r="D2001" s="225">
        <v>11</v>
      </c>
      <c r="E2001" s="226">
        <v>30284</v>
      </c>
      <c r="F2001" s="227"/>
      <c r="G2001" s="1" t="str">
        <f>IFERROR(IF(ventas_b_mes12[[#This Row],[CUIT]]="","-",VLOOKUP(ventas_b_mes12[[#This Row],[CUIT]],Lista_CUIT[#All],2,0)),"CUIT NO CARGADO")</f>
        <v>-</v>
      </c>
      <c r="H2001" s="96">
        <f>ventas_b_mes12[[#This Row],[TOTAL]]/1.21</f>
        <v>3595.0413223140495</v>
      </c>
      <c r="I2001" s="60">
        <f>ventas_b_mes12[[#This Row],[IMPORTE NETO]]*0.21</f>
        <v>754.95867768595031</v>
      </c>
      <c r="J2001" s="229"/>
      <c r="K2001" s="229"/>
      <c r="L2001" s="229">
        <v>4350</v>
      </c>
      <c r="M2001" s="55"/>
    </row>
    <row r="2002" spans="2:13" x14ac:dyDescent="0.3">
      <c r="B2002" s="223" t="s">
        <v>2483</v>
      </c>
      <c r="C2002" s="37">
        <v>6</v>
      </c>
      <c r="D2002" s="225">
        <v>10</v>
      </c>
      <c r="E2002" s="226">
        <v>44106</v>
      </c>
      <c r="F2002" s="227"/>
      <c r="G2002" s="1" t="str">
        <f>IFERROR(IF(ventas_b_mes12[[#This Row],[CUIT]]="","-",VLOOKUP(ventas_b_mes12[[#This Row],[CUIT]],Lista_CUIT[#All],2,0)),"CUIT NO CARGADO")</f>
        <v>-</v>
      </c>
      <c r="H2002" s="96">
        <f>ventas_b_mes12[[#This Row],[TOTAL]]/1.21</f>
        <v>4621.4876033057853</v>
      </c>
      <c r="I2002" s="60">
        <f>ventas_b_mes12[[#This Row],[IMPORTE NETO]]*0.21</f>
        <v>970.51239669421489</v>
      </c>
      <c r="J2002" s="229"/>
      <c r="K2002" s="229"/>
      <c r="L2002" s="229">
        <v>5592</v>
      </c>
      <c r="M2002" s="55"/>
    </row>
    <row r="2003" spans="2:13" x14ac:dyDescent="0.3">
      <c r="B2003" s="223" t="s">
        <v>2483</v>
      </c>
      <c r="C2003" s="37">
        <v>6</v>
      </c>
      <c r="D2003" s="225">
        <v>10</v>
      </c>
      <c r="E2003" s="226">
        <v>44105</v>
      </c>
      <c r="F2003" s="227"/>
      <c r="G2003" s="1" t="str">
        <f>IFERROR(IF(ventas_b_mes12[[#This Row],[CUIT]]="","-",VLOOKUP(ventas_b_mes12[[#This Row],[CUIT]],Lista_CUIT[#All],2,0)),"CUIT NO CARGADO")</f>
        <v>-</v>
      </c>
      <c r="H2003" s="96">
        <f>ventas_b_mes12[[#This Row],[TOTAL]]/1.21</f>
        <v>5057.8512396694214</v>
      </c>
      <c r="I2003" s="60">
        <f>ventas_b_mes12[[#This Row],[IMPORTE NETO]]*0.21</f>
        <v>1062.1487603305784</v>
      </c>
      <c r="J2003" s="229"/>
      <c r="K2003" s="229"/>
      <c r="L2003" s="229">
        <v>6120</v>
      </c>
      <c r="M2003" s="55"/>
    </row>
    <row r="2004" spans="2:13" x14ac:dyDescent="0.3">
      <c r="B2004" s="223" t="s">
        <v>2483</v>
      </c>
      <c r="C2004" s="37">
        <v>6</v>
      </c>
      <c r="D2004" s="225">
        <v>10</v>
      </c>
      <c r="E2004" s="226">
        <v>44117</v>
      </c>
      <c r="F2004" s="227"/>
      <c r="G2004" s="1" t="str">
        <f>IFERROR(IF(ventas_b_mes12[[#This Row],[CUIT]]="","-",VLOOKUP(ventas_b_mes12[[#This Row],[CUIT]],Lista_CUIT[#All],2,0)),"CUIT NO CARGADO")</f>
        <v>-</v>
      </c>
      <c r="H2004" s="96">
        <f>ventas_b_mes12[[#This Row],[TOTAL]]/1.21</f>
        <v>2318.1818181818185</v>
      </c>
      <c r="I2004" s="60">
        <f>ventas_b_mes12[[#This Row],[IMPORTE NETO]]*0.21</f>
        <v>486.81818181818187</v>
      </c>
      <c r="J2004" s="229"/>
      <c r="K2004" s="229"/>
      <c r="L2004" s="229">
        <v>2805</v>
      </c>
      <c r="M2004" s="55"/>
    </row>
    <row r="2005" spans="2:13" x14ac:dyDescent="0.3">
      <c r="B2005" s="223" t="s">
        <v>2483</v>
      </c>
      <c r="C2005" s="37">
        <v>6</v>
      </c>
      <c r="D2005" s="225">
        <v>10</v>
      </c>
      <c r="E2005" s="226">
        <v>44121</v>
      </c>
      <c r="F2005" s="227"/>
      <c r="G2005" s="1" t="str">
        <f>IFERROR(IF(ventas_b_mes12[[#This Row],[CUIT]]="","-",VLOOKUP(ventas_b_mes12[[#This Row],[CUIT]],Lista_CUIT[#All],2,0)),"CUIT NO CARGADO")</f>
        <v>-</v>
      </c>
      <c r="H2005" s="96">
        <f>ventas_b_mes12[[#This Row],[TOTAL]]/1.21</f>
        <v>1652.8925619834711</v>
      </c>
      <c r="I2005" s="60">
        <f>ventas_b_mes12[[#This Row],[IMPORTE NETO]]*0.21</f>
        <v>347.10743801652893</v>
      </c>
      <c r="J2005" s="229"/>
      <c r="K2005" s="229"/>
      <c r="L2005" s="229">
        <v>2000</v>
      </c>
      <c r="M2005" s="55"/>
    </row>
    <row r="2006" spans="2:13" x14ac:dyDescent="0.3">
      <c r="B2006" s="223" t="s">
        <v>2483</v>
      </c>
      <c r="C2006" s="37">
        <v>6</v>
      </c>
      <c r="D2006" s="225">
        <v>15</v>
      </c>
      <c r="E2006" s="226">
        <v>7337</v>
      </c>
      <c r="F2006" s="227"/>
      <c r="G2006" s="1" t="str">
        <f>IFERROR(IF(ventas_b_mes12[[#This Row],[CUIT]]="","-",VLOOKUP(ventas_b_mes12[[#This Row],[CUIT]],Lista_CUIT[#All],2,0)),"CUIT NO CARGADO")</f>
        <v>-</v>
      </c>
      <c r="H2006" s="96">
        <f>ventas_b_mes12[[#This Row],[TOTAL]]/1.21</f>
        <v>5371.9008264462809</v>
      </c>
      <c r="I2006" s="60">
        <f>ventas_b_mes12[[#This Row],[IMPORTE NETO]]*0.21</f>
        <v>1128.0991735537189</v>
      </c>
      <c r="J2006" s="229"/>
      <c r="K2006" s="229"/>
      <c r="L2006" s="229">
        <v>6500</v>
      </c>
      <c r="M2006" s="55"/>
    </row>
    <row r="2007" spans="2:13" x14ac:dyDescent="0.3">
      <c r="B2007" s="223" t="s">
        <v>2483</v>
      </c>
      <c r="C2007" s="37">
        <v>6</v>
      </c>
      <c r="D2007" s="225">
        <v>10</v>
      </c>
      <c r="E2007" s="226">
        <v>44118</v>
      </c>
      <c r="F2007" s="227"/>
      <c r="G2007" s="1" t="str">
        <f>IFERROR(IF(ventas_b_mes12[[#This Row],[CUIT]]="","-",VLOOKUP(ventas_b_mes12[[#This Row],[CUIT]],Lista_CUIT[#All],2,0)),"CUIT NO CARGADO")</f>
        <v>-</v>
      </c>
      <c r="H2007" s="96">
        <f>ventas_b_mes12[[#This Row],[TOTAL]]/1.21</f>
        <v>1652.8925619834711</v>
      </c>
      <c r="I2007" s="60">
        <f>ventas_b_mes12[[#This Row],[IMPORTE NETO]]*0.21</f>
        <v>347.10743801652893</v>
      </c>
      <c r="J2007" s="229"/>
      <c r="K2007" s="229"/>
      <c r="L2007" s="229">
        <v>2000</v>
      </c>
      <c r="M2007" s="55"/>
    </row>
    <row r="2008" spans="2:13" x14ac:dyDescent="0.3">
      <c r="B2008" s="223" t="s">
        <v>2483</v>
      </c>
      <c r="C2008" s="37">
        <v>6</v>
      </c>
      <c r="D2008" s="225">
        <v>10</v>
      </c>
      <c r="E2008" s="226">
        <v>44113</v>
      </c>
      <c r="F2008" s="227"/>
      <c r="G2008" s="1" t="str">
        <f>IFERROR(IF(ventas_b_mes12[[#This Row],[CUIT]]="","-",VLOOKUP(ventas_b_mes12[[#This Row],[CUIT]],Lista_CUIT[#All],2,0)),"CUIT NO CARGADO")</f>
        <v>-</v>
      </c>
      <c r="H2008" s="96">
        <f>ventas_b_mes12[[#This Row],[TOTAL]]/1.21</f>
        <v>2950.413223140496</v>
      </c>
      <c r="I2008" s="60">
        <f>ventas_b_mes12[[#This Row],[IMPORTE NETO]]*0.21</f>
        <v>619.5867768595042</v>
      </c>
      <c r="J2008" s="229"/>
      <c r="K2008" s="229"/>
      <c r="L2008" s="229">
        <v>3570</v>
      </c>
      <c r="M2008" s="55"/>
    </row>
    <row r="2009" spans="2:13" x14ac:dyDescent="0.3">
      <c r="B2009" s="223" t="s">
        <v>2483</v>
      </c>
      <c r="C2009" s="37">
        <v>6</v>
      </c>
      <c r="D2009" s="225">
        <v>13</v>
      </c>
      <c r="E2009" s="226">
        <v>26926</v>
      </c>
      <c r="F2009" s="227"/>
      <c r="G2009" s="1" t="str">
        <f>IFERROR(IF(ventas_b_mes12[[#This Row],[CUIT]]="","-",VLOOKUP(ventas_b_mes12[[#This Row],[CUIT]],Lista_CUIT[#All],2,0)),"CUIT NO CARGADO")</f>
        <v>-</v>
      </c>
      <c r="H2009" s="96">
        <f>ventas_b_mes12[[#This Row],[TOTAL]]/1.21</f>
        <v>23223.14049586777</v>
      </c>
      <c r="I2009" s="60">
        <f>ventas_b_mes12[[#This Row],[IMPORTE NETO]]*0.21</f>
        <v>4876.8595041322315</v>
      </c>
      <c r="J2009" s="229"/>
      <c r="K2009" s="229"/>
      <c r="L2009" s="229">
        <v>28100</v>
      </c>
      <c r="M2009" s="55"/>
    </row>
    <row r="2010" spans="2:13" x14ac:dyDescent="0.3">
      <c r="B2010" s="223" t="s">
        <v>2483</v>
      </c>
      <c r="C2010" s="37">
        <v>6</v>
      </c>
      <c r="D2010" s="225">
        <v>11</v>
      </c>
      <c r="E2010" s="226">
        <v>30282</v>
      </c>
      <c r="F2010" s="227"/>
      <c r="G2010" s="1" t="str">
        <f>IFERROR(IF(ventas_b_mes12[[#This Row],[CUIT]]="","-",VLOOKUP(ventas_b_mes12[[#This Row],[CUIT]],Lista_CUIT[#All],2,0)),"CUIT NO CARGADO")</f>
        <v>-</v>
      </c>
      <c r="H2010" s="96">
        <f>ventas_b_mes12[[#This Row],[TOTAL]]/1.21</f>
        <v>5049.5785123966944</v>
      </c>
      <c r="I2010" s="60">
        <f>ventas_b_mes12[[#This Row],[IMPORTE NETO]]*0.21</f>
        <v>1060.4114876033059</v>
      </c>
      <c r="J2010" s="229"/>
      <c r="K2010" s="229"/>
      <c r="L2010" s="229">
        <v>6109.99</v>
      </c>
      <c r="M2010" s="55"/>
    </row>
    <row r="2011" spans="2:13" x14ac:dyDescent="0.3">
      <c r="B2011" s="223" t="s">
        <v>2483</v>
      </c>
      <c r="C2011" s="37">
        <v>6</v>
      </c>
      <c r="D2011" s="225">
        <v>10</v>
      </c>
      <c r="E2011" s="226">
        <v>44096</v>
      </c>
      <c r="F2011" s="227"/>
      <c r="G2011" s="1" t="str">
        <f>IFERROR(IF(ventas_b_mes12[[#This Row],[CUIT]]="","-",VLOOKUP(ventas_b_mes12[[#This Row],[CUIT]],Lista_CUIT[#All],2,0)),"CUIT NO CARGADO")</f>
        <v>-</v>
      </c>
      <c r="H2011" s="96">
        <f>ventas_b_mes12[[#This Row],[TOTAL]]/1.21</f>
        <v>2809.9173553719011</v>
      </c>
      <c r="I2011" s="60">
        <f>ventas_b_mes12[[#This Row],[IMPORTE NETO]]*0.21</f>
        <v>590.08264462809916</v>
      </c>
      <c r="J2011" s="229"/>
      <c r="K2011" s="229"/>
      <c r="L2011" s="229">
        <v>3400</v>
      </c>
      <c r="M2011" s="55"/>
    </row>
    <row r="2012" spans="2:13" x14ac:dyDescent="0.3">
      <c r="B2012" s="223" t="s">
        <v>2483</v>
      </c>
      <c r="C2012" s="37">
        <v>6</v>
      </c>
      <c r="D2012" s="225">
        <v>11</v>
      </c>
      <c r="E2012" s="226">
        <v>30278</v>
      </c>
      <c r="F2012" s="227"/>
      <c r="G2012" s="1" t="str">
        <f>IFERROR(IF(ventas_b_mes12[[#This Row],[CUIT]]="","-",VLOOKUP(ventas_b_mes12[[#This Row],[CUIT]],Lista_CUIT[#All],2,0)),"CUIT NO CARGADO")</f>
        <v>-</v>
      </c>
      <c r="H2012" s="96">
        <f>ventas_b_mes12[[#This Row],[TOTAL]]/1.21</f>
        <v>363.30578512396698</v>
      </c>
      <c r="I2012" s="60">
        <f>ventas_b_mes12[[#This Row],[IMPORTE NETO]]*0.21</f>
        <v>76.294214876033067</v>
      </c>
      <c r="J2012" s="229"/>
      <c r="K2012" s="229"/>
      <c r="L2012" s="229">
        <v>439.6</v>
      </c>
      <c r="M2012" s="55"/>
    </row>
    <row r="2013" spans="2:13" x14ac:dyDescent="0.3">
      <c r="B2013" s="223" t="s">
        <v>2483</v>
      </c>
      <c r="C2013" s="37">
        <v>6</v>
      </c>
      <c r="D2013" s="225">
        <v>10</v>
      </c>
      <c r="E2013" s="226">
        <v>44097</v>
      </c>
      <c r="F2013" s="227"/>
      <c r="G2013" s="1" t="str">
        <f>IFERROR(IF(ventas_b_mes12[[#This Row],[CUIT]]="","-",VLOOKUP(ventas_b_mes12[[#This Row],[CUIT]],Lista_CUIT[#All],2,0)),"CUIT NO CARGADO")</f>
        <v>-</v>
      </c>
      <c r="H2013" s="96">
        <f>ventas_b_mes12[[#This Row],[TOTAL]]/1.21</f>
        <v>4958.6776859504134</v>
      </c>
      <c r="I2013" s="60">
        <f>ventas_b_mes12[[#This Row],[IMPORTE NETO]]*0.21</f>
        <v>1041.3223140495868</v>
      </c>
      <c r="J2013" s="229"/>
      <c r="K2013" s="229"/>
      <c r="L2013" s="229">
        <v>6000</v>
      </c>
      <c r="M2013" s="55"/>
    </row>
    <row r="2014" spans="2:13" x14ac:dyDescent="0.3">
      <c r="B2014" s="223" t="s">
        <v>2483</v>
      </c>
      <c r="C2014" s="37">
        <v>6</v>
      </c>
      <c r="D2014" s="225">
        <v>11</v>
      </c>
      <c r="E2014" s="226">
        <v>30279</v>
      </c>
      <c r="F2014" s="227"/>
      <c r="G2014" s="1" t="str">
        <f>IFERROR(IF(ventas_b_mes12[[#This Row],[CUIT]]="","-",VLOOKUP(ventas_b_mes12[[#This Row],[CUIT]],Lista_CUIT[#All],2,0)),"CUIT NO CARGADO")</f>
        <v>-</v>
      </c>
      <c r="H2014" s="96">
        <f>ventas_b_mes12[[#This Row],[TOTAL]]/1.21</f>
        <v>5190.0826446280989</v>
      </c>
      <c r="I2014" s="60">
        <f>ventas_b_mes12[[#This Row],[IMPORTE NETO]]*0.21</f>
        <v>1089.9173553719008</v>
      </c>
      <c r="J2014" s="229"/>
      <c r="K2014" s="229"/>
      <c r="L2014" s="229">
        <v>6280</v>
      </c>
      <c r="M2014" s="55"/>
    </row>
    <row r="2015" spans="2:13" x14ac:dyDescent="0.3">
      <c r="B2015" s="223" t="s">
        <v>2483</v>
      </c>
      <c r="C2015" s="37">
        <v>6</v>
      </c>
      <c r="D2015" s="225">
        <v>11</v>
      </c>
      <c r="E2015" s="226">
        <v>30281</v>
      </c>
      <c r="F2015" s="227"/>
      <c r="G2015" s="1" t="str">
        <f>IFERROR(IF(ventas_b_mes12[[#This Row],[CUIT]]="","-",VLOOKUP(ventas_b_mes12[[#This Row],[CUIT]],Lista_CUIT[#All],2,0)),"CUIT NO CARGADO")</f>
        <v>-</v>
      </c>
      <c r="H2015" s="96">
        <f>ventas_b_mes12[[#This Row],[TOTAL]]/1.21</f>
        <v>4958.6776859504134</v>
      </c>
      <c r="I2015" s="60">
        <f>ventas_b_mes12[[#This Row],[IMPORTE NETO]]*0.21</f>
        <v>1041.3223140495868</v>
      </c>
      <c r="J2015" s="229"/>
      <c r="K2015" s="229"/>
      <c r="L2015" s="229">
        <v>6000</v>
      </c>
      <c r="M2015" s="55"/>
    </row>
    <row r="2016" spans="2:13" x14ac:dyDescent="0.3">
      <c r="B2016" s="223" t="s">
        <v>2483</v>
      </c>
      <c r="C2016" s="37">
        <v>6</v>
      </c>
      <c r="D2016" s="225">
        <v>11</v>
      </c>
      <c r="E2016" s="226">
        <v>30280</v>
      </c>
      <c r="F2016" s="227"/>
      <c r="G2016" s="1" t="str">
        <f>IFERROR(IF(ventas_b_mes12[[#This Row],[CUIT]]="","-",VLOOKUP(ventas_b_mes12[[#This Row],[CUIT]],Lista_CUIT[#All],2,0)),"CUIT NO CARGADO")</f>
        <v>-</v>
      </c>
      <c r="H2016" s="96">
        <f>ventas_b_mes12[[#This Row],[TOTAL]]/1.21</f>
        <v>2454.5371900826444</v>
      </c>
      <c r="I2016" s="60">
        <f>ventas_b_mes12[[#This Row],[IMPORTE NETO]]*0.21</f>
        <v>515.45280991735535</v>
      </c>
      <c r="J2016" s="229"/>
      <c r="K2016" s="229"/>
      <c r="L2016" s="229">
        <v>2969.99</v>
      </c>
      <c r="M2016" s="55"/>
    </row>
    <row r="2017" spans="2:13" x14ac:dyDescent="0.3">
      <c r="B2017" s="223" t="s">
        <v>2483</v>
      </c>
      <c r="C2017" s="37">
        <v>6</v>
      </c>
      <c r="D2017" s="225">
        <v>15</v>
      </c>
      <c r="E2017" s="226">
        <v>7335</v>
      </c>
      <c r="F2017" s="227"/>
      <c r="G2017" s="1" t="str">
        <f>IFERROR(IF(ventas_b_mes12[[#This Row],[CUIT]]="","-",VLOOKUP(ventas_b_mes12[[#This Row],[CUIT]],Lista_CUIT[#All],2,0)),"CUIT NO CARGADO")</f>
        <v>-</v>
      </c>
      <c r="H2017" s="96">
        <f>ventas_b_mes12[[#This Row],[TOTAL]]/1.21</f>
        <v>4314.0495867768595</v>
      </c>
      <c r="I2017" s="60">
        <f>ventas_b_mes12[[#This Row],[IMPORTE NETO]]*0.21</f>
        <v>905.95041322314046</v>
      </c>
      <c r="J2017" s="229"/>
      <c r="K2017" s="229"/>
      <c r="L2017" s="229">
        <v>5220</v>
      </c>
      <c r="M2017" s="55"/>
    </row>
    <row r="2018" spans="2:13" x14ac:dyDescent="0.3">
      <c r="B2018" s="223" t="s">
        <v>2483</v>
      </c>
      <c r="C2018" s="37">
        <v>6</v>
      </c>
      <c r="D2018" s="225">
        <v>11</v>
      </c>
      <c r="E2018" s="226">
        <v>30287</v>
      </c>
      <c r="F2018" s="227"/>
      <c r="G2018" s="1" t="str">
        <f>IFERROR(IF(ventas_b_mes12[[#This Row],[CUIT]]="","-",VLOOKUP(ventas_b_mes12[[#This Row],[CUIT]],Lista_CUIT[#All],2,0)),"CUIT NO CARGADO")</f>
        <v>-</v>
      </c>
      <c r="H2018" s="96">
        <f>ventas_b_mes12[[#This Row],[TOTAL]]/1.21</f>
        <v>25010.363636363636</v>
      </c>
      <c r="I2018" s="60">
        <f>ventas_b_mes12[[#This Row],[IMPORTE NETO]]*0.21</f>
        <v>5252.176363636363</v>
      </c>
      <c r="J2018" s="229"/>
      <c r="K2018" s="229"/>
      <c r="L2018" s="229">
        <v>30262.54</v>
      </c>
      <c r="M2018" s="55"/>
    </row>
    <row r="2019" spans="2:13" x14ac:dyDescent="0.3">
      <c r="B2019" s="223" t="s">
        <v>2483</v>
      </c>
      <c r="C2019" s="37">
        <v>6</v>
      </c>
      <c r="D2019" s="225">
        <v>11</v>
      </c>
      <c r="E2019" s="226">
        <v>30288</v>
      </c>
      <c r="F2019" s="227"/>
      <c r="G2019" s="1" t="str">
        <f>IFERROR(IF(ventas_b_mes12[[#This Row],[CUIT]]="","-",VLOOKUP(ventas_b_mes12[[#This Row],[CUIT]],Lista_CUIT[#All],2,0)),"CUIT NO CARGADO")</f>
        <v>-</v>
      </c>
      <c r="H2019" s="96">
        <f>ventas_b_mes12[[#This Row],[TOTAL]]/1.21</f>
        <v>1227.2727272727273</v>
      </c>
      <c r="I2019" s="60">
        <f>ventas_b_mes12[[#This Row],[IMPORTE NETO]]*0.21</f>
        <v>257.72727272727269</v>
      </c>
      <c r="J2019" s="229"/>
      <c r="K2019" s="229"/>
      <c r="L2019" s="229">
        <v>1485</v>
      </c>
      <c r="M2019" s="55"/>
    </row>
    <row r="2020" spans="2:13" x14ac:dyDescent="0.3">
      <c r="B2020" s="223" t="s">
        <v>2483</v>
      </c>
      <c r="C2020" s="37">
        <v>6</v>
      </c>
      <c r="D2020" s="225">
        <v>10</v>
      </c>
      <c r="E2020" s="226">
        <v>44116</v>
      </c>
      <c r="F2020" s="227"/>
      <c r="G2020" s="1" t="str">
        <f>IFERROR(IF(ventas_b_mes12[[#This Row],[CUIT]]="","-",VLOOKUP(ventas_b_mes12[[#This Row],[CUIT]],Lista_CUIT[#All],2,0)),"CUIT NO CARGADO")</f>
        <v>-</v>
      </c>
      <c r="H2020" s="96">
        <f>ventas_b_mes12[[#This Row],[TOTAL]]/1.21</f>
        <v>3404.9586776859505</v>
      </c>
      <c r="I2020" s="60">
        <f>ventas_b_mes12[[#This Row],[IMPORTE NETO]]*0.21</f>
        <v>715.04132231404958</v>
      </c>
      <c r="J2020" s="229"/>
      <c r="K2020" s="229"/>
      <c r="L2020" s="229">
        <v>4120</v>
      </c>
      <c r="M2020" s="55"/>
    </row>
    <row r="2021" spans="2:13" x14ac:dyDescent="0.3">
      <c r="B2021" s="223" t="s">
        <v>2483</v>
      </c>
      <c r="C2021" s="37">
        <v>6</v>
      </c>
      <c r="D2021" s="225">
        <v>12</v>
      </c>
      <c r="E2021" s="226">
        <v>22730</v>
      </c>
      <c r="F2021" s="227"/>
      <c r="G2021" s="1" t="str">
        <f>IFERROR(IF(ventas_b_mes12[[#This Row],[CUIT]]="","-",VLOOKUP(ventas_b_mes12[[#This Row],[CUIT]],Lista_CUIT[#All],2,0)),"CUIT NO CARGADO")</f>
        <v>-</v>
      </c>
      <c r="H2021" s="96">
        <f>ventas_b_mes12[[#This Row],[TOTAL]]/1.21</f>
        <v>1152.8925619834711</v>
      </c>
      <c r="I2021" s="60">
        <f>ventas_b_mes12[[#This Row],[IMPORTE NETO]]*0.21</f>
        <v>242.1074380165289</v>
      </c>
      <c r="J2021" s="229"/>
      <c r="K2021" s="229"/>
      <c r="L2021" s="229">
        <v>1395</v>
      </c>
      <c r="M2021" s="55"/>
    </row>
    <row r="2022" spans="2:13" x14ac:dyDescent="0.3">
      <c r="B2022" s="223" t="s">
        <v>2483</v>
      </c>
      <c r="C2022" s="37">
        <v>6</v>
      </c>
      <c r="D2022" s="225">
        <v>11</v>
      </c>
      <c r="E2022" s="226">
        <v>30273</v>
      </c>
      <c r="F2022" s="227"/>
      <c r="G2022" s="1" t="str">
        <f>IFERROR(IF(ventas_b_mes12[[#This Row],[CUIT]]="","-",VLOOKUP(ventas_b_mes12[[#This Row],[CUIT]],Lista_CUIT[#All],2,0)),"CUIT NO CARGADO")</f>
        <v>-</v>
      </c>
      <c r="H2022" s="96">
        <f>ventas_b_mes12[[#This Row],[TOTAL]]/1.21</f>
        <v>8330.5702479338852</v>
      </c>
      <c r="I2022" s="60">
        <f>ventas_b_mes12[[#This Row],[IMPORTE NETO]]*0.21</f>
        <v>1749.4197520661157</v>
      </c>
      <c r="J2022" s="229"/>
      <c r="K2022" s="229"/>
      <c r="L2022" s="229">
        <v>10079.99</v>
      </c>
      <c r="M2022" s="55"/>
    </row>
    <row r="2023" spans="2:13" x14ac:dyDescent="0.3">
      <c r="B2023" s="223" t="s">
        <v>2483</v>
      </c>
      <c r="C2023" s="37">
        <v>6</v>
      </c>
      <c r="D2023" s="225">
        <v>10</v>
      </c>
      <c r="E2023" s="226">
        <v>44091</v>
      </c>
      <c r="F2023" s="227"/>
      <c r="G2023" s="1" t="str">
        <f>IFERROR(IF(ventas_b_mes12[[#This Row],[CUIT]]="","-",VLOOKUP(ventas_b_mes12[[#This Row],[CUIT]],Lista_CUIT[#All],2,0)),"CUIT NO CARGADO")</f>
        <v>-</v>
      </c>
      <c r="H2023" s="96">
        <f>ventas_b_mes12[[#This Row],[TOTAL]]/1.21</f>
        <v>2686.0330578512398</v>
      </c>
      <c r="I2023" s="60">
        <f>ventas_b_mes12[[#This Row],[IMPORTE NETO]]*0.21</f>
        <v>564.06694214876029</v>
      </c>
      <c r="J2023" s="229"/>
      <c r="K2023" s="229"/>
      <c r="L2023" s="229">
        <v>3250.1</v>
      </c>
      <c r="M2023" s="55"/>
    </row>
    <row r="2024" spans="2:13" x14ac:dyDescent="0.3">
      <c r="B2024" s="223" t="s">
        <v>2483</v>
      </c>
      <c r="C2024" s="37">
        <v>6</v>
      </c>
      <c r="D2024" s="225">
        <v>10</v>
      </c>
      <c r="E2024" s="226">
        <v>44103</v>
      </c>
      <c r="F2024" s="227"/>
      <c r="G2024" s="1" t="str">
        <f>IFERROR(IF(ventas_b_mes12[[#This Row],[CUIT]]="","-",VLOOKUP(ventas_b_mes12[[#This Row],[CUIT]],Lista_CUIT[#All],2,0)),"CUIT NO CARGADO")</f>
        <v>-</v>
      </c>
      <c r="H2024" s="96">
        <f>ventas_b_mes12[[#This Row],[TOTAL]]/1.21</f>
        <v>12053.719008264463</v>
      </c>
      <c r="I2024" s="60">
        <f>ventas_b_mes12[[#This Row],[IMPORTE NETO]]*0.21</f>
        <v>2531.2809917355371</v>
      </c>
      <c r="J2024" s="229"/>
      <c r="K2024" s="229"/>
      <c r="L2024" s="229">
        <v>14585</v>
      </c>
      <c r="M2024" s="55"/>
    </row>
    <row r="2025" spans="2:13" x14ac:dyDescent="0.3">
      <c r="B2025" s="223" t="s">
        <v>2483</v>
      </c>
      <c r="C2025" s="37">
        <v>6</v>
      </c>
      <c r="D2025" s="225">
        <v>12</v>
      </c>
      <c r="E2025" s="226">
        <v>22726</v>
      </c>
      <c r="F2025" s="227"/>
      <c r="G2025" s="1" t="str">
        <f>IFERROR(IF(ventas_b_mes12[[#This Row],[CUIT]]="","-",VLOOKUP(ventas_b_mes12[[#This Row],[CUIT]],Lista_CUIT[#All],2,0)),"CUIT NO CARGADO")</f>
        <v>-</v>
      </c>
      <c r="H2025" s="96">
        <f>ventas_b_mes12[[#This Row],[TOTAL]]/1.21</f>
        <v>929.75206611570252</v>
      </c>
      <c r="I2025" s="60">
        <f>ventas_b_mes12[[#This Row],[IMPORTE NETO]]*0.21</f>
        <v>195.24793388429751</v>
      </c>
      <c r="J2025" s="229"/>
      <c r="K2025" s="229"/>
      <c r="L2025" s="229">
        <v>1125</v>
      </c>
      <c r="M2025" s="55"/>
    </row>
    <row r="2026" spans="2:13" x14ac:dyDescent="0.3">
      <c r="B2026" s="223" t="s">
        <v>2483</v>
      </c>
      <c r="C2026" s="37">
        <v>6</v>
      </c>
      <c r="D2026" s="225">
        <v>11</v>
      </c>
      <c r="E2026" s="226">
        <v>30285</v>
      </c>
      <c r="F2026" s="227"/>
      <c r="G2026" s="1" t="str">
        <f>IFERROR(IF(ventas_b_mes12[[#This Row],[CUIT]]="","-",VLOOKUP(ventas_b_mes12[[#This Row],[CUIT]],Lista_CUIT[#All],2,0)),"CUIT NO CARGADO")</f>
        <v>-</v>
      </c>
      <c r="H2026" s="96">
        <f>ventas_b_mes12[[#This Row],[TOTAL]]/1.21</f>
        <v>2148.7603305785124</v>
      </c>
      <c r="I2026" s="60">
        <f>ventas_b_mes12[[#This Row],[IMPORTE NETO]]*0.21</f>
        <v>451.23966942148758</v>
      </c>
      <c r="J2026" s="229"/>
      <c r="K2026" s="229"/>
      <c r="L2026" s="229">
        <v>2600</v>
      </c>
      <c r="M2026" s="55"/>
    </row>
    <row r="2027" spans="2:13" x14ac:dyDescent="0.3">
      <c r="B2027" s="223" t="s">
        <v>2484</v>
      </c>
      <c r="C2027" s="37">
        <v>6</v>
      </c>
      <c r="D2027" s="225">
        <v>10</v>
      </c>
      <c r="E2027" s="226">
        <v>44129</v>
      </c>
      <c r="F2027" s="227"/>
      <c r="G2027" s="1" t="str">
        <f>IFERROR(IF(ventas_b_mes12[[#This Row],[CUIT]]="","-",VLOOKUP(ventas_b_mes12[[#This Row],[CUIT]],Lista_CUIT[#All],2,0)),"CUIT NO CARGADO")</f>
        <v>-</v>
      </c>
      <c r="H2027" s="96">
        <f>ventas_b_mes12[[#This Row],[TOTAL]]/1.21</f>
        <v>9504.1322314049594</v>
      </c>
      <c r="I2027" s="60">
        <f>ventas_b_mes12[[#This Row],[IMPORTE NETO]]*0.21</f>
        <v>1995.8677685950413</v>
      </c>
      <c r="J2027" s="229"/>
      <c r="K2027" s="229"/>
      <c r="L2027" s="229">
        <v>11500</v>
      </c>
      <c r="M2027" s="55"/>
    </row>
    <row r="2028" spans="2:13" x14ac:dyDescent="0.3">
      <c r="B2028" s="223" t="s">
        <v>2484</v>
      </c>
      <c r="C2028" s="37">
        <v>6</v>
      </c>
      <c r="D2028" s="225">
        <v>11</v>
      </c>
      <c r="E2028" s="226">
        <v>30298</v>
      </c>
      <c r="F2028" s="227"/>
      <c r="G2028" s="1" t="str">
        <f>IFERROR(IF(ventas_b_mes12[[#This Row],[CUIT]]="","-",VLOOKUP(ventas_b_mes12[[#This Row],[CUIT]],Lista_CUIT[#All],2,0)),"CUIT NO CARGADO")</f>
        <v>-</v>
      </c>
      <c r="H2028" s="96">
        <f>ventas_b_mes12[[#This Row],[TOTAL]]/1.21</f>
        <v>3553.727272727273</v>
      </c>
      <c r="I2028" s="60">
        <f>ventas_b_mes12[[#This Row],[IMPORTE NETO]]*0.21</f>
        <v>746.28272727272724</v>
      </c>
      <c r="J2028" s="229"/>
      <c r="K2028" s="229"/>
      <c r="L2028" s="229">
        <v>4300.01</v>
      </c>
      <c r="M2028" s="55"/>
    </row>
    <row r="2029" spans="2:13" x14ac:dyDescent="0.3">
      <c r="B2029" s="223" t="s">
        <v>2484</v>
      </c>
      <c r="C2029" s="37">
        <v>6</v>
      </c>
      <c r="D2029" s="225">
        <v>12</v>
      </c>
      <c r="E2029" s="226">
        <v>22748</v>
      </c>
      <c r="F2029" s="227"/>
      <c r="G2029" s="1" t="str">
        <f>IFERROR(IF(ventas_b_mes12[[#This Row],[CUIT]]="","-",VLOOKUP(ventas_b_mes12[[#This Row],[CUIT]],Lista_CUIT[#All],2,0)),"CUIT NO CARGADO")</f>
        <v>-</v>
      </c>
      <c r="H2029" s="96">
        <f>ventas_b_mes12[[#This Row],[TOTAL]]/1.21</f>
        <v>9090.9090909090919</v>
      </c>
      <c r="I2029" s="60">
        <f>ventas_b_mes12[[#This Row],[IMPORTE NETO]]*0.21</f>
        <v>1909.0909090909092</v>
      </c>
      <c r="J2029" s="229"/>
      <c r="K2029" s="229"/>
      <c r="L2029" s="229">
        <v>11000</v>
      </c>
      <c r="M2029" s="55"/>
    </row>
    <row r="2030" spans="2:13" x14ac:dyDescent="0.3">
      <c r="B2030" s="223" t="s">
        <v>2484</v>
      </c>
      <c r="C2030" s="37">
        <v>6</v>
      </c>
      <c r="D2030" s="225">
        <v>13</v>
      </c>
      <c r="E2030" s="226">
        <v>26937</v>
      </c>
      <c r="F2030" s="227"/>
      <c r="G2030" s="1" t="str">
        <f>IFERROR(IF(ventas_b_mes12[[#This Row],[CUIT]]="","-",VLOOKUP(ventas_b_mes12[[#This Row],[CUIT]],Lista_CUIT[#All],2,0)),"CUIT NO CARGADO")</f>
        <v>-</v>
      </c>
      <c r="H2030" s="96">
        <f>ventas_b_mes12[[#This Row],[TOTAL]]/1.21</f>
        <v>3723.1404958677685</v>
      </c>
      <c r="I2030" s="60">
        <f>ventas_b_mes12[[#This Row],[IMPORTE NETO]]*0.21</f>
        <v>781.85950413223134</v>
      </c>
      <c r="J2030" s="229"/>
      <c r="K2030" s="229"/>
      <c r="L2030" s="229">
        <v>4505</v>
      </c>
      <c r="M2030" s="55"/>
    </row>
    <row r="2031" spans="2:13" x14ac:dyDescent="0.3">
      <c r="B2031" s="223" t="s">
        <v>2484</v>
      </c>
      <c r="C2031" s="37">
        <v>6</v>
      </c>
      <c r="D2031" s="225">
        <v>12</v>
      </c>
      <c r="E2031" s="226">
        <v>22732</v>
      </c>
      <c r="F2031" s="227"/>
      <c r="G2031" s="1" t="str">
        <f>IFERROR(IF(ventas_b_mes12[[#This Row],[CUIT]]="","-",VLOOKUP(ventas_b_mes12[[#This Row],[CUIT]],Lista_CUIT[#All],2,0)),"CUIT NO CARGADO")</f>
        <v>-</v>
      </c>
      <c r="H2031" s="96">
        <f>ventas_b_mes12[[#This Row],[TOTAL]]/1.21</f>
        <v>1033.0578512396694</v>
      </c>
      <c r="I2031" s="60">
        <f>ventas_b_mes12[[#This Row],[IMPORTE NETO]]*0.21</f>
        <v>216.94214876033055</v>
      </c>
      <c r="J2031" s="229"/>
      <c r="K2031" s="229"/>
      <c r="L2031" s="229">
        <v>1250</v>
      </c>
      <c r="M2031" s="55"/>
    </row>
    <row r="2032" spans="2:13" x14ac:dyDescent="0.3">
      <c r="B2032" s="223" t="s">
        <v>2484</v>
      </c>
      <c r="C2032" s="37">
        <v>6</v>
      </c>
      <c r="D2032" s="225">
        <v>10</v>
      </c>
      <c r="E2032" s="226">
        <v>44128</v>
      </c>
      <c r="F2032" s="227"/>
      <c r="G2032" s="1" t="str">
        <f>IFERROR(IF(ventas_b_mes12[[#This Row],[CUIT]]="","-",VLOOKUP(ventas_b_mes12[[#This Row],[CUIT]],Lista_CUIT[#All],2,0)),"CUIT NO CARGADO")</f>
        <v>-</v>
      </c>
      <c r="H2032" s="96">
        <f>ventas_b_mes12[[#This Row],[TOTAL]]/1.21</f>
        <v>4132.2314049586776</v>
      </c>
      <c r="I2032" s="60">
        <f>ventas_b_mes12[[#This Row],[IMPORTE NETO]]*0.21</f>
        <v>867.76859504132221</v>
      </c>
      <c r="J2032" s="229"/>
      <c r="K2032" s="229"/>
      <c r="L2032" s="229">
        <v>5000</v>
      </c>
      <c r="M2032" s="55"/>
    </row>
    <row r="2033" spans="2:13" x14ac:dyDescent="0.3">
      <c r="B2033" s="223" t="s">
        <v>2484</v>
      </c>
      <c r="C2033" s="37">
        <v>6</v>
      </c>
      <c r="D2033" s="225">
        <v>10</v>
      </c>
      <c r="E2033" s="226">
        <v>44127</v>
      </c>
      <c r="F2033" s="227"/>
      <c r="G2033" s="1" t="str">
        <f>IFERROR(IF(ventas_b_mes12[[#This Row],[CUIT]]="","-",VLOOKUP(ventas_b_mes12[[#This Row],[CUIT]],Lista_CUIT[#All],2,0)),"CUIT NO CARGADO")</f>
        <v>-</v>
      </c>
      <c r="H2033" s="96">
        <f>ventas_b_mes12[[#This Row],[TOTAL]]/1.21</f>
        <v>3495.8677685950415</v>
      </c>
      <c r="I2033" s="60">
        <f>ventas_b_mes12[[#This Row],[IMPORTE NETO]]*0.21</f>
        <v>734.1322314049587</v>
      </c>
      <c r="J2033" s="229"/>
      <c r="K2033" s="229"/>
      <c r="L2033" s="229">
        <v>4230</v>
      </c>
      <c r="M2033" s="55"/>
    </row>
    <row r="2034" spans="2:13" x14ac:dyDescent="0.3">
      <c r="B2034" s="223" t="s">
        <v>2484</v>
      </c>
      <c r="C2034" s="37">
        <v>6</v>
      </c>
      <c r="D2034" s="225">
        <v>12</v>
      </c>
      <c r="E2034" s="226">
        <v>22747</v>
      </c>
      <c r="F2034" s="227"/>
      <c r="G2034" s="1" t="str">
        <f>IFERROR(IF(ventas_b_mes12[[#This Row],[CUIT]]="","-",VLOOKUP(ventas_b_mes12[[#This Row],[CUIT]],Lista_CUIT[#All],2,0)),"CUIT NO CARGADO")</f>
        <v>-</v>
      </c>
      <c r="H2034" s="96">
        <f>ventas_b_mes12[[#This Row],[TOTAL]]/1.21</f>
        <v>6396.6942148760336</v>
      </c>
      <c r="I2034" s="60">
        <f>ventas_b_mes12[[#This Row],[IMPORTE NETO]]*0.21</f>
        <v>1343.3057851239671</v>
      </c>
      <c r="J2034" s="229"/>
      <c r="K2034" s="229"/>
      <c r="L2034" s="229">
        <v>7740</v>
      </c>
      <c r="M2034" s="55"/>
    </row>
    <row r="2035" spans="2:13" x14ac:dyDescent="0.3">
      <c r="B2035" s="223" t="s">
        <v>2484</v>
      </c>
      <c r="C2035" s="37">
        <v>6</v>
      </c>
      <c r="D2035" s="225">
        <v>13</v>
      </c>
      <c r="E2035" s="226">
        <v>26935</v>
      </c>
      <c r="F2035" s="227"/>
      <c r="G2035" s="1" t="str">
        <f>IFERROR(IF(ventas_b_mes12[[#This Row],[CUIT]]="","-",VLOOKUP(ventas_b_mes12[[#This Row],[CUIT]],Lista_CUIT[#All],2,0)),"CUIT NO CARGADO")</f>
        <v>-</v>
      </c>
      <c r="H2035" s="96">
        <f>ventas_b_mes12[[#This Row],[TOTAL]]/1.21</f>
        <v>14504.132231404959</v>
      </c>
      <c r="I2035" s="60">
        <f>ventas_b_mes12[[#This Row],[IMPORTE NETO]]*0.21</f>
        <v>3045.8677685950415</v>
      </c>
      <c r="J2035" s="229"/>
      <c r="K2035" s="229"/>
      <c r="L2035" s="229">
        <v>17550</v>
      </c>
      <c r="M2035" s="55"/>
    </row>
    <row r="2036" spans="2:13" x14ac:dyDescent="0.3">
      <c r="B2036" s="223" t="s">
        <v>2484</v>
      </c>
      <c r="C2036" s="37">
        <v>6</v>
      </c>
      <c r="D2036" s="225">
        <v>12</v>
      </c>
      <c r="E2036" s="226">
        <v>22753</v>
      </c>
      <c r="F2036" s="227"/>
      <c r="G2036" s="1" t="str">
        <f>IFERROR(IF(ventas_b_mes12[[#This Row],[CUIT]]="","-",VLOOKUP(ventas_b_mes12[[#This Row],[CUIT]],Lista_CUIT[#All],2,0)),"CUIT NO CARGADO")</f>
        <v>-</v>
      </c>
      <c r="H2036" s="96">
        <f>ventas_b_mes12[[#This Row],[TOTAL]]/1.21</f>
        <v>2148.7603305785124</v>
      </c>
      <c r="I2036" s="60">
        <f>ventas_b_mes12[[#This Row],[IMPORTE NETO]]*0.21</f>
        <v>451.23966942148758</v>
      </c>
      <c r="J2036" s="229"/>
      <c r="K2036" s="229"/>
      <c r="L2036" s="229">
        <v>2600</v>
      </c>
      <c r="M2036" s="55"/>
    </row>
    <row r="2037" spans="2:13" x14ac:dyDescent="0.3">
      <c r="B2037" s="223" t="s">
        <v>2484</v>
      </c>
      <c r="C2037" s="37">
        <v>6</v>
      </c>
      <c r="D2037" s="225">
        <v>11</v>
      </c>
      <c r="E2037" s="226">
        <v>30297</v>
      </c>
      <c r="F2037" s="227"/>
      <c r="G2037" s="1" t="str">
        <f>IFERROR(IF(ventas_b_mes12[[#This Row],[CUIT]]="","-",VLOOKUP(ventas_b_mes12[[#This Row],[CUIT]],Lista_CUIT[#All],2,0)),"CUIT NO CARGADO")</f>
        <v>-</v>
      </c>
      <c r="H2037" s="96">
        <f>ventas_b_mes12[[#This Row],[TOTAL]]/1.21</f>
        <v>5986.6942148760327</v>
      </c>
      <c r="I2037" s="60">
        <f>ventas_b_mes12[[#This Row],[IMPORTE NETO]]*0.21</f>
        <v>1257.2057851239667</v>
      </c>
      <c r="J2037" s="229"/>
      <c r="K2037" s="229"/>
      <c r="L2037" s="229">
        <v>7243.9</v>
      </c>
      <c r="M2037" s="55"/>
    </row>
    <row r="2038" spans="2:13" x14ac:dyDescent="0.3">
      <c r="B2038" s="223" t="s">
        <v>2484</v>
      </c>
      <c r="C2038" s="37">
        <v>6</v>
      </c>
      <c r="D2038" s="225">
        <v>10</v>
      </c>
      <c r="E2038" s="226">
        <v>44124</v>
      </c>
      <c r="F2038" s="227"/>
      <c r="G2038" s="1" t="str">
        <f>IFERROR(IF(ventas_b_mes12[[#This Row],[CUIT]]="","-",VLOOKUP(ventas_b_mes12[[#This Row],[CUIT]],Lista_CUIT[#All],2,0)),"CUIT NO CARGADO")</f>
        <v>-</v>
      </c>
      <c r="H2038" s="96">
        <f>ventas_b_mes12[[#This Row],[TOTAL]]/1.21</f>
        <v>5305.7851239669426</v>
      </c>
      <c r="I2038" s="60">
        <f>ventas_b_mes12[[#This Row],[IMPORTE NETO]]*0.21</f>
        <v>1114.2148760330579</v>
      </c>
      <c r="J2038" s="229"/>
      <c r="K2038" s="229"/>
      <c r="L2038" s="229">
        <v>6420</v>
      </c>
      <c r="M2038" s="55"/>
    </row>
    <row r="2039" spans="2:13" x14ac:dyDescent="0.3">
      <c r="B2039" s="223" t="s">
        <v>2484</v>
      </c>
      <c r="C2039" s="37">
        <v>6</v>
      </c>
      <c r="D2039" s="225">
        <v>10</v>
      </c>
      <c r="E2039" s="226">
        <v>44133</v>
      </c>
      <c r="F2039" s="227"/>
      <c r="G2039" s="1" t="str">
        <f>IFERROR(IF(ventas_b_mes12[[#This Row],[CUIT]]="","-",VLOOKUP(ventas_b_mes12[[#This Row],[CUIT]],Lista_CUIT[#All],2,0)),"CUIT NO CARGADO")</f>
        <v>-</v>
      </c>
      <c r="H2039" s="96">
        <f>ventas_b_mes12[[#This Row],[TOTAL]]/1.21</f>
        <v>1322.3140495867769</v>
      </c>
      <c r="I2039" s="60">
        <f>ventas_b_mes12[[#This Row],[IMPORTE NETO]]*0.21</f>
        <v>277.68595041322317</v>
      </c>
      <c r="J2039" s="229"/>
      <c r="K2039" s="229"/>
      <c r="L2039" s="229">
        <v>1600</v>
      </c>
      <c r="M2039" s="55"/>
    </row>
    <row r="2040" spans="2:13" x14ac:dyDescent="0.3">
      <c r="B2040" s="223" t="s">
        <v>2484</v>
      </c>
      <c r="C2040" s="37">
        <v>6</v>
      </c>
      <c r="D2040" s="225">
        <v>12</v>
      </c>
      <c r="E2040" s="226">
        <v>22739</v>
      </c>
      <c r="F2040" s="227"/>
      <c r="G2040" s="1" t="str">
        <f>IFERROR(IF(ventas_b_mes12[[#This Row],[CUIT]]="","-",VLOOKUP(ventas_b_mes12[[#This Row],[CUIT]],Lista_CUIT[#All],2,0)),"CUIT NO CARGADO")</f>
        <v>-</v>
      </c>
      <c r="H2040" s="96">
        <f>ventas_b_mes12[[#This Row],[TOTAL]]/1.21</f>
        <v>16524.793388429753</v>
      </c>
      <c r="I2040" s="60">
        <f>ventas_b_mes12[[#This Row],[IMPORTE NETO]]*0.21</f>
        <v>3470.2066115702478</v>
      </c>
      <c r="J2040" s="229"/>
      <c r="K2040" s="229"/>
      <c r="L2040" s="229">
        <v>19995</v>
      </c>
      <c r="M2040" s="55"/>
    </row>
    <row r="2041" spans="2:13" x14ac:dyDescent="0.3">
      <c r="B2041" s="223" t="s">
        <v>2484</v>
      </c>
      <c r="C2041" s="37">
        <v>6</v>
      </c>
      <c r="D2041" s="225">
        <v>10</v>
      </c>
      <c r="E2041" s="226">
        <v>44134</v>
      </c>
      <c r="F2041" s="227"/>
      <c r="G2041" s="1" t="str">
        <f>IFERROR(IF(ventas_b_mes12[[#This Row],[CUIT]]="","-",VLOOKUP(ventas_b_mes12[[#This Row],[CUIT]],Lista_CUIT[#All],2,0)),"CUIT NO CARGADO")</f>
        <v>-</v>
      </c>
      <c r="H2041" s="96">
        <f>ventas_b_mes12[[#This Row],[TOTAL]]/1.21</f>
        <v>3898.7603305785124</v>
      </c>
      <c r="I2041" s="60">
        <f>ventas_b_mes12[[#This Row],[IMPORTE NETO]]*0.21</f>
        <v>818.73966942148752</v>
      </c>
      <c r="J2041" s="229"/>
      <c r="K2041" s="229"/>
      <c r="L2041" s="229">
        <v>4717.5</v>
      </c>
      <c r="M2041" s="55"/>
    </row>
    <row r="2042" spans="2:13" x14ac:dyDescent="0.3">
      <c r="B2042" s="223" t="s">
        <v>2484</v>
      </c>
      <c r="C2042" s="37">
        <v>6</v>
      </c>
      <c r="D2042" s="225">
        <v>12</v>
      </c>
      <c r="E2042" s="226">
        <v>22737</v>
      </c>
      <c r="F2042" s="227"/>
      <c r="G2042" s="1" t="str">
        <f>IFERROR(IF(ventas_b_mes12[[#This Row],[CUIT]]="","-",VLOOKUP(ventas_b_mes12[[#This Row],[CUIT]],Lista_CUIT[#All],2,0)),"CUIT NO CARGADO")</f>
        <v>-</v>
      </c>
      <c r="H2042" s="96">
        <f>ventas_b_mes12[[#This Row],[TOTAL]]/1.21</f>
        <v>400.82644628099177</v>
      </c>
      <c r="I2042" s="60">
        <f>ventas_b_mes12[[#This Row],[IMPORTE NETO]]*0.21</f>
        <v>84.173553719008268</v>
      </c>
      <c r="J2042" s="229"/>
      <c r="K2042" s="229"/>
      <c r="L2042" s="229">
        <v>485</v>
      </c>
      <c r="M2042" s="55"/>
    </row>
    <row r="2043" spans="2:13" x14ac:dyDescent="0.3">
      <c r="B2043" s="223" t="s">
        <v>2484</v>
      </c>
      <c r="C2043" s="37">
        <v>6</v>
      </c>
      <c r="D2043" s="225">
        <v>12</v>
      </c>
      <c r="E2043" s="226">
        <v>22744</v>
      </c>
      <c r="F2043" s="227"/>
      <c r="G2043" s="1" t="str">
        <f>IFERROR(IF(ventas_b_mes12[[#This Row],[CUIT]]="","-",VLOOKUP(ventas_b_mes12[[#This Row],[CUIT]],Lista_CUIT[#All],2,0)),"CUIT NO CARGADO")</f>
        <v>-</v>
      </c>
      <c r="H2043" s="96">
        <f>ventas_b_mes12[[#This Row],[TOTAL]]/1.21</f>
        <v>7892.5619834710742</v>
      </c>
      <c r="I2043" s="60">
        <f>ventas_b_mes12[[#This Row],[IMPORTE NETO]]*0.21</f>
        <v>1657.4380165289256</v>
      </c>
      <c r="J2043" s="229"/>
      <c r="K2043" s="229"/>
      <c r="L2043" s="229">
        <v>9550</v>
      </c>
      <c r="M2043" s="55"/>
    </row>
    <row r="2044" spans="2:13" x14ac:dyDescent="0.3">
      <c r="B2044" s="223" t="s">
        <v>2484</v>
      </c>
      <c r="C2044" s="37">
        <v>6</v>
      </c>
      <c r="D2044" s="225">
        <v>12</v>
      </c>
      <c r="E2044" s="226">
        <v>22731</v>
      </c>
      <c r="F2044" s="227"/>
      <c r="G2044" s="1" t="str">
        <f>IFERROR(IF(ventas_b_mes12[[#This Row],[CUIT]]="","-",VLOOKUP(ventas_b_mes12[[#This Row],[CUIT]],Lista_CUIT[#All],2,0)),"CUIT NO CARGADO")</f>
        <v>-</v>
      </c>
      <c r="H2044" s="96">
        <f>ventas_b_mes12[[#This Row],[TOTAL]]/1.21</f>
        <v>1842.9752066115702</v>
      </c>
      <c r="I2044" s="60">
        <f>ventas_b_mes12[[#This Row],[IMPORTE NETO]]*0.21</f>
        <v>387.02479338842971</v>
      </c>
      <c r="J2044" s="229"/>
      <c r="K2044" s="229"/>
      <c r="L2044" s="229">
        <v>2230</v>
      </c>
      <c r="M2044" s="55"/>
    </row>
    <row r="2045" spans="2:13" x14ac:dyDescent="0.3">
      <c r="B2045" s="223" t="s">
        <v>2484</v>
      </c>
      <c r="C2045" s="37">
        <v>6</v>
      </c>
      <c r="D2045" s="225">
        <v>15</v>
      </c>
      <c r="E2045" s="226">
        <v>7342</v>
      </c>
      <c r="F2045" s="227"/>
      <c r="G2045" s="1" t="str">
        <f>IFERROR(IF(ventas_b_mes12[[#This Row],[CUIT]]="","-",VLOOKUP(ventas_b_mes12[[#This Row],[CUIT]],Lista_CUIT[#All],2,0)),"CUIT NO CARGADO")</f>
        <v>-</v>
      </c>
      <c r="H2045" s="96">
        <f>ventas_b_mes12[[#This Row],[TOTAL]]/1.21</f>
        <v>4090.909090909091</v>
      </c>
      <c r="I2045" s="60">
        <f>ventas_b_mes12[[#This Row],[IMPORTE NETO]]*0.21</f>
        <v>859.09090909090912</v>
      </c>
      <c r="J2045" s="229"/>
      <c r="K2045" s="229"/>
      <c r="L2045" s="229">
        <v>4950</v>
      </c>
      <c r="M2045" s="55"/>
    </row>
    <row r="2046" spans="2:13" x14ac:dyDescent="0.3">
      <c r="B2046" s="223" t="s">
        <v>2484</v>
      </c>
      <c r="C2046" s="37">
        <v>6</v>
      </c>
      <c r="D2046" s="225">
        <v>11</v>
      </c>
      <c r="E2046" s="226">
        <v>30293</v>
      </c>
      <c r="F2046" s="227"/>
      <c r="G2046" s="1" t="str">
        <f>IFERROR(IF(ventas_b_mes12[[#This Row],[CUIT]]="","-",VLOOKUP(ventas_b_mes12[[#This Row],[CUIT]],Lista_CUIT[#All],2,0)),"CUIT NO CARGADO")</f>
        <v>-</v>
      </c>
      <c r="H2046" s="96">
        <f>ventas_b_mes12[[#This Row],[TOTAL]]/1.21</f>
        <v>5156.0991735537191</v>
      </c>
      <c r="I2046" s="60">
        <f>ventas_b_mes12[[#This Row],[IMPORTE NETO]]*0.21</f>
        <v>1082.780826446281</v>
      </c>
      <c r="J2046" s="229"/>
      <c r="K2046" s="229"/>
      <c r="L2046" s="229">
        <v>6238.88</v>
      </c>
      <c r="M2046" s="55"/>
    </row>
    <row r="2047" spans="2:13" x14ac:dyDescent="0.3">
      <c r="B2047" s="223" t="s">
        <v>2484</v>
      </c>
      <c r="C2047" s="37">
        <v>6</v>
      </c>
      <c r="D2047" s="225">
        <v>13</v>
      </c>
      <c r="E2047" s="226">
        <v>26934</v>
      </c>
      <c r="F2047" s="227"/>
      <c r="G2047" s="1" t="str">
        <f>IFERROR(IF(ventas_b_mes12[[#This Row],[CUIT]]="","-",VLOOKUP(ventas_b_mes12[[#This Row],[CUIT]],Lista_CUIT[#All],2,0)),"CUIT NO CARGADO")</f>
        <v>-</v>
      </c>
      <c r="H2047" s="96">
        <f>ventas_b_mes12[[#This Row],[TOTAL]]/1.21</f>
        <v>9233.4297520661166</v>
      </c>
      <c r="I2047" s="60">
        <f>ventas_b_mes12[[#This Row],[IMPORTE NETO]]*0.21</f>
        <v>1939.0202479338843</v>
      </c>
      <c r="J2047" s="229"/>
      <c r="K2047" s="229"/>
      <c r="L2047" s="229">
        <v>11172.45</v>
      </c>
      <c r="M2047" s="55"/>
    </row>
    <row r="2048" spans="2:13" x14ac:dyDescent="0.3">
      <c r="B2048" s="223" t="s">
        <v>2484</v>
      </c>
      <c r="C2048" s="37">
        <v>6</v>
      </c>
      <c r="D2048" s="225">
        <v>10</v>
      </c>
      <c r="E2048" s="226">
        <v>44131</v>
      </c>
      <c r="F2048" s="227"/>
      <c r="G2048" s="1" t="str">
        <f>IFERROR(IF(ventas_b_mes12[[#This Row],[CUIT]]="","-",VLOOKUP(ventas_b_mes12[[#This Row],[CUIT]],Lista_CUIT[#All],2,0)),"CUIT NO CARGADO")</f>
        <v>-</v>
      </c>
      <c r="H2048" s="96">
        <f>ventas_b_mes12[[#This Row],[TOTAL]]/1.21</f>
        <v>19471.082644628099</v>
      </c>
      <c r="I2048" s="60">
        <f>ventas_b_mes12[[#This Row],[IMPORTE NETO]]*0.21</f>
        <v>4088.9273553719008</v>
      </c>
      <c r="J2048" s="229"/>
      <c r="K2048" s="229"/>
      <c r="L2048" s="229">
        <v>23560.01</v>
      </c>
      <c r="M2048" s="55"/>
    </row>
    <row r="2049" spans="2:13" x14ac:dyDescent="0.3">
      <c r="B2049" s="223" t="s">
        <v>2484</v>
      </c>
      <c r="C2049" s="37">
        <v>6</v>
      </c>
      <c r="D2049" s="225">
        <v>12</v>
      </c>
      <c r="E2049" s="226">
        <v>22743</v>
      </c>
      <c r="F2049" s="227"/>
      <c r="G2049" s="1" t="str">
        <f>IFERROR(IF(ventas_b_mes12[[#This Row],[CUIT]]="","-",VLOOKUP(ventas_b_mes12[[#This Row],[CUIT]],Lista_CUIT[#All],2,0)),"CUIT NO CARGADO")</f>
        <v>-</v>
      </c>
      <c r="H2049" s="96">
        <f>ventas_b_mes12[[#This Row],[TOTAL]]/1.21</f>
        <v>2148.7603305785124</v>
      </c>
      <c r="I2049" s="60">
        <f>ventas_b_mes12[[#This Row],[IMPORTE NETO]]*0.21</f>
        <v>451.23966942148758</v>
      </c>
      <c r="J2049" s="229"/>
      <c r="K2049" s="229"/>
      <c r="L2049" s="229">
        <v>2600</v>
      </c>
      <c r="M2049" s="55"/>
    </row>
    <row r="2050" spans="2:13" x14ac:dyDescent="0.3">
      <c r="B2050" s="223" t="s">
        <v>2484</v>
      </c>
      <c r="C2050" s="37">
        <v>6</v>
      </c>
      <c r="D2050" s="225">
        <v>12</v>
      </c>
      <c r="E2050" s="226">
        <v>22752</v>
      </c>
      <c r="F2050" s="227"/>
      <c r="G2050" s="1" t="str">
        <f>IFERROR(IF(ventas_b_mes12[[#This Row],[CUIT]]="","-",VLOOKUP(ventas_b_mes12[[#This Row],[CUIT]],Lista_CUIT[#All],2,0)),"CUIT NO CARGADO")</f>
        <v>-</v>
      </c>
      <c r="H2050" s="96">
        <f>ventas_b_mes12[[#This Row],[TOTAL]]/1.21</f>
        <v>2148.7603305785124</v>
      </c>
      <c r="I2050" s="60">
        <f>ventas_b_mes12[[#This Row],[IMPORTE NETO]]*0.21</f>
        <v>451.23966942148758</v>
      </c>
      <c r="J2050" s="229"/>
      <c r="K2050" s="229"/>
      <c r="L2050" s="229">
        <v>2600</v>
      </c>
      <c r="M2050" s="55"/>
    </row>
    <row r="2051" spans="2:13" x14ac:dyDescent="0.3">
      <c r="B2051" s="223" t="s">
        <v>2484</v>
      </c>
      <c r="C2051" s="37">
        <v>6</v>
      </c>
      <c r="D2051" s="225">
        <v>10</v>
      </c>
      <c r="E2051" s="226">
        <v>44136</v>
      </c>
      <c r="F2051" s="227"/>
      <c r="G2051" s="1" t="str">
        <f>IFERROR(IF(ventas_b_mes12[[#This Row],[CUIT]]="","-",VLOOKUP(ventas_b_mes12[[#This Row],[CUIT]],Lista_CUIT[#All],2,0)),"CUIT NO CARGADO")</f>
        <v>-</v>
      </c>
      <c r="H2051" s="96">
        <f>ventas_b_mes12[[#This Row],[TOTAL]]/1.21</f>
        <v>21581.801652892562</v>
      </c>
      <c r="I2051" s="60">
        <f>ventas_b_mes12[[#This Row],[IMPORTE NETO]]*0.21</f>
        <v>4532.1783471074377</v>
      </c>
      <c r="J2051" s="229"/>
      <c r="K2051" s="229"/>
      <c r="L2051" s="229">
        <v>26113.98</v>
      </c>
      <c r="M2051" s="55"/>
    </row>
    <row r="2052" spans="2:13" x14ac:dyDescent="0.3">
      <c r="B2052" s="223" t="s">
        <v>2484</v>
      </c>
      <c r="C2052" s="37">
        <v>6</v>
      </c>
      <c r="D2052" s="225">
        <v>10</v>
      </c>
      <c r="E2052" s="226">
        <v>44135</v>
      </c>
      <c r="F2052" s="227"/>
      <c r="G2052" s="1" t="str">
        <f>IFERROR(IF(ventas_b_mes12[[#This Row],[CUIT]]="","-",VLOOKUP(ventas_b_mes12[[#This Row],[CUIT]],Lista_CUIT[#All],2,0)),"CUIT NO CARGADO")</f>
        <v>-</v>
      </c>
      <c r="H2052" s="96">
        <f>ventas_b_mes12[[#This Row],[TOTAL]]/1.21</f>
        <v>42523.132231404961</v>
      </c>
      <c r="I2052" s="60">
        <f>ventas_b_mes12[[#This Row],[IMPORTE NETO]]*0.21</f>
        <v>8929.8577685950422</v>
      </c>
      <c r="J2052" s="229"/>
      <c r="K2052" s="229"/>
      <c r="L2052" s="229">
        <v>51452.99</v>
      </c>
      <c r="M2052" s="55"/>
    </row>
    <row r="2053" spans="2:13" x14ac:dyDescent="0.3">
      <c r="B2053" s="223" t="s">
        <v>2484</v>
      </c>
      <c r="C2053" s="37">
        <v>6</v>
      </c>
      <c r="D2053" s="225">
        <v>12</v>
      </c>
      <c r="E2053" s="226">
        <v>22738</v>
      </c>
      <c r="F2053" s="227"/>
      <c r="G2053" s="1" t="str">
        <f>IFERROR(IF(ventas_b_mes12[[#This Row],[CUIT]]="","-",VLOOKUP(ventas_b_mes12[[#This Row],[CUIT]],Lista_CUIT[#All],2,0)),"CUIT NO CARGADO")</f>
        <v>-</v>
      </c>
      <c r="H2053" s="96">
        <f>ventas_b_mes12[[#This Row],[TOTAL]]/1.21</f>
        <v>9702.4793388429753</v>
      </c>
      <c r="I2053" s="60">
        <f>ventas_b_mes12[[#This Row],[IMPORTE NETO]]*0.21</f>
        <v>2037.5206611570247</v>
      </c>
      <c r="J2053" s="229"/>
      <c r="K2053" s="229"/>
      <c r="L2053" s="229">
        <v>11740</v>
      </c>
      <c r="M2053" s="55"/>
    </row>
    <row r="2054" spans="2:13" x14ac:dyDescent="0.3">
      <c r="B2054" s="223" t="s">
        <v>2484</v>
      </c>
      <c r="C2054" s="37">
        <v>6</v>
      </c>
      <c r="D2054" s="225">
        <v>15</v>
      </c>
      <c r="E2054" s="226">
        <v>7341</v>
      </c>
      <c r="F2054" s="227"/>
      <c r="G2054" s="1" t="str">
        <f>IFERROR(IF(ventas_b_mes12[[#This Row],[CUIT]]="","-",VLOOKUP(ventas_b_mes12[[#This Row],[CUIT]],Lista_CUIT[#All],2,0)),"CUIT NO CARGADO")</f>
        <v>-</v>
      </c>
      <c r="H2054" s="96">
        <f>ventas_b_mes12[[#This Row],[TOTAL]]/1.21</f>
        <v>10247.933884297521</v>
      </c>
      <c r="I2054" s="60">
        <f>ventas_b_mes12[[#This Row],[IMPORTE NETO]]*0.21</f>
        <v>2152.0661157024792</v>
      </c>
      <c r="J2054" s="229"/>
      <c r="K2054" s="229"/>
      <c r="L2054" s="229">
        <v>12400</v>
      </c>
      <c r="M2054" s="55"/>
    </row>
    <row r="2055" spans="2:13" x14ac:dyDescent="0.3">
      <c r="B2055" s="223" t="s">
        <v>2484</v>
      </c>
      <c r="C2055" s="37">
        <v>6</v>
      </c>
      <c r="D2055" s="225">
        <v>12</v>
      </c>
      <c r="E2055" s="226">
        <v>22750</v>
      </c>
      <c r="F2055" s="227"/>
      <c r="G2055" s="1" t="str">
        <f>IFERROR(IF(ventas_b_mes12[[#This Row],[CUIT]]="","-",VLOOKUP(ventas_b_mes12[[#This Row],[CUIT]],Lista_CUIT[#All],2,0)),"CUIT NO CARGADO")</f>
        <v>-</v>
      </c>
      <c r="H2055" s="96">
        <f>ventas_b_mes12[[#This Row],[TOTAL]]/1.21</f>
        <v>4809.9173553719011</v>
      </c>
      <c r="I2055" s="60">
        <f>ventas_b_mes12[[#This Row],[IMPORTE NETO]]*0.21</f>
        <v>1010.0826446280992</v>
      </c>
      <c r="J2055" s="229"/>
      <c r="K2055" s="229"/>
      <c r="L2055" s="229">
        <v>5820</v>
      </c>
      <c r="M2055" s="55"/>
    </row>
    <row r="2056" spans="2:13" x14ac:dyDescent="0.3">
      <c r="B2056" s="223" t="s">
        <v>2484</v>
      </c>
      <c r="C2056" s="37">
        <v>6</v>
      </c>
      <c r="D2056" s="225">
        <v>13</v>
      </c>
      <c r="E2056" s="226">
        <v>26932</v>
      </c>
      <c r="F2056" s="227"/>
      <c r="G2056" s="1" t="str">
        <f>IFERROR(IF(ventas_b_mes12[[#This Row],[CUIT]]="","-",VLOOKUP(ventas_b_mes12[[#This Row],[CUIT]],Lista_CUIT[#All],2,0)),"CUIT NO CARGADO")</f>
        <v>-</v>
      </c>
      <c r="H2056" s="96">
        <f>ventas_b_mes12[[#This Row],[TOTAL]]/1.21</f>
        <v>1318.1818181818182</v>
      </c>
      <c r="I2056" s="60">
        <f>ventas_b_mes12[[#This Row],[IMPORTE NETO]]*0.21</f>
        <v>276.81818181818181</v>
      </c>
      <c r="J2056" s="229"/>
      <c r="K2056" s="229"/>
      <c r="L2056" s="229">
        <v>1595</v>
      </c>
      <c r="M2056" s="55"/>
    </row>
    <row r="2057" spans="2:13" x14ac:dyDescent="0.3">
      <c r="B2057" s="223" t="s">
        <v>2484</v>
      </c>
      <c r="C2057" s="37">
        <v>6</v>
      </c>
      <c r="D2057" s="225">
        <v>11</v>
      </c>
      <c r="E2057" s="226">
        <v>30292</v>
      </c>
      <c r="F2057" s="227"/>
      <c r="G2057" s="1" t="str">
        <f>IFERROR(IF(ventas_b_mes12[[#This Row],[CUIT]]="","-",VLOOKUP(ventas_b_mes12[[#This Row],[CUIT]],Lista_CUIT[#All],2,0)),"CUIT NO CARGADO")</f>
        <v>-</v>
      </c>
      <c r="H2057" s="96">
        <f>ventas_b_mes12[[#This Row],[TOTAL]]/1.21</f>
        <v>5495.8677685950415</v>
      </c>
      <c r="I2057" s="60">
        <f>ventas_b_mes12[[#This Row],[IMPORTE NETO]]*0.21</f>
        <v>1154.1322314049587</v>
      </c>
      <c r="J2057" s="229"/>
      <c r="K2057" s="229"/>
      <c r="L2057" s="229">
        <v>6650</v>
      </c>
      <c r="M2057" s="55"/>
    </row>
    <row r="2058" spans="2:13" x14ac:dyDescent="0.3">
      <c r="B2058" s="223" t="s">
        <v>2484</v>
      </c>
      <c r="C2058" s="37">
        <v>6</v>
      </c>
      <c r="D2058" s="225">
        <v>12</v>
      </c>
      <c r="E2058" s="226">
        <v>22746</v>
      </c>
      <c r="F2058" s="227"/>
      <c r="G2058" s="1" t="str">
        <f>IFERROR(IF(ventas_b_mes12[[#This Row],[CUIT]]="","-",VLOOKUP(ventas_b_mes12[[#This Row],[CUIT]],Lista_CUIT[#All],2,0)),"CUIT NO CARGADO")</f>
        <v>-</v>
      </c>
      <c r="H2058" s="96">
        <f>ventas_b_mes12[[#This Row],[TOTAL]]/1.21</f>
        <v>5838.8429752066113</v>
      </c>
      <c r="I2058" s="60">
        <f>ventas_b_mes12[[#This Row],[IMPORTE NETO]]*0.21</f>
        <v>1226.1570247933882</v>
      </c>
      <c r="J2058" s="229"/>
      <c r="K2058" s="229"/>
      <c r="L2058" s="229">
        <v>7065</v>
      </c>
      <c r="M2058" s="55"/>
    </row>
    <row r="2059" spans="2:13" x14ac:dyDescent="0.3">
      <c r="B2059" s="223" t="s">
        <v>2484</v>
      </c>
      <c r="C2059" s="37">
        <v>6</v>
      </c>
      <c r="D2059" s="225">
        <v>12</v>
      </c>
      <c r="E2059" s="226">
        <v>22733</v>
      </c>
      <c r="F2059" s="227"/>
      <c r="G2059" s="1" t="str">
        <f>IFERROR(IF(ventas_b_mes12[[#This Row],[CUIT]]="","-",VLOOKUP(ventas_b_mes12[[#This Row],[CUIT]],Lista_CUIT[#All],2,0)),"CUIT NO CARGADO")</f>
        <v>-</v>
      </c>
      <c r="H2059" s="96">
        <f>ventas_b_mes12[[#This Row],[TOTAL]]/1.21</f>
        <v>3227.2727272727275</v>
      </c>
      <c r="I2059" s="60">
        <f>ventas_b_mes12[[#This Row],[IMPORTE NETO]]*0.21</f>
        <v>677.72727272727275</v>
      </c>
      <c r="J2059" s="229"/>
      <c r="K2059" s="229"/>
      <c r="L2059" s="229">
        <v>3905</v>
      </c>
      <c r="M2059" s="55"/>
    </row>
    <row r="2060" spans="2:13" x14ac:dyDescent="0.3">
      <c r="B2060" s="223" t="s">
        <v>2484</v>
      </c>
      <c r="C2060" s="37">
        <v>6</v>
      </c>
      <c r="D2060" s="225">
        <v>13</v>
      </c>
      <c r="E2060" s="226">
        <v>26936</v>
      </c>
      <c r="F2060" s="227"/>
      <c r="G2060" s="1" t="str">
        <f>IFERROR(IF(ventas_b_mes12[[#This Row],[CUIT]]="","-",VLOOKUP(ventas_b_mes12[[#This Row],[CUIT]],Lista_CUIT[#All],2,0)),"CUIT NO CARGADO")</f>
        <v>-</v>
      </c>
      <c r="H2060" s="96">
        <f>ventas_b_mes12[[#This Row],[TOTAL]]/1.21</f>
        <v>6919.4214876033056</v>
      </c>
      <c r="I2060" s="60">
        <f>ventas_b_mes12[[#This Row],[IMPORTE NETO]]*0.21</f>
        <v>1453.0785123966941</v>
      </c>
      <c r="J2060" s="229"/>
      <c r="K2060" s="229"/>
      <c r="L2060" s="229">
        <v>8372.5</v>
      </c>
      <c r="M2060" s="55"/>
    </row>
    <row r="2061" spans="2:13" x14ac:dyDescent="0.3">
      <c r="B2061" s="223" t="s">
        <v>2484</v>
      </c>
      <c r="C2061" s="37">
        <v>6</v>
      </c>
      <c r="D2061" s="225">
        <v>10</v>
      </c>
      <c r="E2061" s="226">
        <v>44137</v>
      </c>
      <c r="F2061" s="227"/>
      <c r="G2061" s="1" t="str">
        <f>IFERROR(IF(ventas_b_mes12[[#This Row],[CUIT]]="","-",VLOOKUP(ventas_b_mes12[[#This Row],[CUIT]],Lista_CUIT[#All],2,0)),"CUIT NO CARGADO")</f>
        <v>-</v>
      </c>
      <c r="H2061" s="96">
        <f>ventas_b_mes12[[#This Row],[TOTAL]]/1.21</f>
        <v>12570.256198347108</v>
      </c>
      <c r="I2061" s="60">
        <f>ventas_b_mes12[[#This Row],[IMPORTE NETO]]*0.21</f>
        <v>2639.7538016528924</v>
      </c>
      <c r="J2061" s="229"/>
      <c r="K2061" s="229"/>
      <c r="L2061" s="229">
        <v>15210.01</v>
      </c>
      <c r="M2061" s="55"/>
    </row>
    <row r="2062" spans="2:13" x14ac:dyDescent="0.3">
      <c r="B2062" s="223" t="s">
        <v>2484</v>
      </c>
      <c r="C2062" s="37">
        <v>6</v>
      </c>
      <c r="D2062" s="225">
        <v>12</v>
      </c>
      <c r="E2062" s="226">
        <v>22742</v>
      </c>
      <c r="F2062" s="227"/>
      <c r="G2062" s="1" t="str">
        <f>IFERROR(IF(ventas_b_mes12[[#This Row],[CUIT]]="","-",VLOOKUP(ventas_b_mes12[[#This Row],[CUIT]],Lista_CUIT[#All],2,0)),"CUIT NO CARGADO")</f>
        <v>-</v>
      </c>
      <c r="H2062" s="96">
        <f>ventas_b_mes12[[#This Row],[TOTAL]]/1.21</f>
        <v>6838.8429752066122</v>
      </c>
      <c r="I2062" s="60">
        <f>ventas_b_mes12[[#This Row],[IMPORTE NETO]]*0.21</f>
        <v>1436.1570247933885</v>
      </c>
      <c r="J2062" s="229"/>
      <c r="K2062" s="229"/>
      <c r="L2062" s="229">
        <v>8275</v>
      </c>
      <c r="M2062" s="55"/>
    </row>
    <row r="2063" spans="2:13" x14ac:dyDescent="0.3">
      <c r="B2063" s="223" t="s">
        <v>2484</v>
      </c>
      <c r="C2063" s="37">
        <v>6</v>
      </c>
      <c r="D2063" s="225">
        <v>11</v>
      </c>
      <c r="E2063" s="226">
        <v>30294</v>
      </c>
      <c r="F2063" s="227"/>
      <c r="G2063" s="1" t="str">
        <f>IFERROR(IF(ventas_b_mes12[[#This Row],[CUIT]]="","-",VLOOKUP(ventas_b_mes12[[#This Row],[CUIT]],Lista_CUIT[#All],2,0)),"CUIT NO CARGADO")</f>
        <v>-</v>
      </c>
      <c r="H2063" s="96">
        <f>ventas_b_mes12[[#This Row],[TOTAL]]/1.21</f>
        <v>15138.429752066117</v>
      </c>
      <c r="I2063" s="60">
        <f>ventas_b_mes12[[#This Row],[IMPORTE NETO]]*0.21</f>
        <v>3179.0702479338843</v>
      </c>
      <c r="J2063" s="229"/>
      <c r="K2063" s="229"/>
      <c r="L2063" s="229">
        <v>18317.5</v>
      </c>
      <c r="M2063" s="55"/>
    </row>
    <row r="2064" spans="2:13" x14ac:dyDescent="0.3">
      <c r="B2064" s="223" t="s">
        <v>2484</v>
      </c>
      <c r="C2064" s="37">
        <v>6</v>
      </c>
      <c r="D2064" s="225">
        <v>12</v>
      </c>
      <c r="E2064" s="226">
        <v>22735</v>
      </c>
      <c r="F2064" s="227"/>
      <c r="G2064" s="1" t="str">
        <f>IFERROR(IF(ventas_b_mes12[[#This Row],[CUIT]]="","-",VLOOKUP(ventas_b_mes12[[#This Row],[CUIT]],Lista_CUIT[#All],2,0)),"CUIT NO CARGADO")</f>
        <v>-</v>
      </c>
      <c r="H2064" s="96">
        <f>ventas_b_mes12[[#This Row],[TOTAL]]/1.21</f>
        <v>2305.7851239669421</v>
      </c>
      <c r="I2064" s="60">
        <f>ventas_b_mes12[[#This Row],[IMPORTE NETO]]*0.21</f>
        <v>484.21487603305781</v>
      </c>
      <c r="J2064" s="229"/>
      <c r="K2064" s="229"/>
      <c r="L2064" s="229">
        <v>2790</v>
      </c>
      <c r="M2064" s="55"/>
    </row>
    <row r="2065" spans="2:13" x14ac:dyDescent="0.3">
      <c r="B2065" s="223" t="s">
        <v>2484</v>
      </c>
      <c r="C2065" s="37">
        <v>6</v>
      </c>
      <c r="D2065" s="225">
        <v>12</v>
      </c>
      <c r="E2065" s="226">
        <v>22749</v>
      </c>
      <c r="F2065" s="227"/>
      <c r="G2065" s="1" t="str">
        <f>IFERROR(IF(ventas_b_mes12[[#This Row],[CUIT]]="","-",VLOOKUP(ventas_b_mes12[[#This Row],[CUIT]],Lista_CUIT[#All],2,0)),"CUIT NO CARGADO")</f>
        <v>-</v>
      </c>
      <c r="H2065" s="96">
        <f>ventas_b_mes12[[#This Row],[TOTAL]]/1.21</f>
        <v>5900.8264462809921</v>
      </c>
      <c r="I2065" s="60">
        <f>ventas_b_mes12[[#This Row],[IMPORTE NETO]]*0.21</f>
        <v>1239.1735537190084</v>
      </c>
      <c r="J2065" s="229"/>
      <c r="K2065" s="229"/>
      <c r="L2065" s="229">
        <v>7140</v>
      </c>
      <c r="M2065" s="55"/>
    </row>
    <row r="2066" spans="2:13" x14ac:dyDescent="0.3">
      <c r="B2066" s="223" t="s">
        <v>2484</v>
      </c>
      <c r="C2066" s="37">
        <v>6</v>
      </c>
      <c r="D2066" s="225">
        <v>11</v>
      </c>
      <c r="E2066" s="226">
        <v>30296</v>
      </c>
      <c r="F2066" s="227"/>
      <c r="G2066" s="1" t="str">
        <f>IFERROR(IF(ventas_b_mes12[[#This Row],[CUIT]]="","-",VLOOKUP(ventas_b_mes12[[#This Row],[CUIT]],Lista_CUIT[#All],2,0)),"CUIT NO CARGADO")</f>
        <v>-</v>
      </c>
      <c r="H2066" s="96">
        <f>ventas_b_mes12[[#This Row],[TOTAL]]/1.21</f>
        <v>24822.859504132233</v>
      </c>
      <c r="I2066" s="60">
        <f>ventas_b_mes12[[#This Row],[IMPORTE NETO]]*0.21</f>
        <v>5212.8004958677684</v>
      </c>
      <c r="J2066" s="229"/>
      <c r="K2066" s="229"/>
      <c r="L2066" s="229">
        <v>30035.66</v>
      </c>
      <c r="M2066" s="55"/>
    </row>
    <row r="2067" spans="2:13" x14ac:dyDescent="0.3">
      <c r="B2067" s="223" t="s">
        <v>2484</v>
      </c>
      <c r="C2067" s="37">
        <v>6</v>
      </c>
      <c r="D2067" s="225">
        <v>15</v>
      </c>
      <c r="E2067" s="226">
        <v>7338</v>
      </c>
      <c r="F2067" s="227"/>
      <c r="G2067" s="1" t="str">
        <f>IFERROR(IF(ventas_b_mes12[[#This Row],[CUIT]]="","-",VLOOKUP(ventas_b_mes12[[#This Row],[CUIT]],Lista_CUIT[#All],2,0)),"CUIT NO CARGADO")</f>
        <v>-</v>
      </c>
      <c r="H2067" s="96">
        <f>ventas_b_mes12[[#This Row],[TOTAL]]/1.21</f>
        <v>1322.3140495867769</v>
      </c>
      <c r="I2067" s="60">
        <f>ventas_b_mes12[[#This Row],[IMPORTE NETO]]*0.21</f>
        <v>277.68595041322317</v>
      </c>
      <c r="J2067" s="229"/>
      <c r="K2067" s="229"/>
      <c r="L2067" s="229">
        <v>1600</v>
      </c>
      <c r="M2067" s="55"/>
    </row>
    <row r="2068" spans="2:13" x14ac:dyDescent="0.3">
      <c r="B2068" s="223" t="s">
        <v>2484</v>
      </c>
      <c r="C2068" s="37">
        <v>6</v>
      </c>
      <c r="D2068" s="225">
        <v>15</v>
      </c>
      <c r="E2068" s="226">
        <v>7339</v>
      </c>
      <c r="F2068" s="227"/>
      <c r="G2068" s="1" t="str">
        <f>IFERROR(IF(ventas_b_mes12[[#This Row],[CUIT]]="","-",VLOOKUP(ventas_b_mes12[[#This Row],[CUIT]],Lista_CUIT[#All],2,0)),"CUIT NO CARGADO")</f>
        <v>-</v>
      </c>
      <c r="H2068" s="96">
        <f>ventas_b_mes12[[#This Row],[TOTAL]]/1.21</f>
        <v>2776.8595041322315</v>
      </c>
      <c r="I2068" s="60">
        <f>ventas_b_mes12[[#This Row],[IMPORTE NETO]]*0.21</f>
        <v>583.14049586776855</v>
      </c>
      <c r="J2068" s="229"/>
      <c r="K2068" s="229"/>
      <c r="L2068" s="229">
        <v>3360</v>
      </c>
      <c r="M2068" s="55"/>
    </row>
    <row r="2069" spans="2:13" x14ac:dyDescent="0.3">
      <c r="B2069" s="223" t="s">
        <v>2484</v>
      </c>
      <c r="C2069" s="37">
        <v>6</v>
      </c>
      <c r="D2069" s="225">
        <v>10</v>
      </c>
      <c r="E2069" s="226">
        <v>44132</v>
      </c>
      <c r="F2069" s="227"/>
      <c r="G2069" s="1" t="str">
        <f>IFERROR(IF(ventas_b_mes12[[#This Row],[CUIT]]="","-",VLOOKUP(ventas_b_mes12[[#This Row],[CUIT]],Lista_CUIT[#All],2,0)),"CUIT NO CARGADO")</f>
        <v>-</v>
      </c>
      <c r="H2069" s="96">
        <f>ventas_b_mes12[[#This Row],[TOTAL]]/1.21</f>
        <v>1793.3884297520663</v>
      </c>
      <c r="I2069" s="60">
        <f>ventas_b_mes12[[#This Row],[IMPORTE NETO]]*0.21</f>
        <v>376.61157024793391</v>
      </c>
      <c r="J2069" s="229"/>
      <c r="K2069" s="229"/>
      <c r="L2069" s="229">
        <v>2170</v>
      </c>
      <c r="M2069" s="55"/>
    </row>
    <row r="2070" spans="2:13" x14ac:dyDescent="0.3">
      <c r="B2070" s="223" t="s">
        <v>2484</v>
      </c>
      <c r="C2070" s="37">
        <v>6</v>
      </c>
      <c r="D2070" s="225">
        <v>10</v>
      </c>
      <c r="E2070" s="226">
        <v>44130</v>
      </c>
      <c r="F2070" s="227"/>
      <c r="G2070" s="1" t="str">
        <f>IFERROR(IF(ventas_b_mes12[[#This Row],[CUIT]]="","-",VLOOKUP(ventas_b_mes12[[#This Row],[CUIT]],Lista_CUIT[#All],2,0)),"CUIT NO CARGADO")</f>
        <v>-</v>
      </c>
      <c r="H2070" s="96">
        <f>ventas_b_mes12[[#This Row],[TOTAL]]/1.21</f>
        <v>11363.636363636364</v>
      </c>
      <c r="I2070" s="60">
        <f>ventas_b_mes12[[#This Row],[IMPORTE NETO]]*0.21</f>
        <v>2386.3636363636365</v>
      </c>
      <c r="J2070" s="229"/>
      <c r="K2070" s="229"/>
      <c r="L2070" s="229">
        <v>13750</v>
      </c>
      <c r="M2070" s="55"/>
    </row>
    <row r="2071" spans="2:13" x14ac:dyDescent="0.3">
      <c r="B2071" s="223" t="s">
        <v>2484</v>
      </c>
      <c r="C2071" s="37">
        <v>6</v>
      </c>
      <c r="D2071" s="225">
        <v>10</v>
      </c>
      <c r="E2071" s="226">
        <v>44126</v>
      </c>
      <c r="F2071" s="227"/>
      <c r="G2071" s="1" t="str">
        <f>IFERROR(IF(ventas_b_mes12[[#This Row],[CUIT]]="","-",VLOOKUP(ventas_b_mes12[[#This Row],[CUIT]],Lista_CUIT[#All],2,0)),"CUIT NO CARGADO")</f>
        <v>-</v>
      </c>
      <c r="H2071" s="96">
        <f>ventas_b_mes12[[#This Row],[TOTAL]]/1.21</f>
        <v>3347.1074380165292</v>
      </c>
      <c r="I2071" s="60">
        <f>ventas_b_mes12[[#This Row],[IMPORTE NETO]]*0.21</f>
        <v>702.89256198347107</v>
      </c>
      <c r="J2071" s="229"/>
      <c r="K2071" s="229"/>
      <c r="L2071" s="229">
        <v>4050</v>
      </c>
      <c r="M2071" s="55"/>
    </row>
    <row r="2072" spans="2:13" x14ac:dyDescent="0.3">
      <c r="B2072" s="223" t="s">
        <v>2484</v>
      </c>
      <c r="C2072" s="37">
        <v>6</v>
      </c>
      <c r="D2072" s="225">
        <v>12</v>
      </c>
      <c r="E2072" s="226">
        <v>22745</v>
      </c>
      <c r="F2072" s="227"/>
      <c r="G2072" s="1" t="str">
        <f>IFERROR(IF(ventas_b_mes12[[#This Row],[CUIT]]="","-",VLOOKUP(ventas_b_mes12[[#This Row],[CUIT]],Lista_CUIT[#All],2,0)),"CUIT NO CARGADO")</f>
        <v>-</v>
      </c>
      <c r="H2072" s="96">
        <f>ventas_b_mes12[[#This Row],[TOTAL]]/1.21</f>
        <v>27148.752066115703</v>
      </c>
      <c r="I2072" s="60">
        <f>ventas_b_mes12[[#This Row],[IMPORTE NETO]]*0.21</f>
        <v>5701.2379338842975</v>
      </c>
      <c r="J2072" s="229"/>
      <c r="K2072" s="229"/>
      <c r="L2072" s="229">
        <v>32849.99</v>
      </c>
      <c r="M2072" s="55"/>
    </row>
    <row r="2073" spans="2:13" x14ac:dyDescent="0.3">
      <c r="B2073" s="223" t="s">
        <v>2484</v>
      </c>
      <c r="C2073" s="37">
        <v>6</v>
      </c>
      <c r="D2073" s="225">
        <v>12</v>
      </c>
      <c r="E2073" s="226">
        <v>22734</v>
      </c>
      <c r="F2073" s="227"/>
      <c r="G2073" s="1" t="str">
        <f>IFERROR(IF(ventas_b_mes12[[#This Row],[CUIT]]="","-",VLOOKUP(ventas_b_mes12[[#This Row],[CUIT]],Lista_CUIT[#All],2,0)),"CUIT NO CARGADO")</f>
        <v>-</v>
      </c>
      <c r="H2073" s="96">
        <f>ventas_b_mes12[[#This Row],[TOTAL]]/1.21</f>
        <v>5479.3388429752067</v>
      </c>
      <c r="I2073" s="60">
        <f>ventas_b_mes12[[#This Row],[IMPORTE NETO]]*0.21</f>
        <v>1150.6611570247933</v>
      </c>
      <c r="J2073" s="229"/>
      <c r="K2073" s="229"/>
      <c r="L2073" s="229">
        <v>6630</v>
      </c>
      <c r="M2073" s="55"/>
    </row>
    <row r="2074" spans="2:13" x14ac:dyDescent="0.3">
      <c r="B2074" s="223" t="s">
        <v>2484</v>
      </c>
      <c r="C2074" s="37">
        <v>6</v>
      </c>
      <c r="D2074" s="225">
        <v>12</v>
      </c>
      <c r="E2074" s="226">
        <v>22741</v>
      </c>
      <c r="F2074" s="227"/>
      <c r="G2074" s="1" t="str">
        <f>IFERROR(IF(ventas_b_mes12[[#This Row],[CUIT]]="","-",VLOOKUP(ventas_b_mes12[[#This Row],[CUIT]],Lista_CUIT[#All],2,0)),"CUIT NO CARGADO")</f>
        <v>-</v>
      </c>
      <c r="H2074" s="96">
        <f>ventas_b_mes12[[#This Row],[TOTAL]]/1.21</f>
        <v>6024.7933884297527</v>
      </c>
      <c r="I2074" s="60">
        <f>ventas_b_mes12[[#This Row],[IMPORTE NETO]]*0.21</f>
        <v>1265.206611570248</v>
      </c>
      <c r="J2074" s="229"/>
      <c r="K2074" s="229"/>
      <c r="L2074" s="229">
        <v>7290</v>
      </c>
      <c r="M2074" s="55"/>
    </row>
    <row r="2075" spans="2:13" x14ac:dyDescent="0.3">
      <c r="B2075" s="223" t="s">
        <v>2484</v>
      </c>
      <c r="C2075" s="37">
        <v>6</v>
      </c>
      <c r="D2075" s="225">
        <v>10</v>
      </c>
      <c r="E2075" s="226">
        <v>44123</v>
      </c>
      <c r="F2075" s="227"/>
      <c r="G2075" s="1" t="str">
        <f>IFERROR(IF(ventas_b_mes12[[#This Row],[CUIT]]="","-",VLOOKUP(ventas_b_mes12[[#This Row],[CUIT]],Lista_CUIT[#All],2,0)),"CUIT NO CARGADO")</f>
        <v>-</v>
      </c>
      <c r="H2075" s="96">
        <f>ventas_b_mes12[[#This Row],[TOTAL]]/1.21</f>
        <v>6768.5950413223145</v>
      </c>
      <c r="I2075" s="60">
        <f>ventas_b_mes12[[#This Row],[IMPORTE NETO]]*0.21</f>
        <v>1421.404958677686</v>
      </c>
      <c r="J2075" s="229"/>
      <c r="K2075" s="229"/>
      <c r="L2075" s="229">
        <v>8190</v>
      </c>
      <c r="M2075" s="55"/>
    </row>
    <row r="2076" spans="2:13" x14ac:dyDescent="0.3">
      <c r="B2076" s="223" t="s">
        <v>2484</v>
      </c>
      <c r="C2076" s="37">
        <v>6</v>
      </c>
      <c r="D2076" s="225">
        <v>12</v>
      </c>
      <c r="E2076" s="226">
        <v>22754</v>
      </c>
      <c r="F2076" s="227"/>
      <c r="G2076" s="1" t="str">
        <f>IFERROR(IF(ventas_b_mes12[[#This Row],[CUIT]]="","-",VLOOKUP(ventas_b_mes12[[#This Row],[CUIT]],Lista_CUIT[#All],2,0)),"CUIT NO CARGADO")</f>
        <v>-</v>
      </c>
      <c r="H2076" s="96">
        <f>ventas_b_mes12[[#This Row],[TOTAL]]/1.21</f>
        <v>12611.570247933885</v>
      </c>
      <c r="I2076" s="60">
        <f>ventas_b_mes12[[#This Row],[IMPORTE NETO]]*0.21</f>
        <v>2648.4297520661157</v>
      </c>
      <c r="J2076" s="229"/>
      <c r="K2076" s="229"/>
      <c r="L2076" s="229">
        <v>15260</v>
      </c>
      <c r="M2076" s="55"/>
    </row>
    <row r="2077" spans="2:13" x14ac:dyDescent="0.3">
      <c r="B2077" s="223" t="s">
        <v>2484</v>
      </c>
      <c r="C2077" s="37">
        <v>6</v>
      </c>
      <c r="D2077" s="225">
        <v>15</v>
      </c>
      <c r="E2077" s="226">
        <v>7340</v>
      </c>
      <c r="F2077" s="227"/>
      <c r="G2077" s="1" t="str">
        <f>IFERROR(IF(ventas_b_mes12[[#This Row],[CUIT]]="","-",VLOOKUP(ventas_b_mes12[[#This Row],[CUIT]],Lista_CUIT[#All],2,0)),"CUIT NO CARGADO")</f>
        <v>-</v>
      </c>
      <c r="H2077" s="96">
        <f>ventas_b_mes12[[#This Row],[TOTAL]]/1.21</f>
        <v>2231.413223140496</v>
      </c>
      <c r="I2077" s="60">
        <f>ventas_b_mes12[[#This Row],[IMPORTE NETO]]*0.21</f>
        <v>468.59677685950413</v>
      </c>
      <c r="J2077" s="229"/>
      <c r="K2077" s="229"/>
      <c r="L2077" s="229">
        <v>2700.01</v>
      </c>
      <c r="M2077" s="55"/>
    </row>
    <row r="2078" spans="2:13" x14ac:dyDescent="0.3">
      <c r="B2078" s="223" t="s">
        <v>2484</v>
      </c>
      <c r="C2078" s="37">
        <v>6</v>
      </c>
      <c r="D2078" s="225">
        <v>13</v>
      </c>
      <c r="E2078" s="226">
        <v>26933</v>
      </c>
      <c r="F2078" s="227"/>
      <c r="G2078" s="1" t="str">
        <f>IFERROR(IF(ventas_b_mes12[[#This Row],[CUIT]]="","-",VLOOKUP(ventas_b_mes12[[#This Row],[CUIT]],Lista_CUIT[#All],2,0)),"CUIT NO CARGADO")</f>
        <v>-</v>
      </c>
      <c r="H2078" s="96">
        <f>ventas_b_mes12[[#This Row],[TOTAL]]/1.21</f>
        <v>983.47107438016531</v>
      </c>
      <c r="I2078" s="60">
        <f>ventas_b_mes12[[#This Row],[IMPORTE NETO]]*0.21</f>
        <v>206.52892561983469</v>
      </c>
      <c r="J2078" s="229"/>
      <c r="K2078" s="229"/>
      <c r="L2078" s="229">
        <v>1190</v>
      </c>
      <c r="M2078" s="55"/>
    </row>
    <row r="2079" spans="2:13" x14ac:dyDescent="0.3">
      <c r="B2079" s="223" t="s">
        <v>2484</v>
      </c>
      <c r="C2079" s="37">
        <v>6</v>
      </c>
      <c r="D2079" s="225">
        <v>12</v>
      </c>
      <c r="E2079" s="226">
        <v>22736</v>
      </c>
      <c r="F2079" s="227"/>
      <c r="G2079" s="1" t="str">
        <f>IFERROR(IF(ventas_b_mes12[[#This Row],[CUIT]]="","-",VLOOKUP(ventas_b_mes12[[#This Row],[CUIT]],Lista_CUIT[#All],2,0)),"CUIT NO CARGADO")</f>
        <v>-</v>
      </c>
      <c r="H2079" s="96">
        <f>ventas_b_mes12[[#This Row],[TOTAL]]/1.21</f>
        <v>4545.454545454546</v>
      </c>
      <c r="I2079" s="60">
        <f>ventas_b_mes12[[#This Row],[IMPORTE NETO]]*0.21</f>
        <v>954.54545454545462</v>
      </c>
      <c r="J2079" s="229"/>
      <c r="K2079" s="229"/>
      <c r="L2079" s="229">
        <v>5500</v>
      </c>
      <c r="M2079" s="55"/>
    </row>
    <row r="2080" spans="2:13" x14ac:dyDescent="0.3">
      <c r="B2080" s="223" t="s">
        <v>2484</v>
      </c>
      <c r="C2080" s="37">
        <v>6</v>
      </c>
      <c r="D2080" s="225">
        <v>12</v>
      </c>
      <c r="E2080" s="226">
        <v>22740</v>
      </c>
      <c r="F2080" s="227"/>
      <c r="G2080" s="1" t="str">
        <f>IFERROR(IF(ventas_b_mes12[[#This Row],[CUIT]]="","-",VLOOKUP(ventas_b_mes12[[#This Row],[CUIT]],Lista_CUIT[#All],2,0)),"CUIT NO CARGADO")</f>
        <v>-</v>
      </c>
      <c r="H2080" s="96">
        <f>ventas_b_mes12[[#This Row],[TOTAL]]/1.21</f>
        <v>26867.776859504131</v>
      </c>
      <c r="I2080" s="60">
        <f>ventas_b_mes12[[#This Row],[IMPORTE NETO]]*0.21</f>
        <v>5642.2331404958668</v>
      </c>
      <c r="J2080" s="229"/>
      <c r="K2080" s="229"/>
      <c r="L2080" s="229">
        <v>32510.01</v>
      </c>
      <c r="M2080" s="55"/>
    </row>
    <row r="2081" spans="2:13" x14ac:dyDescent="0.3">
      <c r="B2081" s="223" t="s">
        <v>2484</v>
      </c>
      <c r="C2081" s="37">
        <v>6</v>
      </c>
      <c r="D2081" s="225">
        <v>12</v>
      </c>
      <c r="E2081" s="226">
        <v>22751</v>
      </c>
      <c r="F2081" s="227"/>
      <c r="G2081" s="1" t="str">
        <f>IFERROR(IF(ventas_b_mes12[[#This Row],[CUIT]]="","-",VLOOKUP(ventas_b_mes12[[#This Row],[CUIT]],Lista_CUIT[#All],2,0)),"CUIT NO CARGADO")</f>
        <v>-</v>
      </c>
      <c r="H2081" s="96">
        <f>ventas_b_mes12[[#This Row],[TOTAL]]/1.21</f>
        <v>7520.6611570247933</v>
      </c>
      <c r="I2081" s="60">
        <f>ventas_b_mes12[[#This Row],[IMPORTE NETO]]*0.21</f>
        <v>1579.3388429752065</v>
      </c>
      <c r="J2081" s="229"/>
      <c r="K2081" s="229"/>
      <c r="L2081" s="229">
        <v>9100</v>
      </c>
      <c r="M2081" s="55"/>
    </row>
    <row r="2082" spans="2:13" x14ac:dyDescent="0.3">
      <c r="B2082" s="223" t="s">
        <v>2484</v>
      </c>
      <c r="C2082" s="37">
        <v>6</v>
      </c>
      <c r="D2082" s="225">
        <v>10</v>
      </c>
      <c r="E2082" s="226">
        <v>44125</v>
      </c>
      <c r="F2082" s="227"/>
      <c r="G2082" s="1" t="str">
        <f>IFERROR(IF(ventas_b_mes12[[#This Row],[CUIT]]="","-",VLOOKUP(ventas_b_mes12[[#This Row],[CUIT]],Lista_CUIT[#All],2,0)),"CUIT NO CARGADO")</f>
        <v>-</v>
      </c>
      <c r="H2082" s="96">
        <f>ventas_b_mes12[[#This Row],[TOTAL]]/1.21</f>
        <v>4958.6776859504134</v>
      </c>
      <c r="I2082" s="60">
        <f>ventas_b_mes12[[#This Row],[IMPORTE NETO]]*0.21</f>
        <v>1041.3223140495868</v>
      </c>
      <c r="J2082" s="229"/>
      <c r="K2082" s="229"/>
      <c r="L2082" s="229">
        <v>6000</v>
      </c>
      <c r="M2082" s="55"/>
    </row>
    <row r="2083" spans="2:13" x14ac:dyDescent="0.3">
      <c r="B2083" s="223" t="s">
        <v>2484</v>
      </c>
      <c r="C2083" s="37">
        <v>6</v>
      </c>
      <c r="D2083" s="225">
        <v>11</v>
      </c>
      <c r="E2083" s="226">
        <v>30295</v>
      </c>
      <c r="F2083" s="227"/>
      <c r="G2083" s="1" t="str">
        <f>IFERROR(IF(ventas_b_mes12[[#This Row],[CUIT]]="","-",VLOOKUP(ventas_b_mes12[[#This Row],[CUIT]],Lista_CUIT[#All],2,0)),"CUIT NO CARGADO")</f>
        <v>-</v>
      </c>
      <c r="H2083" s="96">
        <f>ventas_b_mes12[[#This Row],[TOTAL]]/1.21</f>
        <v>8584.0413223140495</v>
      </c>
      <c r="I2083" s="60">
        <f>ventas_b_mes12[[#This Row],[IMPORTE NETO]]*0.21</f>
        <v>1802.6486776859504</v>
      </c>
      <c r="J2083" s="229"/>
      <c r="K2083" s="229"/>
      <c r="L2083" s="229">
        <v>10386.69</v>
      </c>
      <c r="M2083" s="55"/>
    </row>
    <row r="2084" spans="2:13" x14ac:dyDescent="0.3">
      <c r="B2084" s="223" t="s">
        <v>2485</v>
      </c>
      <c r="C2084" s="37">
        <v>6</v>
      </c>
      <c r="D2084" s="225">
        <v>10</v>
      </c>
      <c r="E2084" s="226">
        <v>44139</v>
      </c>
      <c r="F2084" s="227"/>
      <c r="G2084" s="1" t="str">
        <f>IFERROR(IF(ventas_b_mes12[[#This Row],[CUIT]]="","-",VLOOKUP(ventas_b_mes12[[#This Row],[CUIT]],Lista_CUIT[#All],2,0)),"CUIT NO CARGADO")</f>
        <v>-</v>
      </c>
      <c r="H2084" s="96">
        <f>ventas_b_mes12[[#This Row],[TOTAL]]/1.21</f>
        <v>11239.669421487604</v>
      </c>
      <c r="I2084" s="60">
        <f>ventas_b_mes12[[#This Row],[IMPORTE NETO]]*0.21</f>
        <v>2360.3305785123966</v>
      </c>
      <c r="J2084" s="229"/>
      <c r="K2084" s="229"/>
      <c r="L2084" s="229">
        <v>13600</v>
      </c>
      <c r="M2084" s="55"/>
    </row>
    <row r="2085" spans="2:13" x14ac:dyDescent="0.3">
      <c r="B2085" s="223" t="s">
        <v>2485</v>
      </c>
      <c r="C2085" s="37">
        <v>6</v>
      </c>
      <c r="D2085" s="225">
        <v>15</v>
      </c>
      <c r="E2085" s="226">
        <v>7345</v>
      </c>
      <c r="F2085" s="227"/>
      <c r="G2085" s="1" t="str">
        <f>IFERROR(IF(ventas_b_mes12[[#This Row],[CUIT]]="","-",VLOOKUP(ventas_b_mes12[[#This Row],[CUIT]],Lista_CUIT[#All],2,0)),"CUIT NO CARGADO")</f>
        <v>-</v>
      </c>
      <c r="H2085" s="96">
        <f>ventas_b_mes12[[#This Row],[TOTAL]]/1.21</f>
        <v>4607.4380165289258</v>
      </c>
      <c r="I2085" s="60">
        <f>ventas_b_mes12[[#This Row],[IMPORTE NETO]]*0.21</f>
        <v>967.56198347107443</v>
      </c>
      <c r="J2085" s="229"/>
      <c r="K2085" s="229"/>
      <c r="L2085" s="229">
        <v>5575</v>
      </c>
      <c r="M2085" s="55"/>
    </row>
    <row r="2086" spans="2:13" x14ac:dyDescent="0.3">
      <c r="B2086" s="223" t="s">
        <v>2485</v>
      </c>
      <c r="C2086" s="37">
        <v>6</v>
      </c>
      <c r="D2086" s="225">
        <v>15</v>
      </c>
      <c r="E2086" s="226">
        <v>7344</v>
      </c>
      <c r="F2086" s="227"/>
      <c r="G2086" s="1" t="str">
        <f>IFERROR(IF(ventas_b_mes12[[#This Row],[CUIT]]="","-",VLOOKUP(ventas_b_mes12[[#This Row],[CUIT]],Lista_CUIT[#All],2,0)),"CUIT NO CARGADO")</f>
        <v>-</v>
      </c>
      <c r="H2086" s="96">
        <f>ventas_b_mes12[[#This Row],[TOTAL]]/1.21</f>
        <v>5487.6033057851246</v>
      </c>
      <c r="I2086" s="60">
        <f>ventas_b_mes12[[#This Row],[IMPORTE NETO]]*0.21</f>
        <v>1152.3966942148761</v>
      </c>
      <c r="J2086" s="229"/>
      <c r="K2086" s="229"/>
      <c r="L2086" s="229">
        <v>6640</v>
      </c>
      <c r="M2086" s="55"/>
    </row>
    <row r="2087" spans="2:13" x14ac:dyDescent="0.3">
      <c r="B2087" s="223" t="s">
        <v>2485</v>
      </c>
      <c r="C2087" s="37">
        <v>6</v>
      </c>
      <c r="D2087" s="225">
        <v>13</v>
      </c>
      <c r="E2087" s="226">
        <v>26946</v>
      </c>
      <c r="F2087" s="227"/>
      <c r="G2087" s="1" t="str">
        <f>IFERROR(IF(ventas_b_mes12[[#This Row],[CUIT]]="","-",VLOOKUP(ventas_b_mes12[[#This Row],[CUIT]],Lista_CUIT[#All],2,0)),"CUIT NO CARGADO")</f>
        <v>-</v>
      </c>
      <c r="H2087" s="96">
        <f>ventas_b_mes12[[#This Row],[TOTAL]]/1.21</f>
        <v>1338.8429752066115</v>
      </c>
      <c r="I2087" s="60">
        <f>ventas_b_mes12[[#This Row],[IMPORTE NETO]]*0.21</f>
        <v>281.15702479338842</v>
      </c>
      <c r="J2087" s="229"/>
      <c r="K2087" s="229"/>
      <c r="L2087" s="229">
        <v>1620</v>
      </c>
      <c r="M2087" s="55"/>
    </row>
    <row r="2088" spans="2:13" x14ac:dyDescent="0.3">
      <c r="B2088" s="223" t="s">
        <v>2485</v>
      </c>
      <c r="C2088" s="37">
        <v>6</v>
      </c>
      <c r="D2088" s="225">
        <v>12</v>
      </c>
      <c r="E2088" s="226">
        <v>22770</v>
      </c>
      <c r="F2088" s="227"/>
      <c r="G2088" s="1" t="str">
        <f>IFERROR(IF(ventas_b_mes12[[#This Row],[CUIT]]="","-",VLOOKUP(ventas_b_mes12[[#This Row],[CUIT]],Lista_CUIT[#All],2,0)),"CUIT NO CARGADO")</f>
        <v>-</v>
      </c>
      <c r="H2088" s="96">
        <f>ventas_b_mes12[[#This Row],[TOTAL]]/1.21</f>
        <v>6694.2148760330583</v>
      </c>
      <c r="I2088" s="60">
        <f>ventas_b_mes12[[#This Row],[IMPORTE NETO]]*0.21</f>
        <v>1405.7851239669421</v>
      </c>
      <c r="J2088" s="229"/>
      <c r="K2088" s="229"/>
      <c r="L2088" s="229">
        <v>8100</v>
      </c>
      <c r="M2088" s="55"/>
    </row>
    <row r="2089" spans="2:13" x14ac:dyDescent="0.3">
      <c r="B2089" s="223" t="s">
        <v>2485</v>
      </c>
      <c r="C2089" s="37">
        <v>6</v>
      </c>
      <c r="D2089" s="225">
        <v>12</v>
      </c>
      <c r="E2089" s="226">
        <v>22765</v>
      </c>
      <c r="F2089" s="227"/>
      <c r="G2089" s="1" t="str">
        <f>IFERROR(IF(ventas_b_mes12[[#This Row],[CUIT]]="","-",VLOOKUP(ventas_b_mes12[[#This Row],[CUIT]],Lista_CUIT[#All],2,0)),"CUIT NO CARGADO")</f>
        <v>-</v>
      </c>
      <c r="H2089" s="96">
        <f>ventas_b_mes12[[#This Row],[TOTAL]]/1.21</f>
        <v>4297.5206611570247</v>
      </c>
      <c r="I2089" s="60">
        <f>ventas_b_mes12[[#This Row],[IMPORTE NETO]]*0.21</f>
        <v>902.47933884297515</v>
      </c>
      <c r="J2089" s="229"/>
      <c r="K2089" s="229"/>
      <c r="L2089" s="229">
        <v>5200</v>
      </c>
      <c r="M2089" s="55"/>
    </row>
    <row r="2090" spans="2:13" x14ac:dyDescent="0.3">
      <c r="B2090" s="223" t="s">
        <v>2485</v>
      </c>
      <c r="C2090" s="37">
        <v>6</v>
      </c>
      <c r="D2090" s="225">
        <v>10</v>
      </c>
      <c r="E2090" s="226">
        <v>44174</v>
      </c>
      <c r="F2090" s="227"/>
      <c r="G2090" s="1" t="str">
        <f>IFERROR(IF(ventas_b_mes12[[#This Row],[CUIT]]="","-",VLOOKUP(ventas_b_mes12[[#This Row],[CUIT]],Lista_CUIT[#All],2,0)),"CUIT NO CARGADO")</f>
        <v>-</v>
      </c>
      <c r="H2090" s="96">
        <f>ventas_b_mes12[[#This Row],[TOTAL]]/1.21</f>
        <v>13024.793388429753</v>
      </c>
      <c r="I2090" s="60">
        <f>ventas_b_mes12[[#This Row],[IMPORTE NETO]]*0.21</f>
        <v>2735.2066115702478</v>
      </c>
      <c r="J2090" s="229"/>
      <c r="K2090" s="229"/>
      <c r="L2090" s="229">
        <v>15760</v>
      </c>
      <c r="M2090" s="55"/>
    </row>
    <row r="2091" spans="2:13" x14ac:dyDescent="0.3">
      <c r="B2091" s="223" t="s">
        <v>2485</v>
      </c>
      <c r="C2091" s="37">
        <v>6</v>
      </c>
      <c r="D2091" s="225">
        <v>13</v>
      </c>
      <c r="E2091" s="226">
        <v>26941</v>
      </c>
      <c r="F2091" s="227"/>
      <c r="G2091" s="1" t="str">
        <f>IFERROR(IF(ventas_b_mes12[[#This Row],[CUIT]]="","-",VLOOKUP(ventas_b_mes12[[#This Row],[CUIT]],Lista_CUIT[#All],2,0)),"CUIT NO CARGADO")</f>
        <v>-</v>
      </c>
      <c r="H2091" s="96">
        <f>ventas_b_mes12[[#This Row],[TOTAL]]/1.21</f>
        <v>785.12396694214874</v>
      </c>
      <c r="I2091" s="60">
        <f>ventas_b_mes12[[#This Row],[IMPORTE NETO]]*0.21</f>
        <v>164.87603305785123</v>
      </c>
      <c r="J2091" s="229"/>
      <c r="K2091" s="229"/>
      <c r="L2091" s="229">
        <v>950</v>
      </c>
      <c r="M2091" s="55"/>
    </row>
    <row r="2092" spans="2:13" x14ac:dyDescent="0.3">
      <c r="B2092" s="223" t="s">
        <v>2485</v>
      </c>
      <c r="C2092" s="37">
        <v>6</v>
      </c>
      <c r="D2092" s="225">
        <v>12</v>
      </c>
      <c r="E2092" s="226">
        <v>22758</v>
      </c>
      <c r="F2092" s="227"/>
      <c r="G2092" s="1" t="str">
        <f>IFERROR(IF(ventas_b_mes12[[#This Row],[CUIT]]="","-",VLOOKUP(ventas_b_mes12[[#This Row],[CUIT]],Lista_CUIT[#All],2,0)),"CUIT NO CARGADO")</f>
        <v>-</v>
      </c>
      <c r="H2092" s="96">
        <f>ventas_b_mes12[[#This Row],[TOTAL]]/1.21</f>
        <v>8754.545454545454</v>
      </c>
      <c r="I2092" s="60">
        <f>ventas_b_mes12[[#This Row],[IMPORTE NETO]]*0.21</f>
        <v>1838.4545454545453</v>
      </c>
      <c r="J2092" s="229"/>
      <c r="K2092" s="229"/>
      <c r="L2092" s="229">
        <v>10593</v>
      </c>
      <c r="M2092" s="55"/>
    </row>
    <row r="2093" spans="2:13" x14ac:dyDescent="0.3">
      <c r="B2093" s="223" t="s">
        <v>2485</v>
      </c>
      <c r="C2093" s="37">
        <v>6</v>
      </c>
      <c r="D2093" s="225">
        <v>10</v>
      </c>
      <c r="E2093" s="226">
        <v>44162</v>
      </c>
      <c r="F2093" s="227"/>
      <c r="G2093" s="1" t="str">
        <f>IFERROR(IF(ventas_b_mes12[[#This Row],[CUIT]]="","-",VLOOKUP(ventas_b_mes12[[#This Row],[CUIT]],Lista_CUIT[#All],2,0)),"CUIT NO CARGADO")</f>
        <v>-</v>
      </c>
      <c r="H2093" s="96">
        <f>ventas_b_mes12[[#This Row],[TOTAL]]/1.21</f>
        <v>1706.611570247934</v>
      </c>
      <c r="I2093" s="60">
        <f>ventas_b_mes12[[#This Row],[IMPORTE NETO]]*0.21</f>
        <v>358.38842975206614</v>
      </c>
      <c r="J2093" s="229"/>
      <c r="K2093" s="229"/>
      <c r="L2093" s="229">
        <v>2065</v>
      </c>
      <c r="M2093" s="55"/>
    </row>
    <row r="2094" spans="2:13" x14ac:dyDescent="0.3">
      <c r="B2094" s="223" t="s">
        <v>2485</v>
      </c>
      <c r="C2094" s="37">
        <v>6</v>
      </c>
      <c r="D2094" s="225">
        <v>11</v>
      </c>
      <c r="E2094" s="226">
        <v>30305</v>
      </c>
      <c r="F2094" s="227"/>
      <c r="G2094" s="1" t="str">
        <f>IFERROR(IF(ventas_b_mes12[[#This Row],[CUIT]]="","-",VLOOKUP(ventas_b_mes12[[#This Row],[CUIT]],Lista_CUIT[#All],2,0)),"CUIT NO CARGADO")</f>
        <v>-</v>
      </c>
      <c r="H2094" s="96">
        <f>ventas_b_mes12[[#This Row],[TOTAL]]/1.21</f>
        <v>2148.7603305785124</v>
      </c>
      <c r="I2094" s="60">
        <f>ventas_b_mes12[[#This Row],[IMPORTE NETO]]*0.21</f>
        <v>451.23966942148758</v>
      </c>
      <c r="J2094" s="229"/>
      <c r="K2094" s="229"/>
      <c r="L2094" s="229">
        <v>2600</v>
      </c>
      <c r="M2094" s="55"/>
    </row>
    <row r="2095" spans="2:13" x14ac:dyDescent="0.3">
      <c r="B2095" s="223" t="s">
        <v>2485</v>
      </c>
      <c r="C2095" s="37">
        <v>6</v>
      </c>
      <c r="D2095" s="225">
        <v>10</v>
      </c>
      <c r="E2095" s="226">
        <v>44147</v>
      </c>
      <c r="F2095" s="227"/>
      <c r="G2095" s="1" t="str">
        <f>IFERROR(IF(ventas_b_mes12[[#This Row],[CUIT]]="","-",VLOOKUP(ventas_b_mes12[[#This Row],[CUIT]],Lista_CUIT[#All],2,0)),"CUIT NO CARGADO")</f>
        <v>-</v>
      </c>
      <c r="H2095" s="96">
        <f>ventas_b_mes12[[#This Row],[TOTAL]]/1.21</f>
        <v>1826.4462809917356</v>
      </c>
      <c r="I2095" s="60">
        <f>ventas_b_mes12[[#This Row],[IMPORTE NETO]]*0.21</f>
        <v>383.55371900826447</v>
      </c>
      <c r="J2095" s="229"/>
      <c r="K2095" s="229"/>
      <c r="L2095" s="229">
        <v>2210</v>
      </c>
      <c r="M2095" s="55"/>
    </row>
    <row r="2096" spans="2:13" x14ac:dyDescent="0.3">
      <c r="B2096" s="223" t="s">
        <v>2485</v>
      </c>
      <c r="C2096" s="37">
        <v>6</v>
      </c>
      <c r="D2096" s="225">
        <v>15</v>
      </c>
      <c r="E2096" s="226">
        <v>7351</v>
      </c>
      <c r="F2096" s="227"/>
      <c r="G2096" s="1" t="str">
        <f>IFERROR(IF(ventas_b_mes12[[#This Row],[CUIT]]="","-",VLOOKUP(ventas_b_mes12[[#This Row],[CUIT]],Lista_CUIT[#All],2,0)),"CUIT NO CARGADO")</f>
        <v>-</v>
      </c>
      <c r="H2096" s="96">
        <f>ventas_b_mes12[[#This Row],[TOTAL]]/1.21</f>
        <v>1322.3140495867769</v>
      </c>
      <c r="I2096" s="60">
        <f>ventas_b_mes12[[#This Row],[IMPORTE NETO]]*0.21</f>
        <v>277.68595041322317</v>
      </c>
      <c r="J2096" s="229"/>
      <c r="K2096" s="229"/>
      <c r="L2096" s="229">
        <v>1600</v>
      </c>
      <c r="M2096" s="55"/>
    </row>
    <row r="2097" spans="2:13" x14ac:dyDescent="0.3">
      <c r="B2097" s="223" t="s">
        <v>2485</v>
      </c>
      <c r="C2097" s="37">
        <v>6</v>
      </c>
      <c r="D2097" s="225">
        <v>15</v>
      </c>
      <c r="E2097" s="226">
        <v>7349</v>
      </c>
      <c r="F2097" s="227"/>
      <c r="G2097" s="1" t="str">
        <f>IFERROR(IF(ventas_b_mes12[[#This Row],[CUIT]]="","-",VLOOKUP(ventas_b_mes12[[#This Row],[CUIT]],Lista_CUIT[#All],2,0)),"CUIT NO CARGADO")</f>
        <v>-</v>
      </c>
      <c r="H2097" s="96">
        <f>ventas_b_mes12[[#This Row],[TOTAL]]/1.21</f>
        <v>4338.8429752066113</v>
      </c>
      <c r="I2097" s="60">
        <f>ventas_b_mes12[[#This Row],[IMPORTE NETO]]*0.21</f>
        <v>911.15702479338836</v>
      </c>
      <c r="J2097" s="229"/>
      <c r="K2097" s="229"/>
      <c r="L2097" s="229">
        <v>5250</v>
      </c>
      <c r="M2097" s="55"/>
    </row>
    <row r="2098" spans="2:13" x14ac:dyDescent="0.3">
      <c r="B2098" s="223" t="s">
        <v>2485</v>
      </c>
      <c r="C2098" s="37">
        <v>6</v>
      </c>
      <c r="D2098" s="225">
        <v>10</v>
      </c>
      <c r="E2098" s="226">
        <v>44167</v>
      </c>
      <c r="F2098" s="227"/>
      <c r="G2098" s="1" t="str">
        <f>IFERROR(IF(ventas_b_mes12[[#This Row],[CUIT]]="","-",VLOOKUP(ventas_b_mes12[[#This Row],[CUIT]],Lista_CUIT[#All],2,0)),"CUIT NO CARGADO")</f>
        <v>-</v>
      </c>
      <c r="H2098" s="96">
        <f>ventas_b_mes12[[#This Row],[TOTAL]]/1.21</f>
        <v>8347.1074380165301</v>
      </c>
      <c r="I2098" s="60">
        <f>ventas_b_mes12[[#This Row],[IMPORTE NETO]]*0.21</f>
        <v>1752.8925619834713</v>
      </c>
      <c r="J2098" s="229"/>
      <c r="K2098" s="229"/>
      <c r="L2098" s="229">
        <v>10100</v>
      </c>
      <c r="M2098" s="55"/>
    </row>
    <row r="2099" spans="2:13" x14ac:dyDescent="0.3">
      <c r="B2099" s="223" t="s">
        <v>2485</v>
      </c>
      <c r="C2099" s="37">
        <v>6</v>
      </c>
      <c r="D2099" s="225">
        <v>10</v>
      </c>
      <c r="E2099" s="226">
        <v>44169</v>
      </c>
      <c r="F2099" s="227"/>
      <c r="G2099" s="1" t="str">
        <f>IFERROR(IF(ventas_b_mes12[[#This Row],[CUIT]]="","-",VLOOKUP(ventas_b_mes12[[#This Row],[CUIT]],Lista_CUIT[#All],2,0)),"CUIT NO CARGADO")</f>
        <v>-</v>
      </c>
      <c r="H2099" s="96">
        <f>ventas_b_mes12[[#This Row],[TOTAL]]/1.21</f>
        <v>2148.7603305785124</v>
      </c>
      <c r="I2099" s="60">
        <f>ventas_b_mes12[[#This Row],[IMPORTE NETO]]*0.21</f>
        <v>451.23966942148758</v>
      </c>
      <c r="J2099" s="229"/>
      <c r="K2099" s="229"/>
      <c r="L2099" s="229">
        <v>2600</v>
      </c>
      <c r="M2099" s="55"/>
    </row>
    <row r="2100" spans="2:13" x14ac:dyDescent="0.3">
      <c r="B2100" s="223" t="s">
        <v>2485</v>
      </c>
      <c r="C2100" s="37">
        <v>6</v>
      </c>
      <c r="D2100" s="225">
        <v>10</v>
      </c>
      <c r="E2100" s="226">
        <v>44165</v>
      </c>
      <c r="F2100" s="227"/>
      <c r="G2100" s="1" t="str">
        <f>IFERROR(IF(ventas_b_mes12[[#This Row],[CUIT]]="","-",VLOOKUP(ventas_b_mes12[[#This Row],[CUIT]],Lista_CUIT[#All],2,0)),"CUIT NO CARGADO")</f>
        <v>-</v>
      </c>
      <c r="H2100" s="96">
        <f>ventas_b_mes12[[#This Row],[TOTAL]]/1.21</f>
        <v>7048.4876033057853</v>
      </c>
      <c r="I2100" s="60">
        <f>ventas_b_mes12[[#This Row],[IMPORTE NETO]]*0.21</f>
        <v>1480.182396694215</v>
      </c>
      <c r="J2100" s="229"/>
      <c r="K2100" s="229"/>
      <c r="L2100" s="229">
        <v>8528.67</v>
      </c>
      <c r="M2100" s="55"/>
    </row>
    <row r="2101" spans="2:13" x14ac:dyDescent="0.3">
      <c r="B2101" s="223" t="s">
        <v>2485</v>
      </c>
      <c r="C2101" s="37">
        <v>6</v>
      </c>
      <c r="D2101" s="225">
        <v>11</v>
      </c>
      <c r="E2101" s="226">
        <v>30300</v>
      </c>
      <c r="F2101" s="227"/>
      <c r="G2101" s="1" t="str">
        <f>IFERROR(IF(ventas_b_mes12[[#This Row],[CUIT]]="","-",VLOOKUP(ventas_b_mes12[[#This Row],[CUIT]],Lista_CUIT[#All],2,0)),"CUIT NO CARGADO")</f>
        <v>-</v>
      </c>
      <c r="H2101" s="96">
        <f>ventas_b_mes12[[#This Row],[TOTAL]]/1.21</f>
        <v>28099.206611570251</v>
      </c>
      <c r="I2101" s="60">
        <f>ventas_b_mes12[[#This Row],[IMPORTE NETO]]*0.21</f>
        <v>5900.8333884297526</v>
      </c>
      <c r="J2101" s="229"/>
      <c r="K2101" s="229"/>
      <c r="L2101" s="229">
        <v>34000.04</v>
      </c>
      <c r="M2101" s="55"/>
    </row>
    <row r="2102" spans="2:13" x14ac:dyDescent="0.3">
      <c r="B2102" s="223" t="s">
        <v>2485</v>
      </c>
      <c r="C2102" s="37">
        <v>6</v>
      </c>
      <c r="D2102" s="225">
        <v>12</v>
      </c>
      <c r="E2102" s="226">
        <v>22768</v>
      </c>
      <c r="F2102" s="227"/>
      <c r="G2102" s="1" t="str">
        <f>IFERROR(IF(ventas_b_mes12[[#This Row],[CUIT]]="","-",VLOOKUP(ventas_b_mes12[[#This Row],[CUIT]],Lista_CUIT[#All],2,0)),"CUIT NO CARGADO")</f>
        <v>-</v>
      </c>
      <c r="H2102" s="96">
        <f>ventas_b_mes12[[#This Row],[TOTAL]]/1.21</f>
        <v>1561.9834710743803</v>
      </c>
      <c r="I2102" s="60">
        <f>ventas_b_mes12[[#This Row],[IMPORTE NETO]]*0.21</f>
        <v>328.01652892561987</v>
      </c>
      <c r="J2102" s="229"/>
      <c r="K2102" s="229"/>
      <c r="L2102" s="229">
        <v>1890</v>
      </c>
      <c r="M2102" s="55"/>
    </row>
    <row r="2103" spans="2:13" x14ac:dyDescent="0.3">
      <c r="B2103" s="223" t="s">
        <v>2485</v>
      </c>
      <c r="C2103" s="37">
        <v>6</v>
      </c>
      <c r="D2103" s="225">
        <v>12</v>
      </c>
      <c r="E2103" s="226">
        <v>22755</v>
      </c>
      <c r="F2103" s="227"/>
      <c r="G2103" s="1" t="str">
        <f>IFERROR(IF(ventas_b_mes12[[#This Row],[CUIT]]="","-",VLOOKUP(ventas_b_mes12[[#This Row],[CUIT]],Lista_CUIT[#All],2,0)),"CUIT NO CARGADO")</f>
        <v>-</v>
      </c>
      <c r="H2103" s="96">
        <f>ventas_b_mes12[[#This Row],[TOTAL]]/1.21</f>
        <v>2148.7603305785124</v>
      </c>
      <c r="I2103" s="60">
        <f>ventas_b_mes12[[#This Row],[IMPORTE NETO]]*0.21</f>
        <v>451.23966942148758</v>
      </c>
      <c r="J2103" s="229"/>
      <c r="K2103" s="229"/>
      <c r="L2103" s="229">
        <v>2600</v>
      </c>
      <c r="M2103" s="55"/>
    </row>
    <row r="2104" spans="2:13" x14ac:dyDescent="0.3">
      <c r="B2104" s="223" t="s">
        <v>2485</v>
      </c>
      <c r="C2104" s="37">
        <v>6</v>
      </c>
      <c r="D2104" s="225">
        <v>12</v>
      </c>
      <c r="E2104" s="226">
        <v>22778</v>
      </c>
      <c r="F2104" s="227"/>
      <c r="G2104" s="1" t="str">
        <f>IFERROR(IF(ventas_b_mes12[[#This Row],[CUIT]]="","-",VLOOKUP(ventas_b_mes12[[#This Row],[CUIT]],Lista_CUIT[#All],2,0)),"CUIT NO CARGADO")</f>
        <v>-</v>
      </c>
      <c r="H2104" s="96">
        <f>ventas_b_mes12[[#This Row],[TOTAL]]/1.21</f>
        <v>2603.3057851239669</v>
      </c>
      <c r="I2104" s="60">
        <f>ventas_b_mes12[[#This Row],[IMPORTE NETO]]*0.21</f>
        <v>546.69421487603302</v>
      </c>
      <c r="J2104" s="229"/>
      <c r="K2104" s="229"/>
      <c r="L2104" s="229">
        <v>3150</v>
      </c>
      <c r="M2104" s="55"/>
    </row>
    <row r="2105" spans="2:13" x14ac:dyDescent="0.3">
      <c r="B2105" s="223" t="s">
        <v>2485</v>
      </c>
      <c r="C2105" s="37">
        <v>6</v>
      </c>
      <c r="D2105" s="225">
        <v>12</v>
      </c>
      <c r="E2105" s="226">
        <v>22774</v>
      </c>
      <c r="F2105" s="227"/>
      <c r="G2105" s="1" t="str">
        <f>IFERROR(IF(ventas_b_mes12[[#This Row],[CUIT]]="","-",VLOOKUP(ventas_b_mes12[[#This Row],[CUIT]],Lista_CUIT[#All],2,0)),"CUIT NO CARGADO")</f>
        <v>-</v>
      </c>
      <c r="H2105" s="96">
        <f>ventas_b_mes12[[#This Row],[TOTAL]]/1.21</f>
        <v>4132.2314049586776</v>
      </c>
      <c r="I2105" s="60">
        <f>ventas_b_mes12[[#This Row],[IMPORTE NETO]]*0.21</f>
        <v>867.76859504132221</v>
      </c>
      <c r="J2105" s="229"/>
      <c r="K2105" s="229"/>
      <c r="L2105" s="229">
        <v>5000</v>
      </c>
      <c r="M2105" s="55"/>
    </row>
    <row r="2106" spans="2:13" x14ac:dyDescent="0.3">
      <c r="B2106" s="223" t="s">
        <v>2485</v>
      </c>
      <c r="C2106" s="37">
        <v>6</v>
      </c>
      <c r="D2106" s="225">
        <v>10</v>
      </c>
      <c r="E2106" s="226">
        <v>44151</v>
      </c>
      <c r="F2106" s="227"/>
      <c r="G2106" s="1" t="str">
        <f>IFERROR(IF(ventas_b_mes12[[#This Row],[CUIT]]="","-",VLOOKUP(ventas_b_mes12[[#This Row],[CUIT]],Lista_CUIT[#All],2,0)),"CUIT NO CARGADO")</f>
        <v>-</v>
      </c>
      <c r="H2106" s="96">
        <f>ventas_b_mes12[[#This Row],[TOTAL]]/1.21</f>
        <v>8500.008264462811</v>
      </c>
      <c r="I2106" s="60">
        <f>ventas_b_mes12[[#This Row],[IMPORTE NETO]]*0.21</f>
        <v>1785.0017355371901</v>
      </c>
      <c r="J2106" s="229"/>
      <c r="K2106" s="229"/>
      <c r="L2106" s="229">
        <v>10285.01</v>
      </c>
      <c r="M2106" s="55"/>
    </row>
    <row r="2107" spans="2:13" x14ac:dyDescent="0.3">
      <c r="B2107" s="223" t="s">
        <v>2485</v>
      </c>
      <c r="C2107" s="37">
        <v>6</v>
      </c>
      <c r="D2107" s="225">
        <v>10</v>
      </c>
      <c r="E2107" s="226">
        <v>44146</v>
      </c>
      <c r="F2107" s="227"/>
      <c r="G2107" s="1" t="str">
        <f>IFERROR(IF(ventas_b_mes12[[#This Row],[CUIT]]="","-",VLOOKUP(ventas_b_mes12[[#This Row],[CUIT]],Lista_CUIT[#All],2,0)),"CUIT NO CARGADO")</f>
        <v>-</v>
      </c>
      <c r="H2107" s="96">
        <f>ventas_b_mes12[[#This Row],[TOTAL]]/1.21</f>
        <v>3471.0743801652893</v>
      </c>
      <c r="I2107" s="60">
        <f>ventas_b_mes12[[#This Row],[IMPORTE NETO]]*0.21</f>
        <v>728.92561983471069</v>
      </c>
      <c r="J2107" s="229"/>
      <c r="K2107" s="229"/>
      <c r="L2107" s="229">
        <v>4200</v>
      </c>
      <c r="M2107" s="55"/>
    </row>
    <row r="2108" spans="2:13" x14ac:dyDescent="0.3">
      <c r="B2108" s="223" t="s">
        <v>2485</v>
      </c>
      <c r="C2108" s="37">
        <v>6</v>
      </c>
      <c r="D2108" s="225">
        <v>13</v>
      </c>
      <c r="E2108" s="226">
        <v>26950</v>
      </c>
      <c r="F2108" s="227"/>
      <c r="G2108" s="1" t="str">
        <f>IFERROR(IF(ventas_b_mes12[[#This Row],[CUIT]]="","-",VLOOKUP(ventas_b_mes12[[#This Row],[CUIT]],Lista_CUIT[#All],2,0)),"CUIT NO CARGADO")</f>
        <v>-</v>
      </c>
      <c r="H2108" s="96">
        <f>ventas_b_mes12[[#This Row],[TOTAL]]/1.21</f>
        <v>9504.1404958677685</v>
      </c>
      <c r="I2108" s="60">
        <f>ventas_b_mes12[[#This Row],[IMPORTE NETO]]*0.21</f>
        <v>1995.8695041322312</v>
      </c>
      <c r="J2108" s="229"/>
      <c r="K2108" s="229"/>
      <c r="L2108" s="229">
        <v>11500.01</v>
      </c>
      <c r="M2108" s="55"/>
    </row>
    <row r="2109" spans="2:13" x14ac:dyDescent="0.3">
      <c r="B2109" s="223" t="s">
        <v>2485</v>
      </c>
      <c r="C2109" s="37">
        <v>6</v>
      </c>
      <c r="D2109" s="225">
        <v>12</v>
      </c>
      <c r="E2109" s="226">
        <v>22757</v>
      </c>
      <c r="F2109" s="227"/>
      <c r="G2109" s="1" t="str">
        <f>IFERROR(IF(ventas_b_mes12[[#This Row],[CUIT]]="","-",VLOOKUP(ventas_b_mes12[[#This Row],[CUIT]],Lista_CUIT[#All],2,0)),"CUIT NO CARGADO")</f>
        <v>-</v>
      </c>
      <c r="H2109" s="96">
        <f>ventas_b_mes12[[#This Row],[TOTAL]]/1.21</f>
        <v>3181.818181818182</v>
      </c>
      <c r="I2109" s="60">
        <f>ventas_b_mes12[[#This Row],[IMPORTE NETO]]*0.21</f>
        <v>668.18181818181824</v>
      </c>
      <c r="J2109" s="229"/>
      <c r="K2109" s="229"/>
      <c r="L2109" s="229">
        <v>3850</v>
      </c>
      <c r="M2109" s="55"/>
    </row>
    <row r="2110" spans="2:13" x14ac:dyDescent="0.3">
      <c r="B2110" s="223" t="s">
        <v>2485</v>
      </c>
      <c r="C2110" s="37">
        <v>6</v>
      </c>
      <c r="D2110" s="225">
        <v>10</v>
      </c>
      <c r="E2110" s="226">
        <v>44168</v>
      </c>
      <c r="F2110" s="227"/>
      <c r="G2110" s="1" t="str">
        <f>IFERROR(IF(ventas_b_mes12[[#This Row],[CUIT]]="","-",VLOOKUP(ventas_b_mes12[[#This Row],[CUIT]],Lista_CUIT[#All],2,0)),"CUIT NO CARGADO")</f>
        <v>-</v>
      </c>
      <c r="H2110" s="96">
        <f>ventas_b_mes12[[#This Row],[TOTAL]]/1.21</f>
        <v>10859.512396694216</v>
      </c>
      <c r="I2110" s="60">
        <f>ventas_b_mes12[[#This Row],[IMPORTE NETO]]*0.21</f>
        <v>2280.4976033057851</v>
      </c>
      <c r="J2110" s="229"/>
      <c r="K2110" s="229"/>
      <c r="L2110" s="229">
        <v>13140.01</v>
      </c>
      <c r="M2110" s="55"/>
    </row>
    <row r="2111" spans="2:13" x14ac:dyDescent="0.3">
      <c r="B2111" s="223" t="s">
        <v>2485</v>
      </c>
      <c r="C2111" s="37">
        <v>6</v>
      </c>
      <c r="D2111" s="225">
        <v>11</v>
      </c>
      <c r="E2111" s="226">
        <v>30307</v>
      </c>
      <c r="F2111" s="227"/>
      <c r="G2111" s="1" t="str">
        <f>IFERROR(IF(ventas_b_mes12[[#This Row],[CUIT]]="","-",VLOOKUP(ventas_b_mes12[[#This Row],[CUIT]],Lista_CUIT[#All],2,0)),"CUIT NO CARGADO")</f>
        <v>-</v>
      </c>
      <c r="H2111" s="96">
        <f>ventas_b_mes12[[#This Row],[TOTAL]]/1.21</f>
        <v>2388.4297520661157</v>
      </c>
      <c r="I2111" s="60">
        <f>ventas_b_mes12[[#This Row],[IMPORTE NETO]]*0.21</f>
        <v>501.57024793388427</v>
      </c>
      <c r="J2111" s="229"/>
      <c r="K2111" s="229"/>
      <c r="L2111" s="229">
        <v>2890</v>
      </c>
      <c r="M2111" s="55"/>
    </row>
    <row r="2112" spans="2:13" x14ac:dyDescent="0.3">
      <c r="B2112" s="223" t="s">
        <v>2485</v>
      </c>
      <c r="C2112" s="37">
        <v>6</v>
      </c>
      <c r="D2112" s="225">
        <v>13</v>
      </c>
      <c r="E2112" s="226">
        <v>26947</v>
      </c>
      <c r="F2112" s="227"/>
      <c r="G2112" s="1" t="str">
        <f>IFERROR(IF(ventas_b_mes12[[#This Row],[CUIT]]="","-",VLOOKUP(ventas_b_mes12[[#This Row],[CUIT]],Lista_CUIT[#All],2,0)),"CUIT NO CARGADO")</f>
        <v>-</v>
      </c>
      <c r="H2112" s="96">
        <f>ventas_b_mes12[[#This Row],[TOTAL]]/1.21</f>
        <v>2999.5867768595044</v>
      </c>
      <c r="I2112" s="60">
        <f>ventas_b_mes12[[#This Row],[IMPORTE NETO]]*0.21</f>
        <v>629.91322314049592</v>
      </c>
      <c r="J2112" s="229"/>
      <c r="K2112" s="229"/>
      <c r="L2112" s="229">
        <v>3629.5</v>
      </c>
      <c r="M2112" s="55"/>
    </row>
    <row r="2113" spans="2:13" x14ac:dyDescent="0.3">
      <c r="B2113" s="223" t="s">
        <v>2485</v>
      </c>
      <c r="C2113" s="37">
        <v>6</v>
      </c>
      <c r="D2113" s="225">
        <v>10</v>
      </c>
      <c r="E2113" s="226">
        <v>44154</v>
      </c>
      <c r="F2113" s="227"/>
      <c r="G2113" s="1" t="str">
        <f>IFERROR(IF(ventas_b_mes12[[#This Row],[CUIT]]="","-",VLOOKUP(ventas_b_mes12[[#This Row],[CUIT]],Lista_CUIT[#All],2,0)),"CUIT NO CARGADO")</f>
        <v>-</v>
      </c>
      <c r="H2113" s="96">
        <f>ventas_b_mes12[[#This Row],[TOTAL]]/1.21</f>
        <v>10330.578512396694</v>
      </c>
      <c r="I2113" s="60">
        <f>ventas_b_mes12[[#This Row],[IMPORTE NETO]]*0.21</f>
        <v>2169.4214876033056</v>
      </c>
      <c r="J2113" s="229"/>
      <c r="K2113" s="229"/>
      <c r="L2113" s="229">
        <v>12500</v>
      </c>
      <c r="M2113" s="55"/>
    </row>
    <row r="2114" spans="2:13" x14ac:dyDescent="0.3">
      <c r="B2114" s="223" t="s">
        <v>2485</v>
      </c>
      <c r="C2114" s="37">
        <v>6</v>
      </c>
      <c r="D2114" s="225">
        <v>10</v>
      </c>
      <c r="E2114" s="226">
        <v>44158</v>
      </c>
      <c r="F2114" s="227"/>
      <c r="G2114" s="1" t="str">
        <f>IFERROR(IF(ventas_b_mes12[[#This Row],[CUIT]]="","-",VLOOKUP(ventas_b_mes12[[#This Row],[CUIT]],Lista_CUIT[#All],2,0)),"CUIT NO CARGADO")</f>
        <v>-</v>
      </c>
      <c r="H2114" s="96">
        <f>ventas_b_mes12[[#This Row],[TOTAL]]/1.21</f>
        <v>3793.3884297520663</v>
      </c>
      <c r="I2114" s="60">
        <f>ventas_b_mes12[[#This Row],[IMPORTE NETO]]*0.21</f>
        <v>796.61157024793386</v>
      </c>
      <c r="J2114" s="229"/>
      <c r="K2114" s="229"/>
      <c r="L2114" s="229">
        <v>4590</v>
      </c>
      <c r="M2114" s="55"/>
    </row>
    <row r="2115" spans="2:13" x14ac:dyDescent="0.3">
      <c r="B2115" s="223" t="s">
        <v>2485</v>
      </c>
      <c r="C2115" s="37">
        <v>6</v>
      </c>
      <c r="D2115" s="225">
        <v>10</v>
      </c>
      <c r="E2115" s="226">
        <v>44160</v>
      </c>
      <c r="F2115" s="227"/>
      <c r="G2115" s="1" t="str">
        <f>IFERROR(IF(ventas_b_mes12[[#This Row],[CUIT]]="","-",VLOOKUP(ventas_b_mes12[[#This Row],[CUIT]],Lista_CUIT[#All],2,0)),"CUIT NO CARGADO")</f>
        <v>-</v>
      </c>
      <c r="H2115" s="96">
        <f>ventas_b_mes12[[#This Row],[TOTAL]]/1.21</f>
        <v>8553.7272727272739</v>
      </c>
      <c r="I2115" s="60">
        <f>ventas_b_mes12[[#This Row],[IMPORTE NETO]]*0.21</f>
        <v>1796.2827272727275</v>
      </c>
      <c r="J2115" s="229"/>
      <c r="K2115" s="229"/>
      <c r="L2115" s="229">
        <v>10350.01</v>
      </c>
      <c r="M2115" s="55"/>
    </row>
    <row r="2116" spans="2:13" x14ac:dyDescent="0.3">
      <c r="B2116" s="223" t="s">
        <v>2485</v>
      </c>
      <c r="C2116" s="37">
        <v>6</v>
      </c>
      <c r="D2116" s="225">
        <v>13</v>
      </c>
      <c r="E2116" s="226">
        <v>26943</v>
      </c>
      <c r="F2116" s="227"/>
      <c r="G2116" s="1" t="str">
        <f>IFERROR(IF(ventas_b_mes12[[#This Row],[CUIT]]="","-",VLOOKUP(ventas_b_mes12[[#This Row],[CUIT]],Lista_CUIT[#All],2,0)),"CUIT NO CARGADO")</f>
        <v>-</v>
      </c>
      <c r="H2116" s="96">
        <f>ventas_b_mes12[[#This Row],[TOTAL]]/1.21</f>
        <v>4890.9834710743808</v>
      </c>
      <c r="I2116" s="60">
        <f>ventas_b_mes12[[#This Row],[IMPORTE NETO]]*0.21</f>
        <v>1027.1065289256198</v>
      </c>
      <c r="J2116" s="229"/>
      <c r="K2116" s="229"/>
      <c r="L2116" s="229">
        <v>5918.09</v>
      </c>
      <c r="M2116" s="55"/>
    </row>
    <row r="2117" spans="2:13" x14ac:dyDescent="0.3">
      <c r="B2117" s="223" t="s">
        <v>2485</v>
      </c>
      <c r="C2117" s="37">
        <v>6</v>
      </c>
      <c r="D2117" s="225">
        <v>15</v>
      </c>
      <c r="E2117" s="226">
        <v>7346</v>
      </c>
      <c r="F2117" s="227"/>
      <c r="G2117" s="1" t="str">
        <f>IFERROR(IF(ventas_b_mes12[[#This Row],[CUIT]]="","-",VLOOKUP(ventas_b_mes12[[#This Row],[CUIT]],Lista_CUIT[#All],2,0)),"CUIT NO CARGADO")</f>
        <v>-</v>
      </c>
      <c r="H2117" s="96">
        <f>ventas_b_mes12[[#This Row],[TOTAL]]/1.21</f>
        <v>2479.3388429752067</v>
      </c>
      <c r="I2117" s="60">
        <f>ventas_b_mes12[[#This Row],[IMPORTE NETO]]*0.21</f>
        <v>520.6611570247934</v>
      </c>
      <c r="J2117" s="229"/>
      <c r="K2117" s="229"/>
      <c r="L2117" s="229">
        <v>3000</v>
      </c>
      <c r="M2117" s="55"/>
    </row>
    <row r="2118" spans="2:13" x14ac:dyDescent="0.3">
      <c r="B2118" s="223" t="s">
        <v>2485</v>
      </c>
      <c r="C2118" s="37">
        <v>6</v>
      </c>
      <c r="D2118" s="225">
        <v>11</v>
      </c>
      <c r="E2118" s="226">
        <v>30299</v>
      </c>
      <c r="F2118" s="227"/>
      <c r="G2118" s="1" t="str">
        <f>IFERROR(IF(ventas_b_mes12[[#This Row],[CUIT]]="","-",VLOOKUP(ventas_b_mes12[[#This Row],[CUIT]],Lista_CUIT[#All],2,0)),"CUIT NO CARGADO")</f>
        <v>-</v>
      </c>
      <c r="H2118" s="96">
        <f>ventas_b_mes12[[#This Row],[TOTAL]]/1.21</f>
        <v>6166.462809917356</v>
      </c>
      <c r="I2118" s="60">
        <f>ventas_b_mes12[[#This Row],[IMPORTE NETO]]*0.21</f>
        <v>1294.9571900826447</v>
      </c>
      <c r="J2118" s="229"/>
      <c r="K2118" s="229"/>
      <c r="L2118" s="229">
        <v>7461.42</v>
      </c>
      <c r="M2118" s="55"/>
    </row>
    <row r="2119" spans="2:13" x14ac:dyDescent="0.3">
      <c r="B2119" s="223" t="s">
        <v>2485</v>
      </c>
      <c r="C2119" s="37">
        <v>6</v>
      </c>
      <c r="D2119" s="225">
        <v>10</v>
      </c>
      <c r="E2119" s="226">
        <v>44150</v>
      </c>
      <c r="F2119" s="227"/>
      <c r="G2119" s="1" t="str">
        <f>IFERROR(IF(ventas_b_mes12[[#This Row],[CUIT]]="","-",VLOOKUP(ventas_b_mes12[[#This Row],[CUIT]],Lista_CUIT[#All],2,0)),"CUIT NO CARGADO")</f>
        <v>-</v>
      </c>
      <c r="H2119" s="96">
        <f>ventas_b_mes12[[#This Row],[TOTAL]]/1.21</f>
        <v>3512.3966942148763</v>
      </c>
      <c r="I2119" s="60">
        <f>ventas_b_mes12[[#This Row],[IMPORTE NETO]]*0.21</f>
        <v>737.60330578512401</v>
      </c>
      <c r="J2119" s="229"/>
      <c r="K2119" s="229"/>
      <c r="L2119" s="229">
        <v>4250</v>
      </c>
      <c r="M2119" s="55"/>
    </row>
    <row r="2120" spans="2:13" x14ac:dyDescent="0.3">
      <c r="B2120" s="223" t="s">
        <v>2485</v>
      </c>
      <c r="C2120" s="37">
        <v>6</v>
      </c>
      <c r="D2120" s="225">
        <v>10</v>
      </c>
      <c r="E2120" s="226">
        <v>44140</v>
      </c>
      <c r="F2120" s="227"/>
      <c r="G2120" s="1" t="str">
        <f>IFERROR(IF(ventas_b_mes12[[#This Row],[CUIT]]="","-",VLOOKUP(ventas_b_mes12[[#This Row],[CUIT]],Lista_CUIT[#All],2,0)),"CUIT NO CARGADO")</f>
        <v>-</v>
      </c>
      <c r="H2120" s="96">
        <f>ventas_b_mes12[[#This Row],[TOTAL]]/1.21</f>
        <v>1900.8264462809918</v>
      </c>
      <c r="I2120" s="60">
        <f>ventas_b_mes12[[#This Row],[IMPORTE NETO]]*0.21</f>
        <v>399.17355371900828</v>
      </c>
      <c r="J2120" s="229"/>
      <c r="K2120" s="229"/>
      <c r="L2120" s="229">
        <v>2300</v>
      </c>
      <c r="M2120" s="55"/>
    </row>
    <row r="2121" spans="2:13" x14ac:dyDescent="0.3">
      <c r="B2121" s="223" t="s">
        <v>2485</v>
      </c>
      <c r="C2121" s="37">
        <v>6</v>
      </c>
      <c r="D2121" s="225">
        <v>12</v>
      </c>
      <c r="E2121" s="226">
        <v>22766</v>
      </c>
      <c r="F2121" s="227"/>
      <c r="G2121" s="1" t="str">
        <f>IFERROR(IF(ventas_b_mes12[[#This Row],[CUIT]]="","-",VLOOKUP(ventas_b_mes12[[#This Row],[CUIT]],Lista_CUIT[#All],2,0)),"CUIT NO CARGADO")</f>
        <v>-</v>
      </c>
      <c r="H2121" s="96">
        <f>ventas_b_mes12[[#This Row],[TOTAL]]/1.21</f>
        <v>2194.2148760330579</v>
      </c>
      <c r="I2121" s="60">
        <f>ventas_b_mes12[[#This Row],[IMPORTE NETO]]*0.21</f>
        <v>460.78512396694214</v>
      </c>
      <c r="J2121" s="229"/>
      <c r="K2121" s="229"/>
      <c r="L2121" s="229">
        <v>2655</v>
      </c>
      <c r="M2121" s="55"/>
    </row>
    <row r="2122" spans="2:13" x14ac:dyDescent="0.3">
      <c r="B2122" s="223" t="s">
        <v>2485</v>
      </c>
      <c r="C2122" s="37">
        <v>6</v>
      </c>
      <c r="D2122" s="225">
        <v>15</v>
      </c>
      <c r="E2122" s="226">
        <v>7348</v>
      </c>
      <c r="F2122" s="227"/>
      <c r="G2122" s="1" t="str">
        <f>IFERROR(IF(ventas_b_mes12[[#This Row],[CUIT]]="","-",VLOOKUP(ventas_b_mes12[[#This Row],[CUIT]],Lista_CUIT[#All],2,0)),"CUIT NO CARGADO")</f>
        <v>-</v>
      </c>
      <c r="H2122" s="96">
        <f>ventas_b_mes12[[#This Row],[TOTAL]]/1.21</f>
        <v>826.44628099173553</v>
      </c>
      <c r="I2122" s="60">
        <f>ventas_b_mes12[[#This Row],[IMPORTE NETO]]*0.21</f>
        <v>173.55371900826447</v>
      </c>
      <c r="J2122" s="229"/>
      <c r="K2122" s="229"/>
      <c r="L2122" s="229">
        <v>1000</v>
      </c>
      <c r="M2122" s="55"/>
    </row>
    <row r="2123" spans="2:13" x14ac:dyDescent="0.3">
      <c r="B2123" s="223" t="s">
        <v>2485</v>
      </c>
      <c r="C2123" s="37">
        <v>6</v>
      </c>
      <c r="D2123" s="225">
        <v>12</v>
      </c>
      <c r="E2123" s="226">
        <v>22776</v>
      </c>
      <c r="F2123" s="227"/>
      <c r="G2123" s="1" t="str">
        <f>IFERROR(IF(ventas_b_mes12[[#This Row],[CUIT]]="","-",VLOOKUP(ventas_b_mes12[[#This Row],[CUIT]],Lista_CUIT[#All],2,0)),"CUIT NO CARGADO")</f>
        <v>-</v>
      </c>
      <c r="H2123" s="96">
        <f>ventas_b_mes12[[#This Row],[TOTAL]]/1.21</f>
        <v>2438.0165289256197</v>
      </c>
      <c r="I2123" s="60">
        <f>ventas_b_mes12[[#This Row],[IMPORTE NETO]]*0.21</f>
        <v>511.98347107438013</v>
      </c>
      <c r="J2123" s="229"/>
      <c r="K2123" s="229"/>
      <c r="L2123" s="229">
        <v>2950</v>
      </c>
      <c r="M2123" s="55"/>
    </row>
    <row r="2124" spans="2:13" x14ac:dyDescent="0.3">
      <c r="B2124" s="223" t="s">
        <v>2485</v>
      </c>
      <c r="C2124" s="37">
        <v>6</v>
      </c>
      <c r="D2124" s="225">
        <v>12</v>
      </c>
      <c r="E2124" s="226">
        <v>22763</v>
      </c>
      <c r="F2124" s="227"/>
      <c r="G2124" s="1" t="str">
        <f>IFERROR(IF(ventas_b_mes12[[#This Row],[CUIT]]="","-",VLOOKUP(ventas_b_mes12[[#This Row],[CUIT]],Lista_CUIT[#All],2,0)),"CUIT NO CARGADO")</f>
        <v>-</v>
      </c>
      <c r="H2124" s="96">
        <f>ventas_b_mes12[[#This Row],[TOTAL]]/1.21</f>
        <v>3140.495867768595</v>
      </c>
      <c r="I2124" s="60">
        <f>ventas_b_mes12[[#This Row],[IMPORTE NETO]]*0.21</f>
        <v>659.50413223140492</v>
      </c>
      <c r="J2124" s="229"/>
      <c r="K2124" s="229"/>
      <c r="L2124" s="229">
        <v>3800</v>
      </c>
      <c r="M2124" s="55"/>
    </row>
    <row r="2125" spans="2:13" x14ac:dyDescent="0.3">
      <c r="B2125" s="223" t="s">
        <v>2485</v>
      </c>
      <c r="C2125" s="37">
        <v>6</v>
      </c>
      <c r="D2125" s="225">
        <v>12</v>
      </c>
      <c r="E2125" s="226">
        <v>22777</v>
      </c>
      <c r="F2125" s="227"/>
      <c r="G2125" s="1" t="str">
        <f>IFERROR(IF(ventas_b_mes12[[#This Row],[CUIT]]="","-",VLOOKUP(ventas_b_mes12[[#This Row],[CUIT]],Lista_CUIT[#All],2,0)),"CUIT NO CARGADO")</f>
        <v>-</v>
      </c>
      <c r="H2125" s="96">
        <f>ventas_b_mes12[[#This Row],[TOTAL]]/1.21</f>
        <v>2900.8264462809916</v>
      </c>
      <c r="I2125" s="60">
        <f>ventas_b_mes12[[#This Row],[IMPORTE NETO]]*0.21</f>
        <v>609.17355371900817</v>
      </c>
      <c r="J2125" s="229"/>
      <c r="K2125" s="229"/>
      <c r="L2125" s="229">
        <v>3510</v>
      </c>
      <c r="M2125" s="55"/>
    </row>
    <row r="2126" spans="2:13" x14ac:dyDescent="0.3">
      <c r="B2126" s="223" t="s">
        <v>2485</v>
      </c>
      <c r="C2126" s="37">
        <v>6</v>
      </c>
      <c r="D2126" s="225">
        <v>10</v>
      </c>
      <c r="E2126" s="226">
        <v>44163</v>
      </c>
      <c r="F2126" s="227"/>
      <c r="G2126" s="1" t="str">
        <f>IFERROR(IF(ventas_b_mes12[[#This Row],[CUIT]]="","-",VLOOKUP(ventas_b_mes12[[#This Row],[CUIT]],Lista_CUIT[#All],2,0)),"CUIT NO CARGADO")</f>
        <v>-</v>
      </c>
      <c r="H2126" s="96">
        <f>ventas_b_mes12[[#This Row],[TOTAL]]/1.21</f>
        <v>3570.2479338842977</v>
      </c>
      <c r="I2126" s="60">
        <f>ventas_b_mes12[[#This Row],[IMPORTE NETO]]*0.21</f>
        <v>749.75206611570252</v>
      </c>
      <c r="J2126" s="229"/>
      <c r="K2126" s="229"/>
      <c r="L2126" s="229">
        <v>4320</v>
      </c>
      <c r="M2126" s="55"/>
    </row>
    <row r="2127" spans="2:13" x14ac:dyDescent="0.3">
      <c r="B2127" s="223" t="s">
        <v>2485</v>
      </c>
      <c r="C2127" s="37">
        <v>6</v>
      </c>
      <c r="D2127" s="225">
        <v>11</v>
      </c>
      <c r="E2127" s="226">
        <v>30304</v>
      </c>
      <c r="F2127" s="227"/>
      <c r="G2127" s="1" t="str">
        <f>IFERROR(IF(ventas_b_mes12[[#This Row],[CUIT]]="","-",VLOOKUP(ventas_b_mes12[[#This Row],[CUIT]],Lista_CUIT[#All],2,0)),"CUIT NO CARGADO")</f>
        <v>-</v>
      </c>
      <c r="H2127" s="96">
        <f>ventas_b_mes12[[#This Row],[TOTAL]]/1.21</f>
        <v>4942.1487603305786</v>
      </c>
      <c r="I2127" s="60">
        <f>ventas_b_mes12[[#This Row],[IMPORTE NETO]]*0.21</f>
        <v>1037.8512396694214</v>
      </c>
      <c r="J2127" s="229"/>
      <c r="K2127" s="229"/>
      <c r="L2127" s="229">
        <v>5980</v>
      </c>
      <c r="M2127" s="55"/>
    </row>
    <row r="2128" spans="2:13" x14ac:dyDescent="0.3">
      <c r="B2128" s="223" t="s">
        <v>2485</v>
      </c>
      <c r="C2128" s="37">
        <v>6</v>
      </c>
      <c r="D2128" s="225">
        <v>10</v>
      </c>
      <c r="E2128" s="226">
        <v>44138</v>
      </c>
      <c r="F2128" s="227"/>
      <c r="G2128" s="1" t="str">
        <f>IFERROR(IF(ventas_b_mes12[[#This Row],[CUIT]]="","-",VLOOKUP(ventas_b_mes12[[#This Row],[CUIT]],Lista_CUIT[#All],2,0)),"CUIT NO CARGADO")</f>
        <v>-</v>
      </c>
      <c r="H2128" s="96">
        <f>ventas_b_mes12[[#This Row],[TOTAL]]/1.21</f>
        <v>8531.4049586776855</v>
      </c>
      <c r="I2128" s="60">
        <f>ventas_b_mes12[[#This Row],[IMPORTE NETO]]*0.21</f>
        <v>1791.5950413223138</v>
      </c>
      <c r="J2128" s="229"/>
      <c r="K2128" s="229"/>
      <c r="L2128" s="229">
        <v>10323</v>
      </c>
      <c r="M2128" s="55"/>
    </row>
    <row r="2129" spans="2:13" x14ac:dyDescent="0.3">
      <c r="B2129" s="223" t="s">
        <v>2485</v>
      </c>
      <c r="C2129" s="37">
        <v>6</v>
      </c>
      <c r="D2129" s="225">
        <v>12</v>
      </c>
      <c r="E2129" s="226">
        <v>22775</v>
      </c>
      <c r="F2129" s="227"/>
      <c r="G2129" s="1" t="str">
        <f>IFERROR(IF(ventas_b_mes12[[#This Row],[CUIT]]="","-",VLOOKUP(ventas_b_mes12[[#This Row],[CUIT]],Lista_CUIT[#All],2,0)),"CUIT NO CARGADO")</f>
        <v>-</v>
      </c>
      <c r="H2129" s="96">
        <f>ventas_b_mes12[[#This Row],[TOTAL]]/1.21</f>
        <v>10330.603305785125</v>
      </c>
      <c r="I2129" s="60">
        <f>ventas_b_mes12[[#This Row],[IMPORTE NETO]]*0.21</f>
        <v>2169.4266942148761</v>
      </c>
      <c r="J2129" s="229"/>
      <c r="K2129" s="229"/>
      <c r="L2129" s="229">
        <v>12500.03</v>
      </c>
      <c r="M2129" s="55"/>
    </row>
    <row r="2130" spans="2:13" x14ac:dyDescent="0.3">
      <c r="B2130" s="223" t="s">
        <v>2485</v>
      </c>
      <c r="C2130" s="37">
        <v>6</v>
      </c>
      <c r="D2130" s="225">
        <v>10</v>
      </c>
      <c r="E2130" s="226">
        <v>44173</v>
      </c>
      <c r="F2130" s="227"/>
      <c r="G2130" s="1" t="str">
        <f>IFERROR(IF(ventas_b_mes12[[#This Row],[CUIT]]="","-",VLOOKUP(ventas_b_mes12[[#This Row],[CUIT]],Lista_CUIT[#All],2,0)),"CUIT NO CARGADO")</f>
        <v>-</v>
      </c>
      <c r="H2130" s="96">
        <f>ventas_b_mes12[[#This Row],[TOTAL]]/1.21</f>
        <v>2603.3057851239669</v>
      </c>
      <c r="I2130" s="60">
        <f>ventas_b_mes12[[#This Row],[IMPORTE NETO]]*0.21</f>
        <v>546.69421487603302</v>
      </c>
      <c r="J2130" s="229"/>
      <c r="K2130" s="229"/>
      <c r="L2130" s="229">
        <v>3150</v>
      </c>
      <c r="M2130" s="55"/>
    </row>
    <row r="2131" spans="2:13" x14ac:dyDescent="0.3">
      <c r="B2131" s="223" t="s">
        <v>2485</v>
      </c>
      <c r="C2131" s="37">
        <v>6</v>
      </c>
      <c r="D2131" s="225">
        <v>12</v>
      </c>
      <c r="E2131" s="226">
        <v>22773</v>
      </c>
      <c r="F2131" s="227"/>
      <c r="G2131" s="1" t="str">
        <f>IFERROR(IF(ventas_b_mes12[[#This Row],[CUIT]]="","-",VLOOKUP(ventas_b_mes12[[#This Row],[CUIT]],Lista_CUIT[#All],2,0)),"CUIT NO CARGADO")</f>
        <v>-</v>
      </c>
      <c r="H2131" s="96">
        <f>ventas_b_mes12[[#This Row],[TOTAL]]/1.21</f>
        <v>2148.7603305785124</v>
      </c>
      <c r="I2131" s="60">
        <f>ventas_b_mes12[[#This Row],[IMPORTE NETO]]*0.21</f>
        <v>451.23966942148758</v>
      </c>
      <c r="J2131" s="229"/>
      <c r="K2131" s="229"/>
      <c r="L2131" s="229">
        <v>2600</v>
      </c>
      <c r="M2131" s="55"/>
    </row>
    <row r="2132" spans="2:13" x14ac:dyDescent="0.3">
      <c r="B2132" s="223" t="s">
        <v>2485</v>
      </c>
      <c r="C2132" s="37">
        <v>6</v>
      </c>
      <c r="D2132" s="225">
        <v>10</v>
      </c>
      <c r="E2132" s="226">
        <v>44156</v>
      </c>
      <c r="F2132" s="227"/>
      <c r="G2132" s="1" t="str">
        <f>IFERROR(IF(ventas_b_mes12[[#This Row],[CUIT]]="","-",VLOOKUP(ventas_b_mes12[[#This Row],[CUIT]],Lista_CUIT[#All],2,0)),"CUIT NO CARGADO")</f>
        <v>-</v>
      </c>
      <c r="H2132" s="96">
        <f>ventas_b_mes12[[#This Row],[TOTAL]]/1.21</f>
        <v>425.61983471074382</v>
      </c>
      <c r="I2132" s="60">
        <f>ventas_b_mes12[[#This Row],[IMPORTE NETO]]*0.21</f>
        <v>89.380165289256198</v>
      </c>
      <c r="J2132" s="229"/>
      <c r="K2132" s="229"/>
      <c r="L2132" s="229">
        <v>515</v>
      </c>
      <c r="M2132" s="55"/>
    </row>
    <row r="2133" spans="2:13" x14ac:dyDescent="0.3">
      <c r="B2133" s="223" t="s">
        <v>2485</v>
      </c>
      <c r="C2133" s="37">
        <v>6</v>
      </c>
      <c r="D2133" s="225">
        <v>10</v>
      </c>
      <c r="E2133" s="226">
        <v>44157</v>
      </c>
      <c r="F2133" s="227"/>
      <c r="G2133" s="1" t="str">
        <f>IFERROR(IF(ventas_b_mes12[[#This Row],[CUIT]]="","-",VLOOKUP(ventas_b_mes12[[#This Row],[CUIT]],Lista_CUIT[#All],2,0)),"CUIT NO CARGADO")</f>
        <v>-</v>
      </c>
      <c r="H2133" s="96">
        <f>ventas_b_mes12[[#This Row],[TOTAL]]/1.21</f>
        <v>4074.3801652892562</v>
      </c>
      <c r="I2133" s="60">
        <f>ventas_b_mes12[[#This Row],[IMPORTE NETO]]*0.21</f>
        <v>855.61983471074382</v>
      </c>
      <c r="J2133" s="229"/>
      <c r="K2133" s="229"/>
      <c r="L2133" s="229">
        <v>4930</v>
      </c>
      <c r="M2133" s="55"/>
    </row>
    <row r="2134" spans="2:13" x14ac:dyDescent="0.3">
      <c r="B2134" s="223" t="s">
        <v>2485</v>
      </c>
      <c r="C2134" s="37">
        <v>6</v>
      </c>
      <c r="D2134" s="225">
        <v>11</v>
      </c>
      <c r="E2134" s="226">
        <v>30302</v>
      </c>
      <c r="F2134" s="227"/>
      <c r="G2134" s="1" t="str">
        <f>IFERROR(IF(ventas_b_mes12[[#This Row],[CUIT]]="","-",VLOOKUP(ventas_b_mes12[[#This Row],[CUIT]],Lista_CUIT[#All],2,0)),"CUIT NO CARGADO")</f>
        <v>-</v>
      </c>
      <c r="H2134" s="96">
        <f>ventas_b_mes12[[#This Row],[TOTAL]]/1.21</f>
        <v>91487.727272727265</v>
      </c>
      <c r="I2134" s="60">
        <f>ventas_b_mes12[[#This Row],[IMPORTE NETO]]*0.21</f>
        <v>19212.422727272726</v>
      </c>
      <c r="J2134" s="229"/>
      <c r="K2134" s="229"/>
      <c r="L2134" s="229">
        <v>110700.15</v>
      </c>
      <c r="M2134" s="55"/>
    </row>
    <row r="2135" spans="2:13" x14ac:dyDescent="0.3">
      <c r="B2135" s="223" t="s">
        <v>2485</v>
      </c>
      <c r="C2135" s="37">
        <v>6</v>
      </c>
      <c r="D2135" s="225">
        <v>10</v>
      </c>
      <c r="E2135" s="226">
        <v>44159</v>
      </c>
      <c r="F2135" s="227"/>
      <c r="G2135" s="1" t="str">
        <f>IFERROR(IF(ventas_b_mes12[[#This Row],[CUIT]]="","-",VLOOKUP(ventas_b_mes12[[#This Row],[CUIT]],Lista_CUIT[#All],2,0)),"CUIT NO CARGADO")</f>
        <v>-</v>
      </c>
      <c r="H2135" s="96">
        <f>ventas_b_mes12[[#This Row],[TOTAL]]/1.21</f>
        <v>4239.6694214876034</v>
      </c>
      <c r="I2135" s="60">
        <f>ventas_b_mes12[[#This Row],[IMPORTE NETO]]*0.21</f>
        <v>890.33057851239664</v>
      </c>
      <c r="J2135" s="229"/>
      <c r="K2135" s="229"/>
      <c r="L2135" s="229">
        <v>5130</v>
      </c>
      <c r="M2135" s="55"/>
    </row>
    <row r="2136" spans="2:13" x14ac:dyDescent="0.3">
      <c r="B2136" s="223" t="s">
        <v>2485</v>
      </c>
      <c r="C2136" s="37">
        <v>6</v>
      </c>
      <c r="D2136" s="225">
        <v>12</v>
      </c>
      <c r="E2136" s="226">
        <v>22756</v>
      </c>
      <c r="F2136" s="227"/>
      <c r="G2136" s="1" t="str">
        <f>IFERROR(IF(ventas_b_mes12[[#This Row],[CUIT]]="","-",VLOOKUP(ventas_b_mes12[[#This Row],[CUIT]],Lista_CUIT[#All],2,0)),"CUIT NO CARGADO")</f>
        <v>-</v>
      </c>
      <c r="H2136" s="96">
        <f>ventas_b_mes12[[#This Row],[TOTAL]]/1.21</f>
        <v>6363.636363636364</v>
      </c>
      <c r="I2136" s="60">
        <f>ventas_b_mes12[[#This Row],[IMPORTE NETO]]*0.21</f>
        <v>1336.3636363636365</v>
      </c>
      <c r="J2136" s="229"/>
      <c r="K2136" s="229"/>
      <c r="L2136" s="229">
        <v>7700</v>
      </c>
      <c r="M2136" s="55"/>
    </row>
    <row r="2137" spans="2:13" x14ac:dyDescent="0.3">
      <c r="B2137" s="223" t="s">
        <v>2485</v>
      </c>
      <c r="C2137" s="37">
        <v>6</v>
      </c>
      <c r="D2137" s="225">
        <v>11</v>
      </c>
      <c r="E2137" s="226">
        <v>30309</v>
      </c>
      <c r="F2137" s="227"/>
      <c r="G2137" s="1" t="str">
        <f>IFERROR(IF(ventas_b_mes12[[#This Row],[CUIT]]="","-",VLOOKUP(ventas_b_mes12[[#This Row],[CUIT]],Lista_CUIT[#All],2,0)),"CUIT NO CARGADO")</f>
        <v>-</v>
      </c>
      <c r="H2137" s="96">
        <f>ventas_b_mes12[[#This Row],[TOTAL]]/1.21</f>
        <v>2892.5619834710747</v>
      </c>
      <c r="I2137" s="60">
        <f>ventas_b_mes12[[#This Row],[IMPORTE NETO]]*0.21</f>
        <v>607.43801652892569</v>
      </c>
      <c r="J2137" s="229"/>
      <c r="K2137" s="229"/>
      <c r="L2137" s="229">
        <v>3500</v>
      </c>
      <c r="M2137" s="55"/>
    </row>
    <row r="2138" spans="2:13" x14ac:dyDescent="0.3">
      <c r="B2138" s="223" t="s">
        <v>2485</v>
      </c>
      <c r="C2138" s="37">
        <v>6</v>
      </c>
      <c r="D2138" s="225">
        <v>10</v>
      </c>
      <c r="E2138" s="226">
        <v>44152</v>
      </c>
      <c r="F2138" s="227"/>
      <c r="G2138" s="1" t="str">
        <f>IFERROR(IF(ventas_b_mes12[[#This Row],[CUIT]]="","-",VLOOKUP(ventas_b_mes12[[#This Row],[CUIT]],Lista_CUIT[#All],2,0)),"CUIT NO CARGADO")</f>
        <v>-</v>
      </c>
      <c r="H2138" s="96">
        <f>ventas_b_mes12[[#This Row],[TOTAL]]/1.21</f>
        <v>11872.190082644629</v>
      </c>
      <c r="I2138" s="60">
        <f>ventas_b_mes12[[#This Row],[IMPORTE NETO]]*0.21</f>
        <v>2493.1599173553718</v>
      </c>
      <c r="J2138" s="229"/>
      <c r="K2138" s="229"/>
      <c r="L2138" s="229">
        <v>14365.35</v>
      </c>
      <c r="M2138" s="55"/>
    </row>
    <row r="2139" spans="2:13" x14ac:dyDescent="0.3">
      <c r="B2139" s="223" t="s">
        <v>2485</v>
      </c>
      <c r="C2139" s="37">
        <v>6</v>
      </c>
      <c r="D2139" s="225">
        <v>10</v>
      </c>
      <c r="E2139" s="226">
        <v>44142</v>
      </c>
      <c r="F2139" s="227"/>
      <c r="G2139" s="1" t="str">
        <f>IFERROR(IF(ventas_b_mes12[[#This Row],[CUIT]]="","-",VLOOKUP(ventas_b_mes12[[#This Row],[CUIT]],Lista_CUIT[#All],2,0)),"CUIT NO CARGADO")</f>
        <v>-</v>
      </c>
      <c r="H2139" s="96">
        <f>ventas_b_mes12[[#This Row],[TOTAL]]/1.21</f>
        <v>26276.867768595042</v>
      </c>
      <c r="I2139" s="60">
        <f>ventas_b_mes12[[#This Row],[IMPORTE NETO]]*0.21</f>
        <v>5518.1422314049587</v>
      </c>
      <c r="J2139" s="229"/>
      <c r="K2139" s="229"/>
      <c r="L2139" s="229">
        <v>31795.01</v>
      </c>
      <c r="M2139" s="55"/>
    </row>
    <row r="2140" spans="2:13" x14ac:dyDescent="0.3">
      <c r="B2140" s="223" t="s">
        <v>2485</v>
      </c>
      <c r="C2140" s="37">
        <v>6</v>
      </c>
      <c r="D2140" s="225">
        <v>10</v>
      </c>
      <c r="E2140" s="226">
        <v>44144</v>
      </c>
      <c r="F2140" s="227"/>
      <c r="G2140" s="1" t="str">
        <f>IFERROR(IF(ventas_b_mes12[[#This Row],[CUIT]]="","-",VLOOKUP(ventas_b_mes12[[#This Row],[CUIT]],Lista_CUIT[#All],2,0)),"CUIT NO CARGADO")</f>
        <v>-</v>
      </c>
      <c r="H2140" s="96">
        <f>ventas_b_mes12[[#This Row],[TOTAL]]/1.21</f>
        <v>2921.0743801652893</v>
      </c>
      <c r="I2140" s="60">
        <f>ventas_b_mes12[[#This Row],[IMPORTE NETO]]*0.21</f>
        <v>613.42561983471069</v>
      </c>
      <c r="J2140" s="229"/>
      <c r="K2140" s="229"/>
      <c r="L2140" s="229">
        <v>3534.5</v>
      </c>
      <c r="M2140" s="55"/>
    </row>
    <row r="2141" spans="2:13" x14ac:dyDescent="0.3">
      <c r="B2141" s="223" t="s">
        <v>2485</v>
      </c>
      <c r="C2141" s="37">
        <v>6</v>
      </c>
      <c r="D2141" s="225">
        <v>10</v>
      </c>
      <c r="E2141" s="226">
        <v>44143</v>
      </c>
      <c r="F2141" s="227"/>
      <c r="G2141" s="1" t="str">
        <f>IFERROR(IF(ventas_b_mes12[[#This Row],[CUIT]]="","-",VLOOKUP(ventas_b_mes12[[#This Row],[CUIT]],Lista_CUIT[#All],2,0)),"CUIT NO CARGADO")</f>
        <v>-</v>
      </c>
      <c r="H2141" s="96">
        <f>ventas_b_mes12[[#This Row],[TOTAL]]/1.21</f>
        <v>18512.396694214876</v>
      </c>
      <c r="I2141" s="60">
        <f>ventas_b_mes12[[#This Row],[IMPORTE NETO]]*0.21</f>
        <v>3887.6033057851237</v>
      </c>
      <c r="J2141" s="229"/>
      <c r="K2141" s="229"/>
      <c r="L2141" s="229">
        <v>22400</v>
      </c>
      <c r="M2141" s="55"/>
    </row>
    <row r="2142" spans="2:13" x14ac:dyDescent="0.3">
      <c r="B2142" s="223" t="s">
        <v>2485</v>
      </c>
      <c r="C2142" s="37">
        <v>6</v>
      </c>
      <c r="D2142" s="225">
        <v>13</v>
      </c>
      <c r="E2142" s="226">
        <v>26940</v>
      </c>
      <c r="F2142" s="227"/>
      <c r="G2142" s="1" t="str">
        <f>IFERROR(IF(ventas_b_mes12[[#This Row],[CUIT]]="","-",VLOOKUP(ventas_b_mes12[[#This Row],[CUIT]],Lista_CUIT[#All],2,0)),"CUIT NO CARGADO")</f>
        <v>-</v>
      </c>
      <c r="H2142" s="96">
        <f>ventas_b_mes12[[#This Row],[TOTAL]]/1.21</f>
        <v>8794.6280991735548</v>
      </c>
      <c r="I2142" s="60">
        <f>ventas_b_mes12[[#This Row],[IMPORTE NETO]]*0.21</f>
        <v>1846.8719008264463</v>
      </c>
      <c r="J2142" s="229"/>
      <c r="K2142" s="229"/>
      <c r="L2142" s="229">
        <v>10641.5</v>
      </c>
      <c r="M2142" s="55"/>
    </row>
    <row r="2143" spans="2:13" x14ac:dyDescent="0.3">
      <c r="B2143" s="223" t="s">
        <v>2485</v>
      </c>
      <c r="C2143" s="37">
        <v>6</v>
      </c>
      <c r="D2143" s="225">
        <v>13</v>
      </c>
      <c r="E2143" s="226">
        <v>26939</v>
      </c>
      <c r="F2143" s="227"/>
      <c r="G2143" s="1" t="str">
        <f>IFERROR(IF(ventas_b_mes12[[#This Row],[CUIT]]="","-",VLOOKUP(ventas_b_mes12[[#This Row],[CUIT]],Lista_CUIT[#All],2,0)),"CUIT NO CARGADO")</f>
        <v>-</v>
      </c>
      <c r="H2143" s="96">
        <f>ventas_b_mes12[[#This Row],[TOTAL]]/1.21</f>
        <v>1735.5371900826447</v>
      </c>
      <c r="I2143" s="60">
        <f>ventas_b_mes12[[#This Row],[IMPORTE NETO]]*0.21</f>
        <v>364.46280991735534</v>
      </c>
      <c r="J2143" s="229"/>
      <c r="K2143" s="229"/>
      <c r="L2143" s="229">
        <v>2100</v>
      </c>
      <c r="M2143" s="55"/>
    </row>
    <row r="2144" spans="2:13" x14ac:dyDescent="0.3">
      <c r="B2144" s="223" t="s">
        <v>2485</v>
      </c>
      <c r="C2144" s="37">
        <v>6</v>
      </c>
      <c r="D2144" s="225">
        <v>10</v>
      </c>
      <c r="E2144" s="226">
        <v>44148</v>
      </c>
      <c r="F2144" s="227"/>
      <c r="G2144" s="1" t="str">
        <f>IFERROR(IF(ventas_b_mes12[[#This Row],[CUIT]]="","-",VLOOKUP(ventas_b_mes12[[#This Row],[CUIT]],Lista_CUIT[#All],2,0)),"CUIT NO CARGADO")</f>
        <v>-</v>
      </c>
      <c r="H2144" s="96">
        <f>ventas_b_mes12[[#This Row],[TOTAL]]/1.21</f>
        <v>1322.3140495867769</v>
      </c>
      <c r="I2144" s="60">
        <f>ventas_b_mes12[[#This Row],[IMPORTE NETO]]*0.21</f>
        <v>277.68595041322317</v>
      </c>
      <c r="J2144" s="229"/>
      <c r="K2144" s="229"/>
      <c r="L2144" s="229">
        <v>1600</v>
      </c>
      <c r="M2144" s="55"/>
    </row>
    <row r="2145" spans="2:13" x14ac:dyDescent="0.3">
      <c r="B2145" s="223" t="s">
        <v>2485</v>
      </c>
      <c r="C2145" s="37">
        <v>6</v>
      </c>
      <c r="D2145" s="225">
        <v>11</v>
      </c>
      <c r="E2145" s="226">
        <v>30306</v>
      </c>
      <c r="F2145" s="227"/>
      <c r="G2145" s="1" t="str">
        <f>IFERROR(IF(ventas_b_mes12[[#This Row],[CUIT]]="","-",VLOOKUP(ventas_b_mes12[[#This Row],[CUIT]],Lista_CUIT[#All],2,0)),"CUIT NO CARGADO")</f>
        <v>-</v>
      </c>
      <c r="H2145" s="96">
        <f>ventas_b_mes12[[#This Row],[TOTAL]]/1.21</f>
        <v>2066.1157024793388</v>
      </c>
      <c r="I2145" s="60">
        <f>ventas_b_mes12[[#This Row],[IMPORTE NETO]]*0.21</f>
        <v>433.88429752066111</v>
      </c>
      <c r="J2145" s="229"/>
      <c r="K2145" s="229"/>
      <c r="L2145" s="229">
        <v>2500</v>
      </c>
      <c r="M2145" s="55"/>
    </row>
    <row r="2146" spans="2:13" x14ac:dyDescent="0.3">
      <c r="B2146" s="223" t="s">
        <v>2485</v>
      </c>
      <c r="C2146" s="37">
        <v>6</v>
      </c>
      <c r="D2146" s="225">
        <v>10</v>
      </c>
      <c r="E2146" s="226">
        <v>44175</v>
      </c>
      <c r="F2146" s="227"/>
      <c r="G2146" s="1" t="str">
        <f>IFERROR(IF(ventas_b_mes12[[#This Row],[CUIT]]="","-",VLOOKUP(ventas_b_mes12[[#This Row],[CUIT]],Lista_CUIT[#All],2,0)),"CUIT NO CARGADO")</f>
        <v>-</v>
      </c>
      <c r="H2146" s="96">
        <f>ventas_b_mes12[[#This Row],[TOTAL]]/1.21</f>
        <v>13462.809917355373</v>
      </c>
      <c r="I2146" s="60">
        <f>ventas_b_mes12[[#This Row],[IMPORTE NETO]]*0.21</f>
        <v>2827.1900826446281</v>
      </c>
      <c r="J2146" s="229"/>
      <c r="K2146" s="229"/>
      <c r="L2146" s="229">
        <v>16290</v>
      </c>
      <c r="M2146" s="55"/>
    </row>
    <row r="2147" spans="2:13" x14ac:dyDescent="0.3">
      <c r="B2147" s="223" t="s">
        <v>2485</v>
      </c>
      <c r="C2147" s="37">
        <v>6</v>
      </c>
      <c r="D2147" s="225">
        <v>10</v>
      </c>
      <c r="E2147" s="226">
        <v>44153</v>
      </c>
      <c r="F2147" s="227"/>
      <c r="G2147" s="1" t="str">
        <f>IFERROR(IF(ventas_b_mes12[[#This Row],[CUIT]]="","-",VLOOKUP(ventas_b_mes12[[#This Row],[CUIT]],Lista_CUIT[#All],2,0)),"CUIT NO CARGADO")</f>
        <v>-</v>
      </c>
      <c r="H2147" s="96">
        <f>ventas_b_mes12[[#This Row],[TOTAL]]/1.21</f>
        <v>6983.4710743801652</v>
      </c>
      <c r="I2147" s="60">
        <f>ventas_b_mes12[[#This Row],[IMPORTE NETO]]*0.21</f>
        <v>1466.5289256198346</v>
      </c>
      <c r="J2147" s="229"/>
      <c r="K2147" s="229"/>
      <c r="L2147" s="229">
        <v>8450</v>
      </c>
      <c r="M2147" s="55"/>
    </row>
    <row r="2148" spans="2:13" x14ac:dyDescent="0.3">
      <c r="B2148" s="223" t="s">
        <v>2485</v>
      </c>
      <c r="C2148" s="37">
        <v>6</v>
      </c>
      <c r="D2148" s="225">
        <v>13</v>
      </c>
      <c r="E2148" s="226">
        <v>26942</v>
      </c>
      <c r="F2148" s="227"/>
      <c r="G2148" s="1" t="str">
        <f>IFERROR(IF(ventas_b_mes12[[#This Row],[CUIT]]="","-",VLOOKUP(ventas_b_mes12[[#This Row],[CUIT]],Lista_CUIT[#All],2,0)),"CUIT NO CARGADO")</f>
        <v>-</v>
      </c>
      <c r="H2148" s="96">
        <f>ventas_b_mes12[[#This Row],[TOTAL]]/1.21</f>
        <v>4863.6280991735539</v>
      </c>
      <c r="I2148" s="60">
        <f>ventas_b_mes12[[#This Row],[IMPORTE NETO]]*0.21</f>
        <v>1021.3619008264462</v>
      </c>
      <c r="J2148" s="229"/>
      <c r="K2148" s="229"/>
      <c r="L2148" s="229">
        <v>5884.99</v>
      </c>
      <c r="M2148" s="55"/>
    </row>
    <row r="2149" spans="2:13" x14ac:dyDescent="0.3">
      <c r="B2149" s="223" t="s">
        <v>2485</v>
      </c>
      <c r="C2149" s="37">
        <v>6</v>
      </c>
      <c r="D2149" s="225">
        <v>15</v>
      </c>
      <c r="E2149" s="226">
        <v>7343</v>
      </c>
      <c r="F2149" s="227"/>
      <c r="G2149" s="1" t="str">
        <f>IFERROR(IF(ventas_b_mes12[[#This Row],[CUIT]]="","-",VLOOKUP(ventas_b_mes12[[#This Row],[CUIT]],Lista_CUIT[#All],2,0)),"CUIT NO CARGADO")</f>
        <v>-</v>
      </c>
      <c r="H2149" s="96">
        <f>ventas_b_mes12[[#This Row],[TOTAL]]/1.21</f>
        <v>3842.9752066115702</v>
      </c>
      <c r="I2149" s="60">
        <f>ventas_b_mes12[[#This Row],[IMPORTE NETO]]*0.21</f>
        <v>807.02479338842977</v>
      </c>
      <c r="J2149" s="229"/>
      <c r="K2149" s="229"/>
      <c r="L2149" s="229">
        <v>4650</v>
      </c>
      <c r="M2149" s="55"/>
    </row>
    <row r="2150" spans="2:13" x14ac:dyDescent="0.3">
      <c r="B2150" s="223" t="s">
        <v>2485</v>
      </c>
      <c r="C2150" s="37">
        <v>6</v>
      </c>
      <c r="D2150" s="225">
        <v>13</v>
      </c>
      <c r="E2150" s="226">
        <v>26938</v>
      </c>
      <c r="F2150" s="227"/>
      <c r="G2150" s="1" t="str">
        <f>IFERROR(IF(ventas_b_mes12[[#This Row],[CUIT]]="","-",VLOOKUP(ventas_b_mes12[[#This Row],[CUIT]],Lista_CUIT[#All],2,0)),"CUIT NO CARGADO")</f>
        <v>-</v>
      </c>
      <c r="H2150" s="96">
        <f>ventas_b_mes12[[#This Row],[TOTAL]]/1.21</f>
        <v>5008.2727272727279</v>
      </c>
      <c r="I2150" s="60">
        <f>ventas_b_mes12[[#This Row],[IMPORTE NETO]]*0.21</f>
        <v>1051.7372727272727</v>
      </c>
      <c r="J2150" s="229"/>
      <c r="K2150" s="229"/>
      <c r="L2150" s="229">
        <v>6060.01</v>
      </c>
      <c r="M2150" s="55"/>
    </row>
    <row r="2151" spans="2:13" x14ac:dyDescent="0.3">
      <c r="B2151" s="223" t="s">
        <v>2485</v>
      </c>
      <c r="C2151" s="37">
        <v>6</v>
      </c>
      <c r="D2151" s="225">
        <v>11</v>
      </c>
      <c r="E2151" s="226">
        <v>30301</v>
      </c>
      <c r="F2151" s="227"/>
      <c r="G2151" s="1" t="str">
        <f>IFERROR(IF(ventas_b_mes12[[#This Row],[CUIT]]="","-",VLOOKUP(ventas_b_mes12[[#This Row],[CUIT]],Lista_CUIT[#All],2,0)),"CUIT NO CARGADO")</f>
        <v>-</v>
      </c>
      <c r="H2151" s="96">
        <f>ventas_b_mes12[[#This Row],[TOTAL]]/1.21</f>
        <v>12809.909090909092</v>
      </c>
      <c r="I2151" s="60">
        <f>ventas_b_mes12[[#This Row],[IMPORTE NETO]]*0.21</f>
        <v>2690.0809090909092</v>
      </c>
      <c r="J2151" s="229"/>
      <c r="K2151" s="229"/>
      <c r="L2151" s="229">
        <v>15499.99</v>
      </c>
      <c r="M2151" s="55"/>
    </row>
    <row r="2152" spans="2:13" x14ac:dyDescent="0.3">
      <c r="B2152" s="223" t="s">
        <v>2485</v>
      </c>
      <c r="C2152" s="37">
        <v>6</v>
      </c>
      <c r="D2152" s="225">
        <v>10</v>
      </c>
      <c r="E2152" s="226">
        <v>44172</v>
      </c>
      <c r="F2152" s="227"/>
      <c r="G2152" s="1" t="str">
        <f>IFERROR(IF(ventas_b_mes12[[#This Row],[CUIT]]="","-",VLOOKUP(ventas_b_mes12[[#This Row],[CUIT]],Lista_CUIT[#All],2,0)),"CUIT NO CARGADO")</f>
        <v>-</v>
      </c>
      <c r="H2152" s="96">
        <f>ventas_b_mes12[[#This Row],[TOTAL]]/1.21</f>
        <v>5371.9008264462809</v>
      </c>
      <c r="I2152" s="60">
        <f>ventas_b_mes12[[#This Row],[IMPORTE NETO]]*0.21</f>
        <v>1128.0991735537189</v>
      </c>
      <c r="J2152" s="229"/>
      <c r="K2152" s="229"/>
      <c r="L2152" s="229">
        <v>6500</v>
      </c>
      <c r="M2152" s="55"/>
    </row>
    <row r="2153" spans="2:13" x14ac:dyDescent="0.3">
      <c r="B2153" s="223" t="s">
        <v>2485</v>
      </c>
      <c r="C2153" s="37">
        <v>6</v>
      </c>
      <c r="D2153" s="225">
        <v>10</v>
      </c>
      <c r="E2153" s="226">
        <v>44171</v>
      </c>
      <c r="F2153" s="227"/>
      <c r="G2153" s="1" t="str">
        <f>IFERROR(IF(ventas_b_mes12[[#This Row],[CUIT]]="","-",VLOOKUP(ventas_b_mes12[[#This Row],[CUIT]],Lista_CUIT[#All],2,0)),"CUIT NO CARGADO")</f>
        <v>-</v>
      </c>
      <c r="H2153" s="96">
        <f>ventas_b_mes12[[#This Row],[TOTAL]]/1.21</f>
        <v>23467.768595041322</v>
      </c>
      <c r="I2153" s="60">
        <f>ventas_b_mes12[[#This Row],[IMPORTE NETO]]*0.21</f>
        <v>4928.2314049586776</v>
      </c>
      <c r="J2153" s="229"/>
      <c r="K2153" s="229"/>
      <c r="L2153" s="229">
        <v>28396</v>
      </c>
      <c r="M2153" s="55"/>
    </row>
    <row r="2154" spans="2:13" x14ac:dyDescent="0.3">
      <c r="B2154" s="223" t="s">
        <v>2485</v>
      </c>
      <c r="C2154" s="37">
        <v>6</v>
      </c>
      <c r="D2154" s="225">
        <v>10</v>
      </c>
      <c r="E2154" s="226">
        <v>44170</v>
      </c>
      <c r="F2154" s="227"/>
      <c r="G2154" s="1" t="str">
        <f>IFERROR(IF(ventas_b_mes12[[#This Row],[CUIT]]="","-",VLOOKUP(ventas_b_mes12[[#This Row],[CUIT]],Lista_CUIT[#All],2,0)),"CUIT NO CARGADO")</f>
        <v>-</v>
      </c>
      <c r="H2154" s="96">
        <f>ventas_b_mes12[[#This Row],[TOTAL]]/1.21</f>
        <v>27257.024793388431</v>
      </c>
      <c r="I2154" s="60">
        <f>ventas_b_mes12[[#This Row],[IMPORTE NETO]]*0.21</f>
        <v>5723.9752066115707</v>
      </c>
      <c r="J2154" s="229"/>
      <c r="K2154" s="229"/>
      <c r="L2154" s="229">
        <v>32981</v>
      </c>
      <c r="M2154" s="55"/>
    </row>
    <row r="2155" spans="2:13" x14ac:dyDescent="0.3">
      <c r="B2155" s="223" t="s">
        <v>2485</v>
      </c>
      <c r="C2155" s="37">
        <v>6</v>
      </c>
      <c r="D2155" s="225">
        <v>12</v>
      </c>
      <c r="E2155" s="226">
        <v>22759</v>
      </c>
      <c r="F2155" s="227"/>
      <c r="G2155" s="1" t="str">
        <f>IFERROR(IF(ventas_b_mes12[[#This Row],[CUIT]]="","-",VLOOKUP(ventas_b_mes12[[#This Row],[CUIT]],Lista_CUIT[#All],2,0)),"CUIT NO CARGADO")</f>
        <v>-</v>
      </c>
      <c r="H2155" s="96">
        <f>ventas_b_mes12[[#This Row],[TOTAL]]/1.21</f>
        <v>10743.809917355373</v>
      </c>
      <c r="I2155" s="60">
        <f>ventas_b_mes12[[#This Row],[IMPORTE NETO]]*0.21</f>
        <v>2256.2000826446283</v>
      </c>
      <c r="J2155" s="229"/>
      <c r="K2155" s="229"/>
      <c r="L2155" s="229">
        <v>13000.01</v>
      </c>
      <c r="M2155" s="55"/>
    </row>
    <row r="2156" spans="2:13" x14ac:dyDescent="0.3">
      <c r="B2156" s="223" t="s">
        <v>2485</v>
      </c>
      <c r="C2156" s="37">
        <v>6</v>
      </c>
      <c r="D2156" s="225">
        <v>12</v>
      </c>
      <c r="E2156" s="226">
        <v>22761</v>
      </c>
      <c r="F2156" s="227"/>
      <c r="G2156" s="1" t="str">
        <f>IFERROR(IF(ventas_b_mes12[[#This Row],[CUIT]]="","-",VLOOKUP(ventas_b_mes12[[#This Row],[CUIT]],Lista_CUIT[#All],2,0)),"CUIT NO CARGADO")</f>
        <v>-</v>
      </c>
      <c r="H2156" s="96">
        <f>ventas_b_mes12[[#This Row],[TOTAL]]/1.21</f>
        <v>6487.6033057851246</v>
      </c>
      <c r="I2156" s="60">
        <f>ventas_b_mes12[[#This Row],[IMPORTE NETO]]*0.21</f>
        <v>1362.3966942148761</v>
      </c>
      <c r="J2156" s="229"/>
      <c r="K2156" s="229"/>
      <c r="L2156" s="229">
        <v>7850</v>
      </c>
      <c r="M2156" s="55"/>
    </row>
    <row r="2157" spans="2:13" x14ac:dyDescent="0.3">
      <c r="B2157" s="223" t="s">
        <v>2485</v>
      </c>
      <c r="C2157" s="37">
        <v>6</v>
      </c>
      <c r="D2157" s="225">
        <v>12</v>
      </c>
      <c r="E2157" s="226">
        <v>22762</v>
      </c>
      <c r="F2157" s="227"/>
      <c r="G2157" s="1" t="str">
        <f>IFERROR(IF(ventas_b_mes12[[#This Row],[CUIT]]="","-",VLOOKUP(ventas_b_mes12[[#This Row],[CUIT]],Lista_CUIT[#All],2,0)),"CUIT NO CARGADO")</f>
        <v>-</v>
      </c>
      <c r="H2157" s="96">
        <f>ventas_b_mes12[[#This Row],[TOTAL]]/1.21</f>
        <v>5578.5123966942147</v>
      </c>
      <c r="I2157" s="60">
        <f>ventas_b_mes12[[#This Row],[IMPORTE NETO]]*0.21</f>
        <v>1171.4876033057851</v>
      </c>
      <c r="J2157" s="229"/>
      <c r="K2157" s="229"/>
      <c r="L2157" s="229">
        <v>6750</v>
      </c>
      <c r="M2157" s="55"/>
    </row>
    <row r="2158" spans="2:13" x14ac:dyDescent="0.3">
      <c r="B2158" s="223" t="s">
        <v>2485</v>
      </c>
      <c r="C2158" s="37">
        <v>6</v>
      </c>
      <c r="D2158" s="225">
        <v>12</v>
      </c>
      <c r="E2158" s="226">
        <v>22767</v>
      </c>
      <c r="F2158" s="227"/>
      <c r="G2158" s="1" t="str">
        <f>IFERROR(IF(ventas_b_mes12[[#This Row],[CUIT]]="","-",VLOOKUP(ventas_b_mes12[[#This Row],[CUIT]],Lista_CUIT[#All],2,0)),"CUIT NO CARGADO")</f>
        <v>-</v>
      </c>
      <c r="H2158" s="96">
        <f>ventas_b_mes12[[#This Row],[TOTAL]]/1.21</f>
        <v>2148.7603305785124</v>
      </c>
      <c r="I2158" s="60">
        <f>ventas_b_mes12[[#This Row],[IMPORTE NETO]]*0.21</f>
        <v>451.23966942148758</v>
      </c>
      <c r="J2158" s="229"/>
      <c r="K2158" s="229"/>
      <c r="L2158" s="229">
        <v>2600</v>
      </c>
      <c r="M2158" s="55"/>
    </row>
    <row r="2159" spans="2:13" x14ac:dyDescent="0.3">
      <c r="B2159" s="223" t="s">
        <v>2485</v>
      </c>
      <c r="C2159" s="37">
        <v>6</v>
      </c>
      <c r="D2159" s="225">
        <v>11</v>
      </c>
      <c r="E2159" s="226">
        <v>30303</v>
      </c>
      <c r="F2159" s="227"/>
      <c r="G2159" s="1" t="str">
        <f>IFERROR(IF(ventas_b_mes12[[#This Row],[CUIT]]="","-",VLOOKUP(ventas_b_mes12[[#This Row],[CUIT]],Lista_CUIT[#All],2,0)),"CUIT NO CARGADO")</f>
        <v>-</v>
      </c>
      <c r="H2159" s="96">
        <f>ventas_b_mes12[[#This Row],[TOTAL]]/1.21</f>
        <v>68727.272727272735</v>
      </c>
      <c r="I2159" s="60">
        <f>ventas_b_mes12[[#This Row],[IMPORTE NETO]]*0.21</f>
        <v>14432.727272727274</v>
      </c>
      <c r="J2159" s="229"/>
      <c r="K2159" s="229"/>
      <c r="L2159" s="229">
        <v>83160</v>
      </c>
      <c r="M2159" s="55"/>
    </row>
    <row r="2160" spans="2:13" x14ac:dyDescent="0.3">
      <c r="B2160" s="223" t="s">
        <v>2485</v>
      </c>
      <c r="C2160" s="37">
        <v>6</v>
      </c>
      <c r="D2160" s="225">
        <v>10</v>
      </c>
      <c r="E2160" s="226">
        <v>44141</v>
      </c>
      <c r="F2160" s="227"/>
      <c r="G2160" s="1" t="str">
        <f>IFERROR(IF(ventas_b_mes12[[#This Row],[CUIT]]="","-",VLOOKUP(ventas_b_mes12[[#This Row],[CUIT]],Lista_CUIT[#All],2,0)),"CUIT NO CARGADO")</f>
        <v>-</v>
      </c>
      <c r="H2160" s="96">
        <f>ventas_b_mes12[[#This Row],[TOTAL]]/1.21</f>
        <v>7438.0165289256202</v>
      </c>
      <c r="I2160" s="60">
        <f>ventas_b_mes12[[#This Row],[IMPORTE NETO]]*0.21</f>
        <v>1561.9834710743801</v>
      </c>
      <c r="J2160" s="229"/>
      <c r="K2160" s="229"/>
      <c r="L2160" s="229">
        <v>9000</v>
      </c>
      <c r="M2160" s="55"/>
    </row>
    <row r="2161" spans="2:13" x14ac:dyDescent="0.3">
      <c r="B2161" s="223" t="s">
        <v>2485</v>
      </c>
      <c r="C2161" s="37">
        <v>6</v>
      </c>
      <c r="D2161" s="225">
        <v>10</v>
      </c>
      <c r="E2161" s="226">
        <v>44145</v>
      </c>
      <c r="F2161" s="227"/>
      <c r="G2161" s="1" t="str">
        <f>IFERROR(IF(ventas_b_mes12[[#This Row],[CUIT]]="","-",VLOOKUP(ventas_b_mes12[[#This Row],[CUIT]],Lista_CUIT[#All],2,0)),"CUIT NO CARGADO")</f>
        <v>-</v>
      </c>
      <c r="H2161" s="96">
        <f>ventas_b_mes12[[#This Row],[TOTAL]]/1.21</f>
        <v>8096.7024793388437</v>
      </c>
      <c r="I2161" s="60">
        <f>ventas_b_mes12[[#This Row],[IMPORTE NETO]]*0.21</f>
        <v>1700.307520661157</v>
      </c>
      <c r="J2161" s="229"/>
      <c r="K2161" s="229"/>
      <c r="L2161" s="229">
        <v>9797.01</v>
      </c>
      <c r="M2161" s="55"/>
    </row>
    <row r="2162" spans="2:13" x14ac:dyDescent="0.3">
      <c r="B2162" s="223" t="s">
        <v>2485</v>
      </c>
      <c r="C2162" s="37">
        <v>6</v>
      </c>
      <c r="D2162" s="225">
        <v>10</v>
      </c>
      <c r="E2162" s="226">
        <v>44166</v>
      </c>
      <c r="F2162" s="227"/>
      <c r="G2162" s="1" t="str">
        <f>IFERROR(IF(ventas_b_mes12[[#This Row],[CUIT]]="","-",VLOOKUP(ventas_b_mes12[[#This Row],[CUIT]],Lista_CUIT[#All],2,0)),"CUIT NO CARGADO")</f>
        <v>-</v>
      </c>
      <c r="H2162" s="96">
        <f>ventas_b_mes12[[#This Row],[TOTAL]]/1.21</f>
        <v>5314.0495867768595</v>
      </c>
      <c r="I2162" s="60">
        <f>ventas_b_mes12[[#This Row],[IMPORTE NETO]]*0.21</f>
        <v>1115.9504132231405</v>
      </c>
      <c r="J2162" s="229"/>
      <c r="K2162" s="229"/>
      <c r="L2162" s="229">
        <v>6430</v>
      </c>
      <c r="M2162" s="55"/>
    </row>
    <row r="2163" spans="2:13" x14ac:dyDescent="0.3">
      <c r="B2163" s="223" t="s">
        <v>2485</v>
      </c>
      <c r="C2163" s="37">
        <v>6</v>
      </c>
      <c r="D2163" s="225">
        <v>10</v>
      </c>
      <c r="E2163" s="226">
        <v>44161</v>
      </c>
      <c r="F2163" s="227"/>
      <c r="G2163" s="1" t="str">
        <f>IFERROR(IF(ventas_b_mes12[[#This Row],[CUIT]]="","-",VLOOKUP(ventas_b_mes12[[#This Row],[CUIT]],Lista_CUIT[#All],2,0)),"CUIT NO CARGADO")</f>
        <v>-</v>
      </c>
      <c r="H2163" s="96">
        <f>ventas_b_mes12[[#This Row],[TOTAL]]/1.21</f>
        <v>4425.6198347107438</v>
      </c>
      <c r="I2163" s="60">
        <f>ventas_b_mes12[[#This Row],[IMPORTE NETO]]*0.21</f>
        <v>929.38016528925618</v>
      </c>
      <c r="J2163" s="229"/>
      <c r="K2163" s="229"/>
      <c r="L2163" s="229">
        <v>5355</v>
      </c>
      <c r="M2163" s="55"/>
    </row>
    <row r="2164" spans="2:13" x14ac:dyDescent="0.3">
      <c r="B2164" s="223" t="s">
        <v>2485</v>
      </c>
      <c r="C2164" s="37">
        <v>6</v>
      </c>
      <c r="D2164" s="225">
        <v>12</v>
      </c>
      <c r="E2164" s="226">
        <v>22771</v>
      </c>
      <c r="F2164" s="227"/>
      <c r="G2164" s="1" t="str">
        <f>IFERROR(IF(ventas_b_mes12[[#This Row],[CUIT]]="","-",VLOOKUP(ventas_b_mes12[[#This Row],[CUIT]],Lista_CUIT[#All],2,0)),"CUIT NO CARGADO")</f>
        <v>-</v>
      </c>
      <c r="H2164" s="96">
        <f>ventas_b_mes12[[#This Row],[TOTAL]]/1.21</f>
        <v>5413.2231404958675</v>
      </c>
      <c r="I2164" s="60">
        <f>ventas_b_mes12[[#This Row],[IMPORTE NETO]]*0.21</f>
        <v>1136.7768595041321</v>
      </c>
      <c r="J2164" s="229"/>
      <c r="K2164" s="229"/>
      <c r="L2164" s="229">
        <v>6550</v>
      </c>
      <c r="M2164" s="55"/>
    </row>
    <row r="2165" spans="2:13" x14ac:dyDescent="0.3">
      <c r="B2165" s="223" t="s">
        <v>2485</v>
      </c>
      <c r="C2165" s="37">
        <v>6</v>
      </c>
      <c r="D2165" s="225">
        <v>12</v>
      </c>
      <c r="E2165" s="226">
        <v>22772</v>
      </c>
      <c r="F2165" s="227"/>
      <c r="G2165" s="1" t="str">
        <f>IFERROR(IF(ventas_b_mes12[[#This Row],[CUIT]]="","-",VLOOKUP(ventas_b_mes12[[#This Row],[CUIT]],Lista_CUIT[#All],2,0)),"CUIT NO CARGADO")</f>
        <v>-</v>
      </c>
      <c r="H2165" s="96">
        <f>ventas_b_mes12[[#This Row],[TOTAL]]/1.21</f>
        <v>2148.7603305785124</v>
      </c>
      <c r="I2165" s="60">
        <f>ventas_b_mes12[[#This Row],[IMPORTE NETO]]*0.21</f>
        <v>451.23966942148758</v>
      </c>
      <c r="J2165" s="229"/>
      <c r="K2165" s="229"/>
      <c r="L2165" s="229">
        <v>2600</v>
      </c>
      <c r="M2165" s="55"/>
    </row>
    <row r="2166" spans="2:13" x14ac:dyDescent="0.3">
      <c r="B2166" s="223" t="s">
        <v>2485</v>
      </c>
      <c r="C2166" s="37">
        <v>6</v>
      </c>
      <c r="D2166" s="225">
        <v>13</v>
      </c>
      <c r="E2166" s="226">
        <v>26948</v>
      </c>
      <c r="F2166" s="227"/>
      <c r="G2166" s="1" t="str">
        <f>IFERROR(IF(ventas_b_mes12[[#This Row],[CUIT]]="","-",VLOOKUP(ventas_b_mes12[[#This Row],[CUIT]],Lista_CUIT[#All],2,0)),"CUIT NO CARGADO")</f>
        <v>-</v>
      </c>
      <c r="H2166" s="96">
        <f>ventas_b_mes12[[#This Row],[TOTAL]]/1.21</f>
        <v>4747.5206611570247</v>
      </c>
      <c r="I2166" s="60">
        <f>ventas_b_mes12[[#This Row],[IMPORTE NETO]]*0.21</f>
        <v>996.97933884297515</v>
      </c>
      <c r="J2166" s="229"/>
      <c r="K2166" s="229"/>
      <c r="L2166" s="229">
        <v>5744.5</v>
      </c>
      <c r="M2166" s="55"/>
    </row>
    <row r="2167" spans="2:13" x14ac:dyDescent="0.3">
      <c r="B2167" s="223" t="s">
        <v>2485</v>
      </c>
      <c r="C2167" s="37">
        <v>6</v>
      </c>
      <c r="D2167" s="225">
        <v>12</v>
      </c>
      <c r="E2167" s="226">
        <v>22760</v>
      </c>
      <c r="F2167" s="227"/>
      <c r="G2167" s="1" t="str">
        <f>IFERROR(IF(ventas_b_mes12[[#This Row],[CUIT]]="","-",VLOOKUP(ventas_b_mes12[[#This Row],[CUIT]],Lista_CUIT[#All],2,0)),"CUIT NO CARGADO")</f>
        <v>-</v>
      </c>
      <c r="H2167" s="96">
        <f>ventas_b_mes12[[#This Row],[TOTAL]]/1.21</f>
        <v>3760.3305785123966</v>
      </c>
      <c r="I2167" s="60">
        <f>ventas_b_mes12[[#This Row],[IMPORTE NETO]]*0.21</f>
        <v>789.66942148760324</v>
      </c>
      <c r="J2167" s="229"/>
      <c r="K2167" s="229"/>
      <c r="L2167" s="229">
        <v>4550</v>
      </c>
      <c r="M2167" s="55"/>
    </row>
    <row r="2168" spans="2:13" x14ac:dyDescent="0.3">
      <c r="B2168" s="223" t="s">
        <v>2485</v>
      </c>
      <c r="C2168" s="37">
        <v>6</v>
      </c>
      <c r="D2168" s="225">
        <v>12</v>
      </c>
      <c r="E2168" s="226">
        <v>22769</v>
      </c>
      <c r="F2168" s="227"/>
      <c r="G2168" s="1" t="str">
        <f>IFERROR(IF(ventas_b_mes12[[#This Row],[CUIT]]="","-",VLOOKUP(ventas_b_mes12[[#This Row],[CUIT]],Lista_CUIT[#All],2,0)),"CUIT NO CARGADO")</f>
        <v>-</v>
      </c>
      <c r="H2168" s="96">
        <f>ventas_b_mes12[[#This Row],[TOTAL]]/1.21</f>
        <v>2148.7603305785124</v>
      </c>
      <c r="I2168" s="60">
        <f>ventas_b_mes12[[#This Row],[IMPORTE NETO]]*0.21</f>
        <v>451.23966942148758</v>
      </c>
      <c r="J2168" s="229"/>
      <c r="K2168" s="229"/>
      <c r="L2168" s="229">
        <v>2600</v>
      </c>
      <c r="M2168" s="55"/>
    </row>
    <row r="2169" spans="2:13" x14ac:dyDescent="0.3">
      <c r="B2169" s="223" t="s">
        <v>2485</v>
      </c>
      <c r="C2169" s="37">
        <v>6</v>
      </c>
      <c r="D2169" s="225">
        <v>15</v>
      </c>
      <c r="E2169" s="226">
        <v>7350</v>
      </c>
      <c r="F2169" s="227"/>
      <c r="G2169" s="1" t="str">
        <f>IFERROR(IF(ventas_b_mes12[[#This Row],[CUIT]]="","-",VLOOKUP(ventas_b_mes12[[#This Row],[CUIT]],Lista_CUIT[#All],2,0)),"CUIT NO CARGADO")</f>
        <v>-</v>
      </c>
      <c r="H2169" s="96">
        <f>ventas_b_mes12[[#This Row],[TOTAL]]/1.21</f>
        <v>12204.553719008265</v>
      </c>
      <c r="I2169" s="60">
        <f>ventas_b_mes12[[#This Row],[IMPORTE NETO]]*0.21</f>
        <v>2562.9562809917356</v>
      </c>
      <c r="J2169" s="229"/>
      <c r="K2169" s="229"/>
      <c r="L2169" s="229">
        <v>14767.51</v>
      </c>
      <c r="M2169" s="55"/>
    </row>
    <row r="2170" spans="2:13" x14ac:dyDescent="0.3">
      <c r="B2170" s="223" t="s">
        <v>2485</v>
      </c>
      <c r="C2170" s="37">
        <v>6</v>
      </c>
      <c r="D2170" s="225">
        <v>12</v>
      </c>
      <c r="E2170" s="226">
        <v>22764</v>
      </c>
      <c r="F2170" s="227"/>
      <c r="G2170" s="1" t="str">
        <f>IFERROR(IF(ventas_b_mes12[[#This Row],[CUIT]]="","-",VLOOKUP(ventas_b_mes12[[#This Row],[CUIT]],Lista_CUIT[#All],2,0)),"CUIT NO CARGADO")</f>
        <v>-</v>
      </c>
      <c r="H2170" s="96">
        <f>ventas_b_mes12[[#This Row],[TOTAL]]/1.21</f>
        <v>4958.6776859504134</v>
      </c>
      <c r="I2170" s="60">
        <f>ventas_b_mes12[[#This Row],[IMPORTE NETO]]*0.21</f>
        <v>1041.3223140495868</v>
      </c>
      <c r="J2170" s="229"/>
      <c r="K2170" s="229"/>
      <c r="L2170" s="229">
        <v>6000</v>
      </c>
      <c r="M2170" s="55"/>
    </row>
    <row r="2171" spans="2:13" x14ac:dyDescent="0.3">
      <c r="B2171" s="223" t="s">
        <v>2485</v>
      </c>
      <c r="C2171" s="37">
        <v>6</v>
      </c>
      <c r="D2171" s="225">
        <v>15</v>
      </c>
      <c r="E2171" s="226">
        <v>7347</v>
      </c>
      <c r="F2171" s="227"/>
      <c r="G2171" s="1" t="str">
        <f>IFERROR(IF(ventas_b_mes12[[#This Row],[CUIT]]="","-",VLOOKUP(ventas_b_mes12[[#This Row],[CUIT]],Lista_CUIT[#All],2,0)),"CUIT NO CARGADO")</f>
        <v>-</v>
      </c>
      <c r="H2171" s="96">
        <f>ventas_b_mes12[[#This Row],[TOTAL]]/1.21</f>
        <v>19735.537190082647</v>
      </c>
      <c r="I2171" s="60">
        <f>ventas_b_mes12[[#This Row],[IMPORTE NETO]]*0.21</f>
        <v>4144.462809917356</v>
      </c>
      <c r="J2171" s="229"/>
      <c r="K2171" s="229"/>
      <c r="L2171" s="229">
        <v>23880</v>
      </c>
      <c r="M2171" s="55"/>
    </row>
    <row r="2172" spans="2:13" x14ac:dyDescent="0.3">
      <c r="B2172" s="223" t="s">
        <v>2485</v>
      </c>
      <c r="C2172" s="37">
        <v>6</v>
      </c>
      <c r="D2172" s="225">
        <v>13</v>
      </c>
      <c r="E2172" s="226">
        <v>26944</v>
      </c>
      <c r="F2172" s="227"/>
      <c r="G2172" s="1" t="str">
        <f>IFERROR(IF(ventas_b_mes12[[#This Row],[CUIT]]="","-",VLOOKUP(ventas_b_mes12[[#This Row],[CUIT]],Lista_CUIT[#All],2,0)),"CUIT NO CARGADO")</f>
        <v>-</v>
      </c>
      <c r="H2172" s="96">
        <f>ventas_b_mes12[[#This Row],[TOTAL]]/1.21</f>
        <v>12464.876033057852</v>
      </c>
      <c r="I2172" s="60">
        <f>ventas_b_mes12[[#This Row],[IMPORTE NETO]]*0.21</f>
        <v>2617.6239669421489</v>
      </c>
      <c r="J2172" s="229"/>
      <c r="K2172" s="229"/>
      <c r="L2172" s="229">
        <v>15082.5</v>
      </c>
      <c r="M2172" s="55"/>
    </row>
    <row r="2173" spans="2:13" x14ac:dyDescent="0.3">
      <c r="B2173" s="223" t="s">
        <v>2485</v>
      </c>
      <c r="C2173" s="37">
        <v>6</v>
      </c>
      <c r="D2173" s="225">
        <v>10</v>
      </c>
      <c r="E2173" s="226">
        <v>44176</v>
      </c>
      <c r="F2173" s="227"/>
      <c r="G2173" s="1" t="str">
        <f>IFERROR(IF(ventas_b_mes12[[#This Row],[CUIT]]="","-",VLOOKUP(ventas_b_mes12[[#This Row],[CUIT]],Lista_CUIT[#All],2,0)),"CUIT NO CARGADO")</f>
        <v>-</v>
      </c>
      <c r="H2173" s="96">
        <f>ventas_b_mes12[[#This Row],[TOTAL]]/1.21</f>
        <v>1033.0578512396694</v>
      </c>
      <c r="I2173" s="60">
        <f>ventas_b_mes12[[#This Row],[IMPORTE NETO]]*0.21</f>
        <v>216.94214876033055</v>
      </c>
      <c r="J2173" s="229"/>
      <c r="K2173" s="229"/>
      <c r="L2173" s="229">
        <v>1250</v>
      </c>
      <c r="M2173" s="55"/>
    </row>
    <row r="2174" spans="2:13" x14ac:dyDescent="0.3">
      <c r="B2174" s="223" t="s">
        <v>2485</v>
      </c>
      <c r="C2174" s="37">
        <v>6</v>
      </c>
      <c r="D2174" s="225">
        <v>11</v>
      </c>
      <c r="E2174" s="226">
        <v>30308</v>
      </c>
      <c r="F2174" s="227"/>
      <c r="G2174" s="1" t="str">
        <f>IFERROR(IF(ventas_b_mes12[[#This Row],[CUIT]]="","-",VLOOKUP(ventas_b_mes12[[#This Row],[CUIT]],Lista_CUIT[#All],2,0)),"CUIT NO CARGADO")</f>
        <v>-</v>
      </c>
      <c r="H2174" s="96">
        <f>ventas_b_mes12[[#This Row],[TOTAL]]/1.21</f>
        <v>5595.0413223140495</v>
      </c>
      <c r="I2174" s="60">
        <f>ventas_b_mes12[[#This Row],[IMPORTE NETO]]*0.21</f>
        <v>1174.9586776859503</v>
      </c>
      <c r="J2174" s="229"/>
      <c r="K2174" s="229"/>
      <c r="L2174" s="229">
        <v>6770</v>
      </c>
      <c r="M2174" s="55"/>
    </row>
    <row r="2175" spans="2:13" x14ac:dyDescent="0.3">
      <c r="B2175" s="223" t="s">
        <v>2485</v>
      </c>
      <c r="C2175" s="37">
        <v>6</v>
      </c>
      <c r="D2175" s="225">
        <v>10</v>
      </c>
      <c r="E2175" s="226">
        <v>44164</v>
      </c>
      <c r="F2175" s="227"/>
      <c r="G2175" s="1" t="str">
        <f>IFERROR(IF(ventas_b_mes12[[#This Row],[CUIT]]="","-",VLOOKUP(ventas_b_mes12[[#This Row],[CUIT]],Lista_CUIT[#All],2,0)),"CUIT NO CARGADO")</f>
        <v>-</v>
      </c>
      <c r="H2175" s="96">
        <f>ventas_b_mes12[[#This Row],[TOTAL]]/1.21</f>
        <v>3272.727272727273</v>
      </c>
      <c r="I2175" s="60">
        <f>ventas_b_mes12[[#This Row],[IMPORTE NETO]]*0.21</f>
        <v>687.27272727272725</v>
      </c>
      <c r="J2175" s="229"/>
      <c r="K2175" s="229"/>
      <c r="L2175" s="229">
        <v>3960</v>
      </c>
      <c r="M2175" s="55"/>
    </row>
    <row r="2176" spans="2:13" x14ac:dyDescent="0.3">
      <c r="B2176" s="223" t="s">
        <v>2485</v>
      </c>
      <c r="C2176" s="37">
        <v>6</v>
      </c>
      <c r="D2176" s="225">
        <v>10</v>
      </c>
      <c r="E2176" s="226">
        <v>44155</v>
      </c>
      <c r="F2176" s="227"/>
      <c r="G2176" s="1" t="str">
        <f>IFERROR(IF(ventas_b_mes12[[#This Row],[CUIT]]="","-",VLOOKUP(ventas_b_mes12[[#This Row],[CUIT]],Lista_CUIT[#All],2,0)),"CUIT NO CARGADO")</f>
        <v>-</v>
      </c>
      <c r="H2176" s="96">
        <f>ventas_b_mes12[[#This Row],[TOTAL]]/1.21</f>
        <v>3997.9338842975208</v>
      </c>
      <c r="I2176" s="60">
        <f>ventas_b_mes12[[#This Row],[IMPORTE NETO]]*0.21</f>
        <v>839.56611570247935</v>
      </c>
      <c r="J2176" s="229"/>
      <c r="K2176" s="229"/>
      <c r="L2176" s="229">
        <v>4837.5</v>
      </c>
      <c r="M2176" s="55"/>
    </row>
    <row r="2177" spans="2:13" x14ac:dyDescent="0.3">
      <c r="B2177" s="223" t="s">
        <v>2485</v>
      </c>
      <c r="C2177" s="37">
        <v>6</v>
      </c>
      <c r="D2177" s="225">
        <v>10</v>
      </c>
      <c r="E2177" s="226">
        <v>44149</v>
      </c>
      <c r="F2177" s="227"/>
      <c r="G2177" s="1" t="str">
        <f>IFERROR(IF(ventas_b_mes12[[#This Row],[CUIT]]="","-",VLOOKUP(ventas_b_mes12[[#This Row],[CUIT]],Lista_CUIT[#All],2,0)),"CUIT NO CARGADO")</f>
        <v>-</v>
      </c>
      <c r="H2177" s="96">
        <f>ventas_b_mes12[[#This Row],[TOTAL]]/1.21</f>
        <v>2132.2314049586776</v>
      </c>
      <c r="I2177" s="60">
        <f>ventas_b_mes12[[#This Row],[IMPORTE NETO]]*0.21</f>
        <v>447.76859504132227</v>
      </c>
      <c r="J2177" s="229"/>
      <c r="K2177" s="229"/>
      <c r="L2177" s="229">
        <v>2580</v>
      </c>
      <c r="M2177" s="55"/>
    </row>
    <row r="2178" spans="2:13" x14ac:dyDescent="0.3">
      <c r="B2178" s="223" t="s">
        <v>2485</v>
      </c>
      <c r="C2178" s="37">
        <v>6</v>
      </c>
      <c r="D2178" s="225">
        <v>13</v>
      </c>
      <c r="E2178" s="226">
        <v>26945</v>
      </c>
      <c r="F2178" s="227"/>
      <c r="G2178" s="1" t="str">
        <f>IFERROR(IF(ventas_b_mes12[[#This Row],[CUIT]]="","-",VLOOKUP(ventas_b_mes12[[#This Row],[CUIT]],Lista_CUIT[#All],2,0)),"CUIT NO CARGADO")</f>
        <v>-</v>
      </c>
      <c r="H2178" s="96">
        <f>ventas_b_mes12[[#This Row],[TOTAL]]/1.21</f>
        <v>3016.5371900826449</v>
      </c>
      <c r="I2178" s="60">
        <f>ventas_b_mes12[[#This Row],[IMPORTE NETO]]*0.21</f>
        <v>633.47280991735545</v>
      </c>
      <c r="J2178" s="229"/>
      <c r="K2178" s="229"/>
      <c r="L2178" s="229">
        <v>3650.01</v>
      </c>
      <c r="M2178" s="55"/>
    </row>
    <row r="2179" spans="2:13" x14ac:dyDescent="0.3">
      <c r="B2179" s="223" t="s">
        <v>2485</v>
      </c>
      <c r="C2179" s="37">
        <v>6</v>
      </c>
      <c r="D2179" s="225">
        <v>13</v>
      </c>
      <c r="E2179" s="226">
        <v>26949</v>
      </c>
      <c r="F2179" s="227"/>
      <c r="G2179" s="1" t="str">
        <f>IFERROR(IF(ventas_b_mes12[[#This Row],[CUIT]]="","-",VLOOKUP(ventas_b_mes12[[#This Row],[CUIT]],Lista_CUIT[#All],2,0)),"CUIT NO CARGADO")</f>
        <v>-</v>
      </c>
      <c r="H2179" s="96">
        <f>ventas_b_mes12[[#This Row],[TOTAL]]/1.21</f>
        <v>5514.4710743801652</v>
      </c>
      <c r="I2179" s="60">
        <f>ventas_b_mes12[[#This Row],[IMPORTE NETO]]*0.21</f>
        <v>1158.0389256198346</v>
      </c>
      <c r="J2179" s="229"/>
      <c r="K2179" s="229"/>
      <c r="L2179" s="229">
        <v>6672.51</v>
      </c>
      <c r="M2179" s="55"/>
    </row>
    <row r="2180" spans="2:13" x14ac:dyDescent="0.3">
      <c r="B2180" s="223" t="s">
        <v>2486</v>
      </c>
      <c r="C2180" s="37">
        <v>6</v>
      </c>
      <c r="D2180" s="225">
        <v>15</v>
      </c>
      <c r="E2180" s="226">
        <v>7352</v>
      </c>
      <c r="F2180" s="227"/>
      <c r="G2180" s="1" t="str">
        <f>IFERROR(IF(ventas_b_mes12[[#This Row],[CUIT]]="","-",VLOOKUP(ventas_b_mes12[[#This Row],[CUIT]],Lista_CUIT[#All],2,0)),"CUIT NO CARGADO")</f>
        <v>-</v>
      </c>
      <c r="H2180" s="96">
        <f>ventas_b_mes12[[#This Row],[TOTAL]]/1.21</f>
        <v>5838.8429752066113</v>
      </c>
      <c r="I2180" s="60">
        <f>ventas_b_mes12[[#This Row],[IMPORTE NETO]]*0.21</f>
        <v>1226.1570247933882</v>
      </c>
      <c r="J2180" s="229"/>
      <c r="K2180" s="229"/>
      <c r="L2180" s="229">
        <v>7065</v>
      </c>
      <c r="M2180" s="55"/>
    </row>
    <row r="2181" spans="2:13" x14ac:dyDescent="0.3">
      <c r="B2181" s="223" t="s">
        <v>2486</v>
      </c>
      <c r="C2181" s="37">
        <v>6</v>
      </c>
      <c r="D2181" s="225">
        <v>11</v>
      </c>
      <c r="E2181" s="226">
        <v>30316</v>
      </c>
      <c r="F2181" s="227"/>
      <c r="G2181" s="1" t="str">
        <f>IFERROR(IF(ventas_b_mes12[[#This Row],[CUIT]]="","-",VLOOKUP(ventas_b_mes12[[#This Row],[CUIT]],Lista_CUIT[#All],2,0)),"CUIT NO CARGADO")</f>
        <v>-</v>
      </c>
      <c r="H2181" s="96">
        <f>ventas_b_mes12[[#This Row],[TOTAL]]/1.21</f>
        <v>10933.892561983472</v>
      </c>
      <c r="I2181" s="60">
        <f>ventas_b_mes12[[#This Row],[IMPORTE NETO]]*0.21</f>
        <v>2296.1174380165289</v>
      </c>
      <c r="J2181" s="229"/>
      <c r="K2181" s="229"/>
      <c r="L2181" s="229">
        <v>13230.01</v>
      </c>
      <c r="M2181" s="55"/>
    </row>
    <row r="2182" spans="2:13" x14ac:dyDescent="0.3">
      <c r="B2182" s="223" t="s">
        <v>2486</v>
      </c>
      <c r="C2182" s="37">
        <v>6</v>
      </c>
      <c r="D2182" s="225">
        <v>11</v>
      </c>
      <c r="E2182" s="226">
        <v>30321</v>
      </c>
      <c r="F2182" s="227"/>
      <c r="G2182" s="1" t="str">
        <f>IFERROR(IF(ventas_b_mes12[[#This Row],[CUIT]]="","-",VLOOKUP(ventas_b_mes12[[#This Row],[CUIT]],Lista_CUIT[#All],2,0)),"CUIT NO CARGADO")</f>
        <v>-</v>
      </c>
      <c r="H2182" s="96">
        <f>ventas_b_mes12[[#This Row],[TOTAL]]/1.21</f>
        <v>2661.1570247933887</v>
      </c>
      <c r="I2182" s="60">
        <f>ventas_b_mes12[[#This Row],[IMPORTE NETO]]*0.21</f>
        <v>558.84297520661164</v>
      </c>
      <c r="J2182" s="229"/>
      <c r="K2182" s="229"/>
      <c r="L2182" s="229">
        <v>3220</v>
      </c>
      <c r="M2182" s="55"/>
    </row>
    <row r="2183" spans="2:13" x14ac:dyDescent="0.3">
      <c r="B2183" s="223" t="s">
        <v>2486</v>
      </c>
      <c r="C2183" s="37">
        <v>6</v>
      </c>
      <c r="D2183" s="225">
        <v>15</v>
      </c>
      <c r="E2183" s="226">
        <v>7358</v>
      </c>
      <c r="F2183" s="227"/>
      <c r="G2183" s="1" t="str">
        <f>IFERROR(IF(ventas_b_mes12[[#This Row],[CUIT]]="","-",VLOOKUP(ventas_b_mes12[[#This Row],[CUIT]],Lista_CUIT[#All],2,0)),"CUIT NO CARGADO")</f>
        <v>-</v>
      </c>
      <c r="H2183" s="96">
        <f>ventas_b_mes12[[#This Row],[TOTAL]]/1.21</f>
        <v>2479.3388429752067</v>
      </c>
      <c r="I2183" s="60">
        <f>ventas_b_mes12[[#This Row],[IMPORTE NETO]]*0.21</f>
        <v>520.6611570247934</v>
      </c>
      <c r="J2183" s="229"/>
      <c r="K2183" s="229"/>
      <c r="L2183" s="229">
        <v>3000</v>
      </c>
      <c r="M2183" s="55"/>
    </row>
    <row r="2184" spans="2:13" x14ac:dyDescent="0.3">
      <c r="B2184" s="223" t="s">
        <v>2486</v>
      </c>
      <c r="C2184" s="37">
        <v>6</v>
      </c>
      <c r="D2184" s="225">
        <v>10</v>
      </c>
      <c r="E2184" s="226">
        <v>44189</v>
      </c>
      <c r="F2184" s="227"/>
      <c r="G2184" s="1" t="str">
        <f>IFERROR(IF(ventas_b_mes12[[#This Row],[CUIT]]="","-",VLOOKUP(ventas_b_mes12[[#This Row],[CUIT]],Lista_CUIT[#All],2,0)),"CUIT NO CARGADO")</f>
        <v>-</v>
      </c>
      <c r="H2184" s="96">
        <f>ventas_b_mes12[[#This Row],[TOTAL]]/1.21</f>
        <v>3404.9586776859505</v>
      </c>
      <c r="I2184" s="60">
        <f>ventas_b_mes12[[#This Row],[IMPORTE NETO]]*0.21</f>
        <v>715.04132231404958</v>
      </c>
      <c r="J2184" s="229"/>
      <c r="K2184" s="229"/>
      <c r="L2184" s="229">
        <v>4120</v>
      </c>
      <c r="M2184" s="55"/>
    </row>
    <row r="2185" spans="2:13" x14ac:dyDescent="0.3">
      <c r="B2185" s="223" t="s">
        <v>2486</v>
      </c>
      <c r="C2185" s="37">
        <v>6</v>
      </c>
      <c r="D2185" s="225">
        <v>10</v>
      </c>
      <c r="E2185" s="226">
        <v>44185</v>
      </c>
      <c r="F2185" s="227"/>
      <c r="G2185" s="1" t="str">
        <f>IFERROR(IF(ventas_b_mes12[[#This Row],[CUIT]]="","-",VLOOKUP(ventas_b_mes12[[#This Row],[CUIT]],Lista_CUIT[#All],2,0)),"CUIT NO CARGADO")</f>
        <v>-</v>
      </c>
      <c r="H2185" s="96">
        <f>ventas_b_mes12[[#This Row],[TOTAL]]/1.21</f>
        <v>1735.5371900826447</v>
      </c>
      <c r="I2185" s="60">
        <f>ventas_b_mes12[[#This Row],[IMPORTE NETO]]*0.21</f>
        <v>364.46280991735534</v>
      </c>
      <c r="J2185" s="229"/>
      <c r="K2185" s="229"/>
      <c r="L2185" s="229">
        <v>2100</v>
      </c>
      <c r="M2185" s="55"/>
    </row>
    <row r="2186" spans="2:13" x14ac:dyDescent="0.3">
      <c r="B2186" s="223" t="s">
        <v>2486</v>
      </c>
      <c r="C2186" s="37">
        <v>6</v>
      </c>
      <c r="D2186" s="225">
        <v>10</v>
      </c>
      <c r="E2186" s="226">
        <v>44191</v>
      </c>
      <c r="F2186" s="227"/>
      <c r="G2186" s="1" t="str">
        <f>IFERROR(IF(ventas_b_mes12[[#This Row],[CUIT]]="","-",VLOOKUP(ventas_b_mes12[[#This Row],[CUIT]],Lista_CUIT[#All],2,0)),"CUIT NO CARGADO")</f>
        <v>-</v>
      </c>
      <c r="H2186" s="96">
        <f>ventas_b_mes12[[#This Row],[TOTAL]]/1.21</f>
        <v>2566.1157024793388</v>
      </c>
      <c r="I2186" s="60">
        <f>ventas_b_mes12[[#This Row],[IMPORTE NETO]]*0.21</f>
        <v>538.88429752066111</v>
      </c>
      <c r="J2186" s="229"/>
      <c r="K2186" s="229"/>
      <c r="L2186" s="229">
        <v>3105</v>
      </c>
      <c r="M2186" s="55"/>
    </row>
    <row r="2187" spans="2:13" x14ac:dyDescent="0.3">
      <c r="B2187" s="223" t="s">
        <v>2486</v>
      </c>
      <c r="C2187" s="37">
        <v>6</v>
      </c>
      <c r="D2187" s="225">
        <v>15</v>
      </c>
      <c r="E2187" s="226">
        <v>7357</v>
      </c>
      <c r="F2187" s="227"/>
      <c r="G2187" s="1" t="str">
        <f>IFERROR(IF(ventas_b_mes12[[#This Row],[CUIT]]="","-",VLOOKUP(ventas_b_mes12[[#This Row],[CUIT]],Lista_CUIT[#All],2,0)),"CUIT NO CARGADO")</f>
        <v>-</v>
      </c>
      <c r="H2187" s="96">
        <f>ventas_b_mes12[[#This Row],[TOTAL]]/1.21</f>
        <v>11508.272727272728</v>
      </c>
      <c r="I2187" s="60">
        <f>ventas_b_mes12[[#This Row],[IMPORTE NETO]]*0.21</f>
        <v>2416.7372727272727</v>
      </c>
      <c r="J2187" s="229"/>
      <c r="K2187" s="229"/>
      <c r="L2187" s="229">
        <v>13925.01</v>
      </c>
      <c r="M2187" s="55"/>
    </row>
    <row r="2188" spans="2:13" x14ac:dyDescent="0.3">
      <c r="B2188" s="223" t="s">
        <v>2486</v>
      </c>
      <c r="C2188" s="37">
        <v>6</v>
      </c>
      <c r="D2188" s="225">
        <v>11</v>
      </c>
      <c r="E2188" s="226">
        <v>30311</v>
      </c>
      <c r="F2188" s="227"/>
      <c r="G2188" s="1" t="str">
        <f>IFERROR(IF(ventas_b_mes12[[#This Row],[CUIT]]="","-",VLOOKUP(ventas_b_mes12[[#This Row],[CUIT]],Lista_CUIT[#All],2,0)),"CUIT NO CARGADO")</f>
        <v>-</v>
      </c>
      <c r="H2188" s="96">
        <f>ventas_b_mes12[[#This Row],[TOTAL]]/1.21</f>
        <v>8735.5371900826449</v>
      </c>
      <c r="I2188" s="60">
        <f>ventas_b_mes12[[#This Row],[IMPORTE NETO]]*0.21</f>
        <v>1834.4628099173553</v>
      </c>
      <c r="J2188" s="229"/>
      <c r="K2188" s="229"/>
      <c r="L2188" s="229">
        <v>10570</v>
      </c>
      <c r="M2188" s="55"/>
    </row>
    <row r="2189" spans="2:13" x14ac:dyDescent="0.3">
      <c r="B2189" s="223" t="s">
        <v>2486</v>
      </c>
      <c r="C2189" s="37">
        <v>6</v>
      </c>
      <c r="D2189" s="225">
        <v>15</v>
      </c>
      <c r="E2189" s="226">
        <v>7355</v>
      </c>
      <c r="F2189" s="227"/>
      <c r="G2189" s="1" t="str">
        <f>IFERROR(IF(ventas_b_mes12[[#This Row],[CUIT]]="","-",VLOOKUP(ventas_b_mes12[[#This Row],[CUIT]],Lista_CUIT[#All],2,0)),"CUIT NO CARGADO")</f>
        <v>-</v>
      </c>
      <c r="H2189" s="96">
        <f>ventas_b_mes12[[#This Row],[TOTAL]]/1.21</f>
        <v>1322.3140495867769</v>
      </c>
      <c r="I2189" s="60">
        <f>ventas_b_mes12[[#This Row],[IMPORTE NETO]]*0.21</f>
        <v>277.68595041322317</v>
      </c>
      <c r="J2189" s="229"/>
      <c r="K2189" s="229"/>
      <c r="L2189" s="229">
        <v>1600</v>
      </c>
      <c r="M2189" s="55"/>
    </row>
    <row r="2190" spans="2:13" x14ac:dyDescent="0.3">
      <c r="B2190" s="223" t="s">
        <v>2486</v>
      </c>
      <c r="C2190" s="37">
        <v>6</v>
      </c>
      <c r="D2190" s="225">
        <v>10</v>
      </c>
      <c r="E2190" s="226">
        <v>44188</v>
      </c>
      <c r="F2190" s="227"/>
      <c r="G2190" s="1" t="str">
        <f>IFERROR(IF(ventas_b_mes12[[#This Row],[CUIT]]="","-",VLOOKUP(ventas_b_mes12[[#This Row],[CUIT]],Lista_CUIT[#All],2,0)),"CUIT NO CARGADO")</f>
        <v>-</v>
      </c>
      <c r="H2190" s="96">
        <f>ventas_b_mes12[[#This Row],[TOTAL]]/1.21</f>
        <v>5734.7107438016528</v>
      </c>
      <c r="I2190" s="60">
        <f>ventas_b_mes12[[#This Row],[IMPORTE NETO]]*0.21</f>
        <v>1204.2892561983469</v>
      </c>
      <c r="J2190" s="229"/>
      <c r="K2190" s="229"/>
      <c r="L2190" s="229">
        <v>6939</v>
      </c>
      <c r="M2190" s="55"/>
    </row>
    <row r="2191" spans="2:13" x14ac:dyDescent="0.3">
      <c r="B2191" s="223" t="s">
        <v>2486</v>
      </c>
      <c r="C2191" s="37">
        <v>6</v>
      </c>
      <c r="D2191" s="225">
        <v>11</v>
      </c>
      <c r="E2191" s="226">
        <v>30324</v>
      </c>
      <c r="F2191" s="227"/>
      <c r="G2191" s="1" t="str">
        <f>IFERROR(IF(ventas_b_mes12[[#This Row],[CUIT]]="","-",VLOOKUP(ventas_b_mes12[[#This Row],[CUIT]],Lista_CUIT[#All],2,0)),"CUIT NO CARGADO")</f>
        <v>-</v>
      </c>
      <c r="H2191" s="96">
        <f>ventas_b_mes12[[#This Row],[TOTAL]]/1.21</f>
        <v>20789.25619834711</v>
      </c>
      <c r="I2191" s="60">
        <f>ventas_b_mes12[[#This Row],[IMPORTE NETO]]*0.21</f>
        <v>4365.7438016528931</v>
      </c>
      <c r="J2191" s="229"/>
      <c r="K2191" s="229"/>
      <c r="L2191" s="229">
        <v>25155</v>
      </c>
      <c r="M2191" s="55"/>
    </row>
    <row r="2192" spans="2:13" x14ac:dyDescent="0.3">
      <c r="B2192" s="223" t="s">
        <v>2486</v>
      </c>
      <c r="C2192" s="37">
        <v>6</v>
      </c>
      <c r="D2192" s="225">
        <v>11</v>
      </c>
      <c r="E2192" s="226">
        <v>30318</v>
      </c>
      <c r="F2192" s="227"/>
      <c r="G2192" s="1" t="str">
        <f>IFERROR(IF(ventas_b_mes12[[#This Row],[CUIT]]="","-",VLOOKUP(ventas_b_mes12[[#This Row],[CUIT]],Lista_CUIT[#All],2,0)),"CUIT NO CARGADO")</f>
        <v>-</v>
      </c>
      <c r="H2192" s="96">
        <f>ventas_b_mes12[[#This Row],[TOTAL]]/1.21</f>
        <v>8925.6198347107438</v>
      </c>
      <c r="I2192" s="60">
        <f>ventas_b_mes12[[#This Row],[IMPORTE NETO]]*0.21</f>
        <v>1874.3801652892562</v>
      </c>
      <c r="J2192" s="229"/>
      <c r="K2192" s="229"/>
      <c r="L2192" s="229">
        <v>10800</v>
      </c>
      <c r="M2192" s="55"/>
    </row>
    <row r="2193" spans="2:13" x14ac:dyDescent="0.3">
      <c r="B2193" s="223" t="s">
        <v>2486</v>
      </c>
      <c r="C2193" s="37">
        <v>6</v>
      </c>
      <c r="D2193" s="225">
        <v>12</v>
      </c>
      <c r="E2193" s="226">
        <v>22786</v>
      </c>
      <c r="F2193" s="227"/>
      <c r="G2193" s="1" t="str">
        <f>IFERROR(IF(ventas_b_mes12[[#This Row],[CUIT]]="","-",VLOOKUP(ventas_b_mes12[[#This Row],[CUIT]],Lista_CUIT[#All],2,0)),"CUIT NO CARGADO")</f>
        <v>-</v>
      </c>
      <c r="H2193" s="96">
        <f>ventas_b_mes12[[#This Row],[TOTAL]]/1.21</f>
        <v>8429.7603305785124</v>
      </c>
      <c r="I2193" s="60">
        <f>ventas_b_mes12[[#This Row],[IMPORTE NETO]]*0.21</f>
        <v>1770.2496694214876</v>
      </c>
      <c r="J2193" s="229"/>
      <c r="K2193" s="229"/>
      <c r="L2193" s="229">
        <v>10200.01</v>
      </c>
      <c r="M2193" s="55"/>
    </row>
    <row r="2194" spans="2:13" x14ac:dyDescent="0.3">
      <c r="B2194" s="223" t="s">
        <v>2486</v>
      </c>
      <c r="C2194" s="37">
        <v>6</v>
      </c>
      <c r="D2194" s="225">
        <v>11</v>
      </c>
      <c r="E2194" s="226">
        <v>30310</v>
      </c>
      <c r="F2194" s="227"/>
      <c r="G2194" s="1" t="str">
        <f>IFERROR(IF(ventas_b_mes12[[#This Row],[CUIT]]="","-",VLOOKUP(ventas_b_mes12[[#This Row],[CUIT]],Lista_CUIT[#All],2,0)),"CUIT NO CARGADO")</f>
        <v>-</v>
      </c>
      <c r="H2194" s="96">
        <f>ventas_b_mes12[[#This Row],[TOTAL]]/1.21</f>
        <v>991.73553719008271</v>
      </c>
      <c r="I2194" s="60">
        <f>ventas_b_mes12[[#This Row],[IMPORTE NETO]]*0.21</f>
        <v>208.26446280991735</v>
      </c>
      <c r="J2194" s="229"/>
      <c r="K2194" s="229"/>
      <c r="L2194" s="229">
        <v>1200</v>
      </c>
      <c r="M2194" s="55"/>
    </row>
    <row r="2195" spans="2:13" x14ac:dyDescent="0.3">
      <c r="B2195" s="223" t="s">
        <v>2486</v>
      </c>
      <c r="C2195" s="37">
        <v>6</v>
      </c>
      <c r="D2195" s="225">
        <v>15</v>
      </c>
      <c r="E2195" s="226">
        <v>7354</v>
      </c>
      <c r="F2195" s="227"/>
      <c r="G2195" s="1" t="str">
        <f>IFERROR(IF(ventas_b_mes12[[#This Row],[CUIT]]="","-",VLOOKUP(ventas_b_mes12[[#This Row],[CUIT]],Lista_CUIT[#All],2,0)),"CUIT NO CARGADO")</f>
        <v>-</v>
      </c>
      <c r="H2195" s="96">
        <f>ventas_b_mes12[[#This Row],[TOTAL]]/1.21</f>
        <v>5454.545454545455</v>
      </c>
      <c r="I2195" s="60">
        <f>ventas_b_mes12[[#This Row],[IMPORTE NETO]]*0.21</f>
        <v>1145.4545454545455</v>
      </c>
      <c r="J2195" s="229"/>
      <c r="K2195" s="229"/>
      <c r="L2195" s="229">
        <v>6600</v>
      </c>
      <c r="M2195" s="55"/>
    </row>
    <row r="2196" spans="2:13" x14ac:dyDescent="0.3">
      <c r="B2196" s="223" t="s">
        <v>2486</v>
      </c>
      <c r="C2196" s="37">
        <v>6</v>
      </c>
      <c r="D2196" s="225">
        <v>12</v>
      </c>
      <c r="E2196" s="226">
        <v>22790</v>
      </c>
      <c r="F2196" s="227"/>
      <c r="G2196" s="1" t="str">
        <f>IFERROR(IF(ventas_b_mes12[[#This Row],[CUIT]]="","-",VLOOKUP(ventas_b_mes12[[#This Row],[CUIT]],Lista_CUIT[#All],2,0)),"CUIT NO CARGADO")</f>
        <v>-</v>
      </c>
      <c r="H2196" s="96">
        <f>ventas_b_mes12[[#This Row],[TOTAL]]/1.21</f>
        <v>1822.3140495867769</v>
      </c>
      <c r="I2196" s="60">
        <f>ventas_b_mes12[[#This Row],[IMPORTE NETO]]*0.21</f>
        <v>382.68595041322317</v>
      </c>
      <c r="J2196" s="229"/>
      <c r="K2196" s="229"/>
      <c r="L2196" s="229">
        <v>2205</v>
      </c>
      <c r="M2196" s="55"/>
    </row>
    <row r="2197" spans="2:13" x14ac:dyDescent="0.3">
      <c r="B2197" s="223" t="s">
        <v>2486</v>
      </c>
      <c r="C2197" s="37">
        <v>6</v>
      </c>
      <c r="D2197" s="225">
        <v>12</v>
      </c>
      <c r="E2197" s="226">
        <v>22789</v>
      </c>
      <c r="F2197" s="227"/>
      <c r="G2197" s="1" t="str">
        <f>IFERROR(IF(ventas_b_mes12[[#This Row],[CUIT]]="","-",VLOOKUP(ventas_b_mes12[[#This Row],[CUIT]],Lista_CUIT[#All],2,0)),"CUIT NO CARGADO")</f>
        <v>-</v>
      </c>
      <c r="H2197" s="96">
        <f>ventas_b_mes12[[#This Row],[TOTAL]]/1.21</f>
        <v>6099.1735537190089</v>
      </c>
      <c r="I2197" s="60">
        <f>ventas_b_mes12[[#This Row],[IMPORTE NETO]]*0.21</f>
        <v>1280.8264462809918</v>
      </c>
      <c r="J2197" s="229"/>
      <c r="K2197" s="229"/>
      <c r="L2197" s="229">
        <v>7380</v>
      </c>
      <c r="M2197" s="55"/>
    </row>
    <row r="2198" spans="2:13" x14ac:dyDescent="0.3">
      <c r="B2198" s="223" t="s">
        <v>2486</v>
      </c>
      <c r="C2198" s="37">
        <v>6</v>
      </c>
      <c r="D2198" s="225">
        <v>12</v>
      </c>
      <c r="E2198" s="226">
        <v>22783</v>
      </c>
      <c r="F2198" s="227"/>
      <c r="G2198" s="1" t="str">
        <f>IFERROR(IF(ventas_b_mes12[[#This Row],[CUIT]]="","-",VLOOKUP(ventas_b_mes12[[#This Row],[CUIT]],Lista_CUIT[#All],2,0)),"CUIT NO CARGADO")</f>
        <v>-</v>
      </c>
      <c r="H2198" s="96">
        <f>ventas_b_mes12[[#This Row],[TOTAL]]/1.21</f>
        <v>1078.5123966942149</v>
      </c>
      <c r="I2198" s="60">
        <f>ventas_b_mes12[[#This Row],[IMPORTE NETO]]*0.21</f>
        <v>226.48760330578511</v>
      </c>
      <c r="J2198" s="229"/>
      <c r="K2198" s="229"/>
      <c r="L2198" s="229">
        <v>1305</v>
      </c>
      <c r="M2198" s="55"/>
    </row>
    <row r="2199" spans="2:13" x14ac:dyDescent="0.3">
      <c r="B2199" s="223" t="s">
        <v>2486</v>
      </c>
      <c r="C2199" s="37">
        <v>6</v>
      </c>
      <c r="D2199" s="225">
        <v>12</v>
      </c>
      <c r="E2199" s="226">
        <v>22791</v>
      </c>
      <c r="F2199" s="227"/>
      <c r="G2199" s="1" t="str">
        <f>IFERROR(IF(ventas_b_mes12[[#This Row],[CUIT]]="","-",VLOOKUP(ventas_b_mes12[[#This Row],[CUIT]],Lista_CUIT[#All],2,0)),"CUIT NO CARGADO")</f>
        <v>-</v>
      </c>
      <c r="H2199" s="96">
        <f>ventas_b_mes12[[#This Row],[TOTAL]]/1.21</f>
        <v>1363.6363636363637</v>
      </c>
      <c r="I2199" s="60">
        <f>ventas_b_mes12[[#This Row],[IMPORTE NETO]]*0.21</f>
        <v>286.36363636363637</v>
      </c>
      <c r="J2199" s="229"/>
      <c r="K2199" s="229"/>
      <c r="L2199" s="229">
        <v>1650</v>
      </c>
      <c r="M2199" s="55"/>
    </row>
    <row r="2200" spans="2:13" x14ac:dyDescent="0.3">
      <c r="B2200" s="223" t="s">
        <v>2486</v>
      </c>
      <c r="C2200" s="37">
        <v>6</v>
      </c>
      <c r="D2200" s="225">
        <v>10</v>
      </c>
      <c r="E2200" s="226">
        <v>44181</v>
      </c>
      <c r="F2200" s="227"/>
      <c r="G2200" s="1" t="str">
        <f>IFERROR(IF(ventas_b_mes12[[#This Row],[CUIT]]="","-",VLOOKUP(ventas_b_mes12[[#This Row],[CUIT]],Lista_CUIT[#All],2,0)),"CUIT NO CARGADO")</f>
        <v>-</v>
      </c>
      <c r="H2200" s="96">
        <f>ventas_b_mes12[[#This Row],[TOTAL]]/1.21</f>
        <v>272.72727272727275</v>
      </c>
      <c r="I2200" s="60">
        <f>ventas_b_mes12[[#This Row],[IMPORTE NETO]]*0.21</f>
        <v>57.272727272727273</v>
      </c>
      <c r="J2200" s="229"/>
      <c r="K2200" s="229"/>
      <c r="L2200" s="229">
        <v>330</v>
      </c>
      <c r="M2200" s="55"/>
    </row>
    <row r="2201" spans="2:13" x14ac:dyDescent="0.3">
      <c r="B2201" s="223" t="s">
        <v>2486</v>
      </c>
      <c r="C2201" s="37">
        <v>6</v>
      </c>
      <c r="D2201" s="225">
        <v>12</v>
      </c>
      <c r="E2201" s="226">
        <v>22785</v>
      </c>
      <c r="F2201" s="227"/>
      <c r="G2201" s="1" t="str">
        <f>IFERROR(IF(ventas_b_mes12[[#This Row],[CUIT]]="","-",VLOOKUP(ventas_b_mes12[[#This Row],[CUIT]],Lista_CUIT[#All],2,0)),"CUIT NO CARGADO")</f>
        <v>-</v>
      </c>
      <c r="H2201" s="96">
        <f>ventas_b_mes12[[#This Row],[TOTAL]]/1.21</f>
        <v>1614.0495867768595</v>
      </c>
      <c r="I2201" s="60">
        <f>ventas_b_mes12[[#This Row],[IMPORTE NETO]]*0.21</f>
        <v>338.95041322314052</v>
      </c>
      <c r="J2201" s="229"/>
      <c r="K2201" s="229"/>
      <c r="L2201" s="229">
        <v>1953</v>
      </c>
      <c r="M2201" s="55"/>
    </row>
    <row r="2202" spans="2:13" x14ac:dyDescent="0.3">
      <c r="B2202" s="223" t="s">
        <v>2486</v>
      </c>
      <c r="C2202" s="37">
        <v>6</v>
      </c>
      <c r="D2202" s="225">
        <v>12</v>
      </c>
      <c r="E2202" s="226">
        <v>22787</v>
      </c>
      <c r="F2202" s="227"/>
      <c r="G2202" s="1" t="str">
        <f>IFERROR(IF(ventas_b_mes12[[#This Row],[CUIT]]="","-",VLOOKUP(ventas_b_mes12[[#This Row],[CUIT]],Lista_CUIT[#All],2,0)),"CUIT NO CARGADO")</f>
        <v>-</v>
      </c>
      <c r="H2202" s="96">
        <f>ventas_b_mes12[[#This Row],[TOTAL]]/1.21</f>
        <v>11776.859504132231</v>
      </c>
      <c r="I2202" s="60">
        <f>ventas_b_mes12[[#This Row],[IMPORTE NETO]]*0.21</f>
        <v>2473.1404958677685</v>
      </c>
      <c r="J2202" s="229"/>
      <c r="K2202" s="229"/>
      <c r="L2202" s="229">
        <v>14250</v>
      </c>
      <c r="M2202" s="55"/>
    </row>
    <row r="2203" spans="2:13" x14ac:dyDescent="0.3">
      <c r="B2203" s="223" t="s">
        <v>2486</v>
      </c>
      <c r="C2203" s="37">
        <v>6</v>
      </c>
      <c r="D2203" s="225">
        <v>13</v>
      </c>
      <c r="E2203" s="226">
        <v>26955</v>
      </c>
      <c r="F2203" s="227"/>
      <c r="G2203" s="1" t="str">
        <f>IFERROR(IF(ventas_b_mes12[[#This Row],[CUIT]]="","-",VLOOKUP(ventas_b_mes12[[#This Row],[CUIT]],Lista_CUIT[#All],2,0)),"CUIT NO CARGADO")</f>
        <v>-</v>
      </c>
      <c r="H2203" s="96">
        <f>ventas_b_mes12[[#This Row],[TOTAL]]/1.21</f>
        <v>1096.9338842975208</v>
      </c>
      <c r="I2203" s="60">
        <f>ventas_b_mes12[[#This Row],[IMPORTE NETO]]*0.21</f>
        <v>230.35611570247934</v>
      </c>
      <c r="J2203" s="229"/>
      <c r="K2203" s="229"/>
      <c r="L2203" s="229">
        <v>1327.29</v>
      </c>
      <c r="M2203" s="55"/>
    </row>
    <row r="2204" spans="2:13" x14ac:dyDescent="0.3">
      <c r="B2204" s="223" t="s">
        <v>2486</v>
      </c>
      <c r="C2204" s="37">
        <v>6</v>
      </c>
      <c r="D2204" s="225">
        <v>11</v>
      </c>
      <c r="E2204" s="226">
        <v>30325</v>
      </c>
      <c r="F2204" s="227"/>
      <c r="G2204" s="1" t="str">
        <f>IFERROR(IF(ventas_b_mes12[[#This Row],[CUIT]]="","-",VLOOKUP(ventas_b_mes12[[#This Row],[CUIT]],Lista_CUIT[#All],2,0)),"CUIT NO CARGADO")</f>
        <v>-</v>
      </c>
      <c r="H2204" s="96">
        <f>ventas_b_mes12[[#This Row],[TOTAL]]/1.21</f>
        <v>17518.603305785124</v>
      </c>
      <c r="I2204" s="60">
        <f>ventas_b_mes12[[#This Row],[IMPORTE NETO]]*0.21</f>
        <v>3678.9066942148756</v>
      </c>
      <c r="J2204" s="229"/>
      <c r="K2204" s="229"/>
      <c r="L2204" s="229">
        <v>21197.51</v>
      </c>
      <c r="M2204" s="55"/>
    </row>
    <row r="2205" spans="2:13" x14ac:dyDescent="0.3">
      <c r="B2205" s="223" t="s">
        <v>2486</v>
      </c>
      <c r="C2205" s="37">
        <v>6</v>
      </c>
      <c r="D2205" s="225">
        <v>12</v>
      </c>
      <c r="E2205" s="226">
        <v>22788</v>
      </c>
      <c r="F2205" s="227"/>
      <c r="G2205" s="1" t="str">
        <f>IFERROR(IF(ventas_b_mes12[[#This Row],[CUIT]]="","-",VLOOKUP(ventas_b_mes12[[#This Row],[CUIT]],Lista_CUIT[#All],2,0)),"CUIT NO CARGADO")</f>
        <v>-</v>
      </c>
      <c r="H2205" s="96">
        <f>ventas_b_mes12[[#This Row],[TOTAL]]/1.21</f>
        <v>2148.7603305785124</v>
      </c>
      <c r="I2205" s="60">
        <f>ventas_b_mes12[[#This Row],[IMPORTE NETO]]*0.21</f>
        <v>451.23966942148758</v>
      </c>
      <c r="J2205" s="229"/>
      <c r="K2205" s="229"/>
      <c r="L2205" s="229">
        <v>2600</v>
      </c>
      <c r="M2205" s="55"/>
    </row>
    <row r="2206" spans="2:13" x14ac:dyDescent="0.3">
      <c r="B2206" s="223" t="s">
        <v>2486</v>
      </c>
      <c r="C2206" s="37">
        <v>6</v>
      </c>
      <c r="D2206" s="225">
        <v>13</v>
      </c>
      <c r="E2206" s="226">
        <v>26951</v>
      </c>
      <c r="F2206" s="227"/>
      <c r="G2206" s="1" t="str">
        <f>IFERROR(IF(ventas_b_mes12[[#This Row],[CUIT]]="","-",VLOOKUP(ventas_b_mes12[[#This Row],[CUIT]],Lista_CUIT[#All],2,0)),"CUIT NO CARGADO")</f>
        <v>-</v>
      </c>
      <c r="H2206" s="96">
        <f>ventas_b_mes12[[#This Row],[TOTAL]]/1.21</f>
        <v>23553.702479338845</v>
      </c>
      <c r="I2206" s="60">
        <f>ventas_b_mes12[[#This Row],[IMPORTE NETO]]*0.21</f>
        <v>4946.2775206611568</v>
      </c>
      <c r="J2206" s="229"/>
      <c r="K2206" s="229"/>
      <c r="L2206" s="229">
        <v>28499.98</v>
      </c>
      <c r="M2206" s="55"/>
    </row>
    <row r="2207" spans="2:13" x14ac:dyDescent="0.3">
      <c r="B2207" s="223" t="s">
        <v>2486</v>
      </c>
      <c r="C2207" s="37">
        <v>6</v>
      </c>
      <c r="D2207" s="225">
        <v>12</v>
      </c>
      <c r="E2207" s="226">
        <v>22784</v>
      </c>
      <c r="F2207" s="227"/>
      <c r="G2207" s="1" t="str">
        <f>IFERROR(IF(ventas_b_mes12[[#This Row],[CUIT]]="","-",VLOOKUP(ventas_b_mes12[[#This Row],[CUIT]],Lista_CUIT[#All],2,0)),"CUIT NO CARGADO")</f>
        <v>-</v>
      </c>
      <c r="H2207" s="96">
        <f>ventas_b_mes12[[#This Row],[TOTAL]]/1.21</f>
        <v>3413.2231404958679</v>
      </c>
      <c r="I2207" s="60">
        <f>ventas_b_mes12[[#This Row],[IMPORTE NETO]]*0.21</f>
        <v>716.77685950413229</v>
      </c>
      <c r="J2207" s="229"/>
      <c r="K2207" s="229"/>
      <c r="L2207" s="229">
        <v>4130</v>
      </c>
      <c r="M2207" s="55"/>
    </row>
    <row r="2208" spans="2:13" x14ac:dyDescent="0.3">
      <c r="B2208" s="223" t="s">
        <v>2486</v>
      </c>
      <c r="C2208" s="37">
        <v>6</v>
      </c>
      <c r="D2208" s="225">
        <v>10</v>
      </c>
      <c r="E2208" s="226">
        <v>44180</v>
      </c>
      <c r="F2208" s="227"/>
      <c r="G2208" s="1" t="str">
        <f>IFERROR(IF(ventas_b_mes12[[#This Row],[CUIT]]="","-",VLOOKUP(ventas_b_mes12[[#This Row],[CUIT]],Lista_CUIT[#All],2,0)),"CUIT NO CARGADO")</f>
        <v>-</v>
      </c>
      <c r="H2208" s="96">
        <f>ventas_b_mes12[[#This Row],[TOTAL]]/1.21</f>
        <v>6268.5950413223145</v>
      </c>
      <c r="I2208" s="60">
        <f>ventas_b_mes12[[#This Row],[IMPORTE NETO]]*0.21</f>
        <v>1316.404958677686</v>
      </c>
      <c r="J2208" s="229"/>
      <c r="K2208" s="229"/>
      <c r="L2208" s="229">
        <v>7585</v>
      </c>
      <c r="M2208" s="55"/>
    </row>
    <row r="2209" spans="2:13" x14ac:dyDescent="0.3">
      <c r="B2209" s="223" t="s">
        <v>2486</v>
      </c>
      <c r="C2209" s="37">
        <v>6</v>
      </c>
      <c r="D2209" s="225">
        <v>11</v>
      </c>
      <c r="E2209" s="226">
        <v>30320</v>
      </c>
      <c r="F2209" s="227"/>
      <c r="G2209" s="1" t="str">
        <f>IFERROR(IF(ventas_b_mes12[[#This Row],[CUIT]]="","-",VLOOKUP(ventas_b_mes12[[#This Row],[CUIT]],Lista_CUIT[#All],2,0)),"CUIT NO CARGADO")</f>
        <v>-</v>
      </c>
      <c r="H2209" s="96">
        <f>ventas_b_mes12[[#This Row],[TOTAL]]/1.21</f>
        <v>2851.2396694214876</v>
      </c>
      <c r="I2209" s="60">
        <f>ventas_b_mes12[[#This Row],[IMPORTE NETO]]*0.21</f>
        <v>598.76033057851237</v>
      </c>
      <c r="J2209" s="229"/>
      <c r="K2209" s="229"/>
      <c r="L2209" s="229">
        <v>3450</v>
      </c>
      <c r="M2209" s="55"/>
    </row>
    <row r="2210" spans="2:13" x14ac:dyDescent="0.3">
      <c r="B2210" s="223" t="s">
        <v>2486</v>
      </c>
      <c r="C2210" s="37">
        <v>6</v>
      </c>
      <c r="D2210" s="225">
        <v>15</v>
      </c>
      <c r="E2210" s="226">
        <v>7353</v>
      </c>
      <c r="F2210" s="227"/>
      <c r="G2210" s="1" t="str">
        <f>IFERROR(IF(ventas_b_mes12[[#This Row],[CUIT]]="","-",VLOOKUP(ventas_b_mes12[[#This Row],[CUIT]],Lista_CUIT[#All],2,0)),"CUIT NO CARGADO")</f>
        <v>-</v>
      </c>
      <c r="H2210" s="96">
        <f>ventas_b_mes12[[#This Row],[TOTAL]]/1.21</f>
        <v>4876.0330578512394</v>
      </c>
      <c r="I2210" s="60">
        <f>ventas_b_mes12[[#This Row],[IMPORTE NETO]]*0.21</f>
        <v>1023.9669421487603</v>
      </c>
      <c r="J2210" s="229"/>
      <c r="K2210" s="229"/>
      <c r="L2210" s="229">
        <v>5900</v>
      </c>
      <c r="M2210" s="55"/>
    </row>
    <row r="2211" spans="2:13" x14ac:dyDescent="0.3">
      <c r="B2211" s="223" t="s">
        <v>2486</v>
      </c>
      <c r="C2211" s="37">
        <v>6</v>
      </c>
      <c r="D2211" s="225">
        <v>13</v>
      </c>
      <c r="E2211" s="226">
        <v>26954</v>
      </c>
      <c r="F2211" s="227"/>
      <c r="G2211" s="1" t="str">
        <f>IFERROR(IF(ventas_b_mes12[[#This Row],[CUIT]]="","-",VLOOKUP(ventas_b_mes12[[#This Row],[CUIT]],Lista_CUIT[#All],2,0)),"CUIT NO CARGADO")</f>
        <v>-</v>
      </c>
      <c r="H2211" s="96">
        <f>ventas_b_mes12[[#This Row],[TOTAL]]/1.21</f>
        <v>10330.603305785125</v>
      </c>
      <c r="I2211" s="60">
        <f>ventas_b_mes12[[#This Row],[IMPORTE NETO]]*0.21</f>
        <v>2169.4266942148761</v>
      </c>
      <c r="J2211" s="229"/>
      <c r="K2211" s="229"/>
      <c r="L2211" s="229">
        <v>12500.03</v>
      </c>
      <c r="M2211" s="55"/>
    </row>
    <row r="2212" spans="2:13" x14ac:dyDescent="0.3">
      <c r="B2212" s="223" t="s">
        <v>2486</v>
      </c>
      <c r="C2212" s="37">
        <v>6</v>
      </c>
      <c r="D2212" s="225">
        <v>12</v>
      </c>
      <c r="E2212" s="226">
        <v>22781</v>
      </c>
      <c r="F2212" s="227"/>
      <c r="G2212" s="1" t="str">
        <f>IFERROR(IF(ventas_b_mes12[[#This Row],[CUIT]]="","-",VLOOKUP(ventas_b_mes12[[#This Row],[CUIT]],Lista_CUIT[#All],2,0)),"CUIT NO CARGADO")</f>
        <v>-</v>
      </c>
      <c r="H2212" s="96">
        <f>ventas_b_mes12[[#This Row],[TOTAL]]/1.21</f>
        <v>3471.0991735537191</v>
      </c>
      <c r="I2212" s="60">
        <f>ventas_b_mes12[[#This Row],[IMPORTE NETO]]*0.21</f>
        <v>728.930826446281</v>
      </c>
      <c r="J2212" s="229"/>
      <c r="K2212" s="229"/>
      <c r="L2212" s="229">
        <v>4200.03</v>
      </c>
      <c r="M2212" s="55"/>
    </row>
    <row r="2213" spans="2:13" x14ac:dyDescent="0.3">
      <c r="B2213" s="223" t="s">
        <v>2486</v>
      </c>
      <c r="C2213" s="37">
        <v>6</v>
      </c>
      <c r="D2213" s="225">
        <v>12</v>
      </c>
      <c r="E2213" s="226">
        <v>22782</v>
      </c>
      <c r="F2213" s="227"/>
      <c r="G2213" s="1" t="str">
        <f>IFERROR(IF(ventas_b_mes12[[#This Row],[CUIT]]="","-",VLOOKUP(ventas_b_mes12[[#This Row],[CUIT]],Lista_CUIT[#All],2,0)),"CUIT NO CARGADO")</f>
        <v>-</v>
      </c>
      <c r="H2213" s="96">
        <f>ventas_b_mes12[[#This Row],[TOTAL]]/1.21</f>
        <v>2479.3388429752067</v>
      </c>
      <c r="I2213" s="60">
        <f>ventas_b_mes12[[#This Row],[IMPORTE NETO]]*0.21</f>
        <v>520.6611570247934</v>
      </c>
      <c r="J2213" s="229"/>
      <c r="K2213" s="229"/>
      <c r="L2213" s="229">
        <v>3000</v>
      </c>
      <c r="M2213" s="55"/>
    </row>
    <row r="2214" spans="2:13" x14ac:dyDescent="0.3">
      <c r="B2214" s="223" t="s">
        <v>2486</v>
      </c>
      <c r="C2214" s="37">
        <v>6</v>
      </c>
      <c r="D2214" s="225">
        <v>10</v>
      </c>
      <c r="E2214" s="226">
        <v>44178</v>
      </c>
      <c r="F2214" s="227"/>
      <c r="G2214" s="1" t="str">
        <f>IFERROR(IF(ventas_b_mes12[[#This Row],[CUIT]]="","-",VLOOKUP(ventas_b_mes12[[#This Row],[CUIT]],Lista_CUIT[#All],2,0)),"CUIT NO CARGADO")</f>
        <v>-</v>
      </c>
      <c r="H2214" s="96">
        <f>ventas_b_mes12[[#This Row],[TOTAL]]/1.21</f>
        <v>3861.1652892561988</v>
      </c>
      <c r="I2214" s="60">
        <f>ventas_b_mes12[[#This Row],[IMPORTE NETO]]*0.21</f>
        <v>810.84471074380167</v>
      </c>
      <c r="J2214" s="229"/>
      <c r="K2214" s="229"/>
      <c r="L2214" s="229">
        <v>4672.01</v>
      </c>
      <c r="M2214" s="55"/>
    </row>
    <row r="2215" spans="2:13" x14ac:dyDescent="0.3">
      <c r="B2215" s="223" t="s">
        <v>2486</v>
      </c>
      <c r="C2215" s="37">
        <v>6</v>
      </c>
      <c r="D2215" s="225">
        <v>13</v>
      </c>
      <c r="E2215" s="226">
        <v>26956</v>
      </c>
      <c r="F2215" s="227"/>
      <c r="G2215" s="1" t="str">
        <f>IFERROR(IF(ventas_b_mes12[[#This Row],[CUIT]]="","-",VLOOKUP(ventas_b_mes12[[#This Row],[CUIT]],Lista_CUIT[#All],2,0)),"CUIT NO CARGADO")</f>
        <v>-</v>
      </c>
      <c r="H2215" s="96">
        <f>ventas_b_mes12[[#This Row],[TOTAL]]/1.21</f>
        <v>743.80165289256206</v>
      </c>
      <c r="I2215" s="60">
        <f>ventas_b_mes12[[#This Row],[IMPORTE NETO]]*0.21</f>
        <v>156.19834710743802</v>
      </c>
      <c r="J2215" s="229"/>
      <c r="K2215" s="229"/>
      <c r="L2215" s="229">
        <v>900</v>
      </c>
      <c r="M2215" s="55"/>
    </row>
    <row r="2216" spans="2:13" x14ac:dyDescent="0.3">
      <c r="B2216" s="223" t="s">
        <v>2486</v>
      </c>
      <c r="C2216" s="37">
        <v>6</v>
      </c>
      <c r="D2216" s="225">
        <v>11</v>
      </c>
      <c r="E2216" s="226">
        <v>30322</v>
      </c>
      <c r="F2216" s="227"/>
      <c r="G2216" s="1" t="str">
        <f>IFERROR(IF(ventas_b_mes12[[#This Row],[CUIT]]="","-",VLOOKUP(ventas_b_mes12[[#This Row],[CUIT]],Lista_CUIT[#All],2,0)),"CUIT NO CARGADO")</f>
        <v>-</v>
      </c>
      <c r="H2216" s="96">
        <f>ventas_b_mes12[[#This Row],[TOTAL]]/1.21</f>
        <v>2661.1570247933887</v>
      </c>
      <c r="I2216" s="60">
        <f>ventas_b_mes12[[#This Row],[IMPORTE NETO]]*0.21</f>
        <v>558.84297520661164</v>
      </c>
      <c r="J2216" s="229"/>
      <c r="K2216" s="229"/>
      <c r="L2216" s="229">
        <v>3220</v>
      </c>
      <c r="M2216" s="55"/>
    </row>
    <row r="2217" spans="2:13" x14ac:dyDescent="0.3">
      <c r="B2217" s="223" t="s">
        <v>2486</v>
      </c>
      <c r="C2217" s="37">
        <v>6</v>
      </c>
      <c r="D2217" s="225">
        <v>10</v>
      </c>
      <c r="E2217" s="226">
        <v>44179</v>
      </c>
      <c r="F2217" s="227"/>
      <c r="G2217" s="1" t="str">
        <f>IFERROR(IF(ventas_b_mes12[[#This Row],[CUIT]]="","-",VLOOKUP(ventas_b_mes12[[#This Row],[CUIT]],Lista_CUIT[#All],2,0)),"CUIT NO CARGADO")</f>
        <v>-</v>
      </c>
      <c r="H2217" s="96">
        <f>ventas_b_mes12[[#This Row],[TOTAL]]/1.21</f>
        <v>1976.8595041322315</v>
      </c>
      <c r="I2217" s="60">
        <f>ventas_b_mes12[[#This Row],[IMPORTE NETO]]*0.21</f>
        <v>415.14049586776861</v>
      </c>
      <c r="J2217" s="229"/>
      <c r="K2217" s="229"/>
      <c r="L2217" s="229">
        <v>2392</v>
      </c>
      <c r="M2217" s="55"/>
    </row>
    <row r="2218" spans="2:13" x14ac:dyDescent="0.3">
      <c r="B2218" s="223" t="s">
        <v>2486</v>
      </c>
      <c r="C2218" s="37">
        <v>6</v>
      </c>
      <c r="D2218" s="225">
        <v>13</v>
      </c>
      <c r="E2218" s="226">
        <v>26953</v>
      </c>
      <c r="F2218" s="227"/>
      <c r="G2218" s="1" t="str">
        <f>IFERROR(IF(ventas_b_mes12[[#This Row],[CUIT]]="","-",VLOOKUP(ventas_b_mes12[[#This Row],[CUIT]],Lista_CUIT[#All],2,0)),"CUIT NO CARGADO")</f>
        <v>-</v>
      </c>
      <c r="H2218" s="96">
        <f>ventas_b_mes12[[#This Row],[TOTAL]]/1.21</f>
        <v>14247.933884297521</v>
      </c>
      <c r="I2218" s="60">
        <f>ventas_b_mes12[[#This Row],[IMPORTE NETO]]*0.21</f>
        <v>2992.0661157024792</v>
      </c>
      <c r="J2218" s="229"/>
      <c r="K2218" s="229"/>
      <c r="L2218" s="229">
        <v>17240</v>
      </c>
      <c r="M2218" s="55"/>
    </row>
    <row r="2219" spans="2:13" x14ac:dyDescent="0.3">
      <c r="B2219" s="223" t="s">
        <v>2486</v>
      </c>
      <c r="C2219" s="37">
        <v>6</v>
      </c>
      <c r="D2219" s="225">
        <v>11</v>
      </c>
      <c r="E2219" s="226">
        <v>30314</v>
      </c>
      <c r="F2219" s="227"/>
      <c r="G2219" s="1" t="str">
        <f>IFERROR(IF(ventas_b_mes12[[#This Row],[CUIT]]="","-",VLOOKUP(ventas_b_mes12[[#This Row],[CUIT]],Lista_CUIT[#All],2,0)),"CUIT NO CARGADO")</f>
        <v>-</v>
      </c>
      <c r="H2219" s="96">
        <f>ventas_b_mes12[[#This Row],[TOTAL]]/1.21</f>
        <v>5584.7107438016528</v>
      </c>
      <c r="I2219" s="60">
        <f>ventas_b_mes12[[#This Row],[IMPORTE NETO]]*0.21</f>
        <v>1172.7892561983469</v>
      </c>
      <c r="J2219" s="229"/>
      <c r="K2219" s="229"/>
      <c r="L2219" s="229">
        <v>6757.5</v>
      </c>
      <c r="M2219" s="55"/>
    </row>
    <row r="2220" spans="2:13" x14ac:dyDescent="0.3">
      <c r="B2220" s="223" t="s">
        <v>2486</v>
      </c>
      <c r="C2220" s="37">
        <v>6</v>
      </c>
      <c r="D2220" s="225">
        <v>15</v>
      </c>
      <c r="E2220" s="226">
        <v>7356</v>
      </c>
      <c r="F2220" s="227"/>
      <c r="G2220" s="1" t="str">
        <f>IFERROR(IF(ventas_b_mes12[[#This Row],[CUIT]]="","-",VLOOKUP(ventas_b_mes12[[#This Row],[CUIT]],Lista_CUIT[#All],2,0)),"CUIT NO CARGADO")</f>
        <v>-</v>
      </c>
      <c r="H2220" s="96">
        <f>ventas_b_mes12[[#This Row],[TOTAL]]/1.21</f>
        <v>4297.5206611570247</v>
      </c>
      <c r="I2220" s="60">
        <f>ventas_b_mes12[[#This Row],[IMPORTE NETO]]*0.21</f>
        <v>902.47933884297515</v>
      </c>
      <c r="J2220" s="229"/>
      <c r="K2220" s="229"/>
      <c r="L2220" s="229">
        <v>5200</v>
      </c>
      <c r="M2220" s="55"/>
    </row>
    <row r="2221" spans="2:13" x14ac:dyDescent="0.3">
      <c r="B2221" s="223" t="s">
        <v>2486</v>
      </c>
      <c r="C2221" s="37">
        <v>6</v>
      </c>
      <c r="D2221" s="225">
        <v>12</v>
      </c>
      <c r="E2221" s="226">
        <v>22780</v>
      </c>
      <c r="F2221" s="227"/>
      <c r="G2221" s="1" t="str">
        <f>IFERROR(IF(ventas_b_mes12[[#This Row],[CUIT]]="","-",VLOOKUP(ventas_b_mes12[[#This Row],[CUIT]],Lista_CUIT[#All],2,0)),"CUIT NO CARGADO")</f>
        <v>-</v>
      </c>
      <c r="H2221" s="96">
        <f>ventas_b_mes12[[#This Row],[TOTAL]]/1.21</f>
        <v>743.80165289256206</v>
      </c>
      <c r="I2221" s="60">
        <f>ventas_b_mes12[[#This Row],[IMPORTE NETO]]*0.21</f>
        <v>156.19834710743802</v>
      </c>
      <c r="J2221" s="229"/>
      <c r="K2221" s="229"/>
      <c r="L2221" s="229">
        <v>900</v>
      </c>
      <c r="M2221" s="55"/>
    </row>
    <row r="2222" spans="2:13" x14ac:dyDescent="0.3">
      <c r="B2222" s="223" t="s">
        <v>2486</v>
      </c>
      <c r="C2222" s="37">
        <v>6</v>
      </c>
      <c r="D2222" s="225">
        <v>11</v>
      </c>
      <c r="E2222" s="226">
        <v>30315</v>
      </c>
      <c r="F2222" s="227"/>
      <c r="G2222" s="1" t="str">
        <f>IFERROR(IF(ventas_b_mes12[[#This Row],[CUIT]]="","-",VLOOKUP(ventas_b_mes12[[#This Row],[CUIT]],Lista_CUIT[#All],2,0)),"CUIT NO CARGADO")</f>
        <v>-</v>
      </c>
      <c r="H2222" s="96">
        <f>ventas_b_mes12[[#This Row],[TOTAL]]/1.21</f>
        <v>11427.545454545454</v>
      </c>
      <c r="I2222" s="60">
        <f>ventas_b_mes12[[#This Row],[IMPORTE NETO]]*0.21</f>
        <v>2399.7845454545454</v>
      </c>
      <c r="J2222" s="229"/>
      <c r="K2222" s="229"/>
      <c r="L2222" s="229">
        <v>13827.33</v>
      </c>
      <c r="M2222" s="55"/>
    </row>
    <row r="2223" spans="2:13" x14ac:dyDescent="0.3">
      <c r="B2223" s="223" t="s">
        <v>2486</v>
      </c>
      <c r="C2223" s="37">
        <v>6</v>
      </c>
      <c r="D2223" s="225">
        <v>10</v>
      </c>
      <c r="E2223" s="226">
        <v>44177</v>
      </c>
      <c r="F2223" s="227"/>
      <c r="G2223" s="1" t="str">
        <f>IFERROR(IF(ventas_b_mes12[[#This Row],[CUIT]]="","-",VLOOKUP(ventas_b_mes12[[#This Row],[CUIT]],Lista_CUIT[#All],2,0)),"CUIT NO CARGADO")</f>
        <v>-</v>
      </c>
      <c r="H2223" s="96">
        <f>ventas_b_mes12[[#This Row],[TOTAL]]/1.21</f>
        <v>1483.4710743801654</v>
      </c>
      <c r="I2223" s="60">
        <f>ventas_b_mes12[[#This Row],[IMPORTE NETO]]*0.21</f>
        <v>311.52892561983475</v>
      </c>
      <c r="J2223" s="229"/>
      <c r="K2223" s="229"/>
      <c r="L2223" s="229">
        <v>1795</v>
      </c>
      <c r="M2223" s="55"/>
    </row>
    <row r="2224" spans="2:13" x14ac:dyDescent="0.3">
      <c r="B2224" s="223" t="s">
        <v>2486</v>
      </c>
      <c r="C2224" s="37">
        <v>6</v>
      </c>
      <c r="D2224" s="225">
        <v>11</v>
      </c>
      <c r="E2224" s="226">
        <v>30323</v>
      </c>
      <c r="F2224" s="227"/>
      <c r="G2224" s="1" t="str">
        <f>IFERROR(IF(ventas_b_mes12[[#This Row],[CUIT]]="","-",VLOOKUP(ventas_b_mes12[[#This Row],[CUIT]],Lista_CUIT[#All],2,0)),"CUIT NO CARGADO")</f>
        <v>-</v>
      </c>
      <c r="H2224" s="96">
        <f>ventas_b_mes12[[#This Row],[TOTAL]]/1.21</f>
        <v>3925.6280991735539</v>
      </c>
      <c r="I2224" s="60">
        <f>ventas_b_mes12[[#This Row],[IMPORTE NETO]]*0.21</f>
        <v>824.38190082644633</v>
      </c>
      <c r="J2224" s="229"/>
      <c r="K2224" s="229"/>
      <c r="L2224" s="229">
        <v>4750.01</v>
      </c>
      <c r="M2224" s="55"/>
    </row>
    <row r="2225" spans="2:13" x14ac:dyDescent="0.3">
      <c r="B2225" s="223" t="s">
        <v>2486</v>
      </c>
      <c r="C2225" s="37">
        <v>6</v>
      </c>
      <c r="D2225" s="225">
        <v>10</v>
      </c>
      <c r="E2225" s="226">
        <v>44186</v>
      </c>
      <c r="F2225" s="227"/>
      <c r="G2225" s="1" t="str">
        <f>IFERROR(IF(ventas_b_mes12[[#This Row],[CUIT]]="","-",VLOOKUP(ventas_b_mes12[[#This Row],[CUIT]],Lista_CUIT[#All],2,0)),"CUIT NO CARGADO")</f>
        <v>-</v>
      </c>
      <c r="H2225" s="96">
        <f>ventas_b_mes12[[#This Row],[TOTAL]]/1.21</f>
        <v>8510.7603305785124</v>
      </c>
      <c r="I2225" s="60">
        <f>ventas_b_mes12[[#This Row],[IMPORTE NETO]]*0.21</f>
        <v>1787.2596694214876</v>
      </c>
      <c r="J2225" s="229"/>
      <c r="K2225" s="229"/>
      <c r="L2225" s="229">
        <v>10298.02</v>
      </c>
      <c r="M2225" s="55"/>
    </row>
    <row r="2226" spans="2:13" x14ac:dyDescent="0.3">
      <c r="B2226" s="223" t="s">
        <v>2486</v>
      </c>
      <c r="C2226" s="37">
        <v>6</v>
      </c>
      <c r="D2226" s="225">
        <v>10</v>
      </c>
      <c r="E2226" s="226">
        <v>44193</v>
      </c>
      <c r="F2226" s="227"/>
      <c r="G2226" s="1" t="str">
        <f>IFERROR(IF(ventas_b_mes12[[#This Row],[CUIT]]="","-",VLOOKUP(ventas_b_mes12[[#This Row],[CUIT]],Lista_CUIT[#All],2,0)),"CUIT NO CARGADO")</f>
        <v>-</v>
      </c>
      <c r="H2226" s="96">
        <f>ventas_b_mes12[[#This Row],[TOTAL]]/1.21</f>
        <v>1078.5123966942149</v>
      </c>
      <c r="I2226" s="60">
        <f>ventas_b_mes12[[#This Row],[IMPORTE NETO]]*0.21</f>
        <v>226.48760330578511</v>
      </c>
      <c r="J2226" s="229"/>
      <c r="K2226" s="229"/>
      <c r="L2226" s="229">
        <v>1305</v>
      </c>
      <c r="M2226" s="55"/>
    </row>
    <row r="2227" spans="2:13" x14ac:dyDescent="0.3">
      <c r="B2227" s="223" t="s">
        <v>2486</v>
      </c>
      <c r="C2227" s="37">
        <v>6</v>
      </c>
      <c r="D2227" s="225">
        <v>10</v>
      </c>
      <c r="E2227" s="226">
        <v>44192</v>
      </c>
      <c r="F2227" s="227"/>
      <c r="G2227" s="1" t="str">
        <f>IFERROR(IF(ventas_b_mes12[[#This Row],[CUIT]]="","-",VLOOKUP(ventas_b_mes12[[#This Row],[CUIT]],Lista_CUIT[#All],2,0)),"CUIT NO CARGADO")</f>
        <v>-</v>
      </c>
      <c r="H2227" s="96">
        <f>ventas_b_mes12[[#This Row],[TOTAL]]/1.21</f>
        <v>3719.0082644628101</v>
      </c>
      <c r="I2227" s="60">
        <f>ventas_b_mes12[[#This Row],[IMPORTE NETO]]*0.21</f>
        <v>780.99173553719004</v>
      </c>
      <c r="J2227" s="229"/>
      <c r="K2227" s="229"/>
      <c r="L2227" s="229">
        <v>4500</v>
      </c>
      <c r="M2227" s="55"/>
    </row>
    <row r="2228" spans="2:13" x14ac:dyDescent="0.3">
      <c r="B2228" s="223" t="s">
        <v>2486</v>
      </c>
      <c r="C2228" s="37">
        <v>6</v>
      </c>
      <c r="D2228" s="225">
        <v>11</v>
      </c>
      <c r="E2228" s="226">
        <v>30327</v>
      </c>
      <c r="F2228" s="227"/>
      <c r="G2228" s="1" t="str">
        <f>IFERROR(IF(ventas_b_mes12[[#This Row],[CUIT]]="","-",VLOOKUP(ventas_b_mes12[[#This Row],[CUIT]],Lista_CUIT[#All],2,0)),"CUIT NO CARGADO")</f>
        <v>-</v>
      </c>
      <c r="H2228" s="96">
        <f>ventas_b_mes12[[#This Row],[TOTAL]]/1.21</f>
        <v>1049.5867768595042</v>
      </c>
      <c r="I2228" s="60">
        <f>ventas_b_mes12[[#This Row],[IMPORTE NETO]]*0.21</f>
        <v>220.41322314049589</v>
      </c>
      <c r="J2228" s="229"/>
      <c r="K2228" s="229"/>
      <c r="L2228" s="229">
        <v>1270</v>
      </c>
      <c r="M2228" s="55"/>
    </row>
    <row r="2229" spans="2:13" x14ac:dyDescent="0.3">
      <c r="B2229" s="223" t="s">
        <v>2486</v>
      </c>
      <c r="C2229" s="37">
        <v>6</v>
      </c>
      <c r="D2229" s="225">
        <v>10</v>
      </c>
      <c r="E2229" s="226">
        <v>44184</v>
      </c>
      <c r="F2229" s="227"/>
      <c r="G2229" s="1" t="str">
        <f>IFERROR(IF(ventas_b_mes12[[#This Row],[CUIT]]="","-",VLOOKUP(ventas_b_mes12[[#This Row],[CUIT]],Lista_CUIT[#All],2,0)),"CUIT NO CARGADO")</f>
        <v>-</v>
      </c>
      <c r="H2229" s="96">
        <f>ventas_b_mes12[[#This Row],[TOTAL]]/1.21</f>
        <v>2148.7603305785124</v>
      </c>
      <c r="I2229" s="60">
        <f>ventas_b_mes12[[#This Row],[IMPORTE NETO]]*0.21</f>
        <v>451.23966942148758</v>
      </c>
      <c r="J2229" s="229"/>
      <c r="K2229" s="229"/>
      <c r="L2229" s="229">
        <v>2600</v>
      </c>
      <c r="M2229" s="55"/>
    </row>
    <row r="2230" spans="2:13" x14ac:dyDescent="0.3">
      <c r="B2230" s="223" t="s">
        <v>2486</v>
      </c>
      <c r="C2230" s="37">
        <v>6</v>
      </c>
      <c r="D2230" s="225">
        <v>11</v>
      </c>
      <c r="E2230" s="226">
        <v>30317</v>
      </c>
      <c r="F2230" s="227"/>
      <c r="G2230" s="1" t="str">
        <f>IFERROR(IF(ventas_b_mes12[[#This Row],[CUIT]]="","-",VLOOKUP(ventas_b_mes12[[#This Row],[CUIT]],Lista_CUIT[#All],2,0)),"CUIT NO CARGADO")</f>
        <v>-</v>
      </c>
      <c r="H2230" s="96">
        <f>ventas_b_mes12[[#This Row],[TOTAL]]/1.21</f>
        <v>7479.3471074380168</v>
      </c>
      <c r="I2230" s="60">
        <f>ventas_b_mes12[[#This Row],[IMPORTE NETO]]*0.21</f>
        <v>1570.6628925619834</v>
      </c>
      <c r="J2230" s="229"/>
      <c r="K2230" s="229"/>
      <c r="L2230" s="229">
        <v>9050.01</v>
      </c>
      <c r="M2230" s="55"/>
    </row>
    <row r="2231" spans="2:13" x14ac:dyDescent="0.3">
      <c r="B2231" s="223" t="s">
        <v>2486</v>
      </c>
      <c r="C2231" s="37">
        <v>6</v>
      </c>
      <c r="D2231" s="225">
        <v>13</v>
      </c>
      <c r="E2231" s="226">
        <v>26952</v>
      </c>
      <c r="F2231" s="227"/>
      <c r="G2231" s="1" t="str">
        <f>IFERROR(IF(ventas_b_mes12[[#This Row],[CUIT]]="","-",VLOOKUP(ventas_b_mes12[[#This Row],[CUIT]],Lista_CUIT[#All],2,0)),"CUIT NO CARGADO")</f>
        <v>-</v>
      </c>
      <c r="H2231" s="96">
        <f>ventas_b_mes12[[#This Row],[TOTAL]]/1.21</f>
        <v>1400.8264462809918</v>
      </c>
      <c r="I2231" s="60">
        <f>ventas_b_mes12[[#This Row],[IMPORTE NETO]]*0.21</f>
        <v>294.17355371900828</v>
      </c>
      <c r="J2231" s="229"/>
      <c r="K2231" s="229"/>
      <c r="L2231" s="229">
        <v>1695</v>
      </c>
      <c r="M2231" s="55"/>
    </row>
    <row r="2232" spans="2:13" x14ac:dyDescent="0.3">
      <c r="B2232" s="223" t="s">
        <v>2486</v>
      </c>
      <c r="C2232" s="37">
        <v>6</v>
      </c>
      <c r="D2232" s="225">
        <v>11</v>
      </c>
      <c r="E2232" s="226">
        <v>30312</v>
      </c>
      <c r="F2232" s="227"/>
      <c r="G2232" s="1" t="str">
        <f>IFERROR(IF(ventas_b_mes12[[#This Row],[CUIT]]="","-",VLOOKUP(ventas_b_mes12[[#This Row],[CUIT]],Lista_CUIT[#All],2,0)),"CUIT NO CARGADO")</f>
        <v>-</v>
      </c>
      <c r="H2232" s="96">
        <f>ventas_b_mes12[[#This Row],[TOTAL]]/1.21</f>
        <v>10330.603305785125</v>
      </c>
      <c r="I2232" s="60">
        <f>ventas_b_mes12[[#This Row],[IMPORTE NETO]]*0.21</f>
        <v>2169.4266942148761</v>
      </c>
      <c r="J2232" s="229"/>
      <c r="K2232" s="229"/>
      <c r="L2232" s="229">
        <v>12500.03</v>
      </c>
      <c r="M2232" s="55"/>
    </row>
    <row r="2233" spans="2:13" x14ac:dyDescent="0.3">
      <c r="B2233" s="223" t="s">
        <v>2486</v>
      </c>
      <c r="C2233" s="37">
        <v>6</v>
      </c>
      <c r="D2233" s="225">
        <v>11</v>
      </c>
      <c r="E2233" s="226">
        <v>30319</v>
      </c>
      <c r="F2233" s="227"/>
      <c r="G2233" s="1" t="str">
        <f>IFERROR(IF(ventas_b_mes12[[#This Row],[CUIT]]="","-",VLOOKUP(ventas_b_mes12[[#This Row],[CUIT]],Lista_CUIT[#All],2,0)),"CUIT NO CARGADO")</f>
        <v>-</v>
      </c>
      <c r="H2233" s="96">
        <f>ventas_b_mes12[[#This Row],[TOTAL]]/1.21</f>
        <v>14627.231404958678</v>
      </c>
      <c r="I2233" s="60">
        <f>ventas_b_mes12[[#This Row],[IMPORTE NETO]]*0.21</f>
        <v>3071.7185950413223</v>
      </c>
      <c r="J2233" s="229"/>
      <c r="K2233" s="229"/>
      <c r="L2233" s="229">
        <v>17698.95</v>
      </c>
      <c r="M2233" s="55"/>
    </row>
    <row r="2234" spans="2:13" x14ac:dyDescent="0.3">
      <c r="B2234" s="223" t="s">
        <v>2486</v>
      </c>
      <c r="C2234" s="37">
        <v>6</v>
      </c>
      <c r="D2234" s="225">
        <v>10</v>
      </c>
      <c r="E2234" s="226">
        <v>44182</v>
      </c>
      <c r="F2234" s="227"/>
      <c r="G2234" s="1" t="str">
        <f>IFERROR(IF(ventas_b_mes12[[#This Row],[CUIT]]="","-",VLOOKUP(ventas_b_mes12[[#This Row],[CUIT]],Lista_CUIT[#All],2,0)),"CUIT NO CARGADO")</f>
        <v>-</v>
      </c>
      <c r="H2234" s="96">
        <f>ventas_b_mes12[[#This Row],[TOTAL]]/1.21</f>
        <v>789.25619834710744</v>
      </c>
      <c r="I2234" s="60">
        <f>ventas_b_mes12[[#This Row],[IMPORTE NETO]]*0.21</f>
        <v>165.74380165289256</v>
      </c>
      <c r="J2234" s="229"/>
      <c r="K2234" s="229"/>
      <c r="L2234" s="229">
        <v>955</v>
      </c>
      <c r="M2234" s="55"/>
    </row>
    <row r="2235" spans="2:13" x14ac:dyDescent="0.3">
      <c r="B2235" s="223" t="s">
        <v>2486</v>
      </c>
      <c r="C2235" s="37">
        <v>6</v>
      </c>
      <c r="D2235" s="225">
        <v>11</v>
      </c>
      <c r="E2235" s="226">
        <v>30313</v>
      </c>
      <c r="F2235" s="227"/>
      <c r="G2235" s="1" t="str">
        <f>IFERROR(IF(ventas_b_mes12[[#This Row],[CUIT]]="","-",VLOOKUP(ventas_b_mes12[[#This Row],[CUIT]],Lista_CUIT[#All],2,0)),"CUIT NO CARGADO")</f>
        <v>-</v>
      </c>
      <c r="H2235" s="96">
        <f>ventas_b_mes12[[#This Row],[TOTAL]]/1.21</f>
        <v>723.14049586776866</v>
      </c>
      <c r="I2235" s="60">
        <f>ventas_b_mes12[[#This Row],[IMPORTE NETO]]*0.21</f>
        <v>151.85950413223142</v>
      </c>
      <c r="J2235" s="229"/>
      <c r="K2235" s="229"/>
      <c r="L2235" s="229">
        <v>875</v>
      </c>
      <c r="M2235" s="55"/>
    </row>
    <row r="2236" spans="2:13" x14ac:dyDescent="0.3">
      <c r="B2236" s="223" t="s">
        <v>2486</v>
      </c>
      <c r="C2236" s="37">
        <v>6</v>
      </c>
      <c r="D2236" s="225">
        <v>12</v>
      </c>
      <c r="E2236" s="226">
        <v>22779</v>
      </c>
      <c r="F2236" s="227"/>
      <c r="G2236" s="1" t="str">
        <f>IFERROR(IF(ventas_b_mes12[[#This Row],[CUIT]]="","-",VLOOKUP(ventas_b_mes12[[#This Row],[CUIT]],Lista_CUIT[#All],2,0)),"CUIT NO CARGADO")</f>
        <v>-</v>
      </c>
      <c r="H2236" s="96">
        <f>ventas_b_mes12[[#This Row],[TOTAL]]/1.21</f>
        <v>23549.867768595042</v>
      </c>
      <c r="I2236" s="60">
        <f>ventas_b_mes12[[#This Row],[IMPORTE NETO]]*0.21</f>
        <v>4945.4722314049586</v>
      </c>
      <c r="J2236" s="229"/>
      <c r="K2236" s="229"/>
      <c r="L2236" s="229">
        <v>28495.34</v>
      </c>
      <c r="M2236" s="55"/>
    </row>
    <row r="2237" spans="2:13" x14ac:dyDescent="0.3">
      <c r="B2237" s="223" t="s">
        <v>2486</v>
      </c>
      <c r="C2237" s="37">
        <v>6</v>
      </c>
      <c r="D2237" s="225">
        <v>10</v>
      </c>
      <c r="E2237" s="226">
        <v>44183</v>
      </c>
      <c r="F2237" s="227"/>
      <c r="G2237" s="1" t="str">
        <f>IFERROR(IF(ventas_b_mes12[[#This Row],[CUIT]]="","-",VLOOKUP(ventas_b_mes12[[#This Row],[CUIT]],Lista_CUIT[#All],2,0)),"CUIT NO CARGADO")</f>
        <v>-</v>
      </c>
      <c r="H2237" s="96">
        <f>ventas_b_mes12[[#This Row],[TOTAL]]/1.21</f>
        <v>2148.7603305785124</v>
      </c>
      <c r="I2237" s="60">
        <f>ventas_b_mes12[[#This Row],[IMPORTE NETO]]*0.21</f>
        <v>451.23966942148758</v>
      </c>
      <c r="J2237" s="229"/>
      <c r="K2237" s="229"/>
      <c r="L2237" s="229">
        <v>2600</v>
      </c>
      <c r="M2237" s="55"/>
    </row>
    <row r="2238" spans="2:13" x14ac:dyDescent="0.3">
      <c r="B2238" s="223" t="s">
        <v>2486</v>
      </c>
      <c r="C2238" s="37">
        <v>6</v>
      </c>
      <c r="D2238" s="225">
        <v>11</v>
      </c>
      <c r="E2238" s="226">
        <v>30326</v>
      </c>
      <c r="F2238" s="227"/>
      <c r="G2238" s="1" t="str">
        <f>IFERROR(IF(ventas_b_mes12[[#This Row],[CUIT]]="","-",VLOOKUP(ventas_b_mes12[[#This Row],[CUIT]],Lista_CUIT[#All],2,0)),"CUIT NO CARGADO")</f>
        <v>-</v>
      </c>
      <c r="H2238" s="96">
        <f>ventas_b_mes12[[#This Row],[TOTAL]]/1.21</f>
        <v>3595.0413223140495</v>
      </c>
      <c r="I2238" s="60">
        <f>ventas_b_mes12[[#This Row],[IMPORTE NETO]]*0.21</f>
        <v>754.95867768595031</v>
      </c>
      <c r="J2238" s="229"/>
      <c r="K2238" s="229"/>
      <c r="L2238" s="229">
        <v>4350</v>
      </c>
      <c r="M2238" s="55"/>
    </row>
    <row r="2239" spans="2:13" x14ac:dyDescent="0.3">
      <c r="B2239" s="223" t="s">
        <v>2486</v>
      </c>
      <c r="C2239" s="37">
        <v>6</v>
      </c>
      <c r="D2239" s="225">
        <v>10</v>
      </c>
      <c r="E2239" s="226">
        <v>44190</v>
      </c>
      <c r="F2239" s="227"/>
      <c r="G2239" s="1" t="str">
        <f>IFERROR(IF(ventas_b_mes12[[#This Row],[CUIT]]="","-",VLOOKUP(ventas_b_mes12[[#This Row],[CUIT]],Lista_CUIT[#All],2,0)),"CUIT NO CARGADO")</f>
        <v>-</v>
      </c>
      <c r="H2239" s="96">
        <f>ventas_b_mes12[[#This Row],[TOTAL]]/1.21</f>
        <v>4425.6198347107438</v>
      </c>
      <c r="I2239" s="60">
        <f>ventas_b_mes12[[#This Row],[IMPORTE NETO]]*0.21</f>
        <v>929.38016528925618</v>
      </c>
      <c r="J2239" s="229"/>
      <c r="K2239" s="229"/>
      <c r="L2239" s="229">
        <v>5355</v>
      </c>
      <c r="M2239" s="55"/>
    </row>
    <row r="2240" spans="2:13" x14ac:dyDescent="0.3">
      <c r="B2240" s="223" t="s">
        <v>2486</v>
      </c>
      <c r="C2240" s="37">
        <v>6</v>
      </c>
      <c r="D2240" s="225">
        <v>11</v>
      </c>
      <c r="E2240" s="226">
        <v>30328</v>
      </c>
      <c r="F2240" s="227"/>
      <c r="G2240" s="1" t="str">
        <f>IFERROR(IF(ventas_b_mes12[[#This Row],[CUIT]]="","-",VLOOKUP(ventas_b_mes12[[#This Row],[CUIT]],Lista_CUIT[#All],2,0)),"CUIT NO CARGADO")</f>
        <v>-</v>
      </c>
      <c r="H2240" s="96">
        <f>ventas_b_mes12[[#This Row],[TOTAL]]/1.21</f>
        <v>4958.6776859504134</v>
      </c>
      <c r="I2240" s="60">
        <f>ventas_b_mes12[[#This Row],[IMPORTE NETO]]*0.21</f>
        <v>1041.3223140495868</v>
      </c>
      <c r="J2240" s="229"/>
      <c r="K2240" s="229"/>
      <c r="L2240" s="229">
        <v>6000</v>
      </c>
      <c r="M2240" s="55"/>
    </row>
    <row r="2241" spans="2:13" x14ac:dyDescent="0.3">
      <c r="B2241" s="223" t="s">
        <v>2486</v>
      </c>
      <c r="C2241" s="37">
        <v>6</v>
      </c>
      <c r="D2241" s="225">
        <v>10</v>
      </c>
      <c r="E2241" s="226">
        <v>44187</v>
      </c>
      <c r="F2241" s="227"/>
      <c r="G2241" s="1" t="str">
        <f>IFERROR(IF(ventas_b_mes12[[#This Row],[CUIT]]="","-",VLOOKUP(ventas_b_mes12[[#This Row],[CUIT]],Lista_CUIT[#All],2,0)),"CUIT NO CARGADO")</f>
        <v>-</v>
      </c>
      <c r="H2241" s="96">
        <f>ventas_b_mes12[[#This Row],[TOTAL]]/1.21</f>
        <v>28664.876033057852</v>
      </c>
      <c r="I2241" s="60">
        <f>ventas_b_mes12[[#This Row],[IMPORTE NETO]]*0.21</f>
        <v>6019.6239669421484</v>
      </c>
      <c r="J2241" s="229"/>
      <c r="K2241" s="229"/>
      <c r="L2241" s="229">
        <v>34684.5</v>
      </c>
      <c r="M2241" s="55"/>
    </row>
    <row r="2242" spans="2:13" x14ac:dyDescent="0.3">
      <c r="B2242" s="223" t="s">
        <v>2487</v>
      </c>
      <c r="C2242" s="37">
        <v>6</v>
      </c>
      <c r="D2242" s="225">
        <v>12</v>
      </c>
      <c r="E2242" s="226">
        <v>22805</v>
      </c>
      <c r="F2242" s="227"/>
      <c r="G2242" s="1" t="str">
        <f>IFERROR(IF(ventas_b_mes12[[#This Row],[CUIT]]="","-",VLOOKUP(ventas_b_mes12[[#This Row],[CUIT]],Lista_CUIT[#All],2,0)),"CUIT NO CARGADO")</f>
        <v>-</v>
      </c>
      <c r="H2242" s="96">
        <f>ventas_b_mes12[[#This Row],[TOTAL]]/1.21</f>
        <v>20867.735537190081</v>
      </c>
      <c r="I2242" s="60">
        <f>ventas_b_mes12[[#This Row],[IMPORTE NETO]]*0.21</f>
        <v>4382.224462809917</v>
      </c>
      <c r="J2242" s="229"/>
      <c r="K2242" s="229"/>
      <c r="L2242" s="229">
        <v>25249.96</v>
      </c>
      <c r="M2242" s="55"/>
    </row>
    <row r="2243" spans="2:13" x14ac:dyDescent="0.3">
      <c r="B2243" s="223" t="s">
        <v>2487</v>
      </c>
      <c r="C2243" s="37">
        <v>6</v>
      </c>
      <c r="D2243" s="225">
        <v>10</v>
      </c>
      <c r="E2243" s="226">
        <v>44194</v>
      </c>
      <c r="F2243" s="227"/>
      <c r="G2243" s="1" t="str">
        <f>IFERROR(IF(ventas_b_mes12[[#This Row],[CUIT]]="","-",VLOOKUP(ventas_b_mes12[[#This Row],[CUIT]],Lista_CUIT[#All],2,0)),"CUIT NO CARGADO")</f>
        <v>-</v>
      </c>
      <c r="H2243" s="96">
        <f>ventas_b_mes12[[#This Row],[TOTAL]]/1.21</f>
        <v>2148.7603305785124</v>
      </c>
      <c r="I2243" s="60">
        <f>ventas_b_mes12[[#This Row],[IMPORTE NETO]]*0.21</f>
        <v>451.23966942148758</v>
      </c>
      <c r="J2243" s="229"/>
      <c r="K2243" s="229"/>
      <c r="L2243" s="229">
        <v>2600</v>
      </c>
      <c r="M2243" s="55"/>
    </row>
    <row r="2244" spans="2:13" x14ac:dyDescent="0.3">
      <c r="B2244" s="223" t="s">
        <v>2487</v>
      </c>
      <c r="C2244" s="37">
        <v>6</v>
      </c>
      <c r="D2244" s="225">
        <v>11</v>
      </c>
      <c r="E2244" s="226">
        <v>30332</v>
      </c>
      <c r="F2244" s="227"/>
      <c r="G2244" s="1" t="str">
        <f>IFERROR(IF(ventas_b_mes12[[#This Row],[CUIT]]="","-",VLOOKUP(ventas_b_mes12[[#This Row],[CUIT]],Lista_CUIT[#All],2,0)),"CUIT NO CARGADO")</f>
        <v>-</v>
      </c>
      <c r="H2244" s="96">
        <f>ventas_b_mes12[[#This Row],[TOTAL]]/1.21</f>
        <v>13760.338842975205</v>
      </c>
      <c r="I2244" s="60">
        <f>ventas_b_mes12[[#This Row],[IMPORTE NETO]]*0.21</f>
        <v>2889.671157024793</v>
      </c>
      <c r="J2244" s="229"/>
      <c r="K2244" s="229"/>
      <c r="L2244" s="229">
        <v>16650.009999999998</v>
      </c>
      <c r="M2244" s="55"/>
    </row>
    <row r="2245" spans="2:13" x14ac:dyDescent="0.3">
      <c r="B2245" s="223" t="s">
        <v>2487</v>
      </c>
      <c r="C2245" s="37">
        <v>6</v>
      </c>
      <c r="D2245" s="225">
        <v>12</v>
      </c>
      <c r="E2245" s="226">
        <v>22817</v>
      </c>
      <c r="F2245" s="227"/>
      <c r="G2245" s="1" t="str">
        <f>IFERROR(IF(ventas_b_mes12[[#This Row],[CUIT]]="","-",VLOOKUP(ventas_b_mes12[[#This Row],[CUIT]],Lista_CUIT[#All],2,0)),"CUIT NO CARGADO")</f>
        <v>-</v>
      </c>
      <c r="H2245" s="96">
        <f>ventas_b_mes12[[#This Row],[TOTAL]]/1.21</f>
        <v>1842.9752066115702</v>
      </c>
      <c r="I2245" s="60">
        <f>ventas_b_mes12[[#This Row],[IMPORTE NETO]]*0.21</f>
        <v>387.02479338842971</v>
      </c>
      <c r="J2245" s="229"/>
      <c r="K2245" s="229"/>
      <c r="L2245" s="229">
        <v>2230</v>
      </c>
      <c r="M2245" s="55"/>
    </row>
    <row r="2246" spans="2:13" x14ac:dyDescent="0.3">
      <c r="B2246" s="223" t="s">
        <v>2487</v>
      </c>
      <c r="C2246" s="37">
        <v>6</v>
      </c>
      <c r="D2246" s="225">
        <v>10</v>
      </c>
      <c r="E2246" s="226">
        <v>44205</v>
      </c>
      <c r="F2246" s="227"/>
      <c r="G2246" s="1" t="str">
        <f>IFERROR(IF(ventas_b_mes12[[#This Row],[CUIT]]="","-",VLOOKUP(ventas_b_mes12[[#This Row],[CUIT]],Lista_CUIT[#All],2,0)),"CUIT NO CARGADO")</f>
        <v>-</v>
      </c>
      <c r="H2246" s="96">
        <f>ventas_b_mes12[[#This Row],[TOTAL]]/1.21</f>
        <v>2975.2066115702482</v>
      </c>
      <c r="I2246" s="60">
        <f>ventas_b_mes12[[#This Row],[IMPORTE NETO]]*0.21</f>
        <v>624.7933884297521</v>
      </c>
      <c r="J2246" s="229"/>
      <c r="K2246" s="229"/>
      <c r="L2246" s="229">
        <v>3600</v>
      </c>
      <c r="M2246" s="55"/>
    </row>
    <row r="2247" spans="2:13" x14ac:dyDescent="0.3">
      <c r="B2247" s="223" t="s">
        <v>2487</v>
      </c>
      <c r="C2247" s="37">
        <v>6</v>
      </c>
      <c r="D2247" s="225">
        <v>10</v>
      </c>
      <c r="E2247" s="226">
        <v>44204</v>
      </c>
      <c r="F2247" s="227"/>
      <c r="G2247" s="1" t="str">
        <f>IFERROR(IF(ventas_b_mes12[[#This Row],[CUIT]]="","-",VLOOKUP(ventas_b_mes12[[#This Row],[CUIT]],Lista_CUIT[#All],2,0)),"CUIT NO CARGADO")</f>
        <v>-</v>
      </c>
      <c r="H2247" s="96">
        <f>ventas_b_mes12[[#This Row],[TOTAL]]/1.21</f>
        <v>3305.7851239669421</v>
      </c>
      <c r="I2247" s="60">
        <f>ventas_b_mes12[[#This Row],[IMPORTE NETO]]*0.21</f>
        <v>694.21487603305786</v>
      </c>
      <c r="J2247" s="229"/>
      <c r="K2247" s="229"/>
      <c r="L2247" s="229">
        <v>4000</v>
      </c>
      <c r="M2247" s="55"/>
    </row>
    <row r="2248" spans="2:13" x14ac:dyDescent="0.3">
      <c r="B2248" s="223" t="s">
        <v>2487</v>
      </c>
      <c r="C2248" s="37">
        <v>6</v>
      </c>
      <c r="D2248" s="225">
        <v>11</v>
      </c>
      <c r="E2248" s="226">
        <v>30342</v>
      </c>
      <c r="F2248" s="227"/>
      <c r="G2248" s="1" t="str">
        <f>IFERROR(IF(ventas_b_mes12[[#This Row],[CUIT]]="","-",VLOOKUP(ventas_b_mes12[[#This Row],[CUIT]],Lista_CUIT[#All],2,0)),"CUIT NO CARGADO")</f>
        <v>-</v>
      </c>
      <c r="H2248" s="96">
        <f>ventas_b_mes12[[#This Row],[TOTAL]]/1.21</f>
        <v>3471.0743801652893</v>
      </c>
      <c r="I2248" s="60">
        <f>ventas_b_mes12[[#This Row],[IMPORTE NETO]]*0.21</f>
        <v>728.92561983471069</v>
      </c>
      <c r="J2248" s="229"/>
      <c r="K2248" s="229"/>
      <c r="L2248" s="229">
        <v>4200</v>
      </c>
      <c r="M2248" s="55"/>
    </row>
    <row r="2249" spans="2:13" x14ac:dyDescent="0.3">
      <c r="B2249" s="223" t="s">
        <v>2487</v>
      </c>
      <c r="C2249" s="37">
        <v>6</v>
      </c>
      <c r="D2249" s="225">
        <v>12</v>
      </c>
      <c r="E2249" s="226">
        <v>22812</v>
      </c>
      <c r="F2249" s="227"/>
      <c r="G2249" s="1" t="str">
        <f>IFERROR(IF(ventas_b_mes12[[#This Row],[CUIT]]="","-",VLOOKUP(ventas_b_mes12[[#This Row],[CUIT]],Lista_CUIT[#All],2,0)),"CUIT NO CARGADO")</f>
        <v>-</v>
      </c>
      <c r="H2249" s="96">
        <f>ventas_b_mes12[[#This Row],[TOTAL]]/1.21</f>
        <v>4338.8429752066113</v>
      </c>
      <c r="I2249" s="60">
        <f>ventas_b_mes12[[#This Row],[IMPORTE NETO]]*0.21</f>
        <v>911.15702479338836</v>
      </c>
      <c r="J2249" s="229"/>
      <c r="K2249" s="229"/>
      <c r="L2249" s="229">
        <v>5250</v>
      </c>
      <c r="M2249" s="55"/>
    </row>
    <row r="2250" spans="2:13" x14ac:dyDescent="0.3">
      <c r="B2250" s="223" t="s">
        <v>2487</v>
      </c>
      <c r="C2250" s="37">
        <v>6</v>
      </c>
      <c r="D2250" s="225">
        <v>13</v>
      </c>
      <c r="E2250" s="226">
        <v>26957</v>
      </c>
      <c r="F2250" s="227"/>
      <c r="G2250" s="1" t="str">
        <f>IFERROR(IF(ventas_b_mes12[[#This Row],[CUIT]]="","-",VLOOKUP(ventas_b_mes12[[#This Row],[CUIT]],Lista_CUIT[#All],2,0)),"CUIT NO CARGADO")</f>
        <v>-</v>
      </c>
      <c r="H2250" s="96">
        <f>ventas_b_mes12[[#This Row],[TOTAL]]/1.21</f>
        <v>2140.504132231405</v>
      </c>
      <c r="I2250" s="60">
        <f>ventas_b_mes12[[#This Row],[IMPORTE NETO]]*0.21</f>
        <v>449.50586776859507</v>
      </c>
      <c r="J2250" s="229"/>
      <c r="K2250" s="229"/>
      <c r="L2250" s="229">
        <v>2590.0100000000002</v>
      </c>
      <c r="M2250" s="55"/>
    </row>
    <row r="2251" spans="2:13" x14ac:dyDescent="0.3">
      <c r="B2251" s="223" t="s">
        <v>2487</v>
      </c>
      <c r="C2251" s="37">
        <v>6</v>
      </c>
      <c r="D2251" s="225">
        <v>12</v>
      </c>
      <c r="E2251" s="226">
        <v>22820</v>
      </c>
      <c r="F2251" s="227"/>
      <c r="G2251" s="1" t="str">
        <f>IFERROR(IF(ventas_b_mes12[[#This Row],[CUIT]]="","-",VLOOKUP(ventas_b_mes12[[#This Row],[CUIT]],Lista_CUIT[#All],2,0)),"CUIT NO CARGADO")</f>
        <v>-</v>
      </c>
      <c r="H2251" s="96">
        <f>ventas_b_mes12[[#This Row],[TOTAL]]/1.21</f>
        <v>25495.867768595042</v>
      </c>
      <c r="I2251" s="60">
        <f>ventas_b_mes12[[#This Row],[IMPORTE NETO]]*0.21</f>
        <v>5354.1322314049585</v>
      </c>
      <c r="J2251" s="229"/>
      <c r="K2251" s="229"/>
      <c r="L2251" s="229">
        <v>30850</v>
      </c>
      <c r="M2251" s="55"/>
    </row>
    <row r="2252" spans="2:13" x14ac:dyDescent="0.3">
      <c r="B2252" s="223" t="s">
        <v>2487</v>
      </c>
      <c r="C2252" s="37">
        <v>6</v>
      </c>
      <c r="D2252" s="225">
        <v>10</v>
      </c>
      <c r="E2252" s="226">
        <v>44200</v>
      </c>
      <c r="F2252" s="227"/>
      <c r="G2252" s="1" t="str">
        <f>IFERROR(IF(ventas_b_mes12[[#This Row],[CUIT]]="","-",VLOOKUP(ventas_b_mes12[[#This Row],[CUIT]],Lista_CUIT[#All],2,0)),"CUIT NO CARGADO")</f>
        <v>-</v>
      </c>
      <c r="H2252" s="96">
        <f>ventas_b_mes12[[#This Row],[TOTAL]]/1.21</f>
        <v>10330.578512396694</v>
      </c>
      <c r="I2252" s="60">
        <f>ventas_b_mes12[[#This Row],[IMPORTE NETO]]*0.21</f>
        <v>2169.4214876033056</v>
      </c>
      <c r="J2252" s="229"/>
      <c r="K2252" s="229"/>
      <c r="L2252" s="229">
        <v>12500</v>
      </c>
      <c r="M2252" s="55"/>
    </row>
    <row r="2253" spans="2:13" x14ac:dyDescent="0.3">
      <c r="B2253" s="223" t="s">
        <v>2487</v>
      </c>
      <c r="C2253" s="37">
        <v>6</v>
      </c>
      <c r="D2253" s="225">
        <v>12</v>
      </c>
      <c r="E2253" s="226">
        <v>22819</v>
      </c>
      <c r="F2253" s="227"/>
      <c r="G2253" s="1" t="str">
        <f>IFERROR(IF(ventas_b_mes12[[#This Row],[CUIT]]="","-",VLOOKUP(ventas_b_mes12[[#This Row],[CUIT]],Lista_CUIT[#All],2,0)),"CUIT NO CARGADO")</f>
        <v>-</v>
      </c>
      <c r="H2253" s="96">
        <f>ventas_b_mes12[[#This Row],[TOTAL]]/1.21</f>
        <v>1784.7107438016531</v>
      </c>
      <c r="I2253" s="60">
        <f>ventas_b_mes12[[#This Row],[IMPORTE NETO]]*0.21</f>
        <v>374.78925619834712</v>
      </c>
      <c r="J2253" s="229"/>
      <c r="K2253" s="229"/>
      <c r="L2253" s="229">
        <v>2159.5</v>
      </c>
      <c r="M2253" s="55"/>
    </row>
    <row r="2254" spans="2:13" x14ac:dyDescent="0.3">
      <c r="B2254" s="223" t="s">
        <v>2487</v>
      </c>
      <c r="C2254" s="37">
        <v>6</v>
      </c>
      <c r="D2254" s="225">
        <v>15</v>
      </c>
      <c r="E2254" s="226">
        <v>7363</v>
      </c>
      <c r="F2254" s="227"/>
      <c r="G2254" s="1" t="str">
        <f>IFERROR(IF(ventas_b_mes12[[#This Row],[CUIT]]="","-",VLOOKUP(ventas_b_mes12[[#This Row],[CUIT]],Lista_CUIT[#All],2,0)),"CUIT NO CARGADO")</f>
        <v>-</v>
      </c>
      <c r="H2254" s="96">
        <f>ventas_b_mes12[[#This Row],[TOTAL]]/1.21</f>
        <v>9090.9090909090919</v>
      </c>
      <c r="I2254" s="60">
        <f>ventas_b_mes12[[#This Row],[IMPORTE NETO]]*0.21</f>
        <v>1909.0909090909092</v>
      </c>
      <c r="J2254" s="229"/>
      <c r="K2254" s="229"/>
      <c r="L2254" s="229">
        <v>11000</v>
      </c>
      <c r="M2254" s="55"/>
    </row>
    <row r="2255" spans="2:13" x14ac:dyDescent="0.3">
      <c r="B2255" s="223" t="s">
        <v>2487</v>
      </c>
      <c r="C2255" s="37">
        <v>6</v>
      </c>
      <c r="D2255" s="225">
        <v>12</v>
      </c>
      <c r="E2255" s="226">
        <v>22798</v>
      </c>
      <c r="F2255" s="227"/>
      <c r="G2255" s="1" t="str">
        <f>IFERROR(IF(ventas_b_mes12[[#This Row],[CUIT]]="","-",VLOOKUP(ventas_b_mes12[[#This Row],[CUIT]],Lista_CUIT[#All],2,0)),"CUIT NO CARGADO")</f>
        <v>-</v>
      </c>
      <c r="H2255" s="96">
        <f>ventas_b_mes12[[#This Row],[TOTAL]]/1.21</f>
        <v>4256.1983471074382</v>
      </c>
      <c r="I2255" s="60">
        <f>ventas_b_mes12[[#This Row],[IMPORTE NETO]]*0.21</f>
        <v>893.80165289256195</v>
      </c>
      <c r="J2255" s="229"/>
      <c r="K2255" s="229"/>
      <c r="L2255" s="229">
        <v>5150</v>
      </c>
      <c r="M2255" s="55"/>
    </row>
    <row r="2256" spans="2:13" x14ac:dyDescent="0.3">
      <c r="B2256" s="223" t="s">
        <v>2487</v>
      </c>
      <c r="C2256" s="37">
        <v>6</v>
      </c>
      <c r="D2256" s="225">
        <v>12</v>
      </c>
      <c r="E2256" s="226">
        <v>22803</v>
      </c>
      <c r="F2256" s="227"/>
      <c r="G2256" s="1" t="str">
        <f>IFERROR(IF(ventas_b_mes12[[#This Row],[CUIT]]="","-",VLOOKUP(ventas_b_mes12[[#This Row],[CUIT]],Lista_CUIT[#All],2,0)),"CUIT NO CARGADO")</f>
        <v>-</v>
      </c>
      <c r="H2256" s="96">
        <f>ventas_b_mes12[[#This Row],[TOTAL]]/1.21</f>
        <v>8181.818181818182</v>
      </c>
      <c r="I2256" s="60">
        <f>ventas_b_mes12[[#This Row],[IMPORTE NETO]]*0.21</f>
        <v>1718.1818181818182</v>
      </c>
      <c r="J2256" s="229"/>
      <c r="K2256" s="229"/>
      <c r="L2256" s="229">
        <v>9900</v>
      </c>
      <c r="M2256" s="55"/>
    </row>
    <row r="2257" spans="2:13" x14ac:dyDescent="0.3">
      <c r="B2257" s="223" t="s">
        <v>2487</v>
      </c>
      <c r="C2257" s="37">
        <v>6</v>
      </c>
      <c r="D2257" s="225">
        <v>10</v>
      </c>
      <c r="E2257" s="226">
        <v>44196</v>
      </c>
      <c r="F2257" s="227"/>
      <c r="G2257" s="1" t="str">
        <f>IFERROR(IF(ventas_b_mes12[[#This Row],[CUIT]]="","-",VLOOKUP(ventas_b_mes12[[#This Row],[CUIT]],Lista_CUIT[#All],2,0)),"CUIT NO CARGADO")</f>
        <v>-</v>
      </c>
      <c r="H2257" s="96">
        <f>ventas_b_mes12[[#This Row],[TOTAL]]/1.21</f>
        <v>4545.454545454546</v>
      </c>
      <c r="I2257" s="60">
        <f>ventas_b_mes12[[#This Row],[IMPORTE NETO]]*0.21</f>
        <v>954.54545454545462</v>
      </c>
      <c r="J2257" s="229"/>
      <c r="K2257" s="229"/>
      <c r="L2257" s="229">
        <v>5500</v>
      </c>
      <c r="M2257" s="55"/>
    </row>
    <row r="2258" spans="2:13" x14ac:dyDescent="0.3">
      <c r="B2258" s="223" t="s">
        <v>2487</v>
      </c>
      <c r="C2258" s="37">
        <v>6</v>
      </c>
      <c r="D2258" s="225">
        <v>12</v>
      </c>
      <c r="E2258" s="226">
        <v>22804</v>
      </c>
      <c r="F2258" s="227"/>
      <c r="G2258" s="1" t="str">
        <f>IFERROR(IF(ventas_b_mes12[[#This Row],[CUIT]]="","-",VLOOKUP(ventas_b_mes12[[#This Row],[CUIT]],Lista_CUIT[#All],2,0)),"CUIT NO CARGADO")</f>
        <v>-</v>
      </c>
      <c r="H2258" s="96">
        <f>ventas_b_mes12[[#This Row],[TOTAL]]/1.21</f>
        <v>6363.636363636364</v>
      </c>
      <c r="I2258" s="60">
        <f>ventas_b_mes12[[#This Row],[IMPORTE NETO]]*0.21</f>
        <v>1336.3636363636365</v>
      </c>
      <c r="J2258" s="229"/>
      <c r="K2258" s="229"/>
      <c r="L2258" s="229">
        <v>7700</v>
      </c>
      <c r="M2258" s="55"/>
    </row>
    <row r="2259" spans="2:13" x14ac:dyDescent="0.3">
      <c r="B2259" s="223" t="s">
        <v>2487</v>
      </c>
      <c r="C2259" s="37">
        <v>6</v>
      </c>
      <c r="D2259" s="225">
        <v>11</v>
      </c>
      <c r="E2259" s="226">
        <v>30331</v>
      </c>
      <c r="F2259" s="227"/>
      <c r="G2259" s="1" t="str">
        <f>IFERROR(IF(ventas_b_mes12[[#This Row],[CUIT]]="","-",VLOOKUP(ventas_b_mes12[[#This Row],[CUIT]],Lista_CUIT[#All],2,0)),"CUIT NO CARGADO")</f>
        <v>-</v>
      </c>
      <c r="H2259" s="96">
        <f>ventas_b_mes12[[#This Row],[TOTAL]]/1.21</f>
        <v>4545.454545454546</v>
      </c>
      <c r="I2259" s="60">
        <f>ventas_b_mes12[[#This Row],[IMPORTE NETO]]*0.21</f>
        <v>954.54545454545462</v>
      </c>
      <c r="J2259" s="229"/>
      <c r="K2259" s="229"/>
      <c r="L2259" s="229">
        <v>5500</v>
      </c>
      <c r="M2259" s="55"/>
    </row>
    <row r="2260" spans="2:13" x14ac:dyDescent="0.3">
      <c r="B2260" s="223" t="s">
        <v>2487</v>
      </c>
      <c r="C2260" s="37">
        <v>6</v>
      </c>
      <c r="D2260" s="225">
        <v>12</v>
      </c>
      <c r="E2260" s="226">
        <v>22794</v>
      </c>
      <c r="F2260" s="227"/>
      <c r="G2260" s="1" t="str">
        <f>IFERROR(IF(ventas_b_mes12[[#This Row],[CUIT]]="","-",VLOOKUP(ventas_b_mes12[[#This Row],[CUIT]],Lista_CUIT[#All],2,0)),"CUIT NO CARGADO")</f>
        <v>-</v>
      </c>
      <c r="H2260" s="96">
        <f>ventas_b_mes12[[#This Row],[TOTAL]]/1.21</f>
        <v>2148.7603305785124</v>
      </c>
      <c r="I2260" s="60">
        <f>ventas_b_mes12[[#This Row],[IMPORTE NETO]]*0.21</f>
        <v>451.23966942148758</v>
      </c>
      <c r="J2260" s="229"/>
      <c r="K2260" s="229"/>
      <c r="L2260" s="229">
        <v>2600</v>
      </c>
      <c r="M2260" s="55"/>
    </row>
    <row r="2261" spans="2:13" x14ac:dyDescent="0.3">
      <c r="B2261" s="223" t="s">
        <v>2487</v>
      </c>
      <c r="C2261" s="37">
        <v>6</v>
      </c>
      <c r="D2261" s="225">
        <v>11</v>
      </c>
      <c r="E2261" s="226">
        <v>30345</v>
      </c>
      <c r="F2261" s="227"/>
      <c r="G2261" s="1" t="str">
        <f>IFERROR(IF(ventas_b_mes12[[#This Row],[CUIT]]="","-",VLOOKUP(ventas_b_mes12[[#This Row],[CUIT]],Lista_CUIT[#All],2,0)),"CUIT NO CARGADO")</f>
        <v>-</v>
      </c>
      <c r="H2261" s="96">
        <f>ventas_b_mes12[[#This Row],[TOTAL]]/1.21</f>
        <v>19628.115702479339</v>
      </c>
      <c r="I2261" s="60">
        <f>ventas_b_mes12[[#This Row],[IMPORTE NETO]]*0.21</f>
        <v>4121.9042975206612</v>
      </c>
      <c r="J2261" s="229"/>
      <c r="K2261" s="229"/>
      <c r="L2261" s="229">
        <v>23750.02</v>
      </c>
      <c r="M2261" s="55"/>
    </row>
    <row r="2262" spans="2:13" x14ac:dyDescent="0.3">
      <c r="B2262" s="223" t="s">
        <v>2487</v>
      </c>
      <c r="C2262" s="37">
        <v>6</v>
      </c>
      <c r="D2262" s="225">
        <v>11</v>
      </c>
      <c r="E2262" s="226">
        <v>30340</v>
      </c>
      <c r="F2262" s="227"/>
      <c r="G2262" s="1" t="str">
        <f>IFERROR(IF(ventas_b_mes12[[#This Row],[CUIT]]="","-",VLOOKUP(ventas_b_mes12[[#This Row],[CUIT]],Lista_CUIT[#All],2,0)),"CUIT NO CARGADO")</f>
        <v>-</v>
      </c>
      <c r="H2262" s="96">
        <f>ventas_b_mes12[[#This Row],[TOTAL]]/1.21</f>
        <v>15041.322314049587</v>
      </c>
      <c r="I2262" s="60">
        <f>ventas_b_mes12[[#This Row],[IMPORTE NETO]]*0.21</f>
        <v>3158.677685950413</v>
      </c>
      <c r="J2262" s="229"/>
      <c r="K2262" s="229"/>
      <c r="L2262" s="229">
        <v>18200</v>
      </c>
      <c r="M2262" s="55"/>
    </row>
    <row r="2263" spans="2:13" x14ac:dyDescent="0.3">
      <c r="B2263" s="223" t="s">
        <v>2487</v>
      </c>
      <c r="C2263" s="37">
        <v>6</v>
      </c>
      <c r="D2263" s="225">
        <v>12</v>
      </c>
      <c r="E2263" s="226">
        <v>22797</v>
      </c>
      <c r="F2263" s="227"/>
      <c r="G2263" s="1" t="str">
        <f>IFERROR(IF(ventas_b_mes12[[#This Row],[CUIT]]="","-",VLOOKUP(ventas_b_mes12[[#This Row],[CUIT]],Lista_CUIT[#All],2,0)),"CUIT NO CARGADO")</f>
        <v>-</v>
      </c>
      <c r="H2263" s="96">
        <f>ventas_b_mes12[[#This Row],[TOTAL]]/1.21</f>
        <v>3264.4628099173556</v>
      </c>
      <c r="I2263" s="60">
        <f>ventas_b_mes12[[#This Row],[IMPORTE NETO]]*0.21</f>
        <v>685.53719008264466</v>
      </c>
      <c r="J2263" s="229"/>
      <c r="K2263" s="229"/>
      <c r="L2263" s="229">
        <v>3950</v>
      </c>
      <c r="M2263" s="55"/>
    </row>
    <row r="2264" spans="2:13" x14ac:dyDescent="0.3">
      <c r="B2264" s="223" t="s">
        <v>2487</v>
      </c>
      <c r="C2264" s="37">
        <v>6</v>
      </c>
      <c r="D2264" s="225">
        <v>13</v>
      </c>
      <c r="E2264" s="226">
        <v>26961</v>
      </c>
      <c r="F2264" s="227"/>
      <c r="G2264" s="1" t="str">
        <f>IFERROR(IF(ventas_b_mes12[[#This Row],[CUIT]]="","-",VLOOKUP(ventas_b_mes12[[#This Row],[CUIT]],Lista_CUIT[#All],2,0)),"CUIT NO CARGADO")</f>
        <v>-</v>
      </c>
      <c r="H2264" s="96">
        <f>ventas_b_mes12[[#This Row],[TOTAL]]/1.21</f>
        <v>322.31404958677689</v>
      </c>
      <c r="I2264" s="60">
        <f>ventas_b_mes12[[#This Row],[IMPORTE NETO]]*0.21</f>
        <v>67.685950413223139</v>
      </c>
      <c r="J2264" s="229"/>
      <c r="K2264" s="229"/>
      <c r="L2264" s="229">
        <v>390</v>
      </c>
      <c r="M2264" s="55"/>
    </row>
    <row r="2265" spans="2:13" x14ac:dyDescent="0.3">
      <c r="B2265" s="223" t="s">
        <v>2487</v>
      </c>
      <c r="C2265" s="37">
        <v>6</v>
      </c>
      <c r="D2265" s="225">
        <v>15</v>
      </c>
      <c r="E2265" s="226">
        <v>7366</v>
      </c>
      <c r="F2265" s="227"/>
      <c r="G2265" s="1" t="str">
        <f>IFERROR(IF(ventas_b_mes12[[#This Row],[CUIT]]="","-",VLOOKUP(ventas_b_mes12[[#This Row],[CUIT]],Lista_CUIT[#All],2,0)),"CUIT NO CARGADO")</f>
        <v>-</v>
      </c>
      <c r="H2265" s="96">
        <f>ventas_b_mes12[[#This Row],[TOTAL]]/1.21</f>
        <v>2768.586776859504</v>
      </c>
      <c r="I2265" s="60">
        <f>ventas_b_mes12[[#This Row],[IMPORTE NETO]]*0.21</f>
        <v>581.40322314049581</v>
      </c>
      <c r="J2265" s="229"/>
      <c r="K2265" s="229"/>
      <c r="L2265" s="229">
        <v>3349.99</v>
      </c>
      <c r="M2265" s="55"/>
    </row>
    <row r="2266" spans="2:13" x14ac:dyDescent="0.3">
      <c r="B2266" s="223" t="s">
        <v>2487</v>
      </c>
      <c r="C2266" s="37">
        <v>6</v>
      </c>
      <c r="D2266" s="225">
        <v>11</v>
      </c>
      <c r="E2266" s="226">
        <v>30329</v>
      </c>
      <c r="F2266" s="227"/>
      <c r="G2266" s="1" t="str">
        <f>IFERROR(IF(ventas_b_mes12[[#This Row],[CUIT]]="","-",VLOOKUP(ventas_b_mes12[[#This Row],[CUIT]],Lista_CUIT[#All],2,0)),"CUIT NO CARGADO")</f>
        <v>-</v>
      </c>
      <c r="H2266" s="96">
        <f>ventas_b_mes12[[#This Row],[TOTAL]]/1.21</f>
        <v>4545.454545454546</v>
      </c>
      <c r="I2266" s="60">
        <f>ventas_b_mes12[[#This Row],[IMPORTE NETO]]*0.21</f>
        <v>954.54545454545462</v>
      </c>
      <c r="J2266" s="229"/>
      <c r="K2266" s="229"/>
      <c r="L2266" s="229">
        <v>5500</v>
      </c>
      <c r="M2266" s="55"/>
    </row>
    <row r="2267" spans="2:13" x14ac:dyDescent="0.3">
      <c r="B2267" s="223" t="s">
        <v>2487</v>
      </c>
      <c r="C2267" s="37">
        <v>6</v>
      </c>
      <c r="D2267" s="225">
        <v>15</v>
      </c>
      <c r="E2267" s="226">
        <v>7361</v>
      </c>
      <c r="F2267" s="227"/>
      <c r="G2267" s="1" t="str">
        <f>IFERROR(IF(ventas_b_mes12[[#This Row],[CUIT]]="","-",VLOOKUP(ventas_b_mes12[[#This Row],[CUIT]],Lista_CUIT[#All],2,0)),"CUIT NO CARGADO")</f>
        <v>-</v>
      </c>
      <c r="H2267" s="96">
        <f>ventas_b_mes12[[#This Row],[TOTAL]]/1.21</f>
        <v>7438.0165289256202</v>
      </c>
      <c r="I2267" s="60">
        <f>ventas_b_mes12[[#This Row],[IMPORTE NETO]]*0.21</f>
        <v>1561.9834710743801</v>
      </c>
      <c r="J2267" s="229"/>
      <c r="K2267" s="229"/>
      <c r="L2267" s="229">
        <v>9000</v>
      </c>
      <c r="M2267" s="55"/>
    </row>
    <row r="2268" spans="2:13" x14ac:dyDescent="0.3">
      <c r="B2268" s="223" t="s">
        <v>2487</v>
      </c>
      <c r="C2268" s="37">
        <v>6</v>
      </c>
      <c r="D2268" s="225">
        <v>12</v>
      </c>
      <c r="E2268" s="226">
        <v>22816</v>
      </c>
      <c r="F2268" s="227"/>
      <c r="G2268" s="1" t="str">
        <f>IFERROR(IF(ventas_b_mes12[[#This Row],[CUIT]]="","-",VLOOKUP(ventas_b_mes12[[#This Row],[CUIT]],Lista_CUIT[#All],2,0)),"CUIT NO CARGADO")</f>
        <v>-</v>
      </c>
      <c r="H2268" s="96">
        <f>ventas_b_mes12[[#This Row],[TOTAL]]/1.21</f>
        <v>6983.4793388429753</v>
      </c>
      <c r="I2268" s="60">
        <f>ventas_b_mes12[[#This Row],[IMPORTE NETO]]*0.21</f>
        <v>1466.5306611570247</v>
      </c>
      <c r="J2268" s="229"/>
      <c r="K2268" s="229"/>
      <c r="L2268" s="229">
        <v>8450.01</v>
      </c>
      <c r="M2268" s="55"/>
    </row>
    <row r="2269" spans="2:13" x14ac:dyDescent="0.3">
      <c r="B2269" s="223" t="s">
        <v>2487</v>
      </c>
      <c r="C2269" s="37">
        <v>6</v>
      </c>
      <c r="D2269" s="225">
        <v>11</v>
      </c>
      <c r="E2269" s="226">
        <v>30339</v>
      </c>
      <c r="F2269" s="227"/>
      <c r="G2269" s="1" t="str">
        <f>IFERROR(IF(ventas_b_mes12[[#This Row],[CUIT]]="","-",VLOOKUP(ventas_b_mes12[[#This Row],[CUIT]],Lista_CUIT[#All],2,0)),"CUIT NO CARGADO")</f>
        <v>-</v>
      </c>
      <c r="H2269" s="96">
        <f>ventas_b_mes12[[#This Row],[TOTAL]]/1.21</f>
        <v>8925.6198347107438</v>
      </c>
      <c r="I2269" s="60">
        <f>ventas_b_mes12[[#This Row],[IMPORTE NETO]]*0.21</f>
        <v>1874.3801652892562</v>
      </c>
      <c r="J2269" s="229"/>
      <c r="K2269" s="229"/>
      <c r="L2269" s="229">
        <v>10800</v>
      </c>
      <c r="M2269" s="55"/>
    </row>
    <row r="2270" spans="2:13" x14ac:dyDescent="0.3">
      <c r="B2270" s="223" t="s">
        <v>2487</v>
      </c>
      <c r="C2270" s="37">
        <v>6</v>
      </c>
      <c r="D2270" s="225">
        <v>12</v>
      </c>
      <c r="E2270" s="226">
        <v>22802</v>
      </c>
      <c r="F2270" s="227"/>
      <c r="G2270" s="1" t="str">
        <f>IFERROR(IF(ventas_b_mes12[[#This Row],[CUIT]]="","-",VLOOKUP(ventas_b_mes12[[#This Row],[CUIT]],Lista_CUIT[#All],2,0)),"CUIT NO CARGADO")</f>
        <v>-</v>
      </c>
      <c r="H2270" s="96">
        <f>ventas_b_mes12[[#This Row],[TOTAL]]/1.21</f>
        <v>7326.4462809917359</v>
      </c>
      <c r="I2270" s="60">
        <f>ventas_b_mes12[[#This Row],[IMPORTE NETO]]*0.21</f>
        <v>1538.5537190082646</v>
      </c>
      <c r="J2270" s="229"/>
      <c r="K2270" s="229"/>
      <c r="L2270" s="229">
        <v>8865</v>
      </c>
      <c r="M2270" s="55"/>
    </row>
    <row r="2271" spans="2:13" x14ac:dyDescent="0.3">
      <c r="B2271" s="223" t="s">
        <v>2487</v>
      </c>
      <c r="C2271" s="37">
        <v>6</v>
      </c>
      <c r="D2271" s="225">
        <v>12</v>
      </c>
      <c r="E2271" s="226">
        <v>22814</v>
      </c>
      <c r="F2271" s="227"/>
      <c r="G2271" s="1" t="str">
        <f>IFERROR(IF(ventas_b_mes12[[#This Row],[CUIT]]="","-",VLOOKUP(ventas_b_mes12[[#This Row],[CUIT]],Lista_CUIT[#All],2,0)),"CUIT NO CARGADO")</f>
        <v>-</v>
      </c>
      <c r="H2271" s="96">
        <f>ventas_b_mes12[[#This Row],[TOTAL]]/1.21</f>
        <v>15826.446280991737</v>
      </c>
      <c r="I2271" s="60">
        <f>ventas_b_mes12[[#This Row],[IMPORTE NETO]]*0.21</f>
        <v>3323.5537190082646</v>
      </c>
      <c r="J2271" s="229"/>
      <c r="K2271" s="229"/>
      <c r="L2271" s="229">
        <v>19150</v>
      </c>
      <c r="M2271" s="55"/>
    </row>
    <row r="2272" spans="2:13" x14ac:dyDescent="0.3">
      <c r="B2272" s="223" t="s">
        <v>2487</v>
      </c>
      <c r="C2272" s="37">
        <v>6</v>
      </c>
      <c r="D2272" s="225">
        <v>10</v>
      </c>
      <c r="E2272" s="226">
        <v>44199</v>
      </c>
      <c r="F2272" s="227"/>
      <c r="G2272" s="1" t="str">
        <f>IFERROR(IF(ventas_b_mes12[[#This Row],[CUIT]]="","-",VLOOKUP(ventas_b_mes12[[#This Row],[CUIT]],Lista_CUIT[#All],2,0)),"CUIT NO CARGADO")</f>
        <v>-</v>
      </c>
      <c r="H2272" s="96">
        <f>ventas_b_mes12[[#This Row],[TOTAL]]/1.21</f>
        <v>13842.98347107438</v>
      </c>
      <c r="I2272" s="60">
        <f>ventas_b_mes12[[#This Row],[IMPORTE NETO]]*0.21</f>
        <v>2907.0265289256195</v>
      </c>
      <c r="J2272" s="229"/>
      <c r="K2272" s="229"/>
      <c r="L2272" s="229">
        <v>16750.009999999998</v>
      </c>
      <c r="M2272" s="55"/>
    </row>
    <row r="2273" spans="2:13" x14ac:dyDescent="0.3">
      <c r="B2273" s="223" t="s">
        <v>2487</v>
      </c>
      <c r="C2273" s="37">
        <v>6</v>
      </c>
      <c r="D2273" s="225">
        <v>12</v>
      </c>
      <c r="E2273" s="226">
        <v>22815</v>
      </c>
      <c r="F2273" s="227"/>
      <c r="G2273" s="1" t="str">
        <f>IFERROR(IF(ventas_b_mes12[[#This Row],[CUIT]]="","-",VLOOKUP(ventas_b_mes12[[#This Row],[CUIT]],Lista_CUIT[#All],2,0)),"CUIT NO CARGADO")</f>
        <v>-</v>
      </c>
      <c r="H2273" s="96">
        <f>ventas_b_mes12[[#This Row],[TOTAL]]/1.21</f>
        <v>7314.0495867768595</v>
      </c>
      <c r="I2273" s="60">
        <f>ventas_b_mes12[[#This Row],[IMPORTE NETO]]*0.21</f>
        <v>1535.9504132231405</v>
      </c>
      <c r="J2273" s="229"/>
      <c r="K2273" s="229"/>
      <c r="L2273" s="229">
        <v>8850</v>
      </c>
      <c r="M2273" s="55"/>
    </row>
    <row r="2274" spans="2:13" x14ac:dyDescent="0.3">
      <c r="B2274" s="223" t="s">
        <v>2487</v>
      </c>
      <c r="C2274" s="37">
        <v>6</v>
      </c>
      <c r="D2274" s="225">
        <v>11</v>
      </c>
      <c r="E2274" s="226">
        <v>30335</v>
      </c>
      <c r="F2274" s="227"/>
      <c r="G2274" s="1" t="str">
        <f>IFERROR(IF(ventas_b_mes12[[#This Row],[CUIT]]="","-",VLOOKUP(ventas_b_mes12[[#This Row],[CUIT]],Lista_CUIT[#All],2,0)),"CUIT NO CARGADO")</f>
        <v>-</v>
      </c>
      <c r="H2274" s="96">
        <f>ventas_b_mes12[[#This Row],[TOTAL]]/1.21</f>
        <v>37000.008264462813</v>
      </c>
      <c r="I2274" s="60">
        <f>ventas_b_mes12[[#This Row],[IMPORTE NETO]]*0.21</f>
        <v>7770.0017355371901</v>
      </c>
      <c r="J2274" s="229"/>
      <c r="K2274" s="229"/>
      <c r="L2274" s="229">
        <v>44770.01</v>
      </c>
      <c r="M2274" s="55"/>
    </row>
    <row r="2275" spans="2:13" x14ac:dyDescent="0.3">
      <c r="B2275" s="223" t="s">
        <v>2487</v>
      </c>
      <c r="C2275" s="37">
        <v>6</v>
      </c>
      <c r="D2275" s="225">
        <v>12</v>
      </c>
      <c r="E2275" s="226">
        <v>22801</v>
      </c>
      <c r="F2275" s="227"/>
      <c r="G2275" s="1" t="str">
        <f>IFERROR(IF(ventas_b_mes12[[#This Row],[CUIT]]="","-",VLOOKUP(ventas_b_mes12[[#This Row],[CUIT]],Lista_CUIT[#All],2,0)),"CUIT NO CARGADO")</f>
        <v>-</v>
      </c>
      <c r="H2275" s="96">
        <f>ventas_b_mes12[[#This Row],[TOTAL]]/1.21</f>
        <v>2066.1157024793388</v>
      </c>
      <c r="I2275" s="60">
        <f>ventas_b_mes12[[#This Row],[IMPORTE NETO]]*0.21</f>
        <v>433.88429752066111</v>
      </c>
      <c r="J2275" s="229"/>
      <c r="K2275" s="229"/>
      <c r="L2275" s="229">
        <v>2500</v>
      </c>
      <c r="M2275" s="55"/>
    </row>
    <row r="2276" spans="2:13" x14ac:dyDescent="0.3">
      <c r="B2276" s="223" t="s">
        <v>2487</v>
      </c>
      <c r="C2276" s="37">
        <v>6</v>
      </c>
      <c r="D2276" s="225">
        <v>10</v>
      </c>
      <c r="E2276" s="226">
        <v>44215</v>
      </c>
      <c r="F2276" s="227"/>
      <c r="G2276" s="1" t="str">
        <f>IFERROR(IF(ventas_b_mes12[[#This Row],[CUIT]]="","-",VLOOKUP(ventas_b_mes12[[#This Row],[CUIT]],Lista_CUIT[#All],2,0)),"CUIT NO CARGADO")</f>
        <v>-</v>
      </c>
      <c r="H2276" s="96">
        <f>ventas_b_mes12[[#This Row],[TOTAL]]/1.21</f>
        <v>3223.1404958677685</v>
      </c>
      <c r="I2276" s="60">
        <f>ventas_b_mes12[[#This Row],[IMPORTE NETO]]*0.21</f>
        <v>676.85950413223134</v>
      </c>
      <c r="J2276" s="229"/>
      <c r="K2276" s="229"/>
      <c r="L2276" s="229">
        <v>3900</v>
      </c>
      <c r="M2276" s="55"/>
    </row>
    <row r="2277" spans="2:13" x14ac:dyDescent="0.3">
      <c r="B2277" s="223" t="s">
        <v>2487</v>
      </c>
      <c r="C2277" s="37">
        <v>6</v>
      </c>
      <c r="D2277" s="225">
        <v>10</v>
      </c>
      <c r="E2277" s="226">
        <v>44195</v>
      </c>
      <c r="F2277" s="227"/>
      <c r="G2277" s="1" t="str">
        <f>IFERROR(IF(ventas_b_mes12[[#This Row],[CUIT]]="","-",VLOOKUP(ventas_b_mes12[[#This Row],[CUIT]],Lista_CUIT[#All],2,0)),"CUIT NO CARGADO")</f>
        <v>-</v>
      </c>
      <c r="H2277" s="96">
        <f>ventas_b_mes12[[#This Row],[TOTAL]]/1.21</f>
        <v>4958.6776859504134</v>
      </c>
      <c r="I2277" s="60">
        <f>ventas_b_mes12[[#This Row],[IMPORTE NETO]]*0.21</f>
        <v>1041.3223140495868</v>
      </c>
      <c r="J2277" s="229"/>
      <c r="K2277" s="229"/>
      <c r="L2277" s="229">
        <v>6000</v>
      </c>
      <c r="M2277" s="55"/>
    </row>
    <row r="2278" spans="2:13" x14ac:dyDescent="0.3">
      <c r="B2278" s="223" t="s">
        <v>2487</v>
      </c>
      <c r="C2278" s="37">
        <v>6</v>
      </c>
      <c r="D2278" s="225">
        <v>15</v>
      </c>
      <c r="E2278" s="226">
        <v>7368</v>
      </c>
      <c r="F2278" s="227"/>
      <c r="G2278" s="1" t="str">
        <f>IFERROR(IF(ventas_b_mes12[[#This Row],[CUIT]]="","-",VLOOKUP(ventas_b_mes12[[#This Row],[CUIT]],Lista_CUIT[#All],2,0)),"CUIT NO CARGADO")</f>
        <v>-</v>
      </c>
      <c r="H2278" s="96">
        <f>ventas_b_mes12[[#This Row],[TOTAL]]/1.21</f>
        <v>4958.6776859504134</v>
      </c>
      <c r="I2278" s="60">
        <f>ventas_b_mes12[[#This Row],[IMPORTE NETO]]*0.21</f>
        <v>1041.3223140495868</v>
      </c>
      <c r="J2278" s="229"/>
      <c r="K2278" s="229"/>
      <c r="L2278" s="229">
        <v>6000</v>
      </c>
      <c r="M2278" s="55"/>
    </row>
    <row r="2279" spans="2:13" x14ac:dyDescent="0.3">
      <c r="B2279" s="223" t="s">
        <v>2487</v>
      </c>
      <c r="C2279" s="37">
        <v>6</v>
      </c>
      <c r="D2279" s="225">
        <v>13</v>
      </c>
      <c r="E2279" s="226">
        <v>26963</v>
      </c>
      <c r="F2279" s="227"/>
      <c r="G2279" s="1" t="str">
        <f>IFERROR(IF(ventas_b_mes12[[#This Row],[CUIT]]="","-",VLOOKUP(ventas_b_mes12[[#This Row],[CUIT]],Lista_CUIT[#All],2,0)),"CUIT NO CARGADO")</f>
        <v>-</v>
      </c>
      <c r="H2279" s="96">
        <f>ventas_b_mes12[[#This Row],[TOTAL]]/1.21</f>
        <v>2768.6033057851241</v>
      </c>
      <c r="I2279" s="60">
        <f>ventas_b_mes12[[#This Row],[IMPORTE NETO]]*0.21</f>
        <v>581.4066942148761</v>
      </c>
      <c r="J2279" s="229"/>
      <c r="K2279" s="229"/>
      <c r="L2279" s="229">
        <v>3350.01</v>
      </c>
      <c r="M2279" s="55"/>
    </row>
    <row r="2280" spans="2:13" x14ac:dyDescent="0.3">
      <c r="B2280" s="223" t="s">
        <v>2487</v>
      </c>
      <c r="C2280" s="37">
        <v>6</v>
      </c>
      <c r="D2280" s="225">
        <v>12</v>
      </c>
      <c r="E2280" s="226">
        <v>22799</v>
      </c>
      <c r="F2280" s="227"/>
      <c r="G2280" s="1" t="str">
        <f>IFERROR(IF(ventas_b_mes12[[#This Row],[CUIT]]="","-",VLOOKUP(ventas_b_mes12[[#This Row],[CUIT]],Lista_CUIT[#All],2,0)),"CUIT NO CARGADO")</f>
        <v>-</v>
      </c>
      <c r="H2280" s="96">
        <f>ventas_b_mes12[[#This Row],[TOTAL]]/1.21</f>
        <v>3123.9669421487606</v>
      </c>
      <c r="I2280" s="60">
        <f>ventas_b_mes12[[#This Row],[IMPORTE NETO]]*0.21</f>
        <v>656.03305785123973</v>
      </c>
      <c r="J2280" s="229"/>
      <c r="K2280" s="229"/>
      <c r="L2280" s="229">
        <v>3780</v>
      </c>
      <c r="M2280" s="55"/>
    </row>
    <row r="2281" spans="2:13" x14ac:dyDescent="0.3">
      <c r="B2281" s="223" t="s">
        <v>2487</v>
      </c>
      <c r="C2281" s="37">
        <v>6</v>
      </c>
      <c r="D2281" s="225">
        <v>12</v>
      </c>
      <c r="E2281" s="226">
        <v>22810</v>
      </c>
      <c r="F2281" s="227"/>
      <c r="G2281" s="1" t="str">
        <f>IFERROR(IF(ventas_b_mes12[[#This Row],[CUIT]]="","-",VLOOKUP(ventas_b_mes12[[#This Row],[CUIT]],Lista_CUIT[#All],2,0)),"CUIT NO CARGADO")</f>
        <v>-</v>
      </c>
      <c r="H2281" s="96">
        <f>ventas_b_mes12[[#This Row],[TOTAL]]/1.21</f>
        <v>8471.0743801652898</v>
      </c>
      <c r="I2281" s="60">
        <f>ventas_b_mes12[[#This Row],[IMPORTE NETO]]*0.21</f>
        <v>1778.9256198347107</v>
      </c>
      <c r="J2281" s="229"/>
      <c r="K2281" s="229"/>
      <c r="L2281" s="229">
        <v>10250</v>
      </c>
      <c r="M2281" s="55"/>
    </row>
    <row r="2282" spans="2:13" x14ac:dyDescent="0.3">
      <c r="B2282" s="223" t="s">
        <v>2487</v>
      </c>
      <c r="C2282" s="37">
        <v>6</v>
      </c>
      <c r="D2282" s="225">
        <v>15</v>
      </c>
      <c r="E2282" s="226">
        <v>7360</v>
      </c>
      <c r="F2282" s="227"/>
      <c r="G2282" s="1" t="str">
        <f>IFERROR(IF(ventas_b_mes12[[#This Row],[CUIT]]="","-",VLOOKUP(ventas_b_mes12[[#This Row],[CUIT]],Lista_CUIT[#All],2,0)),"CUIT NO CARGADO")</f>
        <v>-</v>
      </c>
      <c r="H2282" s="96">
        <f>ventas_b_mes12[[#This Row],[TOTAL]]/1.21</f>
        <v>5413.2231404958675</v>
      </c>
      <c r="I2282" s="60">
        <f>ventas_b_mes12[[#This Row],[IMPORTE NETO]]*0.21</f>
        <v>1136.7768595041321</v>
      </c>
      <c r="J2282" s="229"/>
      <c r="K2282" s="229"/>
      <c r="L2282" s="229">
        <v>6550</v>
      </c>
      <c r="M2282" s="55"/>
    </row>
    <row r="2283" spans="2:13" x14ac:dyDescent="0.3">
      <c r="B2283" s="223" t="s">
        <v>2487</v>
      </c>
      <c r="C2283" s="37">
        <v>6</v>
      </c>
      <c r="D2283" s="225">
        <v>10</v>
      </c>
      <c r="E2283" s="226">
        <v>44197</v>
      </c>
      <c r="F2283" s="227"/>
      <c r="G2283" s="1" t="str">
        <f>IFERROR(IF(ventas_b_mes12[[#This Row],[CUIT]]="","-",VLOOKUP(ventas_b_mes12[[#This Row],[CUIT]],Lista_CUIT[#All],2,0)),"CUIT NO CARGADO")</f>
        <v>-</v>
      </c>
      <c r="H2283" s="96">
        <f>ventas_b_mes12[[#This Row],[TOTAL]]/1.21</f>
        <v>2876.0330578512398</v>
      </c>
      <c r="I2283" s="60">
        <f>ventas_b_mes12[[#This Row],[IMPORTE NETO]]*0.21</f>
        <v>603.96694214876038</v>
      </c>
      <c r="J2283" s="229"/>
      <c r="K2283" s="229"/>
      <c r="L2283" s="229">
        <v>3480</v>
      </c>
      <c r="M2283" s="55"/>
    </row>
    <row r="2284" spans="2:13" x14ac:dyDescent="0.3">
      <c r="B2284" s="223" t="s">
        <v>2487</v>
      </c>
      <c r="C2284" s="37">
        <v>6</v>
      </c>
      <c r="D2284" s="225">
        <v>13</v>
      </c>
      <c r="E2284" s="226">
        <v>26959</v>
      </c>
      <c r="F2284" s="227"/>
      <c r="G2284" s="1" t="str">
        <f>IFERROR(IF(ventas_b_mes12[[#This Row],[CUIT]]="","-",VLOOKUP(ventas_b_mes12[[#This Row],[CUIT]],Lista_CUIT[#All],2,0)),"CUIT NO CARGADO")</f>
        <v>-</v>
      </c>
      <c r="H2284" s="96">
        <f>ventas_b_mes12[[#This Row],[TOTAL]]/1.21</f>
        <v>8880.1652892561979</v>
      </c>
      <c r="I2284" s="60">
        <f>ventas_b_mes12[[#This Row],[IMPORTE NETO]]*0.21</f>
        <v>1864.8347107438015</v>
      </c>
      <c r="J2284" s="229"/>
      <c r="K2284" s="229"/>
      <c r="L2284" s="229">
        <v>10745</v>
      </c>
      <c r="M2284" s="55"/>
    </row>
    <row r="2285" spans="2:13" x14ac:dyDescent="0.3">
      <c r="B2285" s="223" t="s">
        <v>2487</v>
      </c>
      <c r="C2285" s="37">
        <v>6</v>
      </c>
      <c r="D2285" s="225">
        <v>13</v>
      </c>
      <c r="E2285" s="226">
        <v>26965</v>
      </c>
      <c r="F2285" s="227"/>
      <c r="G2285" s="1" t="str">
        <f>IFERROR(IF(ventas_b_mes12[[#This Row],[CUIT]]="","-",VLOOKUP(ventas_b_mes12[[#This Row],[CUIT]],Lista_CUIT[#All],2,0)),"CUIT NO CARGADO")</f>
        <v>-</v>
      </c>
      <c r="H2285" s="96">
        <f>ventas_b_mes12[[#This Row],[TOTAL]]/1.21</f>
        <v>3376.0330578512398</v>
      </c>
      <c r="I2285" s="60">
        <f>ventas_b_mes12[[#This Row],[IMPORTE NETO]]*0.21</f>
        <v>708.96694214876038</v>
      </c>
      <c r="J2285" s="229"/>
      <c r="K2285" s="229"/>
      <c r="L2285" s="229">
        <v>4085</v>
      </c>
      <c r="M2285" s="55"/>
    </row>
    <row r="2286" spans="2:13" x14ac:dyDescent="0.3">
      <c r="B2286" s="223" t="s">
        <v>2487</v>
      </c>
      <c r="C2286" s="37">
        <v>6</v>
      </c>
      <c r="D2286" s="225">
        <v>13</v>
      </c>
      <c r="E2286" s="226">
        <v>26966</v>
      </c>
      <c r="F2286" s="227"/>
      <c r="G2286" s="1" t="str">
        <f>IFERROR(IF(ventas_b_mes12[[#This Row],[CUIT]]="","-",VLOOKUP(ventas_b_mes12[[#This Row],[CUIT]],Lista_CUIT[#All],2,0)),"CUIT NO CARGADO")</f>
        <v>-</v>
      </c>
      <c r="H2286" s="96">
        <f>ventas_b_mes12[[#This Row],[TOTAL]]/1.21</f>
        <v>2677.6859504132231</v>
      </c>
      <c r="I2286" s="60">
        <f>ventas_b_mes12[[#This Row],[IMPORTE NETO]]*0.21</f>
        <v>562.31404958677683</v>
      </c>
      <c r="J2286" s="229"/>
      <c r="K2286" s="229"/>
      <c r="L2286" s="229">
        <v>3240</v>
      </c>
      <c r="M2286" s="55"/>
    </row>
    <row r="2287" spans="2:13" x14ac:dyDescent="0.3">
      <c r="B2287" s="223" t="s">
        <v>2487</v>
      </c>
      <c r="C2287" s="37">
        <v>6</v>
      </c>
      <c r="D2287" s="225">
        <v>12</v>
      </c>
      <c r="E2287" s="226">
        <v>22813</v>
      </c>
      <c r="F2287" s="227"/>
      <c r="G2287" s="1" t="str">
        <f>IFERROR(IF(ventas_b_mes12[[#This Row],[CUIT]]="","-",VLOOKUP(ventas_b_mes12[[#This Row],[CUIT]],Lista_CUIT[#All],2,0)),"CUIT NO CARGADO")</f>
        <v>-</v>
      </c>
      <c r="H2287" s="96">
        <f>ventas_b_mes12[[#This Row],[TOTAL]]/1.21</f>
        <v>2768.595041322314</v>
      </c>
      <c r="I2287" s="60">
        <f>ventas_b_mes12[[#This Row],[IMPORTE NETO]]*0.21</f>
        <v>581.40495867768595</v>
      </c>
      <c r="J2287" s="229"/>
      <c r="K2287" s="229"/>
      <c r="L2287" s="229">
        <v>3350</v>
      </c>
      <c r="M2287" s="55"/>
    </row>
    <row r="2288" spans="2:13" x14ac:dyDescent="0.3">
      <c r="B2288" s="223" t="s">
        <v>2487</v>
      </c>
      <c r="C2288" s="37">
        <v>6</v>
      </c>
      <c r="D2288" s="225">
        <v>10</v>
      </c>
      <c r="E2288" s="226">
        <v>44198</v>
      </c>
      <c r="F2288" s="227"/>
      <c r="G2288" s="1" t="str">
        <f>IFERROR(IF(ventas_b_mes12[[#This Row],[CUIT]]="","-",VLOOKUP(ventas_b_mes12[[#This Row],[CUIT]],Lista_CUIT[#All],2,0)),"CUIT NO CARGADO")</f>
        <v>-</v>
      </c>
      <c r="H2288" s="96">
        <f>ventas_b_mes12[[#This Row],[TOTAL]]/1.21</f>
        <v>14491.735537190083</v>
      </c>
      <c r="I2288" s="60">
        <f>ventas_b_mes12[[#This Row],[IMPORTE NETO]]*0.21</f>
        <v>3043.2644628099174</v>
      </c>
      <c r="J2288" s="229"/>
      <c r="K2288" s="229"/>
      <c r="L2288" s="229">
        <v>17535</v>
      </c>
      <c r="M2288" s="55"/>
    </row>
    <row r="2289" spans="2:13" x14ac:dyDescent="0.3">
      <c r="B2289" s="223" t="s">
        <v>2487</v>
      </c>
      <c r="C2289" s="37">
        <v>6</v>
      </c>
      <c r="D2289" s="225">
        <v>12</v>
      </c>
      <c r="E2289" s="226">
        <v>22795</v>
      </c>
      <c r="F2289" s="227"/>
      <c r="G2289" s="1" t="str">
        <f>IFERROR(IF(ventas_b_mes12[[#This Row],[CUIT]]="","-",VLOOKUP(ventas_b_mes12[[#This Row],[CUIT]],Lista_CUIT[#All],2,0)),"CUIT NO CARGADO")</f>
        <v>-</v>
      </c>
      <c r="H2289" s="96">
        <f>ventas_b_mes12[[#This Row],[TOTAL]]/1.21</f>
        <v>3719.0082644628101</v>
      </c>
      <c r="I2289" s="60">
        <f>ventas_b_mes12[[#This Row],[IMPORTE NETO]]*0.21</f>
        <v>780.99173553719004</v>
      </c>
      <c r="J2289" s="229"/>
      <c r="K2289" s="229"/>
      <c r="L2289" s="229">
        <v>4500</v>
      </c>
      <c r="M2289" s="55"/>
    </row>
    <row r="2290" spans="2:13" x14ac:dyDescent="0.3">
      <c r="B2290" s="223" t="s">
        <v>2487</v>
      </c>
      <c r="C2290" s="37">
        <v>6</v>
      </c>
      <c r="D2290" s="225">
        <v>11</v>
      </c>
      <c r="E2290" s="226">
        <v>30337</v>
      </c>
      <c r="F2290" s="227"/>
      <c r="G2290" s="1" t="str">
        <f>IFERROR(IF(ventas_b_mes12[[#This Row],[CUIT]]="","-",VLOOKUP(ventas_b_mes12[[#This Row],[CUIT]],Lista_CUIT[#All],2,0)),"CUIT NO CARGADO")</f>
        <v>-</v>
      </c>
      <c r="H2290" s="96">
        <f>ventas_b_mes12[[#This Row],[TOTAL]]/1.21</f>
        <v>7107.4380165289258</v>
      </c>
      <c r="I2290" s="60">
        <f>ventas_b_mes12[[#This Row],[IMPORTE NETO]]*0.21</f>
        <v>1492.5619834710744</v>
      </c>
      <c r="J2290" s="229"/>
      <c r="K2290" s="229"/>
      <c r="L2290" s="229">
        <v>8600</v>
      </c>
      <c r="M2290" s="55"/>
    </row>
    <row r="2291" spans="2:13" x14ac:dyDescent="0.3">
      <c r="B2291" s="223" t="s">
        <v>2487</v>
      </c>
      <c r="C2291" s="37">
        <v>6</v>
      </c>
      <c r="D2291" s="225">
        <v>10</v>
      </c>
      <c r="E2291" s="226">
        <v>44210</v>
      </c>
      <c r="F2291" s="227"/>
      <c r="G2291" s="1" t="str">
        <f>IFERROR(IF(ventas_b_mes12[[#This Row],[CUIT]]="","-",VLOOKUP(ventas_b_mes12[[#This Row],[CUIT]],Lista_CUIT[#All],2,0)),"CUIT NO CARGADO")</f>
        <v>-</v>
      </c>
      <c r="H2291" s="96">
        <f>ventas_b_mes12[[#This Row],[TOTAL]]/1.21</f>
        <v>7438.0165289256202</v>
      </c>
      <c r="I2291" s="60">
        <f>ventas_b_mes12[[#This Row],[IMPORTE NETO]]*0.21</f>
        <v>1561.9834710743801</v>
      </c>
      <c r="J2291" s="229"/>
      <c r="K2291" s="229"/>
      <c r="L2291" s="229">
        <v>9000</v>
      </c>
      <c r="M2291" s="55"/>
    </row>
    <row r="2292" spans="2:13" x14ac:dyDescent="0.3">
      <c r="B2292" s="223" t="s">
        <v>2487</v>
      </c>
      <c r="C2292" s="37">
        <v>6</v>
      </c>
      <c r="D2292" s="225">
        <v>15</v>
      </c>
      <c r="E2292" s="226">
        <v>7367</v>
      </c>
      <c r="F2292" s="227"/>
      <c r="G2292" s="1" t="str">
        <f>IFERROR(IF(ventas_b_mes12[[#This Row],[CUIT]]="","-",VLOOKUP(ventas_b_mes12[[#This Row],[CUIT]],Lista_CUIT[#All],2,0)),"CUIT NO CARGADO")</f>
        <v>-</v>
      </c>
      <c r="H2292" s="96">
        <f>ventas_b_mes12[[#This Row],[TOTAL]]/1.21</f>
        <v>743.80165289256206</v>
      </c>
      <c r="I2292" s="60">
        <f>ventas_b_mes12[[#This Row],[IMPORTE NETO]]*0.21</f>
        <v>156.19834710743802</v>
      </c>
      <c r="J2292" s="229"/>
      <c r="K2292" s="229"/>
      <c r="L2292" s="229">
        <v>900</v>
      </c>
      <c r="M2292" s="55"/>
    </row>
    <row r="2293" spans="2:13" x14ac:dyDescent="0.3">
      <c r="B2293" s="223" t="s">
        <v>2487</v>
      </c>
      <c r="C2293" s="37">
        <v>6</v>
      </c>
      <c r="D2293" s="225">
        <v>15</v>
      </c>
      <c r="E2293" s="226">
        <v>7359</v>
      </c>
      <c r="F2293" s="227"/>
      <c r="G2293" s="1" t="str">
        <f>IFERROR(IF(ventas_b_mes12[[#This Row],[CUIT]]="","-",VLOOKUP(ventas_b_mes12[[#This Row],[CUIT]],Lista_CUIT[#All],2,0)),"CUIT NO CARGADO")</f>
        <v>-</v>
      </c>
      <c r="H2293" s="96">
        <f>ventas_b_mes12[[#This Row],[TOTAL]]/1.21</f>
        <v>5322.3140495867774</v>
      </c>
      <c r="I2293" s="60">
        <f>ventas_b_mes12[[#This Row],[IMPORTE NETO]]*0.21</f>
        <v>1117.6859504132233</v>
      </c>
      <c r="J2293" s="229"/>
      <c r="K2293" s="229"/>
      <c r="L2293" s="229">
        <v>6440</v>
      </c>
      <c r="M2293" s="55"/>
    </row>
    <row r="2294" spans="2:13" x14ac:dyDescent="0.3">
      <c r="B2294" s="223" t="s">
        <v>2487</v>
      </c>
      <c r="C2294" s="37">
        <v>6</v>
      </c>
      <c r="D2294" s="225">
        <v>13</v>
      </c>
      <c r="E2294" s="226">
        <v>26958</v>
      </c>
      <c r="F2294" s="227"/>
      <c r="G2294" s="1" t="str">
        <f>IFERROR(IF(ventas_b_mes12[[#This Row],[CUIT]]="","-",VLOOKUP(ventas_b_mes12[[#This Row],[CUIT]],Lista_CUIT[#All],2,0)),"CUIT NO CARGADO")</f>
        <v>-</v>
      </c>
      <c r="H2294" s="96">
        <f>ventas_b_mes12[[#This Row],[TOTAL]]/1.21</f>
        <v>1053.7190082644629</v>
      </c>
      <c r="I2294" s="60">
        <f>ventas_b_mes12[[#This Row],[IMPORTE NETO]]*0.21</f>
        <v>221.28099173553721</v>
      </c>
      <c r="J2294" s="229"/>
      <c r="K2294" s="229"/>
      <c r="L2294" s="229">
        <v>1275</v>
      </c>
      <c r="M2294" s="55"/>
    </row>
    <row r="2295" spans="2:13" x14ac:dyDescent="0.3">
      <c r="B2295" s="223" t="s">
        <v>2487</v>
      </c>
      <c r="C2295" s="37">
        <v>6</v>
      </c>
      <c r="D2295" s="225">
        <v>10</v>
      </c>
      <c r="E2295" s="226">
        <v>44208</v>
      </c>
      <c r="F2295" s="227"/>
      <c r="G2295" s="1" t="str">
        <f>IFERROR(IF(ventas_b_mes12[[#This Row],[CUIT]]="","-",VLOOKUP(ventas_b_mes12[[#This Row],[CUIT]],Lista_CUIT[#All],2,0)),"CUIT NO CARGADO")</f>
        <v>-</v>
      </c>
      <c r="H2295" s="96">
        <f>ventas_b_mes12[[#This Row],[TOTAL]]/1.21</f>
        <v>13309.917355371901</v>
      </c>
      <c r="I2295" s="60">
        <f>ventas_b_mes12[[#This Row],[IMPORTE NETO]]*0.21</f>
        <v>2795.0826446280989</v>
      </c>
      <c r="J2295" s="229"/>
      <c r="K2295" s="229"/>
      <c r="L2295" s="229">
        <v>16105</v>
      </c>
      <c r="M2295" s="55"/>
    </row>
    <row r="2296" spans="2:13" x14ac:dyDescent="0.3">
      <c r="B2296" s="223" t="s">
        <v>2487</v>
      </c>
      <c r="C2296" s="37">
        <v>6</v>
      </c>
      <c r="D2296" s="225">
        <v>10</v>
      </c>
      <c r="E2296" s="226">
        <v>44211</v>
      </c>
      <c r="F2296" s="227"/>
      <c r="G2296" s="1" t="str">
        <f>IFERROR(IF(ventas_b_mes12[[#This Row],[CUIT]]="","-",VLOOKUP(ventas_b_mes12[[#This Row],[CUIT]],Lista_CUIT[#All],2,0)),"CUIT NO CARGADO")</f>
        <v>-</v>
      </c>
      <c r="H2296" s="96">
        <f>ventas_b_mes12[[#This Row],[TOTAL]]/1.21</f>
        <v>47774.21487603306</v>
      </c>
      <c r="I2296" s="60">
        <f>ventas_b_mes12[[#This Row],[IMPORTE NETO]]*0.21</f>
        <v>10032.585123966943</v>
      </c>
      <c r="J2296" s="229"/>
      <c r="K2296" s="229"/>
      <c r="L2296" s="229">
        <v>57806.8</v>
      </c>
      <c r="M2296" s="55"/>
    </row>
    <row r="2297" spans="2:13" x14ac:dyDescent="0.3">
      <c r="B2297" s="223" t="s">
        <v>2487</v>
      </c>
      <c r="C2297" s="37">
        <v>6</v>
      </c>
      <c r="D2297" s="225">
        <v>15</v>
      </c>
      <c r="E2297" s="226">
        <v>7362</v>
      </c>
      <c r="F2297" s="227"/>
      <c r="G2297" s="1" t="str">
        <f>IFERROR(IF(ventas_b_mes12[[#This Row],[CUIT]]="","-",VLOOKUP(ventas_b_mes12[[#This Row],[CUIT]],Lista_CUIT[#All],2,0)),"CUIT NO CARGADO")</f>
        <v>-</v>
      </c>
      <c r="H2297" s="96">
        <f>ventas_b_mes12[[#This Row],[TOTAL]]/1.21</f>
        <v>4545.454545454546</v>
      </c>
      <c r="I2297" s="60">
        <f>ventas_b_mes12[[#This Row],[IMPORTE NETO]]*0.21</f>
        <v>954.54545454545462</v>
      </c>
      <c r="J2297" s="229"/>
      <c r="K2297" s="229"/>
      <c r="L2297" s="229">
        <v>5500</v>
      </c>
      <c r="M2297" s="55"/>
    </row>
    <row r="2298" spans="2:13" x14ac:dyDescent="0.3">
      <c r="B2298" s="223" t="s">
        <v>2487</v>
      </c>
      <c r="C2298" s="37">
        <v>6</v>
      </c>
      <c r="D2298" s="225">
        <v>13</v>
      </c>
      <c r="E2298" s="226">
        <v>26964</v>
      </c>
      <c r="F2298" s="227"/>
      <c r="G2298" s="1" t="str">
        <f>IFERROR(IF(ventas_b_mes12[[#This Row],[CUIT]]="","-",VLOOKUP(ventas_b_mes12[[#This Row],[CUIT]],Lista_CUIT[#All],2,0)),"CUIT NO CARGADO")</f>
        <v>-</v>
      </c>
      <c r="H2298" s="96">
        <f>ventas_b_mes12[[#This Row],[TOTAL]]/1.21</f>
        <v>2704.5454545454545</v>
      </c>
      <c r="I2298" s="60">
        <f>ventas_b_mes12[[#This Row],[IMPORTE NETO]]*0.21</f>
        <v>567.95454545454538</v>
      </c>
      <c r="J2298" s="229"/>
      <c r="K2298" s="229"/>
      <c r="L2298" s="229">
        <v>3272.5</v>
      </c>
      <c r="M2298" s="55"/>
    </row>
    <row r="2299" spans="2:13" x14ac:dyDescent="0.3">
      <c r="B2299" s="223" t="s">
        <v>2487</v>
      </c>
      <c r="C2299" s="37">
        <v>6</v>
      </c>
      <c r="D2299" s="225">
        <v>10</v>
      </c>
      <c r="E2299" s="226">
        <v>44213</v>
      </c>
      <c r="F2299" s="227"/>
      <c r="G2299" s="1" t="str">
        <f>IFERROR(IF(ventas_b_mes12[[#This Row],[CUIT]]="","-",VLOOKUP(ventas_b_mes12[[#This Row],[CUIT]],Lista_CUIT[#All],2,0)),"CUIT NO CARGADO")</f>
        <v>-</v>
      </c>
      <c r="H2299" s="96">
        <f>ventas_b_mes12[[#This Row],[TOTAL]]/1.21</f>
        <v>2148.7603305785124</v>
      </c>
      <c r="I2299" s="60">
        <f>ventas_b_mes12[[#This Row],[IMPORTE NETO]]*0.21</f>
        <v>451.23966942148758</v>
      </c>
      <c r="J2299" s="229"/>
      <c r="K2299" s="229"/>
      <c r="L2299" s="229">
        <v>2600</v>
      </c>
      <c r="M2299" s="55"/>
    </row>
    <row r="2300" spans="2:13" x14ac:dyDescent="0.3">
      <c r="B2300" s="223" t="s">
        <v>2487</v>
      </c>
      <c r="C2300" s="37">
        <v>6</v>
      </c>
      <c r="D2300" s="225">
        <v>10</v>
      </c>
      <c r="E2300" s="226">
        <v>44209</v>
      </c>
      <c r="F2300" s="227"/>
      <c r="G2300" s="1" t="str">
        <f>IFERROR(IF(ventas_b_mes12[[#This Row],[CUIT]]="","-",VLOOKUP(ventas_b_mes12[[#This Row],[CUIT]],Lista_CUIT[#All],2,0)),"CUIT NO CARGADO")</f>
        <v>-</v>
      </c>
      <c r="H2300" s="96">
        <f>ventas_b_mes12[[#This Row],[TOTAL]]/1.21</f>
        <v>2892.5619834710747</v>
      </c>
      <c r="I2300" s="60">
        <f>ventas_b_mes12[[#This Row],[IMPORTE NETO]]*0.21</f>
        <v>607.43801652892569</v>
      </c>
      <c r="J2300" s="229"/>
      <c r="K2300" s="229"/>
      <c r="L2300" s="229">
        <v>3500</v>
      </c>
      <c r="M2300" s="55"/>
    </row>
    <row r="2301" spans="2:13" x14ac:dyDescent="0.3">
      <c r="B2301" s="223" t="s">
        <v>2487</v>
      </c>
      <c r="C2301" s="37">
        <v>6</v>
      </c>
      <c r="D2301" s="225">
        <v>10</v>
      </c>
      <c r="E2301" s="226">
        <v>44206</v>
      </c>
      <c r="F2301" s="227"/>
      <c r="G2301" s="1" t="str">
        <f>IFERROR(IF(ventas_b_mes12[[#This Row],[CUIT]]="","-",VLOOKUP(ventas_b_mes12[[#This Row],[CUIT]],Lista_CUIT[#All],2,0)),"CUIT NO CARGADO")</f>
        <v>-</v>
      </c>
      <c r="H2301" s="96">
        <f>ventas_b_mes12[[#This Row],[TOTAL]]/1.21</f>
        <v>29008.239669421488</v>
      </c>
      <c r="I2301" s="60">
        <f>ventas_b_mes12[[#This Row],[IMPORTE NETO]]*0.21</f>
        <v>6091.7303305785126</v>
      </c>
      <c r="J2301" s="229"/>
      <c r="K2301" s="229"/>
      <c r="L2301" s="229">
        <v>35099.97</v>
      </c>
      <c r="M2301" s="55"/>
    </row>
    <row r="2302" spans="2:13" x14ac:dyDescent="0.3">
      <c r="B2302" s="223" t="s">
        <v>2487</v>
      </c>
      <c r="C2302" s="37">
        <v>6</v>
      </c>
      <c r="D2302" s="225">
        <v>10</v>
      </c>
      <c r="E2302" s="226">
        <v>44217</v>
      </c>
      <c r="F2302" s="227"/>
      <c r="G2302" s="1" t="str">
        <f>IFERROR(IF(ventas_b_mes12[[#This Row],[CUIT]]="","-",VLOOKUP(ventas_b_mes12[[#This Row],[CUIT]],Lista_CUIT[#All],2,0)),"CUIT NO CARGADO")</f>
        <v>-</v>
      </c>
      <c r="H2302" s="96">
        <f>ventas_b_mes12[[#This Row],[TOTAL]]/1.21</f>
        <v>4574.3801652892562</v>
      </c>
      <c r="I2302" s="60">
        <f>ventas_b_mes12[[#This Row],[IMPORTE NETO]]*0.21</f>
        <v>960.61983471074382</v>
      </c>
      <c r="J2302" s="229"/>
      <c r="K2302" s="229"/>
      <c r="L2302" s="229">
        <v>5535</v>
      </c>
      <c r="M2302" s="55"/>
    </row>
    <row r="2303" spans="2:13" x14ac:dyDescent="0.3">
      <c r="B2303" s="223" t="s">
        <v>2487</v>
      </c>
      <c r="C2303" s="37">
        <v>6</v>
      </c>
      <c r="D2303" s="225">
        <v>11</v>
      </c>
      <c r="E2303" s="226">
        <v>30347</v>
      </c>
      <c r="F2303" s="227"/>
      <c r="G2303" s="1" t="str">
        <f>IFERROR(IF(ventas_b_mes12[[#This Row],[CUIT]]="","-",VLOOKUP(ventas_b_mes12[[#This Row],[CUIT]],Lista_CUIT[#All],2,0)),"CUIT NO CARGADO")</f>
        <v>-</v>
      </c>
      <c r="H2303" s="96">
        <f>ventas_b_mes12[[#This Row],[TOTAL]]/1.21</f>
        <v>3942.1487603305786</v>
      </c>
      <c r="I2303" s="60">
        <f>ventas_b_mes12[[#This Row],[IMPORTE NETO]]*0.21</f>
        <v>827.85123966942149</v>
      </c>
      <c r="J2303" s="229"/>
      <c r="K2303" s="229"/>
      <c r="L2303" s="229">
        <v>4770</v>
      </c>
      <c r="M2303" s="55"/>
    </row>
    <row r="2304" spans="2:13" x14ac:dyDescent="0.3">
      <c r="B2304" s="223" t="s">
        <v>2487</v>
      </c>
      <c r="C2304" s="37">
        <v>6</v>
      </c>
      <c r="D2304" s="225">
        <v>11</v>
      </c>
      <c r="E2304" s="226">
        <v>30336</v>
      </c>
      <c r="F2304" s="227"/>
      <c r="G2304" s="1" t="str">
        <f>IFERROR(IF(ventas_b_mes12[[#This Row],[CUIT]]="","-",VLOOKUP(ventas_b_mes12[[#This Row],[CUIT]],Lista_CUIT[#All],2,0)),"CUIT NO CARGADO")</f>
        <v>-</v>
      </c>
      <c r="H2304" s="96">
        <f>ventas_b_mes12[[#This Row],[TOTAL]]/1.21</f>
        <v>4144.6280991735539</v>
      </c>
      <c r="I2304" s="60">
        <f>ventas_b_mes12[[#This Row],[IMPORTE NETO]]*0.21</f>
        <v>870.37190082644634</v>
      </c>
      <c r="J2304" s="229"/>
      <c r="K2304" s="229"/>
      <c r="L2304" s="229">
        <v>5015</v>
      </c>
      <c r="M2304" s="55"/>
    </row>
    <row r="2305" spans="2:13" x14ac:dyDescent="0.3">
      <c r="B2305" s="223" t="s">
        <v>2487</v>
      </c>
      <c r="C2305" s="37">
        <v>6</v>
      </c>
      <c r="D2305" s="225">
        <v>12</v>
      </c>
      <c r="E2305" s="226">
        <v>22809</v>
      </c>
      <c r="F2305" s="227"/>
      <c r="G2305" s="1" t="str">
        <f>IFERROR(IF(ventas_b_mes12[[#This Row],[CUIT]]="","-",VLOOKUP(ventas_b_mes12[[#This Row],[CUIT]],Lista_CUIT[#All],2,0)),"CUIT NO CARGADO")</f>
        <v>-</v>
      </c>
      <c r="H2305" s="96">
        <f>ventas_b_mes12[[#This Row],[TOTAL]]/1.21</f>
        <v>8000.0165289256202</v>
      </c>
      <c r="I2305" s="60">
        <f>ventas_b_mes12[[#This Row],[IMPORTE NETO]]*0.21</f>
        <v>1680.0034710743801</v>
      </c>
      <c r="J2305" s="229"/>
      <c r="K2305" s="229"/>
      <c r="L2305" s="229">
        <v>9680.02</v>
      </c>
      <c r="M2305" s="55"/>
    </row>
    <row r="2306" spans="2:13" x14ac:dyDescent="0.3">
      <c r="B2306" s="223" t="s">
        <v>2487</v>
      </c>
      <c r="C2306" s="37">
        <v>6</v>
      </c>
      <c r="D2306" s="225">
        <v>10</v>
      </c>
      <c r="E2306" s="226">
        <v>44207</v>
      </c>
      <c r="F2306" s="227"/>
      <c r="G2306" s="1" t="str">
        <f>IFERROR(IF(ventas_b_mes12[[#This Row],[CUIT]]="","-",VLOOKUP(ventas_b_mes12[[#This Row],[CUIT]],Lista_CUIT[#All],2,0)),"CUIT NO CARGADO")</f>
        <v>-</v>
      </c>
      <c r="H2306" s="96">
        <f>ventas_b_mes12[[#This Row],[TOTAL]]/1.21</f>
        <v>2929.7438016528927</v>
      </c>
      <c r="I2306" s="60">
        <f>ventas_b_mes12[[#This Row],[IMPORTE NETO]]*0.21</f>
        <v>615.24619834710745</v>
      </c>
      <c r="J2306" s="229"/>
      <c r="K2306" s="229"/>
      <c r="L2306" s="229">
        <v>3544.99</v>
      </c>
      <c r="M2306" s="55"/>
    </row>
    <row r="2307" spans="2:13" x14ac:dyDescent="0.3">
      <c r="B2307" s="223" t="s">
        <v>2487</v>
      </c>
      <c r="C2307" s="37">
        <v>6</v>
      </c>
      <c r="D2307" s="225">
        <v>11</v>
      </c>
      <c r="E2307" s="226">
        <v>30344</v>
      </c>
      <c r="F2307" s="227"/>
      <c r="G2307" s="1" t="str">
        <f>IFERROR(IF(ventas_b_mes12[[#This Row],[CUIT]]="","-",VLOOKUP(ventas_b_mes12[[#This Row],[CUIT]],Lista_CUIT[#All],2,0)),"CUIT NO CARGADO")</f>
        <v>-</v>
      </c>
      <c r="H2307" s="96">
        <f>ventas_b_mes12[[#This Row],[TOTAL]]/1.21</f>
        <v>4917.3553719008269</v>
      </c>
      <c r="I2307" s="60">
        <f>ventas_b_mes12[[#This Row],[IMPORTE NETO]]*0.21</f>
        <v>1032.6446280991736</v>
      </c>
      <c r="J2307" s="229"/>
      <c r="K2307" s="229"/>
      <c r="L2307" s="229">
        <v>5950</v>
      </c>
      <c r="M2307" s="55"/>
    </row>
    <row r="2308" spans="2:13" x14ac:dyDescent="0.3">
      <c r="B2308" s="223" t="s">
        <v>2487</v>
      </c>
      <c r="C2308" s="37">
        <v>6</v>
      </c>
      <c r="D2308" s="225">
        <v>15</v>
      </c>
      <c r="E2308" s="226">
        <v>7365</v>
      </c>
      <c r="F2308" s="227"/>
      <c r="G2308" s="1" t="str">
        <f>IFERROR(IF(ventas_b_mes12[[#This Row],[CUIT]]="","-",VLOOKUP(ventas_b_mes12[[#This Row],[CUIT]],Lista_CUIT[#All],2,0)),"CUIT NO CARGADO")</f>
        <v>-</v>
      </c>
      <c r="H2308" s="96">
        <f>ventas_b_mes12[[#This Row],[TOTAL]]/1.21</f>
        <v>6516.5289256198348</v>
      </c>
      <c r="I2308" s="60">
        <f>ventas_b_mes12[[#This Row],[IMPORTE NETO]]*0.21</f>
        <v>1368.4710743801652</v>
      </c>
      <c r="J2308" s="229"/>
      <c r="K2308" s="229"/>
      <c r="L2308" s="229">
        <v>7885</v>
      </c>
      <c r="M2308" s="55"/>
    </row>
    <row r="2309" spans="2:13" x14ac:dyDescent="0.3">
      <c r="B2309" s="223" t="s">
        <v>2487</v>
      </c>
      <c r="C2309" s="37">
        <v>6</v>
      </c>
      <c r="D2309" s="225">
        <v>10</v>
      </c>
      <c r="E2309" s="226">
        <v>44212</v>
      </c>
      <c r="F2309" s="227"/>
      <c r="G2309" s="1" t="str">
        <f>IFERROR(IF(ventas_b_mes12[[#This Row],[CUIT]]="","-",VLOOKUP(ventas_b_mes12[[#This Row],[CUIT]],Lista_CUIT[#All],2,0)),"CUIT NO CARGADO")</f>
        <v>-</v>
      </c>
      <c r="H2309" s="96">
        <f>ventas_b_mes12[[#This Row],[TOTAL]]/1.21</f>
        <v>16474.256198347106</v>
      </c>
      <c r="I2309" s="60">
        <f>ventas_b_mes12[[#This Row],[IMPORTE NETO]]*0.21</f>
        <v>3459.5938016528921</v>
      </c>
      <c r="J2309" s="229"/>
      <c r="K2309" s="229"/>
      <c r="L2309" s="229">
        <v>19933.849999999999</v>
      </c>
      <c r="M2309" s="55"/>
    </row>
    <row r="2310" spans="2:13" x14ac:dyDescent="0.3">
      <c r="B2310" s="223" t="s">
        <v>2487</v>
      </c>
      <c r="C2310" s="37">
        <v>6</v>
      </c>
      <c r="D2310" s="225">
        <v>12</v>
      </c>
      <c r="E2310" s="226">
        <v>22792</v>
      </c>
      <c r="F2310" s="227"/>
      <c r="G2310" s="1" t="str">
        <f>IFERROR(IF(ventas_b_mes12[[#This Row],[CUIT]]="","-",VLOOKUP(ventas_b_mes12[[#This Row],[CUIT]],Lista_CUIT[#All],2,0)),"CUIT NO CARGADO")</f>
        <v>-</v>
      </c>
      <c r="H2310" s="96">
        <f>ventas_b_mes12[[#This Row],[TOTAL]]/1.21</f>
        <v>2892.5619834710747</v>
      </c>
      <c r="I2310" s="60">
        <f>ventas_b_mes12[[#This Row],[IMPORTE NETO]]*0.21</f>
        <v>607.43801652892569</v>
      </c>
      <c r="J2310" s="229"/>
      <c r="K2310" s="229"/>
      <c r="L2310" s="229">
        <v>3500</v>
      </c>
      <c r="M2310" s="55"/>
    </row>
    <row r="2311" spans="2:13" x14ac:dyDescent="0.3">
      <c r="B2311" s="223" t="s">
        <v>2487</v>
      </c>
      <c r="C2311" s="37">
        <v>6</v>
      </c>
      <c r="D2311" s="225">
        <v>13</v>
      </c>
      <c r="E2311" s="226">
        <v>26962</v>
      </c>
      <c r="F2311" s="227"/>
      <c r="G2311" s="1" t="str">
        <f>IFERROR(IF(ventas_b_mes12[[#This Row],[CUIT]]="","-",VLOOKUP(ventas_b_mes12[[#This Row],[CUIT]],Lista_CUIT[#All],2,0)),"CUIT NO CARGADO")</f>
        <v>-</v>
      </c>
      <c r="H2311" s="96">
        <f>ventas_b_mes12[[#This Row],[TOTAL]]/1.21</f>
        <v>6446.2809917355371</v>
      </c>
      <c r="I2311" s="60">
        <f>ventas_b_mes12[[#This Row],[IMPORTE NETO]]*0.21</f>
        <v>1353.7190082644627</v>
      </c>
      <c r="J2311" s="229"/>
      <c r="K2311" s="229"/>
      <c r="L2311" s="229">
        <v>7800</v>
      </c>
      <c r="M2311" s="55"/>
    </row>
    <row r="2312" spans="2:13" x14ac:dyDescent="0.3">
      <c r="B2312" s="223" t="s">
        <v>2487</v>
      </c>
      <c r="C2312" s="37">
        <v>6</v>
      </c>
      <c r="D2312" s="225">
        <v>11</v>
      </c>
      <c r="E2312" s="226">
        <v>30333</v>
      </c>
      <c r="F2312" s="227"/>
      <c r="G2312" s="1" t="str">
        <f>IFERROR(IF(ventas_b_mes12[[#This Row],[CUIT]]="","-",VLOOKUP(ventas_b_mes12[[#This Row],[CUIT]],Lista_CUIT[#All],2,0)),"CUIT NO CARGADO")</f>
        <v>-</v>
      </c>
      <c r="H2312" s="96">
        <f>ventas_b_mes12[[#This Row],[TOTAL]]/1.21</f>
        <v>8851.2396694214876</v>
      </c>
      <c r="I2312" s="60">
        <f>ventas_b_mes12[[#This Row],[IMPORTE NETO]]*0.21</f>
        <v>1858.7603305785124</v>
      </c>
      <c r="J2312" s="229"/>
      <c r="K2312" s="229"/>
      <c r="L2312" s="229">
        <v>10710</v>
      </c>
      <c r="M2312" s="55"/>
    </row>
    <row r="2313" spans="2:13" x14ac:dyDescent="0.3">
      <c r="B2313" s="223" t="s">
        <v>2487</v>
      </c>
      <c r="C2313" s="37">
        <v>6</v>
      </c>
      <c r="D2313" s="225">
        <v>12</v>
      </c>
      <c r="E2313" s="226">
        <v>22793</v>
      </c>
      <c r="F2313" s="227"/>
      <c r="G2313" s="1" t="str">
        <f>IFERROR(IF(ventas_b_mes12[[#This Row],[CUIT]]="","-",VLOOKUP(ventas_b_mes12[[#This Row],[CUIT]],Lista_CUIT[#All],2,0)),"CUIT NO CARGADO")</f>
        <v>-</v>
      </c>
      <c r="H2313" s="96">
        <f>ventas_b_mes12[[#This Row],[TOTAL]]/1.21</f>
        <v>1446.2809917355373</v>
      </c>
      <c r="I2313" s="60">
        <f>ventas_b_mes12[[#This Row],[IMPORTE NETO]]*0.21</f>
        <v>303.71900826446284</v>
      </c>
      <c r="J2313" s="229"/>
      <c r="K2313" s="229"/>
      <c r="L2313" s="229">
        <v>1750</v>
      </c>
      <c r="M2313" s="55"/>
    </row>
    <row r="2314" spans="2:13" x14ac:dyDescent="0.3">
      <c r="B2314" s="223" t="s">
        <v>2487</v>
      </c>
      <c r="C2314" s="37">
        <v>6</v>
      </c>
      <c r="D2314" s="225">
        <v>11</v>
      </c>
      <c r="E2314" s="226">
        <v>30334</v>
      </c>
      <c r="F2314" s="227"/>
      <c r="G2314" s="1" t="str">
        <f>IFERROR(IF(ventas_b_mes12[[#This Row],[CUIT]]="","-",VLOOKUP(ventas_b_mes12[[#This Row],[CUIT]],Lista_CUIT[#All],2,0)),"CUIT NO CARGADO")</f>
        <v>-</v>
      </c>
      <c r="H2314" s="96">
        <f>ventas_b_mes12[[#This Row],[TOTAL]]/1.21</f>
        <v>23966.96694214876</v>
      </c>
      <c r="I2314" s="60">
        <f>ventas_b_mes12[[#This Row],[IMPORTE NETO]]*0.21</f>
        <v>5033.0630578512391</v>
      </c>
      <c r="J2314" s="229"/>
      <c r="K2314" s="229"/>
      <c r="L2314" s="229">
        <v>29000.03</v>
      </c>
      <c r="M2314" s="55"/>
    </row>
    <row r="2315" spans="2:13" x14ac:dyDescent="0.3">
      <c r="B2315" s="223" t="s">
        <v>2487</v>
      </c>
      <c r="C2315" s="37">
        <v>6</v>
      </c>
      <c r="D2315" s="225">
        <v>12</v>
      </c>
      <c r="E2315" s="226">
        <v>22808</v>
      </c>
      <c r="F2315" s="227"/>
      <c r="G2315" s="1" t="str">
        <f>IFERROR(IF(ventas_b_mes12[[#This Row],[CUIT]]="","-",VLOOKUP(ventas_b_mes12[[#This Row],[CUIT]],Lista_CUIT[#All],2,0)),"CUIT NO CARGADO")</f>
        <v>-</v>
      </c>
      <c r="H2315" s="96">
        <f>ventas_b_mes12[[#This Row],[TOTAL]]/1.21</f>
        <v>4917.3553719008269</v>
      </c>
      <c r="I2315" s="60">
        <f>ventas_b_mes12[[#This Row],[IMPORTE NETO]]*0.21</f>
        <v>1032.6446280991736</v>
      </c>
      <c r="J2315" s="229"/>
      <c r="K2315" s="229"/>
      <c r="L2315" s="229">
        <v>5950</v>
      </c>
      <c r="M2315" s="55"/>
    </row>
    <row r="2316" spans="2:13" x14ac:dyDescent="0.3">
      <c r="B2316" s="223" t="s">
        <v>2487</v>
      </c>
      <c r="C2316" s="37">
        <v>6</v>
      </c>
      <c r="D2316" s="225">
        <v>10</v>
      </c>
      <c r="E2316" s="226">
        <v>44202</v>
      </c>
      <c r="F2316" s="227"/>
      <c r="G2316" s="1" t="str">
        <f>IFERROR(IF(ventas_b_mes12[[#This Row],[CUIT]]="","-",VLOOKUP(ventas_b_mes12[[#This Row],[CUIT]],Lista_CUIT[#All],2,0)),"CUIT NO CARGADO")</f>
        <v>-</v>
      </c>
      <c r="H2316" s="96">
        <f>ventas_b_mes12[[#This Row],[TOTAL]]/1.21</f>
        <v>18115.702479338845</v>
      </c>
      <c r="I2316" s="60">
        <f>ventas_b_mes12[[#This Row],[IMPORTE NETO]]*0.21</f>
        <v>3804.2975206611573</v>
      </c>
      <c r="J2316" s="229"/>
      <c r="K2316" s="229"/>
      <c r="L2316" s="229">
        <v>21920</v>
      </c>
      <c r="M2316" s="55"/>
    </row>
    <row r="2317" spans="2:13" x14ac:dyDescent="0.3">
      <c r="B2317" s="223" t="s">
        <v>2487</v>
      </c>
      <c r="C2317" s="37">
        <v>6</v>
      </c>
      <c r="D2317" s="225">
        <v>10</v>
      </c>
      <c r="E2317" s="226">
        <v>44203</v>
      </c>
      <c r="F2317" s="227"/>
      <c r="G2317" s="1" t="str">
        <f>IFERROR(IF(ventas_b_mes12[[#This Row],[CUIT]]="","-",VLOOKUP(ventas_b_mes12[[#This Row],[CUIT]],Lista_CUIT[#All],2,0)),"CUIT NO CARGADO")</f>
        <v>-</v>
      </c>
      <c r="H2317" s="96">
        <f>ventas_b_mes12[[#This Row],[TOTAL]]/1.21</f>
        <v>6202.4710743801652</v>
      </c>
      <c r="I2317" s="60">
        <f>ventas_b_mes12[[#This Row],[IMPORTE NETO]]*0.21</f>
        <v>1302.5189256198346</v>
      </c>
      <c r="J2317" s="229"/>
      <c r="K2317" s="229"/>
      <c r="L2317" s="229">
        <v>7504.99</v>
      </c>
      <c r="M2317" s="55"/>
    </row>
    <row r="2318" spans="2:13" x14ac:dyDescent="0.3">
      <c r="B2318" s="223" t="s">
        <v>2487</v>
      </c>
      <c r="C2318" s="37">
        <v>6</v>
      </c>
      <c r="D2318" s="225">
        <v>12</v>
      </c>
      <c r="E2318" s="226">
        <v>22821</v>
      </c>
      <c r="F2318" s="227"/>
      <c r="G2318" s="1" t="str">
        <f>IFERROR(IF(ventas_b_mes12[[#This Row],[CUIT]]="","-",VLOOKUP(ventas_b_mes12[[#This Row],[CUIT]],Lista_CUIT[#All],2,0)),"CUIT NO CARGADO")</f>
        <v>-</v>
      </c>
      <c r="H2318" s="96">
        <f>ventas_b_mes12[[#This Row],[TOTAL]]/1.21</f>
        <v>7438.0165289256202</v>
      </c>
      <c r="I2318" s="60">
        <f>ventas_b_mes12[[#This Row],[IMPORTE NETO]]*0.21</f>
        <v>1561.9834710743801</v>
      </c>
      <c r="J2318" s="229"/>
      <c r="K2318" s="229"/>
      <c r="L2318" s="229">
        <v>9000</v>
      </c>
      <c r="M2318" s="55"/>
    </row>
    <row r="2319" spans="2:13" x14ac:dyDescent="0.3">
      <c r="B2319" s="223" t="s">
        <v>2487</v>
      </c>
      <c r="C2319" s="37">
        <v>6</v>
      </c>
      <c r="D2319" s="225">
        <v>12</v>
      </c>
      <c r="E2319" s="226">
        <v>22811</v>
      </c>
      <c r="F2319" s="227"/>
      <c r="G2319" s="1" t="str">
        <f>IFERROR(IF(ventas_b_mes12[[#This Row],[CUIT]]="","-",VLOOKUP(ventas_b_mes12[[#This Row],[CUIT]],Lista_CUIT[#All],2,0)),"CUIT NO CARGADO")</f>
        <v>-</v>
      </c>
      <c r="H2319" s="96">
        <f>ventas_b_mes12[[#This Row],[TOTAL]]/1.21</f>
        <v>8677.6859504132226</v>
      </c>
      <c r="I2319" s="60">
        <f>ventas_b_mes12[[#This Row],[IMPORTE NETO]]*0.21</f>
        <v>1822.3140495867767</v>
      </c>
      <c r="J2319" s="229"/>
      <c r="K2319" s="229"/>
      <c r="L2319" s="229">
        <v>10500</v>
      </c>
      <c r="M2319" s="55"/>
    </row>
    <row r="2320" spans="2:13" x14ac:dyDescent="0.3">
      <c r="B2320" s="223" t="s">
        <v>2487</v>
      </c>
      <c r="C2320" s="37">
        <v>6</v>
      </c>
      <c r="D2320" s="225">
        <v>15</v>
      </c>
      <c r="E2320" s="226">
        <v>7364</v>
      </c>
      <c r="F2320" s="227"/>
      <c r="G2320" s="1" t="str">
        <f>IFERROR(IF(ventas_b_mes12[[#This Row],[CUIT]]="","-",VLOOKUP(ventas_b_mes12[[#This Row],[CUIT]],Lista_CUIT[#All],2,0)),"CUIT NO CARGADO")</f>
        <v>-</v>
      </c>
      <c r="H2320" s="96">
        <f>ventas_b_mes12[[#This Row],[TOTAL]]/1.21</f>
        <v>5884.2892561983472</v>
      </c>
      <c r="I2320" s="60">
        <f>ventas_b_mes12[[#This Row],[IMPORTE NETO]]*0.21</f>
        <v>1235.7007438016528</v>
      </c>
      <c r="J2320" s="229"/>
      <c r="K2320" s="229"/>
      <c r="L2320" s="229">
        <v>7119.99</v>
      </c>
      <c r="M2320" s="55"/>
    </row>
    <row r="2321" spans="2:13" x14ac:dyDescent="0.3">
      <c r="B2321" s="223" t="s">
        <v>2487</v>
      </c>
      <c r="C2321" s="37">
        <v>6</v>
      </c>
      <c r="D2321" s="225">
        <v>10</v>
      </c>
      <c r="E2321" s="226">
        <v>44201</v>
      </c>
      <c r="F2321" s="227"/>
      <c r="G2321" s="1" t="str">
        <f>IFERROR(IF(ventas_b_mes12[[#This Row],[CUIT]]="","-",VLOOKUP(ventas_b_mes12[[#This Row],[CUIT]],Lista_CUIT[#All],2,0)),"CUIT NO CARGADO")</f>
        <v>-</v>
      </c>
      <c r="H2321" s="96">
        <f>ventas_b_mes12[[#This Row],[TOTAL]]/1.21</f>
        <v>7621.9008264462809</v>
      </c>
      <c r="I2321" s="60">
        <f>ventas_b_mes12[[#This Row],[IMPORTE NETO]]*0.21</f>
        <v>1600.5991735537189</v>
      </c>
      <c r="J2321" s="229"/>
      <c r="K2321" s="229"/>
      <c r="L2321" s="229">
        <v>9222.5</v>
      </c>
      <c r="M2321" s="55"/>
    </row>
    <row r="2322" spans="2:13" x14ac:dyDescent="0.3">
      <c r="B2322" s="223" t="s">
        <v>2487</v>
      </c>
      <c r="C2322" s="37">
        <v>6</v>
      </c>
      <c r="D2322" s="225">
        <v>12</v>
      </c>
      <c r="E2322" s="226">
        <v>22818</v>
      </c>
      <c r="F2322" s="227"/>
      <c r="G2322" s="1" t="str">
        <f>IFERROR(IF(ventas_b_mes12[[#This Row],[CUIT]]="","-",VLOOKUP(ventas_b_mes12[[#This Row],[CUIT]],Lista_CUIT[#All],2,0)),"CUIT NO CARGADO")</f>
        <v>-</v>
      </c>
      <c r="H2322" s="96">
        <f>ventas_b_mes12[[#This Row],[TOTAL]]/1.21</f>
        <v>10867.768595041323</v>
      </c>
      <c r="I2322" s="60">
        <f>ventas_b_mes12[[#This Row],[IMPORTE NETO]]*0.21</f>
        <v>2282.231404958678</v>
      </c>
      <c r="J2322" s="229"/>
      <c r="K2322" s="229"/>
      <c r="L2322" s="229">
        <v>13150</v>
      </c>
      <c r="M2322" s="55"/>
    </row>
    <row r="2323" spans="2:13" x14ac:dyDescent="0.3">
      <c r="B2323" s="223" t="s">
        <v>2487</v>
      </c>
      <c r="C2323" s="37">
        <v>6</v>
      </c>
      <c r="D2323" s="225">
        <v>11</v>
      </c>
      <c r="E2323" s="226">
        <v>30343</v>
      </c>
      <c r="F2323" s="227"/>
      <c r="G2323" s="1" t="str">
        <f>IFERROR(IF(ventas_b_mes12[[#This Row],[CUIT]]="","-",VLOOKUP(ventas_b_mes12[[#This Row],[CUIT]],Lista_CUIT[#All],2,0)),"CUIT NO CARGADO")</f>
        <v>-</v>
      </c>
      <c r="H2323" s="96">
        <f>ventas_b_mes12[[#This Row],[TOTAL]]/1.21</f>
        <v>3429.7520661157027</v>
      </c>
      <c r="I2323" s="60">
        <f>ventas_b_mes12[[#This Row],[IMPORTE NETO]]*0.21</f>
        <v>720.24793388429759</v>
      </c>
      <c r="J2323" s="229"/>
      <c r="K2323" s="229"/>
      <c r="L2323" s="229">
        <v>4150</v>
      </c>
      <c r="M2323" s="55"/>
    </row>
    <row r="2324" spans="2:13" x14ac:dyDescent="0.3">
      <c r="B2324" s="223" t="s">
        <v>2487</v>
      </c>
      <c r="C2324" s="37">
        <v>6</v>
      </c>
      <c r="D2324" s="225">
        <v>11</v>
      </c>
      <c r="E2324" s="226">
        <v>30341</v>
      </c>
      <c r="F2324" s="227"/>
      <c r="G2324" s="1" t="str">
        <f>IFERROR(IF(ventas_b_mes12[[#This Row],[CUIT]]="","-",VLOOKUP(ventas_b_mes12[[#This Row],[CUIT]],Lista_CUIT[#All],2,0)),"CUIT NO CARGADO")</f>
        <v>-</v>
      </c>
      <c r="H2324" s="96">
        <f>ventas_b_mes12[[#This Row],[TOTAL]]/1.21</f>
        <v>2561.9834710743803</v>
      </c>
      <c r="I2324" s="60">
        <f>ventas_b_mes12[[#This Row],[IMPORTE NETO]]*0.21</f>
        <v>538.01652892561981</v>
      </c>
      <c r="J2324" s="229"/>
      <c r="K2324" s="229"/>
      <c r="L2324" s="229">
        <v>3100</v>
      </c>
      <c r="M2324" s="55"/>
    </row>
    <row r="2325" spans="2:13" x14ac:dyDescent="0.3">
      <c r="B2325" s="223" t="s">
        <v>2487</v>
      </c>
      <c r="C2325" s="37">
        <v>6</v>
      </c>
      <c r="D2325" s="225">
        <v>15</v>
      </c>
      <c r="E2325" s="226">
        <v>7369</v>
      </c>
      <c r="F2325" s="227"/>
      <c r="G2325" s="1" t="str">
        <f>IFERROR(IF(ventas_b_mes12[[#This Row],[CUIT]]="","-",VLOOKUP(ventas_b_mes12[[#This Row],[CUIT]],Lista_CUIT[#All],2,0)),"CUIT NO CARGADO")</f>
        <v>-</v>
      </c>
      <c r="H2325" s="96">
        <f>ventas_b_mes12[[#This Row],[TOTAL]]/1.21</f>
        <v>4987.6033057851237</v>
      </c>
      <c r="I2325" s="60">
        <f>ventas_b_mes12[[#This Row],[IMPORTE NETO]]*0.21</f>
        <v>1047.3966942148759</v>
      </c>
      <c r="J2325" s="229"/>
      <c r="K2325" s="229"/>
      <c r="L2325" s="229">
        <v>6035</v>
      </c>
      <c r="M2325" s="55"/>
    </row>
    <row r="2326" spans="2:13" x14ac:dyDescent="0.3">
      <c r="B2326" s="223" t="s">
        <v>2487</v>
      </c>
      <c r="C2326" s="37">
        <v>6</v>
      </c>
      <c r="D2326" s="225">
        <v>11</v>
      </c>
      <c r="E2326" s="226">
        <v>30330</v>
      </c>
      <c r="F2326" s="227"/>
      <c r="G2326" s="1" t="str">
        <f>IFERROR(IF(ventas_b_mes12[[#This Row],[CUIT]]="","-",VLOOKUP(ventas_b_mes12[[#This Row],[CUIT]],Lista_CUIT[#All],2,0)),"CUIT NO CARGADO")</f>
        <v>-</v>
      </c>
      <c r="H2326" s="96">
        <f>ventas_b_mes12[[#This Row],[TOTAL]]/1.21</f>
        <v>4958.6776859504134</v>
      </c>
      <c r="I2326" s="60">
        <f>ventas_b_mes12[[#This Row],[IMPORTE NETO]]*0.21</f>
        <v>1041.3223140495868</v>
      </c>
      <c r="J2326" s="229"/>
      <c r="K2326" s="229"/>
      <c r="L2326" s="229">
        <v>6000</v>
      </c>
      <c r="M2326" s="55"/>
    </row>
    <row r="2327" spans="2:13" x14ac:dyDescent="0.3">
      <c r="B2327" s="223" t="s">
        <v>2487</v>
      </c>
      <c r="C2327" s="37">
        <v>6</v>
      </c>
      <c r="D2327" s="225">
        <v>12</v>
      </c>
      <c r="E2327" s="226">
        <v>22806</v>
      </c>
      <c r="F2327" s="227"/>
      <c r="G2327" s="1" t="str">
        <f>IFERROR(IF(ventas_b_mes12[[#This Row],[CUIT]]="","-",VLOOKUP(ventas_b_mes12[[#This Row],[CUIT]],Lista_CUIT[#All],2,0)),"CUIT NO CARGADO")</f>
        <v>-</v>
      </c>
      <c r="H2327" s="96">
        <f>ventas_b_mes12[[#This Row],[TOTAL]]/1.21</f>
        <v>4090.909090909091</v>
      </c>
      <c r="I2327" s="60">
        <f>ventas_b_mes12[[#This Row],[IMPORTE NETO]]*0.21</f>
        <v>859.09090909090912</v>
      </c>
      <c r="J2327" s="229"/>
      <c r="K2327" s="229"/>
      <c r="L2327" s="229">
        <v>4950</v>
      </c>
      <c r="M2327" s="55"/>
    </row>
    <row r="2328" spans="2:13" x14ac:dyDescent="0.3">
      <c r="B2328" s="223" t="s">
        <v>2487</v>
      </c>
      <c r="C2328" s="37">
        <v>6</v>
      </c>
      <c r="D2328" s="225">
        <v>12</v>
      </c>
      <c r="E2328" s="226">
        <v>22800</v>
      </c>
      <c r="F2328" s="227"/>
      <c r="G2328" s="1" t="str">
        <f>IFERROR(IF(ventas_b_mes12[[#This Row],[CUIT]]="","-",VLOOKUP(ventas_b_mes12[[#This Row],[CUIT]],Lista_CUIT[#All],2,0)),"CUIT NO CARGADO")</f>
        <v>-</v>
      </c>
      <c r="H2328" s="96">
        <f>ventas_b_mes12[[#This Row],[TOTAL]]/1.21</f>
        <v>5247.9338842975212</v>
      </c>
      <c r="I2328" s="60">
        <f>ventas_b_mes12[[#This Row],[IMPORTE NETO]]*0.21</f>
        <v>1102.0661157024795</v>
      </c>
      <c r="J2328" s="229"/>
      <c r="K2328" s="229"/>
      <c r="L2328" s="229">
        <v>6350</v>
      </c>
      <c r="M2328" s="55"/>
    </row>
    <row r="2329" spans="2:13" x14ac:dyDescent="0.3">
      <c r="B2329" s="223" t="s">
        <v>2487</v>
      </c>
      <c r="C2329" s="37">
        <v>6</v>
      </c>
      <c r="D2329" s="225">
        <v>12</v>
      </c>
      <c r="E2329" s="226">
        <v>22807</v>
      </c>
      <c r="F2329" s="227"/>
      <c r="G2329" s="1" t="str">
        <f>IFERROR(IF(ventas_b_mes12[[#This Row],[CUIT]]="","-",VLOOKUP(ventas_b_mes12[[#This Row],[CUIT]],Lista_CUIT[#All],2,0)),"CUIT NO CARGADO")</f>
        <v>-</v>
      </c>
      <c r="H2329" s="96">
        <f>ventas_b_mes12[[#This Row],[TOTAL]]/1.21</f>
        <v>5206.6115702479337</v>
      </c>
      <c r="I2329" s="60">
        <f>ventas_b_mes12[[#This Row],[IMPORTE NETO]]*0.21</f>
        <v>1093.388429752066</v>
      </c>
      <c r="J2329" s="229"/>
      <c r="K2329" s="229"/>
      <c r="L2329" s="229">
        <v>6300</v>
      </c>
      <c r="M2329" s="55"/>
    </row>
    <row r="2330" spans="2:13" x14ac:dyDescent="0.3">
      <c r="B2330" s="223" t="s">
        <v>2487</v>
      </c>
      <c r="C2330" s="37">
        <v>6</v>
      </c>
      <c r="D2330" s="225">
        <v>10</v>
      </c>
      <c r="E2330" s="226">
        <v>44218</v>
      </c>
      <c r="F2330" s="227"/>
      <c r="G2330" s="1" t="str">
        <f>IFERROR(IF(ventas_b_mes12[[#This Row],[CUIT]]="","-",VLOOKUP(ventas_b_mes12[[#This Row],[CUIT]],Lista_CUIT[#All],2,0)),"CUIT NO CARGADO")</f>
        <v>-</v>
      </c>
      <c r="H2330" s="96">
        <f>ventas_b_mes12[[#This Row],[TOTAL]]/1.21</f>
        <v>13157.851239669422</v>
      </c>
      <c r="I2330" s="60">
        <f>ventas_b_mes12[[#This Row],[IMPORTE NETO]]*0.21</f>
        <v>2763.1487603305786</v>
      </c>
      <c r="J2330" s="229"/>
      <c r="K2330" s="229"/>
      <c r="L2330" s="229">
        <v>15921</v>
      </c>
      <c r="M2330" s="55"/>
    </row>
    <row r="2331" spans="2:13" x14ac:dyDescent="0.3">
      <c r="B2331" s="223" t="s">
        <v>2487</v>
      </c>
      <c r="C2331" s="37">
        <v>6</v>
      </c>
      <c r="D2331" s="225">
        <v>10</v>
      </c>
      <c r="E2331" s="226">
        <v>44214</v>
      </c>
      <c r="F2331" s="227"/>
      <c r="G2331" s="1" t="str">
        <f>IFERROR(IF(ventas_b_mes12[[#This Row],[CUIT]]="","-",VLOOKUP(ventas_b_mes12[[#This Row],[CUIT]],Lista_CUIT[#All],2,0)),"CUIT NO CARGADO")</f>
        <v>-</v>
      </c>
      <c r="H2331" s="96">
        <f>ventas_b_mes12[[#This Row],[TOTAL]]/1.21</f>
        <v>4545.454545454546</v>
      </c>
      <c r="I2331" s="60">
        <f>ventas_b_mes12[[#This Row],[IMPORTE NETO]]*0.21</f>
        <v>954.54545454545462</v>
      </c>
      <c r="J2331" s="229"/>
      <c r="K2331" s="229"/>
      <c r="L2331" s="229">
        <v>5500</v>
      </c>
      <c r="M2331" s="55"/>
    </row>
    <row r="2332" spans="2:13" x14ac:dyDescent="0.3">
      <c r="B2332" s="223" t="s">
        <v>2487</v>
      </c>
      <c r="C2332" s="37">
        <v>6</v>
      </c>
      <c r="D2332" s="225">
        <v>13</v>
      </c>
      <c r="E2332" s="226">
        <v>26960</v>
      </c>
      <c r="F2332" s="227"/>
      <c r="G2332" s="1" t="str">
        <f>IFERROR(IF(ventas_b_mes12[[#This Row],[CUIT]]="","-",VLOOKUP(ventas_b_mes12[[#This Row],[CUIT]],Lista_CUIT[#All],2,0)),"CUIT NO CARGADO")</f>
        <v>-</v>
      </c>
      <c r="H2332" s="96">
        <f>ventas_b_mes12[[#This Row],[TOTAL]]/1.21</f>
        <v>5165.2892561983472</v>
      </c>
      <c r="I2332" s="60">
        <f>ventas_b_mes12[[#This Row],[IMPORTE NETO]]*0.21</f>
        <v>1084.7107438016528</v>
      </c>
      <c r="J2332" s="229"/>
      <c r="K2332" s="229"/>
      <c r="L2332" s="229">
        <v>6250</v>
      </c>
      <c r="M2332" s="55"/>
    </row>
    <row r="2333" spans="2:13" x14ac:dyDescent="0.3">
      <c r="B2333" s="223" t="s">
        <v>2487</v>
      </c>
      <c r="C2333" s="37">
        <v>6</v>
      </c>
      <c r="D2333" s="225">
        <v>10</v>
      </c>
      <c r="E2333" s="226">
        <v>44216</v>
      </c>
      <c r="F2333" s="227"/>
      <c r="G2333" s="1" t="str">
        <f>IFERROR(IF(ventas_b_mes12[[#This Row],[CUIT]]="","-",VLOOKUP(ventas_b_mes12[[#This Row],[CUIT]],Lista_CUIT[#All],2,0)),"CUIT NO CARGADO")</f>
        <v>-</v>
      </c>
      <c r="H2333" s="96">
        <f>ventas_b_mes12[[#This Row],[TOTAL]]/1.21</f>
        <v>1276.8595041322315</v>
      </c>
      <c r="I2333" s="60">
        <f>ventas_b_mes12[[#This Row],[IMPORTE NETO]]*0.21</f>
        <v>268.14049586776861</v>
      </c>
      <c r="J2333" s="229"/>
      <c r="K2333" s="229"/>
      <c r="L2333" s="229">
        <v>1545</v>
      </c>
      <c r="M2333" s="55"/>
    </row>
    <row r="2334" spans="2:13" x14ac:dyDescent="0.3">
      <c r="B2334" s="223" t="s">
        <v>2487</v>
      </c>
      <c r="C2334" s="37">
        <v>6</v>
      </c>
      <c r="D2334" s="225">
        <v>11</v>
      </c>
      <c r="E2334" s="226">
        <v>30338</v>
      </c>
      <c r="F2334" s="227"/>
      <c r="G2334" s="1" t="str">
        <f>IFERROR(IF(ventas_b_mes12[[#This Row],[CUIT]]="","-",VLOOKUP(ventas_b_mes12[[#This Row],[CUIT]],Lista_CUIT[#All],2,0)),"CUIT NO CARGADO")</f>
        <v>-</v>
      </c>
      <c r="H2334" s="96">
        <f>ventas_b_mes12[[#This Row],[TOTAL]]/1.21</f>
        <v>10123.983471074382</v>
      </c>
      <c r="I2334" s="60">
        <f>ventas_b_mes12[[#This Row],[IMPORTE NETO]]*0.21</f>
        <v>2126.0365289256201</v>
      </c>
      <c r="J2334" s="229"/>
      <c r="K2334" s="229"/>
      <c r="L2334" s="229">
        <v>12250.02</v>
      </c>
      <c r="M2334" s="55"/>
    </row>
    <row r="2335" spans="2:13" x14ac:dyDescent="0.3">
      <c r="B2335" s="223" t="s">
        <v>2487</v>
      </c>
      <c r="C2335" s="37">
        <v>6</v>
      </c>
      <c r="D2335" s="225">
        <v>12</v>
      </c>
      <c r="E2335" s="226">
        <v>22796</v>
      </c>
      <c r="F2335" s="227"/>
      <c r="G2335" s="1" t="str">
        <f>IFERROR(IF(ventas_b_mes12[[#This Row],[CUIT]]="","-",VLOOKUP(ventas_b_mes12[[#This Row],[CUIT]],Lista_CUIT[#All],2,0)),"CUIT NO CARGADO")</f>
        <v>-</v>
      </c>
      <c r="H2335" s="96">
        <f>ventas_b_mes12[[#This Row],[TOTAL]]/1.21</f>
        <v>1528.9338842975208</v>
      </c>
      <c r="I2335" s="60">
        <f>ventas_b_mes12[[#This Row],[IMPORTE NETO]]*0.21</f>
        <v>321.07611570247934</v>
      </c>
      <c r="J2335" s="229"/>
      <c r="K2335" s="229"/>
      <c r="L2335" s="229">
        <v>1850.01</v>
      </c>
      <c r="M2335" s="55"/>
    </row>
    <row r="2336" spans="2:13" x14ac:dyDescent="0.3">
      <c r="B2336" s="223" t="s">
        <v>2487</v>
      </c>
      <c r="C2336" s="37">
        <v>6</v>
      </c>
      <c r="D2336" s="225">
        <v>11</v>
      </c>
      <c r="E2336" s="226">
        <v>30346</v>
      </c>
      <c r="F2336" s="227"/>
      <c r="G2336" s="1" t="str">
        <f>IFERROR(IF(ventas_b_mes12[[#This Row],[CUIT]]="","-",VLOOKUP(ventas_b_mes12[[#This Row],[CUIT]],Lista_CUIT[#All],2,0)),"CUIT NO CARGADO")</f>
        <v>-</v>
      </c>
      <c r="H2336" s="96">
        <f>ventas_b_mes12[[#This Row],[TOTAL]]/1.21</f>
        <v>4917.3553719008269</v>
      </c>
      <c r="I2336" s="60">
        <f>ventas_b_mes12[[#This Row],[IMPORTE NETO]]*0.21</f>
        <v>1032.6446280991736</v>
      </c>
      <c r="J2336" s="229"/>
      <c r="K2336" s="229"/>
      <c r="L2336" s="229">
        <v>5950</v>
      </c>
      <c r="M2336" s="55"/>
    </row>
    <row r="2337" spans="2:13" x14ac:dyDescent="0.3">
      <c r="B2337" s="223" t="s">
        <v>2488</v>
      </c>
      <c r="C2337" s="37">
        <v>6</v>
      </c>
      <c r="D2337" s="225">
        <v>12</v>
      </c>
      <c r="E2337" s="226">
        <v>22823</v>
      </c>
      <c r="F2337" s="227"/>
      <c r="G2337" s="1" t="str">
        <f>IFERROR(IF(ventas_b_mes12[[#This Row],[CUIT]]="","-",VLOOKUP(ventas_b_mes12[[#This Row],[CUIT]],Lista_CUIT[#All],2,0)),"CUIT NO CARGADO")</f>
        <v>-</v>
      </c>
      <c r="H2337" s="96">
        <f>ventas_b_mes12[[#This Row],[TOTAL]]/1.21</f>
        <v>4545.454545454546</v>
      </c>
      <c r="I2337" s="60">
        <f>ventas_b_mes12[[#This Row],[IMPORTE NETO]]*0.21</f>
        <v>954.54545454545462</v>
      </c>
      <c r="J2337" s="229"/>
      <c r="K2337" s="229"/>
      <c r="L2337" s="229">
        <v>5500</v>
      </c>
      <c r="M2337" s="55"/>
    </row>
    <row r="2338" spans="2:13" x14ac:dyDescent="0.3">
      <c r="B2338" s="223" t="s">
        <v>2488</v>
      </c>
      <c r="C2338" s="37">
        <v>6</v>
      </c>
      <c r="D2338" s="225">
        <v>10</v>
      </c>
      <c r="E2338" s="226">
        <v>44229</v>
      </c>
      <c r="F2338" s="227"/>
      <c r="G2338" s="1" t="str">
        <f>IFERROR(IF(ventas_b_mes12[[#This Row],[CUIT]]="","-",VLOOKUP(ventas_b_mes12[[#This Row],[CUIT]],Lista_CUIT[#All],2,0)),"CUIT NO CARGADO")</f>
        <v>-</v>
      </c>
      <c r="H2338" s="96">
        <f>ventas_b_mes12[[#This Row],[TOTAL]]/1.21</f>
        <v>9669.4380165289258</v>
      </c>
      <c r="I2338" s="60">
        <f>ventas_b_mes12[[#This Row],[IMPORTE NETO]]*0.21</f>
        <v>2030.5819834710744</v>
      </c>
      <c r="J2338" s="229"/>
      <c r="K2338" s="229"/>
      <c r="L2338" s="229">
        <v>11700.02</v>
      </c>
      <c r="M2338" s="55"/>
    </row>
    <row r="2339" spans="2:13" x14ac:dyDescent="0.3">
      <c r="B2339" s="223" t="s">
        <v>2488</v>
      </c>
      <c r="C2339" s="37">
        <v>6</v>
      </c>
      <c r="D2339" s="225">
        <v>13</v>
      </c>
      <c r="E2339" s="226">
        <v>26967</v>
      </c>
      <c r="F2339" s="227"/>
      <c r="G2339" s="1" t="str">
        <f>IFERROR(IF(ventas_b_mes12[[#This Row],[CUIT]]="","-",VLOOKUP(ventas_b_mes12[[#This Row],[CUIT]],Lista_CUIT[#All],2,0)),"CUIT NO CARGADO")</f>
        <v>-</v>
      </c>
      <c r="H2339" s="96">
        <f>ventas_b_mes12[[#This Row],[TOTAL]]/1.21</f>
        <v>1876.0330578512396</v>
      </c>
      <c r="I2339" s="60">
        <f>ventas_b_mes12[[#This Row],[IMPORTE NETO]]*0.21</f>
        <v>393.96694214876032</v>
      </c>
      <c r="J2339" s="229"/>
      <c r="K2339" s="229"/>
      <c r="L2339" s="229">
        <v>2270</v>
      </c>
      <c r="M2339" s="55"/>
    </row>
    <row r="2340" spans="2:13" x14ac:dyDescent="0.3">
      <c r="B2340" s="223" t="s">
        <v>2488</v>
      </c>
      <c r="C2340" s="37">
        <v>6</v>
      </c>
      <c r="D2340" s="225">
        <v>15</v>
      </c>
      <c r="E2340" s="226">
        <v>7376</v>
      </c>
      <c r="F2340" s="227"/>
      <c r="G2340" s="1" t="str">
        <f>IFERROR(IF(ventas_b_mes12[[#This Row],[CUIT]]="","-",VLOOKUP(ventas_b_mes12[[#This Row],[CUIT]],Lista_CUIT[#All],2,0)),"CUIT NO CARGADO")</f>
        <v>-</v>
      </c>
      <c r="H2340" s="96">
        <f>ventas_b_mes12[[#This Row],[TOTAL]]/1.21</f>
        <v>12709.10743801653</v>
      </c>
      <c r="I2340" s="60">
        <f>ventas_b_mes12[[#This Row],[IMPORTE NETO]]*0.21</f>
        <v>2668.9125619834713</v>
      </c>
      <c r="J2340" s="229"/>
      <c r="K2340" s="229"/>
      <c r="L2340" s="229">
        <v>15378.02</v>
      </c>
      <c r="M2340" s="55"/>
    </row>
    <row r="2341" spans="2:13" x14ac:dyDescent="0.3">
      <c r="B2341" s="223" t="s">
        <v>2488</v>
      </c>
      <c r="C2341" s="37">
        <v>6</v>
      </c>
      <c r="D2341" s="225">
        <v>12</v>
      </c>
      <c r="E2341" s="226">
        <v>22835</v>
      </c>
      <c r="F2341" s="227"/>
      <c r="G2341" s="1" t="str">
        <f>IFERROR(IF(ventas_b_mes12[[#This Row],[CUIT]]="","-",VLOOKUP(ventas_b_mes12[[#This Row],[CUIT]],Lista_CUIT[#All],2,0)),"CUIT NO CARGADO")</f>
        <v>-</v>
      </c>
      <c r="H2341" s="96">
        <f>ventas_b_mes12[[#This Row],[TOTAL]]/1.21</f>
        <v>3305.7851239669421</v>
      </c>
      <c r="I2341" s="60">
        <f>ventas_b_mes12[[#This Row],[IMPORTE NETO]]*0.21</f>
        <v>694.21487603305786</v>
      </c>
      <c r="J2341" s="229"/>
      <c r="K2341" s="229"/>
      <c r="L2341" s="229">
        <v>4000</v>
      </c>
      <c r="M2341" s="55"/>
    </row>
    <row r="2342" spans="2:13" x14ac:dyDescent="0.3">
      <c r="B2342" s="223" t="s">
        <v>2488</v>
      </c>
      <c r="C2342" s="37">
        <v>6</v>
      </c>
      <c r="D2342" s="225">
        <v>10</v>
      </c>
      <c r="E2342" s="226">
        <v>44225</v>
      </c>
      <c r="F2342" s="227"/>
      <c r="G2342" s="1" t="str">
        <f>IFERROR(IF(ventas_b_mes12[[#This Row],[CUIT]]="","-",VLOOKUP(ventas_b_mes12[[#This Row],[CUIT]],Lista_CUIT[#All],2,0)),"CUIT NO CARGADO")</f>
        <v>-</v>
      </c>
      <c r="H2342" s="96">
        <f>ventas_b_mes12[[#This Row],[TOTAL]]/1.21</f>
        <v>15338.842975206611</v>
      </c>
      <c r="I2342" s="60">
        <f>ventas_b_mes12[[#This Row],[IMPORTE NETO]]*0.21</f>
        <v>3221.1570247933882</v>
      </c>
      <c r="J2342" s="229"/>
      <c r="K2342" s="229"/>
      <c r="L2342" s="229">
        <v>18560</v>
      </c>
      <c r="M2342" s="55"/>
    </row>
    <row r="2343" spans="2:13" x14ac:dyDescent="0.3">
      <c r="B2343" s="223" t="s">
        <v>2488</v>
      </c>
      <c r="C2343" s="37">
        <v>6</v>
      </c>
      <c r="D2343" s="225">
        <v>15</v>
      </c>
      <c r="E2343" s="226">
        <v>7379</v>
      </c>
      <c r="F2343" s="227"/>
      <c r="G2343" s="1" t="str">
        <f>IFERROR(IF(ventas_b_mes12[[#This Row],[CUIT]]="","-",VLOOKUP(ventas_b_mes12[[#This Row],[CUIT]],Lista_CUIT[#All],2,0)),"CUIT NO CARGADO")</f>
        <v>-</v>
      </c>
      <c r="H2343" s="96">
        <f>ventas_b_mes12[[#This Row],[TOTAL]]/1.21</f>
        <v>3659.5123966942151</v>
      </c>
      <c r="I2343" s="60">
        <f>ventas_b_mes12[[#This Row],[IMPORTE NETO]]*0.21</f>
        <v>768.49760330578511</v>
      </c>
      <c r="J2343" s="229"/>
      <c r="K2343" s="229"/>
      <c r="L2343" s="229">
        <v>4428.01</v>
      </c>
      <c r="M2343" s="55"/>
    </row>
    <row r="2344" spans="2:13" x14ac:dyDescent="0.3">
      <c r="B2344" s="223" t="s">
        <v>2488</v>
      </c>
      <c r="C2344" s="37">
        <v>6</v>
      </c>
      <c r="D2344" s="225">
        <v>15</v>
      </c>
      <c r="E2344" s="226">
        <v>7370</v>
      </c>
      <c r="F2344" s="227"/>
      <c r="G2344" s="1" t="str">
        <f>IFERROR(IF(ventas_b_mes12[[#This Row],[CUIT]]="","-",VLOOKUP(ventas_b_mes12[[#This Row],[CUIT]],Lista_CUIT[#All],2,0)),"CUIT NO CARGADO")</f>
        <v>-</v>
      </c>
      <c r="H2344" s="96">
        <f>ventas_b_mes12[[#This Row],[TOTAL]]/1.21</f>
        <v>1239.6776859504132</v>
      </c>
      <c r="I2344" s="60">
        <f>ventas_b_mes12[[#This Row],[IMPORTE NETO]]*0.21</f>
        <v>260.33231404958678</v>
      </c>
      <c r="J2344" s="229"/>
      <c r="K2344" s="229"/>
      <c r="L2344" s="229">
        <v>1500.01</v>
      </c>
      <c r="M2344" s="55"/>
    </row>
    <row r="2345" spans="2:13" x14ac:dyDescent="0.3">
      <c r="B2345" s="223" t="s">
        <v>2488</v>
      </c>
      <c r="C2345" s="37">
        <v>6</v>
      </c>
      <c r="D2345" s="225">
        <v>13</v>
      </c>
      <c r="E2345" s="226">
        <v>26974</v>
      </c>
      <c r="F2345" s="227"/>
      <c r="G2345" s="1" t="str">
        <f>IFERROR(IF(ventas_b_mes12[[#This Row],[CUIT]]="","-",VLOOKUP(ventas_b_mes12[[#This Row],[CUIT]],Lista_CUIT[#All],2,0)),"CUIT NO CARGADO")</f>
        <v>-</v>
      </c>
      <c r="H2345" s="96">
        <f>ventas_b_mes12[[#This Row],[TOTAL]]/1.21</f>
        <v>6190.0826446280989</v>
      </c>
      <c r="I2345" s="60">
        <f>ventas_b_mes12[[#This Row],[IMPORTE NETO]]*0.21</f>
        <v>1299.9173553719008</v>
      </c>
      <c r="J2345" s="229"/>
      <c r="K2345" s="229"/>
      <c r="L2345" s="229">
        <v>7490</v>
      </c>
      <c r="M2345" s="55"/>
    </row>
    <row r="2346" spans="2:13" x14ac:dyDescent="0.3">
      <c r="B2346" s="223" t="s">
        <v>2488</v>
      </c>
      <c r="C2346" s="37">
        <v>6</v>
      </c>
      <c r="D2346" s="225">
        <v>12</v>
      </c>
      <c r="E2346" s="226">
        <v>22830</v>
      </c>
      <c r="F2346" s="227"/>
      <c r="G2346" s="1" t="str">
        <f>IFERROR(IF(ventas_b_mes12[[#This Row],[CUIT]]="","-",VLOOKUP(ventas_b_mes12[[#This Row],[CUIT]],Lista_CUIT[#All],2,0)),"CUIT NO CARGADO")</f>
        <v>-</v>
      </c>
      <c r="H2346" s="96">
        <f>ventas_b_mes12[[#This Row],[TOTAL]]/1.21</f>
        <v>803.30578512396698</v>
      </c>
      <c r="I2346" s="60">
        <f>ventas_b_mes12[[#This Row],[IMPORTE NETO]]*0.21</f>
        <v>168.69421487603307</v>
      </c>
      <c r="J2346" s="229"/>
      <c r="K2346" s="229"/>
      <c r="L2346" s="229">
        <v>972</v>
      </c>
      <c r="M2346" s="55"/>
    </row>
    <row r="2347" spans="2:13" x14ac:dyDescent="0.3">
      <c r="B2347" s="223" t="s">
        <v>2488</v>
      </c>
      <c r="C2347" s="37">
        <v>6</v>
      </c>
      <c r="D2347" s="225">
        <v>10</v>
      </c>
      <c r="E2347" s="226">
        <v>44228</v>
      </c>
      <c r="F2347" s="227"/>
      <c r="G2347" s="1" t="str">
        <f>IFERROR(IF(ventas_b_mes12[[#This Row],[CUIT]]="","-",VLOOKUP(ventas_b_mes12[[#This Row],[CUIT]],Lista_CUIT[#All],2,0)),"CUIT NO CARGADO")</f>
        <v>-</v>
      </c>
      <c r="H2347" s="96">
        <f>ventas_b_mes12[[#This Row],[TOTAL]]/1.21</f>
        <v>5615.7024793388427</v>
      </c>
      <c r="I2347" s="60">
        <f>ventas_b_mes12[[#This Row],[IMPORTE NETO]]*0.21</f>
        <v>1179.297520661157</v>
      </c>
      <c r="J2347" s="229"/>
      <c r="K2347" s="229"/>
      <c r="L2347" s="229">
        <v>6795</v>
      </c>
      <c r="M2347" s="55"/>
    </row>
    <row r="2348" spans="2:13" x14ac:dyDescent="0.3">
      <c r="B2348" s="223" t="s">
        <v>2488</v>
      </c>
      <c r="C2348" s="37">
        <v>6</v>
      </c>
      <c r="D2348" s="225">
        <v>15</v>
      </c>
      <c r="E2348" s="226">
        <v>7374</v>
      </c>
      <c r="F2348" s="227"/>
      <c r="G2348" s="1" t="str">
        <f>IFERROR(IF(ventas_b_mes12[[#This Row],[CUIT]]="","-",VLOOKUP(ventas_b_mes12[[#This Row],[CUIT]],Lista_CUIT[#All],2,0)),"CUIT NO CARGADO")</f>
        <v>-</v>
      </c>
      <c r="H2348" s="96">
        <f>ventas_b_mes12[[#This Row],[TOTAL]]/1.21</f>
        <v>1983.4710743801654</v>
      </c>
      <c r="I2348" s="60">
        <f>ventas_b_mes12[[#This Row],[IMPORTE NETO]]*0.21</f>
        <v>416.52892561983469</v>
      </c>
      <c r="J2348" s="229"/>
      <c r="K2348" s="229"/>
      <c r="L2348" s="229">
        <v>2400</v>
      </c>
      <c r="M2348" s="55"/>
    </row>
    <row r="2349" spans="2:13" x14ac:dyDescent="0.3">
      <c r="B2349" s="223" t="s">
        <v>2488</v>
      </c>
      <c r="C2349" s="37">
        <v>6</v>
      </c>
      <c r="D2349" s="225">
        <v>11</v>
      </c>
      <c r="E2349" s="226">
        <v>30350</v>
      </c>
      <c r="F2349" s="227"/>
      <c r="G2349" s="1" t="str">
        <f>IFERROR(IF(ventas_b_mes12[[#This Row],[CUIT]]="","-",VLOOKUP(ventas_b_mes12[[#This Row],[CUIT]],Lista_CUIT[#All],2,0)),"CUIT NO CARGADO")</f>
        <v>-</v>
      </c>
      <c r="H2349" s="96">
        <f>ventas_b_mes12[[#This Row],[TOTAL]]/1.21</f>
        <v>10123.966942148762</v>
      </c>
      <c r="I2349" s="60">
        <f>ventas_b_mes12[[#This Row],[IMPORTE NETO]]*0.21</f>
        <v>2126.0330578512398</v>
      </c>
      <c r="J2349" s="229"/>
      <c r="K2349" s="229"/>
      <c r="L2349" s="229">
        <v>12250</v>
      </c>
      <c r="M2349" s="55"/>
    </row>
    <row r="2350" spans="2:13" x14ac:dyDescent="0.3">
      <c r="B2350" s="223" t="s">
        <v>2488</v>
      </c>
      <c r="C2350" s="37">
        <v>6</v>
      </c>
      <c r="D2350" s="225">
        <v>12</v>
      </c>
      <c r="E2350" s="226">
        <v>22847</v>
      </c>
      <c r="F2350" s="227"/>
      <c r="G2350" s="1" t="str">
        <f>IFERROR(IF(ventas_b_mes12[[#This Row],[CUIT]]="","-",VLOOKUP(ventas_b_mes12[[#This Row],[CUIT]],Lista_CUIT[#All],2,0)),"CUIT NO CARGADO")</f>
        <v>-</v>
      </c>
      <c r="H2350" s="96">
        <f>ventas_b_mes12[[#This Row],[TOTAL]]/1.21</f>
        <v>10330.603305785125</v>
      </c>
      <c r="I2350" s="60">
        <f>ventas_b_mes12[[#This Row],[IMPORTE NETO]]*0.21</f>
        <v>2169.4266942148761</v>
      </c>
      <c r="J2350" s="229"/>
      <c r="K2350" s="229"/>
      <c r="L2350" s="229">
        <v>12500.03</v>
      </c>
      <c r="M2350" s="55"/>
    </row>
    <row r="2351" spans="2:13" x14ac:dyDescent="0.3">
      <c r="B2351" s="223" t="s">
        <v>2488</v>
      </c>
      <c r="C2351" s="37">
        <v>6</v>
      </c>
      <c r="D2351" s="225">
        <v>12</v>
      </c>
      <c r="E2351" s="226">
        <v>22831</v>
      </c>
      <c r="F2351" s="227"/>
      <c r="G2351" s="1" t="str">
        <f>IFERROR(IF(ventas_b_mes12[[#This Row],[CUIT]]="","-",VLOOKUP(ventas_b_mes12[[#This Row],[CUIT]],Lista_CUIT[#All],2,0)),"CUIT NO CARGADO")</f>
        <v>-</v>
      </c>
      <c r="H2351" s="96">
        <f>ventas_b_mes12[[#This Row],[TOTAL]]/1.21</f>
        <v>1294.2148760330579</v>
      </c>
      <c r="I2351" s="60">
        <f>ventas_b_mes12[[#This Row],[IMPORTE NETO]]*0.21</f>
        <v>271.78512396694214</v>
      </c>
      <c r="J2351" s="229"/>
      <c r="K2351" s="229"/>
      <c r="L2351" s="229">
        <v>1566</v>
      </c>
      <c r="M2351" s="55"/>
    </row>
    <row r="2352" spans="2:13" x14ac:dyDescent="0.3">
      <c r="B2352" s="223" t="s">
        <v>2488</v>
      </c>
      <c r="C2352" s="37">
        <v>6</v>
      </c>
      <c r="D2352" s="225">
        <v>13</v>
      </c>
      <c r="E2352" s="226">
        <v>26972</v>
      </c>
      <c r="F2352" s="227"/>
      <c r="G2352" s="1" t="str">
        <f>IFERROR(IF(ventas_b_mes12[[#This Row],[CUIT]]="","-",VLOOKUP(ventas_b_mes12[[#This Row],[CUIT]],Lista_CUIT[#All],2,0)),"CUIT NO CARGADO")</f>
        <v>-</v>
      </c>
      <c r="H2352" s="96">
        <f>ventas_b_mes12[[#This Row],[TOTAL]]/1.21</f>
        <v>1570.2479338842975</v>
      </c>
      <c r="I2352" s="60">
        <f>ventas_b_mes12[[#This Row],[IMPORTE NETO]]*0.21</f>
        <v>329.75206611570246</v>
      </c>
      <c r="J2352" s="229"/>
      <c r="K2352" s="229"/>
      <c r="L2352" s="229">
        <v>1900</v>
      </c>
      <c r="M2352" s="55"/>
    </row>
    <row r="2353" spans="2:13" x14ac:dyDescent="0.3">
      <c r="B2353" s="223" t="s">
        <v>2488</v>
      </c>
      <c r="C2353" s="37">
        <v>6</v>
      </c>
      <c r="D2353" s="225">
        <v>12</v>
      </c>
      <c r="E2353" s="226">
        <v>22824</v>
      </c>
      <c r="F2353" s="227"/>
      <c r="G2353" s="1" t="str">
        <f>IFERROR(IF(ventas_b_mes12[[#This Row],[CUIT]]="","-",VLOOKUP(ventas_b_mes12[[#This Row],[CUIT]],Lista_CUIT[#All],2,0)),"CUIT NO CARGADO")</f>
        <v>-</v>
      </c>
      <c r="H2353" s="96">
        <f>ventas_b_mes12[[#This Row],[TOTAL]]/1.21</f>
        <v>8760.3305785123976</v>
      </c>
      <c r="I2353" s="60">
        <f>ventas_b_mes12[[#This Row],[IMPORTE NETO]]*0.21</f>
        <v>1839.6694214876034</v>
      </c>
      <c r="J2353" s="229"/>
      <c r="K2353" s="229"/>
      <c r="L2353" s="229">
        <v>10600</v>
      </c>
      <c r="M2353" s="55"/>
    </row>
    <row r="2354" spans="2:13" x14ac:dyDescent="0.3">
      <c r="B2354" s="223" t="s">
        <v>2488</v>
      </c>
      <c r="C2354" s="37">
        <v>6</v>
      </c>
      <c r="D2354" s="225">
        <v>15</v>
      </c>
      <c r="E2354" s="226">
        <v>7377</v>
      </c>
      <c r="F2354" s="227"/>
      <c r="G2354" s="1" t="str">
        <f>IFERROR(IF(ventas_b_mes12[[#This Row],[CUIT]]="","-",VLOOKUP(ventas_b_mes12[[#This Row],[CUIT]],Lista_CUIT[#All],2,0)),"CUIT NO CARGADO")</f>
        <v>-</v>
      </c>
      <c r="H2354" s="96">
        <f>ventas_b_mes12[[#This Row],[TOTAL]]/1.21</f>
        <v>2603.2975206611568</v>
      </c>
      <c r="I2354" s="60">
        <f>ventas_b_mes12[[#This Row],[IMPORTE NETO]]*0.21</f>
        <v>546.69247933884287</v>
      </c>
      <c r="J2354" s="229"/>
      <c r="K2354" s="229"/>
      <c r="L2354" s="229">
        <v>3149.99</v>
      </c>
      <c r="M2354" s="55"/>
    </row>
    <row r="2355" spans="2:13" x14ac:dyDescent="0.3">
      <c r="B2355" s="223" t="s">
        <v>2488</v>
      </c>
      <c r="C2355" s="37">
        <v>6</v>
      </c>
      <c r="D2355" s="225">
        <v>13</v>
      </c>
      <c r="E2355" s="226">
        <v>26973</v>
      </c>
      <c r="F2355" s="227"/>
      <c r="G2355" s="1" t="str">
        <f>IFERROR(IF(ventas_b_mes12[[#This Row],[CUIT]]="","-",VLOOKUP(ventas_b_mes12[[#This Row],[CUIT]],Lista_CUIT[#All],2,0)),"CUIT NO CARGADO")</f>
        <v>-</v>
      </c>
      <c r="H2355" s="96">
        <f>ventas_b_mes12[[#This Row],[TOTAL]]/1.21</f>
        <v>6190.0826446280989</v>
      </c>
      <c r="I2355" s="60">
        <f>ventas_b_mes12[[#This Row],[IMPORTE NETO]]*0.21</f>
        <v>1299.9173553719008</v>
      </c>
      <c r="J2355" s="229"/>
      <c r="K2355" s="229"/>
      <c r="L2355" s="229">
        <v>7490</v>
      </c>
      <c r="M2355" s="55"/>
    </row>
    <row r="2356" spans="2:13" x14ac:dyDescent="0.3">
      <c r="B2356" s="223" t="s">
        <v>2488</v>
      </c>
      <c r="C2356" s="37">
        <v>6</v>
      </c>
      <c r="D2356" s="225">
        <v>13</v>
      </c>
      <c r="E2356" s="226">
        <v>26977</v>
      </c>
      <c r="F2356" s="227"/>
      <c r="G2356" s="1" t="str">
        <f>IFERROR(IF(ventas_b_mes12[[#This Row],[CUIT]]="","-",VLOOKUP(ventas_b_mes12[[#This Row],[CUIT]],Lista_CUIT[#All],2,0)),"CUIT NO CARGADO")</f>
        <v>-</v>
      </c>
      <c r="H2356" s="96">
        <f>ventas_b_mes12[[#This Row],[TOTAL]]/1.21</f>
        <v>6247.9338842975212</v>
      </c>
      <c r="I2356" s="60">
        <f>ventas_b_mes12[[#This Row],[IMPORTE NETO]]*0.21</f>
        <v>1312.0661157024795</v>
      </c>
      <c r="J2356" s="229"/>
      <c r="K2356" s="229"/>
      <c r="L2356" s="229">
        <v>7560</v>
      </c>
      <c r="M2356" s="55"/>
    </row>
    <row r="2357" spans="2:13" x14ac:dyDescent="0.3">
      <c r="B2357" s="223" t="s">
        <v>2488</v>
      </c>
      <c r="C2357" s="37">
        <v>6</v>
      </c>
      <c r="D2357" s="225">
        <v>12</v>
      </c>
      <c r="E2357" s="226">
        <v>22825</v>
      </c>
      <c r="F2357" s="227"/>
      <c r="G2357" s="1" t="str">
        <f>IFERROR(IF(ventas_b_mes12[[#This Row],[CUIT]]="","-",VLOOKUP(ventas_b_mes12[[#This Row],[CUIT]],Lista_CUIT[#All],2,0)),"CUIT NO CARGADO")</f>
        <v>-</v>
      </c>
      <c r="H2357" s="96">
        <f>ventas_b_mes12[[#This Row],[TOTAL]]/1.21</f>
        <v>665.28925619834718</v>
      </c>
      <c r="I2357" s="60">
        <f>ventas_b_mes12[[#This Row],[IMPORTE NETO]]*0.21</f>
        <v>139.71074380165291</v>
      </c>
      <c r="J2357" s="229"/>
      <c r="K2357" s="229"/>
      <c r="L2357" s="229">
        <v>805</v>
      </c>
      <c r="M2357" s="55"/>
    </row>
    <row r="2358" spans="2:13" x14ac:dyDescent="0.3">
      <c r="B2358" s="223" t="s">
        <v>2488</v>
      </c>
      <c r="C2358" s="37">
        <v>6</v>
      </c>
      <c r="D2358" s="225">
        <v>15</v>
      </c>
      <c r="E2358" s="226">
        <v>7372</v>
      </c>
      <c r="F2358" s="227"/>
      <c r="G2358" s="1" t="str">
        <f>IFERROR(IF(ventas_b_mes12[[#This Row],[CUIT]]="","-",VLOOKUP(ventas_b_mes12[[#This Row],[CUIT]],Lista_CUIT[#All],2,0)),"CUIT NO CARGADO")</f>
        <v>-</v>
      </c>
      <c r="H2358" s="96">
        <f>ventas_b_mes12[[#This Row],[TOTAL]]/1.21</f>
        <v>4173.553719008265</v>
      </c>
      <c r="I2358" s="60">
        <f>ventas_b_mes12[[#This Row],[IMPORTE NETO]]*0.21</f>
        <v>876.44628099173565</v>
      </c>
      <c r="J2358" s="229"/>
      <c r="K2358" s="229"/>
      <c r="L2358" s="229">
        <v>5050</v>
      </c>
      <c r="M2358" s="55"/>
    </row>
    <row r="2359" spans="2:13" x14ac:dyDescent="0.3">
      <c r="B2359" s="223" t="s">
        <v>2488</v>
      </c>
      <c r="C2359" s="37">
        <v>6</v>
      </c>
      <c r="D2359" s="225">
        <v>11</v>
      </c>
      <c r="E2359" s="226">
        <v>30356</v>
      </c>
      <c r="F2359" s="227"/>
      <c r="G2359" s="1" t="str">
        <f>IFERROR(IF(ventas_b_mes12[[#This Row],[CUIT]]="","-",VLOOKUP(ventas_b_mes12[[#This Row],[CUIT]],Lista_CUIT[#All],2,0)),"CUIT NO CARGADO")</f>
        <v>-</v>
      </c>
      <c r="H2359" s="96">
        <f>ventas_b_mes12[[#This Row],[TOTAL]]/1.21</f>
        <v>28718.991735537194</v>
      </c>
      <c r="I2359" s="60">
        <f>ventas_b_mes12[[#This Row],[IMPORTE NETO]]*0.21</f>
        <v>6030.9882644628105</v>
      </c>
      <c r="J2359" s="229"/>
      <c r="K2359" s="229"/>
      <c r="L2359" s="229">
        <v>34749.980000000003</v>
      </c>
      <c r="M2359" s="55"/>
    </row>
    <row r="2360" spans="2:13" x14ac:dyDescent="0.3">
      <c r="B2360" s="223" t="s">
        <v>2488</v>
      </c>
      <c r="C2360" s="37">
        <v>6</v>
      </c>
      <c r="D2360" s="225">
        <v>11</v>
      </c>
      <c r="E2360" s="226">
        <v>30353</v>
      </c>
      <c r="F2360" s="227"/>
      <c r="G2360" s="1" t="str">
        <f>IFERROR(IF(ventas_b_mes12[[#This Row],[CUIT]]="","-",VLOOKUP(ventas_b_mes12[[#This Row],[CUIT]],Lista_CUIT[#All],2,0)),"CUIT NO CARGADO")</f>
        <v>-</v>
      </c>
      <c r="H2360" s="96">
        <f>ventas_b_mes12[[#This Row],[TOTAL]]/1.21</f>
        <v>9520.6694214876043</v>
      </c>
      <c r="I2360" s="60">
        <f>ventas_b_mes12[[#This Row],[IMPORTE NETO]]*0.21</f>
        <v>1999.3405785123969</v>
      </c>
      <c r="J2360" s="229"/>
      <c r="K2360" s="229"/>
      <c r="L2360" s="229">
        <v>11520.01</v>
      </c>
      <c r="M2360" s="55"/>
    </row>
    <row r="2361" spans="2:13" x14ac:dyDescent="0.3">
      <c r="B2361" s="223" t="s">
        <v>2488</v>
      </c>
      <c r="C2361" s="37">
        <v>6</v>
      </c>
      <c r="D2361" s="225">
        <v>11</v>
      </c>
      <c r="E2361" s="226">
        <v>30355</v>
      </c>
      <c r="F2361" s="227"/>
      <c r="G2361" s="1" t="str">
        <f>IFERROR(IF(ventas_b_mes12[[#This Row],[CUIT]]="","-",VLOOKUP(ventas_b_mes12[[#This Row],[CUIT]],Lista_CUIT[#All],2,0)),"CUIT NO CARGADO")</f>
        <v>-</v>
      </c>
      <c r="H2361" s="96">
        <f>ventas_b_mes12[[#This Row],[TOTAL]]/1.21</f>
        <v>5371.9008264462809</v>
      </c>
      <c r="I2361" s="60">
        <f>ventas_b_mes12[[#This Row],[IMPORTE NETO]]*0.21</f>
        <v>1128.0991735537189</v>
      </c>
      <c r="J2361" s="229"/>
      <c r="K2361" s="229"/>
      <c r="L2361" s="229">
        <v>6500</v>
      </c>
      <c r="M2361" s="55"/>
    </row>
    <row r="2362" spans="2:13" x14ac:dyDescent="0.3">
      <c r="B2362" s="223" t="s">
        <v>2488</v>
      </c>
      <c r="C2362" s="37">
        <v>6</v>
      </c>
      <c r="D2362" s="225">
        <v>13</v>
      </c>
      <c r="E2362" s="226">
        <v>26978</v>
      </c>
      <c r="F2362" s="227"/>
      <c r="G2362" s="1" t="str">
        <f>IFERROR(IF(ventas_b_mes12[[#This Row],[CUIT]]="","-",VLOOKUP(ventas_b_mes12[[#This Row],[CUIT]],Lista_CUIT[#All],2,0)),"CUIT NO CARGADO")</f>
        <v>-</v>
      </c>
      <c r="H2362" s="96">
        <f>ventas_b_mes12[[#This Row],[TOTAL]]/1.21</f>
        <v>41925.057851239668</v>
      </c>
      <c r="I2362" s="60">
        <f>ventas_b_mes12[[#This Row],[IMPORTE NETO]]*0.21</f>
        <v>8804.2621487603301</v>
      </c>
      <c r="J2362" s="229"/>
      <c r="K2362" s="229"/>
      <c r="L2362" s="229">
        <v>50729.32</v>
      </c>
      <c r="M2362" s="55"/>
    </row>
    <row r="2363" spans="2:13" x14ac:dyDescent="0.3">
      <c r="B2363" s="223" t="s">
        <v>2488</v>
      </c>
      <c r="C2363" s="37">
        <v>6</v>
      </c>
      <c r="D2363" s="225">
        <v>10</v>
      </c>
      <c r="E2363" s="226">
        <v>44238</v>
      </c>
      <c r="F2363" s="227"/>
      <c r="G2363" s="1" t="str">
        <f>IFERROR(IF(ventas_b_mes12[[#This Row],[CUIT]]="","-",VLOOKUP(ventas_b_mes12[[#This Row],[CUIT]],Lista_CUIT[#All],2,0)),"CUIT NO CARGADO")</f>
        <v>-</v>
      </c>
      <c r="H2363" s="96">
        <f>ventas_b_mes12[[#This Row],[TOTAL]]/1.21</f>
        <v>17293.388429752067</v>
      </c>
      <c r="I2363" s="60">
        <f>ventas_b_mes12[[#This Row],[IMPORTE NETO]]*0.21</f>
        <v>3631.6115702479342</v>
      </c>
      <c r="J2363" s="229"/>
      <c r="K2363" s="229"/>
      <c r="L2363" s="229">
        <v>20925</v>
      </c>
      <c r="M2363" s="55"/>
    </row>
    <row r="2364" spans="2:13" x14ac:dyDescent="0.3">
      <c r="B2364" s="223" t="s">
        <v>2488</v>
      </c>
      <c r="C2364" s="37">
        <v>6</v>
      </c>
      <c r="D2364" s="225">
        <v>10</v>
      </c>
      <c r="E2364" s="226">
        <v>44240</v>
      </c>
      <c r="F2364" s="227"/>
      <c r="G2364" s="1" t="str">
        <f>IFERROR(IF(ventas_b_mes12[[#This Row],[CUIT]]="","-",VLOOKUP(ventas_b_mes12[[#This Row],[CUIT]],Lista_CUIT[#All],2,0)),"CUIT NO CARGADO")</f>
        <v>-</v>
      </c>
      <c r="H2364" s="96">
        <f>ventas_b_mes12[[#This Row],[TOTAL]]/1.21</f>
        <v>2685.9504132231405</v>
      </c>
      <c r="I2364" s="60">
        <f>ventas_b_mes12[[#This Row],[IMPORTE NETO]]*0.21</f>
        <v>564.04958677685943</v>
      </c>
      <c r="J2364" s="229"/>
      <c r="K2364" s="229"/>
      <c r="L2364" s="229">
        <v>3250</v>
      </c>
      <c r="M2364" s="55"/>
    </row>
    <row r="2365" spans="2:13" x14ac:dyDescent="0.3">
      <c r="B2365" s="223" t="s">
        <v>2488</v>
      </c>
      <c r="C2365" s="37">
        <v>6</v>
      </c>
      <c r="D2365" s="225">
        <v>12</v>
      </c>
      <c r="E2365" s="226">
        <v>22834</v>
      </c>
      <c r="F2365" s="227"/>
      <c r="G2365" s="1" t="str">
        <f>IFERROR(IF(ventas_b_mes12[[#This Row],[CUIT]]="","-",VLOOKUP(ventas_b_mes12[[#This Row],[CUIT]],Lista_CUIT[#All],2,0)),"CUIT NO CARGADO")</f>
        <v>-</v>
      </c>
      <c r="H2365" s="96">
        <f>ventas_b_mes12[[#This Row],[TOTAL]]/1.21</f>
        <v>7603.3057851239673</v>
      </c>
      <c r="I2365" s="60">
        <f>ventas_b_mes12[[#This Row],[IMPORTE NETO]]*0.21</f>
        <v>1596.6942148760331</v>
      </c>
      <c r="J2365" s="229"/>
      <c r="K2365" s="229"/>
      <c r="L2365" s="229">
        <v>9200</v>
      </c>
      <c r="M2365" s="55"/>
    </row>
    <row r="2366" spans="2:13" x14ac:dyDescent="0.3">
      <c r="B2366" s="223" t="s">
        <v>2488</v>
      </c>
      <c r="C2366" s="37">
        <v>6</v>
      </c>
      <c r="D2366" s="225">
        <v>10</v>
      </c>
      <c r="E2366" s="226">
        <v>44226</v>
      </c>
      <c r="F2366" s="227"/>
      <c r="G2366" s="1" t="str">
        <f>IFERROR(IF(ventas_b_mes12[[#This Row],[CUIT]]="","-",VLOOKUP(ventas_b_mes12[[#This Row],[CUIT]],Lista_CUIT[#All],2,0)),"CUIT NO CARGADO")</f>
        <v>-</v>
      </c>
      <c r="H2366" s="96">
        <f>ventas_b_mes12[[#This Row],[TOTAL]]/1.21</f>
        <v>1714.8760330578514</v>
      </c>
      <c r="I2366" s="60">
        <f>ventas_b_mes12[[#This Row],[IMPORTE NETO]]*0.21</f>
        <v>360.1239669421488</v>
      </c>
      <c r="J2366" s="229"/>
      <c r="K2366" s="229"/>
      <c r="L2366" s="229">
        <v>2075</v>
      </c>
      <c r="M2366" s="55"/>
    </row>
    <row r="2367" spans="2:13" x14ac:dyDescent="0.3">
      <c r="B2367" s="223" t="s">
        <v>2488</v>
      </c>
      <c r="C2367" s="37">
        <v>6</v>
      </c>
      <c r="D2367" s="225">
        <v>12</v>
      </c>
      <c r="E2367" s="226">
        <v>22844</v>
      </c>
      <c r="F2367" s="227"/>
      <c r="G2367" s="1" t="str">
        <f>IFERROR(IF(ventas_b_mes12[[#This Row],[CUIT]]="","-",VLOOKUP(ventas_b_mes12[[#This Row],[CUIT]],Lista_CUIT[#All],2,0)),"CUIT NO CARGADO")</f>
        <v>-</v>
      </c>
      <c r="H2367" s="96">
        <f>ventas_b_mes12[[#This Row],[TOTAL]]/1.21</f>
        <v>2677.6859504132231</v>
      </c>
      <c r="I2367" s="60">
        <f>ventas_b_mes12[[#This Row],[IMPORTE NETO]]*0.21</f>
        <v>562.31404958677683</v>
      </c>
      <c r="J2367" s="229"/>
      <c r="K2367" s="229"/>
      <c r="L2367" s="229">
        <v>3240</v>
      </c>
      <c r="M2367" s="55"/>
    </row>
    <row r="2368" spans="2:13" x14ac:dyDescent="0.3">
      <c r="B2368" s="223" t="s">
        <v>2488</v>
      </c>
      <c r="C2368" s="37">
        <v>6</v>
      </c>
      <c r="D2368" s="225">
        <v>10</v>
      </c>
      <c r="E2368" s="226">
        <v>44230</v>
      </c>
      <c r="F2368" s="227"/>
      <c r="G2368" s="1" t="str">
        <f>IFERROR(IF(ventas_b_mes12[[#This Row],[CUIT]]="","-",VLOOKUP(ventas_b_mes12[[#This Row],[CUIT]],Lista_CUIT[#All],2,0)),"CUIT NO CARGADO")</f>
        <v>-</v>
      </c>
      <c r="H2368" s="96">
        <f>ventas_b_mes12[[#This Row],[TOTAL]]/1.21</f>
        <v>3842.9752066115702</v>
      </c>
      <c r="I2368" s="60">
        <f>ventas_b_mes12[[#This Row],[IMPORTE NETO]]*0.21</f>
        <v>807.02479338842977</v>
      </c>
      <c r="J2368" s="229"/>
      <c r="K2368" s="229"/>
      <c r="L2368" s="229">
        <v>4650</v>
      </c>
      <c r="M2368" s="55"/>
    </row>
    <row r="2369" spans="2:13" x14ac:dyDescent="0.3">
      <c r="B2369" s="223" t="s">
        <v>2488</v>
      </c>
      <c r="C2369" s="37">
        <v>6</v>
      </c>
      <c r="D2369" s="225">
        <v>10</v>
      </c>
      <c r="E2369" s="226">
        <v>44224</v>
      </c>
      <c r="F2369" s="227"/>
      <c r="G2369" s="1" t="str">
        <f>IFERROR(IF(ventas_b_mes12[[#This Row],[CUIT]]="","-",VLOOKUP(ventas_b_mes12[[#This Row],[CUIT]],Lista_CUIT[#All],2,0)),"CUIT NO CARGADO")</f>
        <v>-</v>
      </c>
      <c r="H2369" s="96">
        <f>ventas_b_mes12[[#This Row],[TOTAL]]/1.21</f>
        <v>9669.4214876033056</v>
      </c>
      <c r="I2369" s="60">
        <f>ventas_b_mes12[[#This Row],[IMPORTE NETO]]*0.21</f>
        <v>2030.5785123966941</v>
      </c>
      <c r="J2369" s="229"/>
      <c r="K2369" s="229"/>
      <c r="L2369" s="229">
        <v>11700</v>
      </c>
      <c r="M2369" s="55"/>
    </row>
    <row r="2370" spans="2:13" x14ac:dyDescent="0.3">
      <c r="B2370" s="223" t="s">
        <v>2488</v>
      </c>
      <c r="C2370" s="37">
        <v>6</v>
      </c>
      <c r="D2370" s="225">
        <v>11</v>
      </c>
      <c r="E2370" s="226">
        <v>30352</v>
      </c>
      <c r="F2370" s="227"/>
      <c r="G2370" s="1" t="str">
        <f>IFERROR(IF(ventas_b_mes12[[#This Row],[CUIT]]="","-",VLOOKUP(ventas_b_mes12[[#This Row],[CUIT]],Lista_CUIT[#All],2,0)),"CUIT NO CARGADO")</f>
        <v>-</v>
      </c>
      <c r="H2370" s="96">
        <f>ventas_b_mes12[[#This Row],[TOTAL]]/1.21</f>
        <v>1010.9338842975208</v>
      </c>
      <c r="I2370" s="60">
        <f>ventas_b_mes12[[#This Row],[IMPORTE NETO]]*0.21</f>
        <v>212.29611570247934</v>
      </c>
      <c r="J2370" s="229"/>
      <c r="K2370" s="229"/>
      <c r="L2370" s="229">
        <v>1223.23</v>
      </c>
      <c r="M2370" s="55"/>
    </row>
    <row r="2371" spans="2:13" x14ac:dyDescent="0.3">
      <c r="B2371" s="223" t="s">
        <v>2488</v>
      </c>
      <c r="C2371" s="37">
        <v>6</v>
      </c>
      <c r="D2371" s="225">
        <v>12</v>
      </c>
      <c r="E2371" s="226">
        <v>22836</v>
      </c>
      <c r="F2371" s="227"/>
      <c r="G2371" s="1" t="str">
        <f>IFERROR(IF(ventas_b_mes12[[#This Row],[CUIT]]="","-",VLOOKUP(ventas_b_mes12[[#This Row],[CUIT]],Lista_CUIT[#All],2,0)),"CUIT NO CARGADO")</f>
        <v>-</v>
      </c>
      <c r="H2371" s="96">
        <f>ventas_b_mes12[[#This Row],[TOTAL]]/1.21</f>
        <v>3847.9338842975208</v>
      </c>
      <c r="I2371" s="60">
        <f>ventas_b_mes12[[#This Row],[IMPORTE NETO]]*0.21</f>
        <v>808.06611570247935</v>
      </c>
      <c r="J2371" s="229"/>
      <c r="K2371" s="229"/>
      <c r="L2371" s="229">
        <v>4656</v>
      </c>
      <c r="M2371" s="55"/>
    </row>
    <row r="2372" spans="2:13" x14ac:dyDescent="0.3">
      <c r="B2372" s="223" t="s">
        <v>2488</v>
      </c>
      <c r="C2372" s="37">
        <v>6</v>
      </c>
      <c r="D2372" s="225">
        <v>10</v>
      </c>
      <c r="E2372" s="226">
        <v>44239</v>
      </c>
      <c r="F2372" s="227"/>
      <c r="G2372" s="1" t="str">
        <f>IFERROR(IF(ventas_b_mes12[[#This Row],[CUIT]]="","-",VLOOKUP(ventas_b_mes12[[#This Row],[CUIT]],Lista_CUIT[#All],2,0)),"CUIT NO CARGADO")</f>
        <v>-</v>
      </c>
      <c r="H2372" s="96">
        <f>ventas_b_mes12[[#This Row],[TOTAL]]/1.21</f>
        <v>11444.628099173555</v>
      </c>
      <c r="I2372" s="60">
        <f>ventas_b_mes12[[#This Row],[IMPORTE NETO]]*0.21</f>
        <v>2403.3719008264466</v>
      </c>
      <c r="J2372" s="229"/>
      <c r="K2372" s="229"/>
      <c r="L2372" s="229">
        <v>13848</v>
      </c>
      <c r="M2372" s="55"/>
    </row>
    <row r="2373" spans="2:13" x14ac:dyDescent="0.3">
      <c r="B2373" s="223" t="s">
        <v>2488</v>
      </c>
      <c r="C2373" s="37">
        <v>6</v>
      </c>
      <c r="D2373" s="225">
        <v>11</v>
      </c>
      <c r="E2373" s="226">
        <v>30351</v>
      </c>
      <c r="F2373" s="227"/>
      <c r="G2373" s="1" t="str">
        <f>IFERROR(IF(ventas_b_mes12[[#This Row],[CUIT]]="","-",VLOOKUP(ventas_b_mes12[[#This Row],[CUIT]],Lista_CUIT[#All],2,0)),"CUIT NO CARGADO")</f>
        <v>-</v>
      </c>
      <c r="H2373" s="96">
        <f>ventas_b_mes12[[#This Row],[TOTAL]]/1.21</f>
        <v>6214.8760330578516</v>
      </c>
      <c r="I2373" s="60">
        <f>ventas_b_mes12[[#This Row],[IMPORTE NETO]]*0.21</f>
        <v>1305.1239669421489</v>
      </c>
      <c r="J2373" s="229"/>
      <c r="K2373" s="229"/>
      <c r="L2373" s="229">
        <v>7520</v>
      </c>
      <c r="M2373" s="55"/>
    </row>
    <row r="2374" spans="2:13" x14ac:dyDescent="0.3">
      <c r="B2374" s="223" t="s">
        <v>2488</v>
      </c>
      <c r="C2374" s="37">
        <v>6</v>
      </c>
      <c r="D2374" s="225">
        <v>13</v>
      </c>
      <c r="E2374" s="226">
        <v>26976</v>
      </c>
      <c r="F2374" s="227"/>
      <c r="G2374" s="1" t="str">
        <f>IFERROR(IF(ventas_b_mes12[[#This Row],[CUIT]]="","-",VLOOKUP(ventas_b_mes12[[#This Row],[CUIT]],Lista_CUIT[#All],2,0)),"CUIT NO CARGADO")</f>
        <v>-</v>
      </c>
      <c r="H2374" s="96">
        <f>ventas_b_mes12[[#This Row],[TOTAL]]/1.21</f>
        <v>4958.6776859504134</v>
      </c>
      <c r="I2374" s="60">
        <f>ventas_b_mes12[[#This Row],[IMPORTE NETO]]*0.21</f>
        <v>1041.3223140495868</v>
      </c>
      <c r="J2374" s="229"/>
      <c r="K2374" s="229"/>
      <c r="L2374" s="229">
        <v>6000</v>
      </c>
      <c r="M2374" s="55"/>
    </row>
    <row r="2375" spans="2:13" x14ac:dyDescent="0.3">
      <c r="B2375" s="223" t="s">
        <v>2488</v>
      </c>
      <c r="C2375" s="37">
        <v>6</v>
      </c>
      <c r="D2375" s="225">
        <v>15</v>
      </c>
      <c r="E2375" s="226">
        <v>7371</v>
      </c>
      <c r="F2375" s="227"/>
      <c r="G2375" s="1" t="str">
        <f>IFERROR(IF(ventas_b_mes12[[#This Row],[CUIT]]="","-",VLOOKUP(ventas_b_mes12[[#This Row],[CUIT]],Lista_CUIT[#All],2,0)),"CUIT NO CARGADO")</f>
        <v>-</v>
      </c>
      <c r="H2375" s="96">
        <f>ventas_b_mes12[[#This Row],[TOTAL]]/1.21</f>
        <v>4190.0743801652889</v>
      </c>
      <c r="I2375" s="60">
        <f>ventas_b_mes12[[#This Row],[IMPORTE NETO]]*0.21</f>
        <v>879.91561983471058</v>
      </c>
      <c r="J2375" s="229"/>
      <c r="K2375" s="229"/>
      <c r="L2375" s="229">
        <v>5069.99</v>
      </c>
      <c r="M2375" s="55"/>
    </row>
    <row r="2376" spans="2:13" x14ac:dyDescent="0.3">
      <c r="B2376" s="223" t="s">
        <v>2488</v>
      </c>
      <c r="C2376" s="37">
        <v>6</v>
      </c>
      <c r="D2376" s="225">
        <v>13</v>
      </c>
      <c r="E2376" s="226">
        <v>26970</v>
      </c>
      <c r="F2376" s="227"/>
      <c r="G2376" s="1" t="str">
        <f>IFERROR(IF(ventas_b_mes12[[#This Row],[CUIT]]="","-",VLOOKUP(ventas_b_mes12[[#This Row],[CUIT]],Lista_CUIT[#All],2,0)),"CUIT NO CARGADO")</f>
        <v>-</v>
      </c>
      <c r="H2376" s="96">
        <f>ventas_b_mes12[[#This Row],[TOTAL]]/1.21</f>
        <v>7776.8677685950415</v>
      </c>
      <c r="I2376" s="60">
        <f>ventas_b_mes12[[#This Row],[IMPORTE NETO]]*0.21</f>
        <v>1633.1422314049587</v>
      </c>
      <c r="J2376" s="229"/>
      <c r="K2376" s="229"/>
      <c r="L2376" s="229">
        <v>9410.01</v>
      </c>
      <c r="M2376" s="55"/>
    </row>
    <row r="2377" spans="2:13" x14ac:dyDescent="0.3">
      <c r="B2377" s="223" t="s">
        <v>2488</v>
      </c>
      <c r="C2377" s="37">
        <v>6</v>
      </c>
      <c r="D2377" s="225">
        <v>13</v>
      </c>
      <c r="E2377" s="226">
        <v>26969</v>
      </c>
      <c r="F2377" s="227"/>
      <c r="G2377" s="1" t="str">
        <f>IFERROR(IF(ventas_b_mes12[[#This Row],[CUIT]]="","-",VLOOKUP(ventas_b_mes12[[#This Row],[CUIT]],Lista_CUIT[#All],2,0)),"CUIT NO CARGADO")</f>
        <v>-</v>
      </c>
      <c r="H2377" s="96">
        <f>ventas_b_mes12[[#This Row],[TOTAL]]/1.21</f>
        <v>7272.727272727273</v>
      </c>
      <c r="I2377" s="60">
        <f>ventas_b_mes12[[#This Row],[IMPORTE NETO]]*0.21</f>
        <v>1527.2727272727273</v>
      </c>
      <c r="J2377" s="229"/>
      <c r="K2377" s="229"/>
      <c r="L2377" s="229">
        <v>8800</v>
      </c>
      <c r="M2377" s="55"/>
    </row>
    <row r="2378" spans="2:13" x14ac:dyDescent="0.3">
      <c r="B2378" s="223" t="s">
        <v>2488</v>
      </c>
      <c r="C2378" s="37">
        <v>6</v>
      </c>
      <c r="D2378" s="225">
        <v>10</v>
      </c>
      <c r="E2378" s="226">
        <v>44223</v>
      </c>
      <c r="F2378" s="227"/>
      <c r="G2378" s="1" t="str">
        <f>IFERROR(IF(ventas_b_mes12[[#This Row],[CUIT]]="","-",VLOOKUP(ventas_b_mes12[[#This Row],[CUIT]],Lista_CUIT[#All],2,0)),"CUIT NO CARGADO")</f>
        <v>-</v>
      </c>
      <c r="H2378" s="96">
        <f>ventas_b_mes12[[#This Row],[TOTAL]]/1.21</f>
        <v>11867.768595041323</v>
      </c>
      <c r="I2378" s="60">
        <f>ventas_b_mes12[[#This Row],[IMPORTE NETO]]*0.21</f>
        <v>2492.231404958678</v>
      </c>
      <c r="J2378" s="229"/>
      <c r="K2378" s="229"/>
      <c r="L2378" s="229">
        <v>14360</v>
      </c>
      <c r="M2378" s="55"/>
    </row>
    <row r="2379" spans="2:13" x14ac:dyDescent="0.3">
      <c r="B2379" s="223" t="s">
        <v>2488</v>
      </c>
      <c r="C2379" s="37">
        <v>6</v>
      </c>
      <c r="D2379" s="225">
        <v>10</v>
      </c>
      <c r="E2379" s="226">
        <v>44237</v>
      </c>
      <c r="F2379" s="227"/>
      <c r="G2379" s="1" t="str">
        <f>IFERROR(IF(ventas_b_mes12[[#This Row],[CUIT]]="","-",VLOOKUP(ventas_b_mes12[[#This Row],[CUIT]],Lista_CUIT[#All],2,0)),"CUIT NO CARGADO")</f>
        <v>-</v>
      </c>
      <c r="H2379" s="96">
        <f>ventas_b_mes12[[#This Row],[TOTAL]]/1.21</f>
        <v>8016.5289256198348</v>
      </c>
      <c r="I2379" s="60">
        <f>ventas_b_mes12[[#This Row],[IMPORTE NETO]]*0.21</f>
        <v>1683.4710743801652</v>
      </c>
      <c r="J2379" s="229"/>
      <c r="K2379" s="229"/>
      <c r="L2379" s="229">
        <v>9700</v>
      </c>
      <c r="M2379" s="55"/>
    </row>
    <row r="2380" spans="2:13" x14ac:dyDescent="0.3">
      <c r="B2380" s="223" t="s">
        <v>2488</v>
      </c>
      <c r="C2380" s="37">
        <v>6</v>
      </c>
      <c r="D2380" s="225">
        <v>12</v>
      </c>
      <c r="E2380" s="226">
        <v>22843</v>
      </c>
      <c r="F2380" s="227"/>
      <c r="G2380" s="1" t="str">
        <f>IFERROR(IF(ventas_b_mes12[[#This Row],[CUIT]]="","-",VLOOKUP(ventas_b_mes12[[#This Row],[CUIT]],Lista_CUIT[#All],2,0)),"CUIT NO CARGADO")</f>
        <v>-</v>
      </c>
      <c r="H2380" s="96">
        <f>ventas_b_mes12[[#This Row],[TOTAL]]/1.21</f>
        <v>7407.0247933884302</v>
      </c>
      <c r="I2380" s="60">
        <f>ventas_b_mes12[[#This Row],[IMPORTE NETO]]*0.21</f>
        <v>1555.4752066115702</v>
      </c>
      <c r="J2380" s="229"/>
      <c r="K2380" s="229"/>
      <c r="L2380" s="229">
        <v>8962.5</v>
      </c>
      <c r="M2380" s="55"/>
    </row>
    <row r="2381" spans="2:13" x14ac:dyDescent="0.3">
      <c r="B2381" s="223" t="s">
        <v>2488</v>
      </c>
      <c r="C2381" s="37">
        <v>6</v>
      </c>
      <c r="D2381" s="225">
        <v>10</v>
      </c>
      <c r="E2381" s="226">
        <v>44235</v>
      </c>
      <c r="F2381" s="227"/>
      <c r="G2381" s="1" t="str">
        <f>IFERROR(IF(ventas_b_mes12[[#This Row],[CUIT]]="","-",VLOOKUP(ventas_b_mes12[[#This Row],[CUIT]],Lista_CUIT[#All],2,0)),"CUIT NO CARGADO")</f>
        <v>-</v>
      </c>
      <c r="H2381" s="96">
        <f>ventas_b_mes12[[#This Row],[TOTAL]]/1.21</f>
        <v>8322.7272727272721</v>
      </c>
      <c r="I2381" s="60">
        <f>ventas_b_mes12[[#This Row],[IMPORTE NETO]]*0.21</f>
        <v>1747.772727272727</v>
      </c>
      <c r="J2381" s="229"/>
      <c r="K2381" s="229"/>
      <c r="L2381" s="229">
        <v>10070.5</v>
      </c>
      <c r="M2381" s="55"/>
    </row>
    <row r="2382" spans="2:13" x14ac:dyDescent="0.3">
      <c r="B2382" s="223" t="s">
        <v>2488</v>
      </c>
      <c r="C2382" s="37">
        <v>6</v>
      </c>
      <c r="D2382" s="225">
        <v>15</v>
      </c>
      <c r="E2382" s="226">
        <v>7378</v>
      </c>
      <c r="F2382" s="227"/>
      <c r="G2382" s="1" t="str">
        <f>IFERROR(IF(ventas_b_mes12[[#This Row],[CUIT]]="","-",VLOOKUP(ventas_b_mes12[[#This Row],[CUIT]],Lista_CUIT[#All],2,0)),"CUIT NO CARGADO")</f>
        <v>-</v>
      </c>
      <c r="H2382" s="96">
        <f>ventas_b_mes12[[#This Row],[TOTAL]]/1.21</f>
        <v>17920.652892561986</v>
      </c>
      <c r="I2382" s="60">
        <f>ventas_b_mes12[[#This Row],[IMPORTE NETO]]*0.21</f>
        <v>3763.337107438017</v>
      </c>
      <c r="J2382" s="229"/>
      <c r="K2382" s="229"/>
      <c r="L2382" s="229">
        <v>21683.99</v>
      </c>
      <c r="M2382" s="55"/>
    </row>
    <row r="2383" spans="2:13" x14ac:dyDescent="0.3">
      <c r="B2383" s="223" t="s">
        <v>2488</v>
      </c>
      <c r="C2383" s="37">
        <v>6</v>
      </c>
      <c r="D2383" s="225">
        <v>10</v>
      </c>
      <c r="E2383" s="226">
        <v>44236</v>
      </c>
      <c r="F2383" s="227"/>
      <c r="G2383" s="1" t="str">
        <f>IFERROR(IF(ventas_b_mes12[[#This Row],[CUIT]]="","-",VLOOKUP(ventas_b_mes12[[#This Row],[CUIT]],Lista_CUIT[#All],2,0)),"CUIT NO CARGADO")</f>
        <v>-</v>
      </c>
      <c r="H2383" s="96">
        <f>ventas_b_mes12[[#This Row],[TOTAL]]/1.21</f>
        <v>8091.3223140495866</v>
      </c>
      <c r="I2383" s="60">
        <f>ventas_b_mes12[[#This Row],[IMPORTE NETO]]*0.21</f>
        <v>1699.1776859504132</v>
      </c>
      <c r="J2383" s="229"/>
      <c r="K2383" s="229"/>
      <c r="L2383" s="229">
        <v>9790.5</v>
      </c>
      <c r="M2383" s="55"/>
    </row>
    <row r="2384" spans="2:13" x14ac:dyDescent="0.3">
      <c r="B2384" s="223" t="s">
        <v>2488</v>
      </c>
      <c r="C2384" s="37">
        <v>6</v>
      </c>
      <c r="D2384" s="225">
        <v>10</v>
      </c>
      <c r="E2384" s="226">
        <v>44234</v>
      </c>
      <c r="F2384" s="227"/>
      <c r="G2384" s="1" t="str">
        <f>IFERROR(IF(ventas_b_mes12[[#This Row],[CUIT]]="","-",VLOOKUP(ventas_b_mes12[[#This Row],[CUIT]],Lista_CUIT[#All],2,0)),"CUIT NO CARGADO")</f>
        <v>-</v>
      </c>
      <c r="H2384" s="96">
        <f>ventas_b_mes12[[#This Row],[TOTAL]]/1.21</f>
        <v>9076.0330578512403</v>
      </c>
      <c r="I2384" s="60">
        <f>ventas_b_mes12[[#This Row],[IMPORTE NETO]]*0.21</f>
        <v>1905.9669421487604</v>
      </c>
      <c r="J2384" s="229"/>
      <c r="K2384" s="229"/>
      <c r="L2384" s="229">
        <v>10982</v>
      </c>
      <c r="M2384" s="55"/>
    </row>
    <row r="2385" spans="2:13" x14ac:dyDescent="0.3">
      <c r="B2385" s="223" t="s">
        <v>2488</v>
      </c>
      <c r="C2385" s="37">
        <v>6</v>
      </c>
      <c r="D2385" s="225">
        <v>10</v>
      </c>
      <c r="E2385" s="226">
        <v>44231</v>
      </c>
      <c r="F2385" s="227"/>
      <c r="G2385" s="1" t="str">
        <f>IFERROR(IF(ventas_b_mes12[[#This Row],[CUIT]]="","-",VLOOKUP(ventas_b_mes12[[#This Row],[CUIT]],Lista_CUIT[#All],2,0)),"CUIT NO CARGADO")</f>
        <v>-</v>
      </c>
      <c r="H2385" s="96">
        <f>ventas_b_mes12[[#This Row],[TOTAL]]/1.21</f>
        <v>80073.223140495873</v>
      </c>
      <c r="I2385" s="60">
        <f>ventas_b_mes12[[#This Row],[IMPORTE NETO]]*0.21</f>
        <v>16815.376859504133</v>
      </c>
      <c r="J2385" s="229"/>
      <c r="K2385" s="229"/>
      <c r="L2385" s="229">
        <v>96888.6</v>
      </c>
      <c r="M2385" s="55"/>
    </row>
    <row r="2386" spans="2:13" x14ac:dyDescent="0.3">
      <c r="B2386" s="223" t="s">
        <v>2488</v>
      </c>
      <c r="C2386" s="37">
        <v>6</v>
      </c>
      <c r="D2386" s="225">
        <v>10</v>
      </c>
      <c r="E2386" s="226">
        <v>44233</v>
      </c>
      <c r="F2386" s="227"/>
      <c r="G2386" s="1" t="str">
        <f>IFERROR(IF(ventas_b_mes12[[#This Row],[CUIT]]="","-",VLOOKUP(ventas_b_mes12[[#This Row],[CUIT]],Lista_CUIT[#All],2,0)),"CUIT NO CARGADO")</f>
        <v>-</v>
      </c>
      <c r="H2386" s="96">
        <f>ventas_b_mes12[[#This Row],[TOTAL]]/1.21</f>
        <v>94376.983471074374</v>
      </c>
      <c r="I2386" s="60">
        <f>ventas_b_mes12[[#This Row],[IMPORTE NETO]]*0.21</f>
        <v>19819.166528925616</v>
      </c>
      <c r="J2386" s="229"/>
      <c r="K2386" s="229"/>
      <c r="L2386" s="229">
        <v>114196.15</v>
      </c>
      <c r="M2386" s="55"/>
    </row>
    <row r="2387" spans="2:13" x14ac:dyDescent="0.3">
      <c r="B2387" s="223" t="s">
        <v>2488</v>
      </c>
      <c r="C2387" s="37">
        <v>6</v>
      </c>
      <c r="D2387" s="225">
        <v>10</v>
      </c>
      <c r="E2387" s="226">
        <v>44232</v>
      </c>
      <c r="F2387" s="227"/>
      <c r="G2387" s="1" t="str">
        <f>IFERROR(IF(ventas_b_mes12[[#This Row],[CUIT]]="","-",VLOOKUP(ventas_b_mes12[[#This Row],[CUIT]],Lista_CUIT[#All],2,0)),"CUIT NO CARGADO")</f>
        <v>-</v>
      </c>
      <c r="H2387" s="96">
        <f>ventas_b_mes12[[#This Row],[TOTAL]]/1.21</f>
        <v>112012.06611570249</v>
      </c>
      <c r="I2387" s="60">
        <f>ventas_b_mes12[[#This Row],[IMPORTE NETO]]*0.21</f>
        <v>23522.533884297522</v>
      </c>
      <c r="J2387" s="229"/>
      <c r="K2387" s="229"/>
      <c r="L2387" s="229">
        <v>135534.6</v>
      </c>
      <c r="M2387" s="55"/>
    </row>
    <row r="2388" spans="2:13" x14ac:dyDescent="0.3">
      <c r="B2388" s="223" t="s">
        <v>2488</v>
      </c>
      <c r="C2388" s="37">
        <v>6</v>
      </c>
      <c r="D2388" s="225">
        <v>10</v>
      </c>
      <c r="E2388" s="226">
        <v>44227</v>
      </c>
      <c r="F2388" s="227"/>
      <c r="G2388" s="1" t="str">
        <f>IFERROR(IF(ventas_b_mes12[[#This Row],[CUIT]]="","-",VLOOKUP(ventas_b_mes12[[#This Row],[CUIT]],Lista_CUIT[#All],2,0)),"CUIT NO CARGADO")</f>
        <v>-</v>
      </c>
      <c r="H2388" s="96">
        <f>ventas_b_mes12[[#This Row],[TOTAL]]/1.21</f>
        <v>1322.3140495867769</v>
      </c>
      <c r="I2388" s="60">
        <f>ventas_b_mes12[[#This Row],[IMPORTE NETO]]*0.21</f>
        <v>277.68595041322317</v>
      </c>
      <c r="J2388" s="229"/>
      <c r="K2388" s="229"/>
      <c r="L2388" s="229">
        <v>1600</v>
      </c>
      <c r="M2388" s="55"/>
    </row>
    <row r="2389" spans="2:13" x14ac:dyDescent="0.3">
      <c r="B2389" s="223" t="s">
        <v>2488</v>
      </c>
      <c r="C2389" s="37">
        <v>6</v>
      </c>
      <c r="D2389" s="225">
        <v>13</v>
      </c>
      <c r="E2389" s="226">
        <v>26975</v>
      </c>
      <c r="F2389" s="227"/>
      <c r="G2389" s="1" t="str">
        <f>IFERROR(IF(ventas_b_mes12[[#This Row],[CUIT]]="","-",VLOOKUP(ventas_b_mes12[[#This Row],[CUIT]],Lista_CUIT[#All],2,0)),"CUIT NO CARGADO")</f>
        <v>-</v>
      </c>
      <c r="H2389" s="96">
        <f>ventas_b_mes12[[#This Row],[TOTAL]]/1.21</f>
        <v>14793.396694214875</v>
      </c>
      <c r="I2389" s="60">
        <f>ventas_b_mes12[[#This Row],[IMPORTE NETO]]*0.21</f>
        <v>3106.6133057851234</v>
      </c>
      <c r="J2389" s="229"/>
      <c r="K2389" s="229"/>
      <c r="L2389" s="229">
        <v>17900.009999999998</v>
      </c>
      <c r="M2389" s="55"/>
    </row>
    <row r="2390" spans="2:13" x14ac:dyDescent="0.3">
      <c r="B2390" s="223" t="s">
        <v>2488</v>
      </c>
      <c r="C2390" s="37">
        <v>6</v>
      </c>
      <c r="D2390" s="225">
        <v>11</v>
      </c>
      <c r="E2390" s="226">
        <v>30354</v>
      </c>
      <c r="F2390" s="227"/>
      <c r="G2390" s="1" t="str">
        <f>IFERROR(IF(ventas_b_mes12[[#This Row],[CUIT]]="","-",VLOOKUP(ventas_b_mes12[[#This Row],[CUIT]],Lista_CUIT[#All],2,0)),"CUIT NO CARGADO")</f>
        <v>-</v>
      </c>
      <c r="H2390" s="96">
        <f>ventas_b_mes12[[#This Row],[TOTAL]]/1.21</f>
        <v>9090.9090909090919</v>
      </c>
      <c r="I2390" s="60">
        <f>ventas_b_mes12[[#This Row],[IMPORTE NETO]]*0.21</f>
        <v>1909.0909090909092</v>
      </c>
      <c r="J2390" s="229"/>
      <c r="K2390" s="229"/>
      <c r="L2390" s="229">
        <v>11000</v>
      </c>
      <c r="M2390" s="55"/>
    </row>
    <row r="2391" spans="2:13" x14ac:dyDescent="0.3">
      <c r="B2391" s="223" t="s">
        <v>2488</v>
      </c>
      <c r="C2391" s="37">
        <v>6</v>
      </c>
      <c r="D2391" s="225">
        <v>13</v>
      </c>
      <c r="E2391" s="226">
        <v>26980</v>
      </c>
      <c r="F2391" s="227"/>
      <c r="G2391" s="1" t="str">
        <f>IFERROR(IF(ventas_b_mes12[[#This Row],[CUIT]]="","-",VLOOKUP(ventas_b_mes12[[#This Row],[CUIT]],Lista_CUIT[#All],2,0)),"CUIT NO CARGADO")</f>
        <v>-</v>
      </c>
      <c r="H2391" s="96">
        <f>ventas_b_mes12[[#This Row],[TOTAL]]/1.21</f>
        <v>3272.727272727273</v>
      </c>
      <c r="I2391" s="60">
        <f>ventas_b_mes12[[#This Row],[IMPORTE NETO]]*0.21</f>
        <v>687.27272727272725</v>
      </c>
      <c r="J2391" s="229"/>
      <c r="K2391" s="229"/>
      <c r="L2391" s="229">
        <v>3960</v>
      </c>
      <c r="M2391" s="55"/>
    </row>
    <row r="2392" spans="2:13" x14ac:dyDescent="0.3">
      <c r="B2392" s="223" t="s">
        <v>2488</v>
      </c>
      <c r="C2392" s="37">
        <v>6</v>
      </c>
      <c r="D2392" s="225">
        <v>13</v>
      </c>
      <c r="E2392" s="226">
        <v>26971</v>
      </c>
      <c r="F2392" s="227"/>
      <c r="G2392" s="1" t="str">
        <f>IFERROR(IF(ventas_b_mes12[[#This Row],[CUIT]]="","-",VLOOKUP(ventas_b_mes12[[#This Row],[CUIT]],Lista_CUIT[#All],2,0)),"CUIT NO CARGADO")</f>
        <v>-</v>
      </c>
      <c r="H2392" s="96">
        <f>ventas_b_mes12[[#This Row],[TOTAL]]/1.21</f>
        <v>1084.7107438016528</v>
      </c>
      <c r="I2392" s="60">
        <f>ventas_b_mes12[[#This Row],[IMPORTE NETO]]*0.21</f>
        <v>227.78925619834709</v>
      </c>
      <c r="J2392" s="229"/>
      <c r="K2392" s="229"/>
      <c r="L2392" s="229">
        <v>1312.5</v>
      </c>
      <c r="M2392" s="55"/>
    </row>
    <row r="2393" spans="2:13" x14ac:dyDescent="0.3">
      <c r="B2393" s="223" t="s">
        <v>2488</v>
      </c>
      <c r="C2393" s="37">
        <v>6</v>
      </c>
      <c r="D2393" s="225">
        <v>12</v>
      </c>
      <c r="E2393" s="226">
        <v>22845</v>
      </c>
      <c r="F2393" s="227"/>
      <c r="G2393" s="1" t="str">
        <f>IFERROR(IF(ventas_b_mes12[[#This Row],[CUIT]]="","-",VLOOKUP(ventas_b_mes12[[#This Row],[CUIT]],Lista_CUIT[#All],2,0)),"CUIT NO CARGADO")</f>
        <v>-</v>
      </c>
      <c r="H2393" s="96">
        <f>ventas_b_mes12[[#This Row],[TOTAL]]/1.21</f>
        <v>1041.3305785123966</v>
      </c>
      <c r="I2393" s="60">
        <f>ventas_b_mes12[[#This Row],[IMPORTE NETO]]*0.21</f>
        <v>218.67942148760329</v>
      </c>
      <c r="J2393" s="229"/>
      <c r="K2393" s="229"/>
      <c r="L2393" s="229">
        <v>1260.01</v>
      </c>
      <c r="M2393" s="55"/>
    </row>
    <row r="2394" spans="2:13" x14ac:dyDescent="0.3">
      <c r="B2394" s="223" t="s">
        <v>2488</v>
      </c>
      <c r="C2394" s="37">
        <v>6</v>
      </c>
      <c r="D2394" s="225">
        <v>10</v>
      </c>
      <c r="E2394" s="226">
        <v>44221</v>
      </c>
      <c r="F2394" s="227"/>
      <c r="G2394" s="1" t="str">
        <f>IFERROR(IF(ventas_b_mes12[[#This Row],[CUIT]]="","-",VLOOKUP(ventas_b_mes12[[#This Row],[CUIT]],Lista_CUIT[#All],2,0)),"CUIT NO CARGADO")</f>
        <v>-</v>
      </c>
      <c r="H2394" s="96">
        <f>ventas_b_mes12[[#This Row],[TOTAL]]/1.21</f>
        <v>37365.297520661159</v>
      </c>
      <c r="I2394" s="60">
        <f>ventas_b_mes12[[#This Row],[IMPORTE NETO]]*0.21</f>
        <v>7846.712479338843</v>
      </c>
      <c r="J2394" s="229"/>
      <c r="K2394" s="229"/>
      <c r="L2394" s="229">
        <v>45212.01</v>
      </c>
      <c r="M2394" s="55"/>
    </row>
    <row r="2395" spans="2:13" x14ac:dyDescent="0.3">
      <c r="B2395" s="223" t="s">
        <v>2488</v>
      </c>
      <c r="C2395" s="37">
        <v>6</v>
      </c>
      <c r="D2395" s="225">
        <v>10</v>
      </c>
      <c r="E2395" s="226">
        <v>44222</v>
      </c>
      <c r="F2395" s="227"/>
      <c r="G2395" s="1" t="str">
        <f>IFERROR(IF(ventas_b_mes12[[#This Row],[CUIT]]="","-",VLOOKUP(ventas_b_mes12[[#This Row],[CUIT]],Lista_CUIT[#All],2,0)),"CUIT NO CARGADO")</f>
        <v>-</v>
      </c>
      <c r="H2395" s="96">
        <f>ventas_b_mes12[[#This Row],[TOTAL]]/1.21</f>
        <v>19274.380165289258</v>
      </c>
      <c r="I2395" s="60">
        <f>ventas_b_mes12[[#This Row],[IMPORTE NETO]]*0.21</f>
        <v>4047.6198347107438</v>
      </c>
      <c r="J2395" s="229"/>
      <c r="K2395" s="229"/>
      <c r="L2395" s="229">
        <v>23322</v>
      </c>
      <c r="M2395" s="55"/>
    </row>
    <row r="2396" spans="2:13" x14ac:dyDescent="0.3">
      <c r="B2396" s="223" t="s">
        <v>2488</v>
      </c>
      <c r="C2396" s="37">
        <v>6</v>
      </c>
      <c r="D2396" s="225">
        <v>12</v>
      </c>
      <c r="E2396" s="226">
        <v>22842</v>
      </c>
      <c r="F2396" s="227"/>
      <c r="G2396" s="1" t="str">
        <f>IFERROR(IF(ventas_b_mes12[[#This Row],[CUIT]]="","-",VLOOKUP(ventas_b_mes12[[#This Row],[CUIT]],Lista_CUIT[#All],2,0)),"CUIT NO CARGADO")</f>
        <v>-</v>
      </c>
      <c r="H2396" s="96">
        <f>ventas_b_mes12[[#This Row],[TOTAL]]/1.21</f>
        <v>15148.768595041322</v>
      </c>
      <c r="I2396" s="60">
        <f>ventas_b_mes12[[#This Row],[IMPORTE NETO]]*0.21</f>
        <v>3181.2414049586773</v>
      </c>
      <c r="J2396" s="229"/>
      <c r="K2396" s="229"/>
      <c r="L2396" s="229">
        <v>18330.009999999998</v>
      </c>
      <c r="M2396" s="55"/>
    </row>
    <row r="2397" spans="2:13" x14ac:dyDescent="0.3">
      <c r="B2397" s="223" t="s">
        <v>2488</v>
      </c>
      <c r="C2397" s="37">
        <v>6</v>
      </c>
      <c r="D2397" s="225">
        <v>12</v>
      </c>
      <c r="E2397" s="226">
        <v>22839</v>
      </c>
      <c r="F2397" s="227"/>
      <c r="G2397" s="1" t="str">
        <f>IFERROR(IF(ventas_b_mes12[[#This Row],[CUIT]]="","-",VLOOKUP(ventas_b_mes12[[#This Row],[CUIT]],Lista_CUIT[#All],2,0)),"CUIT NO CARGADO")</f>
        <v>-</v>
      </c>
      <c r="H2397" s="96">
        <f>ventas_b_mes12[[#This Row],[TOTAL]]/1.21</f>
        <v>11427.537190082645</v>
      </c>
      <c r="I2397" s="60">
        <f>ventas_b_mes12[[#This Row],[IMPORTE NETO]]*0.21</f>
        <v>2399.7828099173553</v>
      </c>
      <c r="J2397" s="229"/>
      <c r="K2397" s="229"/>
      <c r="L2397" s="229">
        <v>13827.32</v>
      </c>
      <c r="M2397" s="55"/>
    </row>
    <row r="2398" spans="2:13" x14ac:dyDescent="0.3">
      <c r="B2398" s="223" t="s">
        <v>2488</v>
      </c>
      <c r="C2398" s="37">
        <v>6</v>
      </c>
      <c r="D2398" s="225">
        <v>12</v>
      </c>
      <c r="E2398" s="226">
        <v>22841</v>
      </c>
      <c r="F2398" s="227"/>
      <c r="G2398" s="1" t="str">
        <f>IFERROR(IF(ventas_b_mes12[[#This Row],[CUIT]]="","-",VLOOKUP(ventas_b_mes12[[#This Row],[CUIT]],Lista_CUIT[#All],2,0)),"CUIT NO CARGADO")</f>
        <v>-</v>
      </c>
      <c r="H2398" s="96">
        <f>ventas_b_mes12[[#This Row],[TOTAL]]/1.21</f>
        <v>5495.8677685950415</v>
      </c>
      <c r="I2398" s="60">
        <f>ventas_b_mes12[[#This Row],[IMPORTE NETO]]*0.21</f>
        <v>1154.1322314049587</v>
      </c>
      <c r="J2398" s="229"/>
      <c r="K2398" s="229"/>
      <c r="L2398" s="229">
        <v>6650</v>
      </c>
      <c r="M2398" s="55"/>
    </row>
    <row r="2399" spans="2:13" x14ac:dyDescent="0.3">
      <c r="B2399" s="223" t="s">
        <v>2488</v>
      </c>
      <c r="C2399" s="37">
        <v>6</v>
      </c>
      <c r="D2399" s="225">
        <v>12</v>
      </c>
      <c r="E2399" s="226">
        <v>22822</v>
      </c>
      <c r="F2399" s="227"/>
      <c r="G2399" s="1" t="str">
        <f>IFERROR(IF(ventas_b_mes12[[#This Row],[CUIT]]="","-",VLOOKUP(ventas_b_mes12[[#This Row],[CUIT]],Lista_CUIT[#All],2,0)),"CUIT NO CARGADO")</f>
        <v>-</v>
      </c>
      <c r="H2399" s="96">
        <f>ventas_b_mes12[[#This Row],[TOTAL]]/1.21</f>
        <v>528.9256198347108</v>
      </c>
      <c r="I2399" s="60">
        <f>ventas_b_mes12[[#This Row],[IMPORTE NETO]]*0.21</f>
        <v>111.07438016528927</v>
      </c>
      <c r="J2399" s="229"/>
      <c r="K2399" s="229"/>
      <c r="L2399" s="229">
        <v>640</v>
      </c>
      <c r="M2399" s="55"/>
    </row>
    <row r="2400" spans="2:13" x14ac:dyDescent="0.3">
      <c r="B2400" s="223" t="s">
        <v>2488</v>
      </c>
      <c r="C2400" s="37">
        <v>6</v>
      </c>
      <c r="D2400" s="225">
        <v>12</v>
      </c>
      <c r="E2400" s="226">
        <v>22826</v>
      </c>
      <c r="F2400" s="227"/>
      <c r="G2400" s="1" t="str">
        <f>IFERROR(IF(ventas_b_mes12[[#This Row],[CUIT]]="","-",VLOOKUP(ventas_b_mes12[[#This Row],[CUIT]],Lista_CUIT[#All],2,0)),"CUIT NO CARGADO")</f>
        <v>-</v>
      </c>
      <c r="H2400" s="96">
        <f>ventas_b_mes12[[#This Row],[TOTAL]]/1.21</f>
        <v>8723.1404958677685</v>
      </c>
      <c r="I2400" s="60">
        <f>ventas_b_mes12[[#This Row],[IMPORTE NETO]]*0.21</f>
        <v>1831.8595041322312</v>
      </c>
      <c r="J2400" s="229"/>
      <c r="K2400" s="229"/>
      <c r="L2400" s="229">
        <v>10555</v>
      </c>
      <c r="M2400" s="55"/>
    </row>
    <row r="2401" spans="2:13" x14ac:dyDescent="0.3">
      <c r="B2401" s="223" t="s">
        <v>2488</v>
      </c>
      <c r="C2401" s="37">
        <v>6</v>
      </c>
      <c r="D2401" s="225">
        <v>12</v>
      </c>
      <c r="E2401" s="226">
        <v>22833</v>
      </c>
      <c r="F2401" s="227"/>
      <c r="G2401" s="1" t="str">
        <f>IFERROR(IF(ventas_b_mes12[[#This Row],[CUIT]]="","-",VLOOKUP(ventas_b_mes12[[#This Row],[CUIT]],Lista_CUIT[#All],2,0)),"CUIT NO CARGADO")</f>
        <v>-</v>
      </c>
      <c r="H2401" s="96">
        <f>ventas_b_mes12[[#This Row],[TOTAL]]/1.21</f>
        <v>2685.9421487603304</v>
      </c>
      <c r="I2401" s="60">
        <f>ventas_b_mes12[[#This Row],[IMPORTE NETO]]*0.21</f>
        <v>564.0478512396694</v>
      </c>
      <c r="J2401" s="229"/>
      <c r="K2401" s="229"/>
      <c r="L2401" s="229">
        <v>3249.99</v>
      </c>
      <c r="M2401" s="55"/>
    </row>
    <row r="2402" spans="2:13" x14ac:dyDescent="0.3">
      <c r="B2402" s="223" t="s">
        <v>2488</v>
      </c>
      <c r="C2402" s="37">
        <v>6</v>
      </c>
      <c r="D2402" s="225">
        <v>11</v>
      </c>
      <c r="E2402" s="226">
        <v>30349</v>
      </c>
      <c r="F2402" s="227"/>
      <c r="G2402" s="1" t="str">
        <f>IFERROR(IF(ventas_b_mes12[[#This Row],[CUIT]]="","-",VLOOKUP(ventas_b_mes12[[#This Row],[CUIT]],Lista_CUIT[#All],2,0)),"CUIT NO CARGADO")</f>
        <v>-</v>
      </c>
      <c r="H2402" s="96">
        <f>ventas_b_mes12[[#This Row],[TOTAL]]/1.21</f>
        <v>10330.603305785125</v>
      </c>
      <c r="I2402" s="60">
        <f>ventas_b_mes12[[#This Row],[IMPORTE NETO]]*0.21</f>
        <v>2169.4266942148761</v>
      </c>
      <c r="J2402" s="229"/>
      <c r="K2402" s="229"/>
      <c r="L2402" s="229">
        <v>12500.03</v>
      </c>
      <c r="M2402" s="55"/>
    </row>
    <row r="2403" spans="2:13" x14ac:dyDescent="0.3">
      <c r="B2403" s="223" t="s">
        <v>2488</v>
      </c>
      <c r="C2403" s="37">
        <v>6</v>
      </c>
      <c r="D2403" s="225">
        <v>12</v>
      </c>
      <c r="E2403" s="226">
        <v>22832</v>
      </c>
      <c r="F2403" s="227"/>
      <c r="G2403" s="1" t="str">
        <f>IFERROR(IF(ventas_b_mes12[[#This Row],[CUIT]]="","-",VLOOKUP(ventas_b_mes12[[#This Row],[CUIT]],Lista_CUIT[#All],2,0)),"CUIT NO CARGADO")</f>
        <v>-</v>
      </c>
      <c r="H2403" s="96">
        <f>ventas_b_mes12[[#This Row],[TOTAL]]/1.21</f>
        <v>7520.2396694214876</v>
      </c>
      <c r="I2403" s="60">
        <f>ventas_b_mes12[[#This Row],[IMPORTE NETO]]*0.21</f>
        <v>1579.2503305785124</v>
      </c>
      <c r="J2403" s="229"/>
      <c r="K2403" s="229"/>
      <c r="L2403" s="229">
        <v>9099.49</v>
      </c>
      <c r="M2403" s="55"/>
    </row>
    <row r="2404" spans="2:13" x14ac:dyDescent="0.3">
      <c r="B2404" s="223" t="s">
        <v>2488</v>
      </c>
      <c r="C2404" s="37">
        <v>6</v>
      </c>
      <c r="D2404" s="225">
        <v>15</v>
      </c>
      <c r="E2404" s="226">
        <v>7375</v>
      </c>
      <c r="F2404" s="227"/>
      <c r="G2404" s="1" t="str">
        <f>IFERROR(IF(ventas_b_mes12[[#This Row],[CUIT]]="","-",VLOOKUP(ventas_b_mes12[[#This Row],[CUIT]],Lista_CUIT[#All],2,0)),"CUIT NO CARGADO")</f>
        <v>-</v>
      </c>
      <c r="H2404" s="96">
        <f>ventas_b_mes12[[#This Row],[TOTAL]]/1.21</f>
        <v>471.07438016528926</v>
      </c>
      <c r="I2404" s="60">
        <f>ventas_b_mes12[[#This Row],[IMPORTE NETO]]*0.21</f>
        <v>98.925619834710744</v>
      </c>
      <c r="J2404" s="229"/>
      <c r="K2404" s="229"/>
      <c r="L2404" s="229">
        <v>570</v>
      </c>
      <c r="M2404" s="55"/>
    </row>
    <row r="2405" spans="2:13" x14ac:dyDescent="0.3">
      <c r="B2405" s="223" t="s">
        <v>2488</v>
      </c>
      <c r="C2405" s="37">
        <v>6</v>
      </c>
      <c r="D2405" s="225">
        <v>12</v>
      </c>
      <c r="E2405" s="226">
        <v>22840</v>
      </c>
      <c r="F2405" s="227"/>
      <c r="G2405" s="1" t="str">
        <f>IFERROR(IF(ventas_b_mes12[[#This Row],[CUIT]]="","-",VLOOKUP(ventas_b_mes12[[#This Row],[CUIT]],Lista_CUIT[#All],2,0)),"CUIT NO CARGADO")</f>
        <v>-</v>
      </c>
      <c r="H2405" s="96">
        <f>ventas_b_mes12[[#This Row],[TOTAL]]/1.21</f>
        <v>4504.1322314049585</v>
      </c>
      <c r="I2405" s="60">
        <f>ventas_b_mes12[[#This Row],[IMPORTE NETO]]*0.21</f>
        <v>945.8677685950413</v>
      </c>
      <c r="J2405" s="229"/>
      <c r="K2405" s="229"/>
      <c r="L2405" s="229">
        <v>5450</v>
      </c>
      <c r="M2405" s="55"/>
    </row>
    <row r="2406" spans="2:13" x14ac:dyDescent="0.3">
      <c r="B2406" s="223" t="s">
        <v>2488</v>
      </c>
      <c r="C2406" s="37">
        <v>6</v>
      </c>
      <c r="D2406" s="225">
        <v>12</v>
      </c>
      <c r="E2406" s="226">
        <v>22846</v>
      </c>
      <c r="F2406" s="227"/>
      <c r="G2406" s="1" t="str">
        <f>IFERROR(IF(ventas_b_mes12[[#This Row],[CUIT]]="","-",VLOOKUP(ventas_b_mes12[[#This Row],[CUIT]],Lista_CUIT[#All],2,0)),"CUIT NO CARGADO")</f>
        <v>-</v>
      </c>
      <c r="H2406" s="96">
        <f>ventas_b_mes12[[#This Row],[TOTAL]]/1.21</f>
        <v>7921.4958677685954</v>
      </c>
      <c r="I2406" s="60">
        <f>ventas_b_mes12[[#This Row],[IMPORTE NETO]]*0.21</f>
        <v>1663.514132231405</v>
      </c>
      <c r="J2406" s="229"/>
      <c r="K2406" s="229"/>
      <c r="L2406" s="229">
        <v>9585.01</v>
      </c>
      <c r="M2406" s="55"/>
    </row>
    <row r="2407" spans="2:13" x14ac:dyDescent="0.3">
      <c r="B2407" s="223" t="s">
        <v>2488</v>
      </c>
      <c r="C2407" s="37">
        <v>6</v>
      </c>
      <c r="D2407" s="225">
        <v>12</v>
      </c>
      <c r="E2407" s="226">
        <v>22829</v>
      </c>
      <c r="F2407" s="227"/>
      <c r="G2407" s="1" t="str">
        <f>IFERROR(IF(ventas_b_mes12[[#This Row],[CUIT]]="","-",VLOOKUP(ventas_b_mes12[[#This Row],[CUIT]],Lista_CUIT[#All],2,0)),"CUIT NO CARGADO")</f>
        <v>-</v>
      </c>
      <c r="H2407" s="96">
        <f>ventas_b_mes12[[#This Row],[TOTAL]]/1.21</f>
        <v>6649.5867768595044</v>
      </c>
      <c r="I2407" s="60">
        <f>ventas_b_mes12[[#This Row],[IMPORTE NETO]]*0.21</f>
        <v>1396.4132231404958</v>
      </c>
      <c r="J2407" s="229"/>
      <c r="K2407" s="229"/>
      <c r="L2407" s="229">
        <v>8046</v>
      </c>
      <c r="M2407" s="55"/>
    </row>
    <row r="2408" spans="2:13" x14ac:dyDescent="0.3">
      <c r="B2408" s="223" t="s">
        <v>2488</v>
      </c>
      <c r="C2408" s="37">
        <v>6</v>
      </c>
      <c r="D2408" s="225">
        <v>10</v>
      </c>
      <c r="E2408" s="226">
        <v>44219</v>
      </c>
      <c r="F2408" s="227"/>
      <c r="G2408" s="1" t="str">
        <f>IFERROR(IF(ventas_b_mes12[[#This Row],[CUIT]]="","-",VLOOKUP(ventas_b_mes12[[#This Row],[CUIT]],Lista_CUIT[#All],2,0)),"CUIT NO CARGADO")</f>
        <v>-</v>
      </c>
      <c r="H2408" s="96">
        <f>ventas_b_mes12[[#This Row],[TOTAL]]/1.21</f>
        <v>54720.644628099173</v>
      </c>
      <c r="I2408" s="60">
        <f>ventas_b_mes12[[#This Row],[IMPORTE NETO]]*0.21</f>
        <v>11491.335371900826</v>
      </c>
      <c r="J2408" s="229"/>
      <c r="K2408" s="229"/>
      <c r="L2408" s="229">
        <v>66211.98</v>
      </c>
      <c r="M2408" s="55"/>
    </row>
    <row r="2409" spans="2:13" x14ac:dyDescent="0.3">
      <c r="B2409" s="223" t="s">
        <v>2488</v>
      </c>
      <c r="C2409" s="37">
        <v>6</v>
      </c>
      <c r="D2409" s="225">
        <v>13</v>
      </c>
      <c r="E2409" s="226">
        <v>26968</v>
      </c>
      <c r="F2409" s="227"/>
      <c r="G2409" s="1" t="str">
        <f>IFERROR(IF(ventas_b_mes12[[#This Row],[CUIT]]="","-",VLOOKUP(ventas_b_mes12[[#This Row],[CUIT]],Lista_CUIT[#All],2,0)),"CUIT NO CARGADO")</f>
        <v>-</v>
      </c>
      <c r="H2409" s="96">
        <f>ventas_b_mes12[[#This Row],[TOTAL]]/1.21</f>
        <v>1735.5371900826447</v>
      </c>
      <c r="I2409" s="60">
        <f>ventas_b_mes12[[#This Row],[IMPORTE NETO]]*0.21</f>
        <v>364.46280991735534</v>
      </c>
      <c r="J2409" s="229"/>
      <c r="K2409" s="229"/>
      <c r="L2409" s="229">
        <v>2100</v>
      </c>
      <c r="M2409" s="55"/>
    </row>
    <row r="2410" spans="2:13" x14ac:dyDescent="0.3">
      <c r="B2410" s="223" t="s">
        <v>2488</v>
      </c>
      <c r="C2410" s="37">
        <v>6</v>
      </c>
      <c r="D2410" s="225">
        <v>10</v>
      </c>
      <c r="E2410" s="226">
        <v>44220</v>
      </c>
      <c r="F2410" s="227"/>
      <c r="G2410" s="1" t="str">
        <f>IFERROR(IF(ventas_b_mes12[[#This Row],[CUIT]]="","-",VLOOKUP(ventas_b_mes12[[#This Row],[CUIT]],Lista_CUIT[#All],2,0)),"CUIT NO CARGADO")</f>
        <v>-</v>
      </c>
      <c r="H2410" s="96">
        <f>ventas_b_mes12[[#This Row],[TOTAL]]/1.21</f>
        <v>48966.115702479343</v>
      </c>
      <c r="I2410" s="60">
        <f>ventas_b_mes12[[#This Row],[IMPORTE NETO]]*0.21</f>
        <v>10282.884297520661</v>
      </c>
      <c r="J2410" s="229"/>
      <c r="K2410" s="229"/>
      <c r="L2410" s="229">
        <v>59249</v>
      </c>
      <c r="M2410" s="55"/>
    </row>
    <row r="2411" spans="2:13" x14ac:dyDescent="0.3">
      <c r="B2411" s="223" t="s">
        <v>2488</v>
      </c>
      <c r="C2411" s="37">
        <v>6</v>
      </c>
      <c r="D2411" s="225">
        <v>15</v>
      </c>
      <c r="E2411" s="226">
        <v>7373</v>
      </c>
      <c r="F2411" s="227"/>
      <c r="G2411" s="1" t="str">
        <f>IFERROR(IF(ventas_b_mes12[[#This Row],[CUIT]]="","-",VLOOKUP(ventas_b_mes12[[#This Row],[CUIT]],Lista_CUIT[#All],2,0)),"CUIT NO CARGADO")</f>
        <v>-</v>
      </c>
      <c r="H2411" s="96">
        <f>ventas_b_mes12[[#This Row],[TOTAL]]/1.21</f>
        <v>5661.1570247933887</v>
      </c>
      <c r="I2411" s="60">
        <f>ventas_b_mes12[[#This Row],[IMPORTE NETO]]*0.21</f>
        <v>1188.8429752066115</v>
      </c>
      <c r="J2411" s="229"/>
      <c r="K2411" s="229"/>
      <c r="L2411" s="229">
        <v>6850</v>
      </c>
      <c r="M2411" s="55"/>
    </row>
    <row r="2412" spans="2:13" x14ac:dyDescent="0.3">
      <c r="B2412" s="223" t="s">
        <v>2488</v>
      </c>
      <c r="C2412" s="37">
        <v>6</v>
      </c>
      <c r="D2412" s="225">
        <v>12</v>
      </c>
      <c r="E2412" s="226">
        <v>22827</v>
      </c>
      <c r="F2412" s="227"/>
      <c r="G2412" s="1" t="str">
        <f>IFERROR(IF(ventas_b_mes12[[#This Row],[CUIT]]="","-",VLOOKUP(ventas_b_mes12[[#This Row],[CUIT]],Lista_CUIT[#All],2,0)),"CUIT NO CARGADO")</f>
        <v>-</v>
      </c>
      <c r="H2412" s="96">
        <f>ventas_b_mes12[[#This Row],[TOTAL]]/1.21</f>
        <v>344.79338842975204</v>
      </c>
      <c r="I2412" s="60">
        <f>ventas_b_mes12[[#This Row],[IMPORTE NETO]]*0.21</f>
        <v>72.406611570247932</v>
      </c>
      <c r="J2412" s="229"/>
      <c r="K2412" s="229"/>
      <c r="L2412" s="229">
        <v>417.2</v>
      </c>
      <c r="M2412" s="55"/>
    </row>
    <row r="2413" spans="2:13" x14ac:dyDescent="0.3">
      <c r="B2413" s="223" t="s">
        <v>2488</v>
      </c>
      <c r="C2413" s="37">
        <v>6</v>
      </c>
      <c r="D2413" s="225">
        <v>12</v>
      </c>
      <c r="E2413" s="226">
        <v>22828</v>
      </c>
      <c r="F2413" s="227"/>
      <c r="G2413" s="1" t="str">
        <f>IFERROR(IF(ventas_b_mes12[[#This Row],[CUIT]]="","-",VLOOKUP(ventas_b_mes12[[#This Row],[CUIT]],Lista_CUIT[#All],2,0)),"CUIT NO CARGADO")</f>
        <v>-</v>
      </c>
      <c r="H2413" s="96">
        <f>ventas_b_mes12[[#This Row],[TOTAL]]/1.21</f>
        <v>7379.553719008265</v>
      </c>
      <c r="I2413" s="60">
        <f>ventas_b_mes12[[#This Row],[IMPORTE NETO]]*0.21</f>
        <v>1549.7062809917356</v>
      </c>
      <c r="J2413" s="229"/>
      <c r="K2413" s="229"/>
      <c r="L2413" s="229">
        <v>8929.26</v>
      </c>
      <c r="M2413" s="55"/>
    </row>
    <row r="2414" spans="2:13" x14ac:dyDescent="0.3">
      <c r="B2414" s="223" t="s">
        <v>2488</v>
      </c>
      <c r="C2414" s="37">
        <v>6</v>
      </c>
      <c r="D2414" s="225">
        <v>13</v>
      </c>
      <c r="E2414" s="226">
        <v>26979</v>
      </c>
      <c r="F2414" s="227"/>
      <c r="G2414" s="1" t="str">
        <f>IFERROR(IF(ventas_b_mes12[[#This Row],[CUIT]]="","-",VLOOKUP(ventas_b_mes12[[#This Row],[CUIT]],Lista_CUIT[#All],2,0)),"CUIT NO CARGADO")</f>
        <v>-</v>
      </c>
      <c r="H2414" s="96">
        <f>ventas_b_mes12[[#This Row],[TOTAL]]/1.21</f>
        <v>3619.8264462809916</v>
      </c>
      <c r="I2414" s="60">
        <f>ventas_b_mes12[[#This Row],[IMPORTE NETO]]*0.21</f>
        <v>760.16355371900818</v>
      </c>
      <c r="J2414" s="229"/>
      <c r="K2414" s="229"/>
      <c r="L2414" s="229">
        <v>4379.99</v>
      </c>
      <c r="M2414" s="55"/>
    </row>
    <row r="2415" spans="2:13" x14ac:dyDescent="0.3">
      <c r="B2415" s="223" t="s">
        <v>2488</v>
      </c>
      <c r="C2415" s="37">
        <v>6</v>
      </c>
      <c r="D2415" s="225">
        <v>12</v>
      </c>
      <c r="E2415" s="226">
        <v>22837</v>
      </c>
      <c r="F2415" s="227"/>
      <c r="G2415" s="1" t="str">
        <f>IFERROR(IF(ventas_b_mes12[[#This Row],[CUIT]]="","-",VLOOKUP(ventas_b_mes12[[#This Row],[CUIT]],Lista_CUIT[#All],2,0)),"CUIT NO CARGADO")</f>
        <v>-</v>
      </c>
      <c r="H2415" s="96">
        <f>ventas_b_mes12[[#This Row],[TOTAL]]/1.21</f>
        <v>8036.7768595041325</v>
      </c>
      <c r="I2415" s="60">
        <f>ventas_b_mes12[[#This Row],[IMPORTE NETO]]*0.21</f>
        <v>1687.7231404958677</v>
      </c>
      <c r="J2415" s="229"/>
      <c r="K2415" s="229"/>
      <c r="L2415" s="229">
        <v>9724.5</v>
      </c>
      <c r="M2415" s="55"/>
    </row>
    <row r="2416" spans="2:13" x14ac:dyDescent="0.3">
      <c r="B2416" s="223" t="s">
        <v>2488</v>
      </c>
      <c r="C2416" s="37">
        <v>6</v>
      </c>
      <c r="D2416" s="225">
        <v>12</v>
      </c>
      <c r="E2416" s="226">
        <v>22838</v>
      </c>
      <c r="F2416" s="227"/>
      <c r="G2416" s="1" t="str">
        <f>IFERROR(IF(ventas_b_mes12[[#This Row],[CUIT]]="","-",VLOOKUP(ventas_b_mes12[[#This Row],[CUIT]],Lista_CUIT[#All],2,0)),"CUIT NO CARGADO")</f>
        <v>-</v>
      </c>
      <c r="H2416" s="96">
        <f>ventas_b_mes12[[#This Row],[TOTAL]]/1.21</f>
        <v>4958.6776859504134</v>
      </c>
      <c r="I2416" s="60">
        <f>ventas_b_mes12[[#This Row],[IMPORTE NETO]]*0.21</f>
        <v>1041.3223140495868</v>
      </c>
      <c r="J2416" s="229"/>
      <c r="K2416" s="229"/>
      <c r="L2416" s="229">
        <v>6000</v>
      </c>
      <c r="M2416" s="55"/>
    </row>
    <row r="2417" spans="2:13" x14ac:dyDescent="0.3">
      <c r="B2417" s="223" t="s">
        <v>2488</v>
      </c>
      <c r="C2417" s="37">
        <v>6</v>
      </c>
      <c r="D2417" s="225">
        <v>11</v>
      </c>
      <c r="E2417" s="226">
        <v>30348</v>
      </c>
      <c r="F2417" s="227"/>
      <c r="G2417" s="1" t="str">
        <f>IFERROR(IF(ventas_b_mes12[[#This Row],[CUIT]]="","-",VLOOKUP(ventas_b_mes12[[#This Row],[CUIT]],Lista_CUIT[#All],2,0)),"CUIT NO CARGADO")</f>
        <v>-</v>
      </c>
      <c r="H2417" s="96">
        <f>ventas_b_mes12[[#This Row],[TOTAL]]/1.21</f>
        <v>4545.454545454546</v>
      </c>
      <c r="I2417" s="60">
        <f>ventas_b_mes12[[#This Row],[IMPORTE NETO]]*0.21</f>
        <v>954.54545454545462</v>
      </c>
      <c r="J2417" s="229"/>
      <c r="K2417" s="229"/>
      <c r="L2417" s="229">
        <v>5500</v>
      </c>
      <c r="M2417" s="55"/>
    </row>
    <row r="2418" spans="2:13" x14ac:dyDescent="0.3">
      <c r="B2418" s="223" t="s">
        <v>2489</v>
      </c>
      <c r="C2418" s="37">
        <v>6</v>
      </c>
      <c r="D2418" s="225">
        <v>12</v>
      </c>
      <c r="E2418" s="226">
        <v>22852</v>
      </c>
      <c r="F2418" s="227"/>
      <c r="G2418" s="1" t="str">
        <f>IFERROR(IF(ventas_b_mes12[[#This Row],[CUIT]]="","-",VLOOKUP(ventas_b_mes12[[#This Row],[CUIT]],Lista_CUIT[#All],2,0)),"CUIT NO CARGADO")</f>
        <v>-</v>
      </c>
      <c r="H2418" s="96">
        <f>ventas_b_mes12[[#This Row],[TOTAL]]/1.21</f>
        <v>8694.2148760330583</v>
      </c>
      <c r="I2418" s="60">
        <f>ventas_b_mes12[[#This Row],[IMPORTE NETO]]*0.21</f>
        <v>1825.7851239669421</v>
      </c>
      <c r="J2418" s="229"/>
      <c r="K2418" s="229"/>
      <c r="L2418" s="229">
        <v>10520</v>
      </c>
      <c r="M2418" s="55"/>
    </row>
    <row r="2419" spans="2:13" x14ac:dyDescent="0.3">
      <c r="B2419" s="223" t="s">
        <v>2489</v>
      </c>
      <c r="C2419" s="37">
        <v>6</v>
      </c>
      <c r="D2419" s="225">
        <v>13</v>
      </c>
      <c r="E2419" s="226">
        <v>26985</v>
      </c>
      <c r="F2419" s="227"/>
      <c r="G2419" s="1" t="str">
        <f>IFERROR(IF(ventas_b_mes12[[#This Row],[CUIT]]="","-",VLOOKUP(ventas_b_mes12[[#This Row],[CUIT]],Lista_CUIT[#All],2,0)),"CUIT NO CARGADO")</f>
        <v>-</v>
      </c>
      <c r="H2419" s="96">
        <f>ventas_b_mes12[[#This Row],[TOTAL]]/1.21</f>
        <v>4669.0826446280998</v>
      </c>
      <c r="I2419" s="60">
        <f>ventas_b_mes12[[#This Row],[IMPORTE NETO]]*0.21</f>
        <v>980.50735537190099</v>
      </c>
      <c r="J2419" s="229"/>
      <c r="K2419" s="229"/>
      <c r="L2419" s="229">
        <v>5649.59</v>
      </c>
      <c r="M2419" s="55"/>
    </row>
    <row r="2420" spans="2:13" x14ac:dyDescent="0.3">
      <c r="B2420" s="223" t="s">
        <v>2489</v>
      </c>
      <c r="C2420" s="37">
        <v>6</v>
      </c>
      <c r="D2420" s="225">
        <v>12</v>
      </c>
      <c r="E2420" s="226">
        <v>22864</v>
      </c>
      <c r="F2420" s="227"/>
      <c r="G2420" s="1" t="str">
        <f>IFERROR(IF(ventas_b_mes12[[#This Row],[CUIT]]="","-",VLOOKUP(ventas_b_mes12[[#This Row],[CUIT]],Lista_CUIT[#All],2,0)),"CUIT NO CARGADO")</f>
        <v>-</v>
      </c>
      <c r="H2420" s="96">
        <f>ventas_b_mes12[[#This Row],[TOTAL]]/1.21</f>
        <v>5950.4132231404965</v>
      </c>
      <c r="I2420" s="60">
        <f>ventas_b_mes12[[#This Row],[IMPORTE NETO]]*0.21</f>
        <v>1249.5867768595042</v>
      </c>
      <c r="J2420" s="229"/>
      <c r="K2420" s="229"/>
      <c r="L2420" s="229">
        <v>7200</v>
      </c>
      <c r="M2420" s="55"/>
    </row>
    <row r="2421" spans="2:13" x14ac:dyDescent="0.3">
      <c r="B2421" s="223" t="s">
        <v>2489</v>
      </c>
      <c r="C2421" s="37">
        <v>6</v>
      </c>
      <c r="D2421" s="225">
        <v>12</v>
      </c>
      <c r="E2421" s="226">
        <v>22873</v>
      </c>
      <c r="F2421" s="227"/>
      <c r="G2421" s="1" t="str">
        <f>IFERROR(IF(ventas_b_mes12[[#This Row],[CUIT]]="","-",VLOOKUP(ventas_b_mes12[[#This Row],[CUIT]],Lista_CUIT[#All],2,0)),"CUIT NO CARGADO")</f>
        <v>-</v>
      </c>
      <c r="H2421" s="96">
        <f>ventas_b_mes12[[#This Row],[TOTAL]]/1.21</f>
        <v>10330.603305785125</v>
      </c>
      <c r="I2421" s="60">
        <f>ventas_b_mes12[[#This Row],[IMPORTE NETO]]*0.21</f>
        <v>2169.4266942148761</v>
      </c>
      <c r="J2421" s="229"/>
      <c r="K2421" s="229"/>
      <c r="L2421" s="229">
        <v>12500.03</v>
      </c>
      <c r="M2421" s="55"/>
    </row>
    <row r="2422" spans="2:13" x14ac:dyDescent="0.3">
      <c r="B2422" s="223" t="s">
        <v>2489</v>
      </c>
      <c r="C2422" s="37">
        <v>6</v>
      </c>
      <c r="D2422" s="225">
        <v>12</v>
      </c>
      <c r="E2422" s="226">
        <v>22875</v>
      </c>
      <c r="F2422" s="227"/>
      <c r="G2422" s="1" t="str">
        <f>IFERROR(IF(ventas_b_mes12[[#This Row],[CUIT]]="","-",VLOOKUP(ventas_b_mes12[[#This Row],[CUIT]],Lista_CUIT[#All],2,0)),"CUIT NO CARGADO")</f>
        <v>-</v>
      </c>
      <c r="H2422" s="96">
        <f>ventas_b_mes12[[#This Row],[TOTAL]]/1.21</f>
        <v>929.75206611570252</v>
      </c>
      <c r="I2422" s="60">
        <f>ventas_b_mes12[[#This Row],[IMPORTE NETO]]*0.21</f>
        <v>195.24793388429751</v>
      </c>
      <c r="J2422" s="229"/>
      <c r="K2422" s="229"/>
      <c r="L2422" s="229">
        <v>1125</v>
      </c>
      <c r="M2422" s="55"/>
    </row>
    <row r="2423" spans="2:13" x14ac:dyDescent="0.3">
      <c r="B2423" s="223" t="s">
        <v>2489</v>
      </c>
      <c r="C2423" s="37">
        <v>6</v>
      </c>
      <c r="D2423" s="225">
        <v>10</v>
      </c>
      <c r="E2423" s="226">
        <v>44243</v>
      </c>
      <c r="F2423" s="227"/>
      <c r="G2423" s="1" t="str">
        <f>IFERROR(IF(ventas_b_mes12[[#This Row],[CUIT]]="","-",VLOOKUP(ventas_b_mes12[[#This Row],[CUIT]],Lista_CUIT[#All],2,0)),"CUIT NO CARGADO")</f>
        <v>-</v>
      </c>
      <c r="H2423" s="96">
        <f>ventas_b_mes12[[#This Row],[TOTAL]]/1.21</f>
        <v>10917.355371900827</v>
      </c>
      <c r="I2423" s="60">
        <f>ventas_b_mes12[[#This Row],[IMPORTE NETO]]*0.21</f>
        <v>2292.6446280991736</v>
      </c>
      <c r="J2423" s="229"/>
      <c r="K2423" s="229"/>
      <c r="L2423" s="229">
        <v>13210</v>
      </c>
      <c r="M2423" s="55"/>
    </row>
    <row r="2424" spans="2:13" x14ac:dyDescent="0.3">
      <c r="B2424" s="223" t="s">
        <v>2489</v>
      </c>
      <c r="C2424" s="37">
        <v>6</v>
      </c>
      <c r="D2424" s="225">
        <v>11</v>
      </c>
      <c r="E2424" s="226">
        <v>30357</v>
      </c>
      <c r="F2424" s="227"/>
      <c r="G2424" s="1" t="str">
        <f>IFERROR(IF(ventas_b_mes12[[#This Row],[CUIT]]="","-",VLOOKUP(ventas_b_mes12[[#This Row],[CUIT]],Lista_CUIT[#All],2,0)),"CUIT NO CARGADO")</f>
        <v>-</v>
      </c>
      <c r="H2424" s="96">
        <f>ventas_b_mes12[[#This Row],[TOTAL]]/1.21</f>
        <v>10330.578512396694</v>
      </c>
      <c r="I2424" s="60">
        <f>ventas_b_mes12[[#This Row],[IMPORTE NETO]]*0.21</f>
        <v>2169.4214876033056</v>
      </c>
      <c r="J2424" s="229"/>
      <c r="K2424" s="229"/>
      <c r="L2424" s="229">
        <v>12500</v>
      </c>
      <c r="M2424" s="55"/>
    </row>
    <row r="2425" spans="2:13" x14ac:dyDescent="0.3">
      <c r="B2425" s="223" t="s">
        <v>2489</v>
      </c>
      <c r="C2425" s="37">
        <v>6</v>
      </c>
      <c r="D2425" s="225">
        <v>10</v>
      </c>
      <c r="E2425" s="226">
        <v>44250</v>
      </c>
      <c r="F2425" s="227"/>
      <c r="G2425" s="1" t="str">
        <f>IFERROR(IF(ventas_b_mes12[[#This Row],[CUIT]]="","-",VLOOKUP(ventas_b_mes12[[#This Row],[CUIT]],Lista_CUIT[#All],2,0)),"CUIT NO CARGADO")</f>
        <v>-</v>
      </c>
      <c r="H2425" s="96">
        <f>ventas_b_mes12[[#This Row],[TOTAL]]/1.21</f>
        <v>18000</v>
      </c>
      <c r="I2425" s="60">
        <f>ventas_b_mes12[[#This Row],[IMPORTE NETO]]*0.21</f>
        <v>3780</v>
      </c>
      <c r="J2425" s="229"/>
      <c r="K2425" s="229"/>
      <c r="L2425" s="229">
        <v>21780</v>
      </c>
      <c r="M2425" s="55"/>
    </row>
    <row r="2426" spans="2:13" x14ac:dyDescent="0.3">
      <c r="B2426" s="223" t="s">
        <v>2489</v>
      </c>
      <c r="C2426" s="37">
        <v>6</v>
      </c>
      <c r="D2426" s="225">
        <v>11</v>
      </c>
      <c r="E2426" s="226">
        <v>30359</v>
      </c>
      <c r="F2426" s="227"/>
      <c r="G2426" s="1" t="str">
        <f>IFERROR(IF(ventas_b_mes12[[#This Row],[CUIT]]="","-",VLOOKUP(ventas_b_mes12[[#This Row],[CUIT]],Lista_CUIT[#All],2,0)),"CUIT NO CARGADO")</f>
        <v>-</v>
      </c>
      <c r="H2426" s="96">
        <f>ventas_b_mes12[[#This Row],[TOTAL]]/1.21</f>
        <v>4545.454545454546</v>
      </c>
      <c r="I2426" s="60">
        <f>ventas_b_mes12[[#This Row],[IMPORTE NETO]]*0.21</f>
        <v>954.54545454545462</v>
      </c>
      <c r="J2426" s="229"/>
      <c r="K2426" s="229"/>
      <c r="L2426" s="229">
        <v>5500</v>
      </c>
      <c r="M2426" s="55"/>
    </row>
    <row r="2427" spans="2:13" x14ac:dyDescent="0.3">
      <c r="B2427" s="223" t="s">
        <v>2489</v>
      </c>
      <c r="C2427" s="37">
        <v>6</v>
      </c>
      <c r="D2427" s="225">
        <v>12</v>
      </c>
      <c r="E2427" s="226">
        <v>22872</v>
      </c>
      <c r="F2427" s="227"/>
      <c r="G2427" s="1" t="str">
        <f>IFERROR(IF(ventas_b_mes12[[#This Row],[CUIT]]="","-",VLOOKUP(ventas_b_mes12[[#This Row],[CUIT]],Lista_CUIT[#All],2,0)),"CUIT NO CARGADO")</f>
        <v>-</v>
      </c>
      <c r="H2427" s="96">
        <f>ventas_b_mes12[[#This Row],[TOTAL]]/1.21</f>
        <v>8289.2561983471078</v>
      </c>
      <c r="I2427" s="60">
        <f>ventas_b_mes12[[#This Row],[IMPORTE NETO]]*0.21</f>
        <v>1740.7438016528927</v>
      </c>
      <c r="J2427" s="229"/>
      <c r="K2427" s="229"/>
      <c r="L2427" s="229">
        <v>10030</v>
      </c>
      <c r="M2427" s="55"/>
    </row>
    <row r="2428" spans="2:13" x14ac:dyDescent="0.3">
      <c r="B2428" s="223" t="s">
        <v>2489</v>
      </c>
      <c r="C2428" s="37">
        <v>6</v>
      </c>
      <c r="D2428" s="225">
        <v>13</v>
      </c>
      <c r="E2428" s="226">
        <v>26986</v>
      </c>
      <c r="F2428" s="227"/>
      <c r="G2428" s="1" t="str">
        <f>IFERROR(IF(ventas_b_mes12[[#This Row],[CUIT]]="","-",VLOOKUP(ventas_b_mes12[[#This Row],[CUIT]],Lista_CUIT[#All],2,0)),"CUIT NO CARGADO")</f>
        <v>-</v>
      </c>
      <c r="H2428" s="96">
        <f>ventas_b_mes12[[#This Row],[TOTAL]]/1.21</f>
        <v>4958.6776859504134</v>
      </c>
      <c r="I2428" s="60">
        <f>ventas_b_mes12[[#This Row],[IMPORTE NETO]]*0.21</f>
        <v>1041.3223140495868</v>
      </c>
      <c r="J2428" s="229"/>
      <c r="K2428" s="229"/>
      <c r="L2428" s="229">
        <v>6000</v>
      </c>
      <c r="M2428" s="55"/>
    </row>
    <row r="2429" spans="2:13" x14ac:dyDescent="0.3">
      <c r="B2429" s="223" t="s">
        <v>2489</v>
      </c>
      <c r="C2429" s="37">
        <v>6</v>
      </c>
      <c r="D2429" s="225">
        <v>12</v>
      </c>
      <c r="E2429" s="226">
        <v>22850</v>
      </c>
      <c r="F2429" s="227"/>
      <c r="G2429" s="1" t="str">
        <f>IFERROR(IF(ventas_b_mes12[[#This Row],[CUIT]]="","-",VLOOKUP(ventas_b_mes12[[#This Row],[CUIT]],Lista_CUIT[#All],2,0)),"CUIT NO CARGADO")</f>
        <v>-</v>
      </c>
      <c r="H2429" s="96">
        <f>ventas_b_mes12[[#This Row],[TOTAL]]/1.21</f>
        <v>9419.008264462811</v>
      </c>
      <c r="I2429" s="60">
        <f>ventas_b_mes12[[#This Row],[IMPORTE NETO]]*0.21</f>
        <v>1977.9917355371902</v>
      </c>
      <c r="J2429" s="229"/>
      <c r="K2429" s="229"/>
      <c r="L2429" s="229">
        <v>11397</v>
      </c>
      <c r="M2429" s="55"/>
    </row>
    <row r="2430" spans="2:13" x14ac:dyDescent="0.3">
      <c r="B2430" s="223" t="s">
        <v>2489</v>
      </c>
      <c r="C2430" s="37">
        <v>6</v>
      </c>
      <c r="D2430" s="225">
        <v>12</v>
      </c>
      <c r="E2430" s="226">
        <v>22848</v>
      </c>
      <c r="F2430" s="227"/>
      <c r="G2430" s="1" t="str">
        <f>IFERROR(IF(ventas_b_mes12[[#This Row],[CUIT]]="","-",VLOOKUP(ventas_b_mes12[[#This Row],[CUIT]],Lista_CUIT[#All],2,0)),"CUIT NO CARGADO")</f>
        <v>-</v>
      </c>
      <c r="H2430" s="96">
        <f>ventas_b_mes12[[#This Row],[TOTAL]]/1.21</f>
        <v>631.83471074380168</v>
      </c>
      <c r="I2430" s="60">
        <f>ventas_b_mes12[[#This Row],[IMPORTE NETO]]*0.21</f>
        <v>132.68528925619836</v>
      </c>
      <c r="J2430" s="229"/>
      <c r="K2430" s="229"/>
      <c r="L2430" s="229">
        <v>764.52</v>
      </c>
      <c r="M2430" s="55"/>
    </row>
    <row r="2431" spans="2:13" x14ac:dyDescent="0.3">
      <c r="B2431" s="223" t="s">
        <v>2489</v>
      </c>
      <c r="C2431" s="37">
        <v>6</v>
      </c>
      <c r="D2431" s="225">
        <v>10</v>
      </c>
      <c r="E2431" s="226">
        <v>44244</v>
      </c>
      <c r="F2431" s="227"/>
      <c r="G2431" s="1" t="str">
        <f>IFERROR(IF(ventas_b_mes12[[#This Row],[CUIT]]="","-",VLOOKUP(ventas_b_mes12[[#This Row],[CUIT]],Lista_CUIT[#All],2,0)),"CUIT NO CARGADO")</f>
        <v>-</v>
      </c>
      <c r="H2431" s="96">
        <f>ventas_b_mes12[[#This Row],[TOTAL]]/1.21</f>
        <v>5809.9173553719011</v>
      </c>
      <c r="I2431" s="60">
        <f>ventas_b_mes12[[#This Row],[IMPORTE NETO]]*0.21</f>
        <v>1220.0826446280992</v>
      </c>
      <c r="J2431" s="229"/>
      <c r="K2431" s="229"/>
      <c r="L2431" s="229">
        <v>7030</v>
      </c>
      <c r="M2431" s="55"/>
    </row>
    <row r="2432" spans="2:13" x14ac:dyDescent="0.3">
      <c r="B2432" s="223" t="s">
        <v>2489</v>
      </c>
      <c r="C2432" s="37">
        <v>6</v>
      </c>
      <c r="D2432" s="225">
        <v>13</v>
      </c>
      <c r="E2432" s="226">
        <v>26988</v>
      </c>
      <c r="F2432" s="227"/>
      <c r="G2432" s="1" t="str">
        <f>IFERROR(IF(ventas_b_mes12[[#This Row],[CUIT]]="","-",VLOOKUP(ventas_b_mes12[[#This Row],[CUIT]],Lista_CUIT[#All],2,0)),"CUIT NO CARGADO")</f>
        <v>-</v>
      </c>
      <c r="H2432" s="96">
        <f>ventas_b_mes12[[#This Row],[TOTAL]]/1.21</f>
        <v>4628.1074380165292</v>
      </c>
      <c r="I2432" s="60">
        <f>ventas_b_mes12[[#This Row],[IMPORTE NETO]]*0.21</f>
        <v>971.90256198347106</v>
      </c>
      <c r="J2432" s="229"/>
      <c r="K2432" s="229"/>
      <c r="L2432" s="229">
        <v>5600.01</v>
      </c>
      <c r="M2432" s="55"/>
    </row>
    <row r="2433" spans="2:13" x14ac:dyDescent="0.3">
      <c r="B2433" s="223" t="s">
        <v>2489</v>
      </c>
      <c r="C2433" s="37">
        <v>6</v>
      </c>
      <c r="D2433" s="225">
        <v>12</v>
      </c>
      <c r="E2433" s="226">
        <v>22862</v>
      </c>
      <c r="F2433" s="227"/>
      <c r="G2433" s="1" t="str">
        <f>IFERROR(IF(ventas_b_mes12[[#This Row],[CUIT]]="","-",VLOOKUP(ventas_b_mes12[[#This Row],[CUIT]],Lista_CUIT[#All],2,0)),"CUIT NO CARGADO")</f>
        <v>-</v>
      </c>
      <c r="H2433" s="96">
        <f>ventas_b_mes12[[#This Row],[TOTAL]]/1.21</f>
        <v>3830.5867768595044</v>
      </c>
      <c r="I2433" s="60">
        <f>ventas_b_mes12[[#This Row],[IMPORTE NETO]]*0.21</f>
        <v>804.42322314049591</v>
      </c>
      <c r="J2433" s="229"/>
      <c r="K2433" s="229"/>
      <c r="L2433" s="229">
        <v>4635.01</v>
      </c>
      <c r="M2433" s="55"/>
    </row>
    <row r="2434" spans="2:13" x14ac:dyDescent="0.3">
      <c r="B2434" s="223" t="s">
        <v>2489</v>
      </c>
      <c r="C2434" s="37">
        <v>6</v>
      </c>
      <c r="D2434" s="225">
        <v>10</v>
      </c>
      <c r="E2434" s="226">
        <v>44249</v>
      </c>
      <c r="F2434" s="227"/>
      <c r="G2434" s="1" t="str">
        <f>IFERROR(IF(ventas_b_mes12[[#This Row],[CUIT]]="","-",VLOOKUP(ventas_b_mes12[[#This Row],[CUIT]],Lista_CUIT[#All],2,0)),"CUIT NO CARGADO")</f>
        <v>-</v>
      </c>
      <c r="H2434" s="96">
        <f>ventas_b_mes12[[#This Row],[TOTAL]]/1.21</f>
        <v>3669.4214876033061</v>
      </c>
      <c r="I2434" s="60">
        <f>ventas_b_mes12[[#This Row],[IMPORTE NETO]]*0.21</f>
        <v>770.57851239669424</v>
      </c>
      <c r="J2434" s="229"/>
      <c r="K2434" s="229"/>
      <c r="L2434" s="229">
        <v>4440</v>
      </c>
      <c r="M2434" s="55"/>
    </row>
    <row r="2435" spans="2:13" x14ac:dyDescent="0.3">
      <c r="B2435" s="223" t="s">
        <v>2489</v>
      </c>
      <c r="C2435" s="37">
        <v>6</v>
      </c>
      <c r="D2435" s="225">
        <v>11</v>
      </c>
      <c r="E2435" s="226">
        <v>30362</v>
      </c>
      <c r="F2435" s="227"/>
      <c r="G2435" s="1" t="str">
        <f>IFERROR(IF(ventas_b_mes12[[#This Row],[CUIT]]="","-",VLOOKUP(ventas_b_mes12[[#This Row],[CUIT]],Lista_CUIT[#All],2,0)),"CUIT NO CARGADO")</f>
        <v>-</v>
      </c>
      <c r="H2435" s="96">
        <f>ventas_b_mes12[[#This Row],[TOTAL]]/1.21</f>
        <v>9603.3057851239664</v>
      </c>
      <c r="I2435" s="60">
        <f>ventas_b_mes12[[#This Row],[IMPORTE NETO]]*0.21</f>
        <v>2016.6942148760329</v>
      </c>
      <c r="J2435" s="229"/>
      <c r="K2435" s="229"/>
      <c r="L2435" s="229">
        <v>11620</v>
      </c>
      <c r="M2435" s="55"/>
    </row>
    <row r="2436" spans="2:13" x14ac:dyDescent="0.3">
      <c r="B2436" s="223" t="s">
        <v>2489</v>
      </c>
      <c r="C2436" s="37">
        <v>6</v>
      </c>
      <c r="D2436" s="225">
        <v>11</v>
      </c>
      <c r="E2436" s="226">
        <v>30364</v>
      </c>
      <c r="F2436" s="227"/>
      <c r="G2436" s="1" t="str">
        <f>IFERROR(IF(ventas_b_mes12[[#This Row],[CUIT]]="","-",VLOOKUP(ventas_b_mes12[[#This Row],[CUIT]],Lista_CUIT[#All],2,0)),"CUIT NO CARGADO")</f>
        <v>-</v>
      </c>
      <c r="H2436" s="96">
        <f>ventas_b_mes12[[#This Row],[TOTAL]]/1.21</f>
        <v>2863.6363636363635</v>
      </c>
      <c r="I2436" s="60">
        <f>ventas_b_mes12[[#This Row],[IMPORTE NETO]]*0.21</f>
        <v>601.36363636363626</v>
      </c>
      <c r="J2436" s="229"/>
      <c r="K2436" s="229"/>
      <c r="L2436" s="229">
        <v>3465</v>
      </c>
      <c r="M2436" s="55"/>
    </row>
    <row r="2437" spans="2:13" x14ac:dyDescent="0.3">
      <c r="B2437" s="223" t="s">
        <v>2489</v>
      </c>
      <c r="C2437" s="37">
        <v>6</v>
      </c>
      <c r="D2437" s="225">
        <v>12</v>
      </c>
      <c r="E2437" s="226">
        <v>22869</v>
      </c>
      <c r="F2437" s="227"/>
      <c r="G2437" s="1" t="str">
        <f>IFERROR(IF(ventas_b_mes12[[#This Row],[CUIT]]="","-",VLOOKUP(ventas_b_mes12[[#This Row],[CUIT]],Lista_CUIT[#All],2,0)),"CUIT NO CARGADO")</f>
        <v>-</v>
      </c>
      <c r="H2437" s="96">
        <f>ventas_b_mes12[[#This Row],[TOTAL]]/1.21</f>
        <v>3966.9421487603308</v>
      </c>
      <c r="I2437" s="60">
        <f>ventas_b_mes12[[#This Row],[IMPORTE NETO]]*0.21</f>
        <v>833.05785123966939</v>
      </c>
      <c r="J2437" s="229"/>
      <c r="K2437" s="229"/>
      <c r="L2437" s="229">
        <v>4800</v>
      </c>
      <c r="M2437" s="55"/>
    </row>
    <row r="2438" spans="2:13" x14ac:dyDescent="0.3">
      <c r="B2438" s="223" t="s">
        <v>2489</v>
      </c>
      <c r="C2438" s="37">
        <v>6</v>
      </c>
      <c r="D2438" s="225">
        <v>12</v>
      </c>
      <c r="E2438" s="226">
        <v>22849</v>
      </c>
      <c r="F2438" s="227"/>
      <c r="G2438" s="1" t="str">
        <f>IFERROR(IF(ventas_b_mes12[[#This Row],[CUIT]]="","-",VLOOKUP(ventas_b_mes12[[#This Row],[CUIT]],Lista_CUIT[#All],2,0)),"CUIT NO CARGADO")</f>
        <v>-</v>
      </c>
      <c r="H2438" s="96">
        <f>ventas_b_mes12[[#This Row],[TOTAL]]/1.21</f>
        <v>5950.4214876033066</v>
      </c>
      <c r="I2438" s="60">
        <f>ventas_b_mes12[[#This Row],[IMPORTE NETO]]*0.21</f>
        <v>1249.5885123966943</v>
      </c>
      <c r="J2438" s="229"/>
      <c r="K2438" s="229"/>
      <c r="L2438" s="229">
        <v>7200.01</v>
      </c>
      <c r="M2438" s="55"/>
    </row>
    <row r="2439" spans="2:13" x14ac:dyDescent="0.3">
      <c r="B2439" s="223" t="s">
        <v>2489</v>
      </c>
      <c r="C2439" s="37">
        <v>6</v>
      </c>
      <c r="D2439" s="225">
        <v>12</v>
      </c>
      <c r="E2439" s="226">
        <v>22854</v>
      </c>
      <c r="F2439" s="227"/>
      <c r="G2439" s="1" t="str">
        <f>IFERROR(IF(ventas_b_mes12[[#This Row],[CUIT]]="","-",VLOOKUP(ventas_b_mes12[[#This Row],[CUIT]],Lista_CUIT[#All],2,0)),"CUIT NO CARGADO")</f>
        <v>-</v>
      </c>
      <c r="H2439" s="96">
        <f>ventas_b_mes12[[#This Row],[TOTAL]]/1.21</f>
        <v>1096.9338842975208</v>
      </c>
      <c r="I2439" s="60">
        <f>ventas_b_mes12[[#This Row],[IMPORTE NETO]]*0.21</f>
        <v>230.35611570247934</v>
      </c>
      <c r="J2439" s="229"/>
      <c r="K2439" s="229"/>
      <c r="L2439" s="229">
        <v>1327.29</v>
      </c>
      <c r="M2439" s="55"/>
    </row>
    <row r="2440" spans="2:13" x14ac:dyDescent="0.3">
      <c r="B2440" s="223" t="s">
        <v>2489</v>
      </c>
      <c r="C2440" s="37">
        <v>6</v>
      </c>
      <c r="D2440" s="225">
        <v>12</v>
      </c>
      <c r="E2440" s="226">
        <v>22855</v>
      </c>
      <c r="F2440" s="227"/>
      <c r="G2440" s="1" t="str">
        <f>IFERROR(IF(ventas_b_mes12[[#This Row],[CUIT]]="","-",VLOOKUP(ventas_b_mes12[[#This Row],[CUIT]],Lista_CUIT[#All],2,0)),"CUIT NO CARGADO")</f>
        <v>-</v>
      </c>
      <c r="H2440" s="96">
        <f>ventas_b_mes12[[#This Row],[TOTAL]]/1.21</f>
        <v>10330.603305785125</v>
      </c>
      <c r="I2440" s="60">
        <f>ventas_b_mes12[[#This Row],[IMPORTE NETO]]*0.21</f>
        <v>2169.4266942148761</v>
      </c>
      <c r="J2440" s="229"/>
      <c r="K2440" s="229"/>
      <c r="L2440" s="229">
        <v>12500.03</v>
      </c>
      <c r="M2440" s="55"/>
    </row>
    <row r="2441" spans="2:13" x14ac:dyDescent="0.3">
      <c r="B2441" s="223" t="s">
        <v>2489</v>
      </c>
      <c r="C2441" s="37">
        <v>6</v>
      </c>
      <c r="D2441" s="225">
        <v>13</v>
      </c>
      <c r="E2441" s="226">
        <v>26982</v>
      </c>
      <c r="F2441" s="227"/>
      <c r="G2441" s="1" t="str">
        <f>IFERROR(IF(ventas_b_mes12[[#This Row],[CUIT]]="","-",VLOOKUP(ventas_b_mes12[[#This Row],[CUIT]],Lista_CUIT[#All],2,0)),"CUIT NO CARGADO")</f>
        <v>-</v>
      </c>
      <c r="H2441" s="96">
        <f>ventas_b_mes12[[#This Row],[TOTAL]]/1.21</f>
        <v>10495.876033057852</v>
      </c>
      <c r="I2441" s="60">
        <f>ventas_b_mes12[[#This Row],[IMPORTE NETO]]*0.21</f>
        <v>2204.1339669421486</v>
      </c>
      <c r="J2441" s="229"/>
      <c r="K2441" s="229"/>
      <c r="L2441" s="229">
        <v>12700.01</v>
      </c>
      <c r="M2441" s="55"/>
    </row>
    <row r="2442" spans="2:13" x14ac:dyDescent="0.3">
      <c r="B2442" s="223" t="s">
        <v>2489</v>
      </c>
      <c r="C2442" s="37">
        <v>6</v>
      </c>
      <c r="D2442" s="225">
        <v>12</v>
      </c>
      <c r="E2442" s="226">
        <v>22857</v>
      </c>
      <c r="F2442" s="227"/>
      <c r="G2442" s="1" t="str">
        <f>IFERROR(IF(ventas_b_mes12[[#This Row],[CUIT]]="","-",VLOOKUP(ventas_b_mes12[[#This Row],[CUIT]],Lista_CUIT[#All],2,0)),"CUIT NO CARGADO")</f>
        <v>-</v>
      </c>
      <c r="H2442" s="96">
        <f>ventas_b_mes12[[#This Row],[TOTAL]]/1.21</f>
        <v>8190.0743801652898</v>
      </c>
      <c r="I2442" s="60">
        <f>ventas_b_mes12[[#This Row],[IMPORTE NETO]]*0.21</f>
        <v>1719.9156198347107</v>
      </c>
      <c r="J2442" s="229"/>
      <c r="K2442" s="229"/>
      <c r="L2442" s="229">
        <v>9909.99</v>
      </c>
      <c r="M2442" s="55"/>
    </row>
    <row r="2443" spans="2:13" x14ac:dyDescent="0.3">
      <c r="B2443" s="223" t="s">
        <v>2489</v>
      </c>
      <c r="C2443" s="37">
        <v>6</v>
      </c>
      <c r="D2443" s="225">
        <v>12</v>
      </c>
      <c r="E2443" s="226">
        <v>22856</v>
      </c>
      <c r="F2443" s="227"/>
      <c r="G2443" s="1" t="str">
        <f>IFERROR(IF(ventas_b_mes12[[#This Row],[CUIT]]="","-",VLOOKUP(ventas_b_mes12[[#This Row],[CUIT]],Lista_CUIT[#All],2,0)),"CUIT NO CARGADO")</f>
        <v>-</v>
      </c>
      <c r="H2443" s="96">
        <f>ventas_b_mes12[[#This Row],[TOTAL]]/1.21</f>
        <v>5537.1900826446281</v>
      </c>
      <c r="I2443" s="60">
        <f>ventas_b_mes12[[#This Row],[IMPORTE NETO]]*0.21</f>
        <v>1162.8099173553719</v>
      </c>
      <c r="J2443" s="229"/>
      <c r="K2443" s="229"/>
      <c r="L2443" s="229">
        <v>6700</v>
      </c>
      <c r="M2443" s="55"/>
    </row>
    <row r="2444" spans="2:13" x14ac:dyDescent="0.3">
      <c r="B2444" s="223" t="s">
        <v>2489</v>
      </c>
      <c r="C2444" s="37">
        <v>6</v>
      </c>
      <c r="D2444" s="225">
        <v>12</v>
      </c>
      <c r="E2444" s="226">
        <v>22868</v>
      </c>
      <c r="F2444" s="227"/>
      <c r="G2444" s="1" t="str">
        <f>IFERROR(IF(ventas_b_mes12[[#This Row],[CUIT]]="","-",VLOOKUP(ventas_b_mes12[[#This Row],[CUIT]],Lista_CUIT[#All],2,0)),"CUIT NO CARGADO")</f>
        <v>-</v>
      </c>
      <c r="H2444" s="96">
        <f>ventas_b_mes12[[#This Row],[TOTAL]]/1.21</f>
        <v>22876.041322314049</v>
      </c>
      <c r="I2444" s="60">
        <f>ventas_b_mes12[[#This Row],[IMPORTE NETO]]*0.21</f>
        <v>4803.9686776859498</v>
      </c>
      <c r="J2444" s="229"/>
      <c r="K2444" s="229"/>
      <c r="L2444" s="229">
        <v>27680.01</v>
      </c>
      <c r="M2444" s="55"/>
    </row>
    <row r="2445" spans="2:13" x14ac:dyDescent="0.3">
      <c r="B2445" s="223" t="s">
        <v>2489</v>
      </c>
      <c r="C2445" s="37">
        <v>6</v>
      </c>
      <c r="D2445" s="225">
        <v>11</v>
      </c>
      <c r="E2445" s="226">
        <v>30361</v>
      </c>
      <c r="F2445" s="227"/>
      <c r="G2445" s="1" t="str">
        <f>IFERROR(IF(ventas_b_mes12[[#This Row],[CUIT]]="","-",VLOOKUP(ventas_b_mes12[[#This Row],[CUIT]],Lista_CUIT[#All],2,0)),"CUIT NO CARGADO")</f>
        <v>-</v>
      </c>
      <c r="H2445" s="96">
        <f>ventas_b_mes12[[#This Row],[TOTAL]]/1.21</f>
        <v>5752.0826446280998</v>
      </c>
      <c r="I2445" s="60">
        <f>ventas_b_mes12[[#This Row],[IMPORTE NETO]]*0.21</f>
        <v>1207.9373553719008</v>
      </c>
      <c r="J2445" s="229"/>
      <c r="K2445" s="229"/>
      <c r="L2445" s="229">
        <v>6960.02</v>
      </c>
      <c r="M2445" s="55"/>
    </row>
    <row r="2446" spans="2:13" x14ac:dyDescent="0.3">
      <c r="B2446" s="223" t="s">
        <v>2489</v>
      </c>
      <c r="C2446" s="37">
        <v>6</v>
      </c>
      <c r="D2446" s="225">
        <v>13</v>
      </c>
      <c r="E2446" s="226">
        <v>26984</v>
      </c>
      <c r="F2446" s="227"/>
      <c r="G2446" s="1" t="str">
        <f>IFERROR(IF(ventas_b_mes12[[#This Row],[CUIT]]="","-",VLOOKUP(ventas_b_mes12[[#This Row],[CUIT]],Lista_CUIT[#All],2,0)),"CUIT NO CARGADO")</f>
        <v>-</v>
      </c>
      <c r="H2446" s="96">
        <f>ventas_b_mes12[[#This Row],[TOTAL]]/1.21</f>
        <v>1363.6363636363637</v>
      </c>
      <c r="I2446" s="60">
        <f>ventas_b_mes12[[#This Row],[IMPORTE NETO]]*0.21</f>
        <v>286.36363636363637</v>
      </c>
      <c r="J2446" s="229"/>
      <c r="K2446" s="229"/>
      <c r="L2446" s="229">
        <v>1650</v>
      </c>
      <c r="M2446" s="55"/>
    </row>
    <row r="2447" spans="2:13" x14ac:dyDescent="0.3">
      <c r="B2447" s="223" t="s">
        <v>2489</v>
      </c>
      <c r="C2447" s="37">
        <v>6</v>
      </c>
      <c r="D2447" s="225">
        <v>12</v>
      </c>
      <c r="E2447" s="226">
        <v>22861</v>
      </c>
      <c r="F2447" s="227"/>
      <c r="G2447" s="1" t="str">
        <f>IFERROR(IF(ventas_b_mes12[[#This Row],[CUIT]]="","-",VLOOKUP(ventas_b_mes12[[#This Row],[CUIT]],Lista_CUIT[#All],2,0)),"CUIT NO CARGADO")</f>
        <v>-</v>
      </c>
      <c r="H2447" s="96">
        <f>ventas_b_mes12[[#This Row],[TOTAL]]/1.21</f>
        <v>5677.6859504132235</v>
      </c>
      <c r="I2447" s="60">
        <f>ventas_b_mes12[[#This Row],[IMPORTE NETO]]*0.21</f>
        <v>1192.3140495867769</v>
      </c>
      <c r="J2447" s="229"/>
      <c r="K2447" s="229"/>
      <c r="L2447" s="229">
        <v>6870</v>
      </c>
      <c r="M2447" s="55"/>
    </row>
    <row r="2448" spans="2:13" x14ac:dyDescent="0.3">
      <c r="B2448" s="223" t="s">
        <v>2489</v>
      </c>
      <c r="C2448" s="37">
        <v>6</v>
      </c>
      <c r="D2448" s="225">
        <v>12</v>
      </c>
      <c r="E2448" s="226">
        <v>22871</v>
      </c>
      <c r="F2448" s="227"/>
      <c r="G2448" s="1" t="str">
        <f>IFERROR(IF(ventas_b_mes12[[#This Row],[CUIT]]="","-",VLOOKUP(ventas_b_mes12[[#This Row],[CUIT]],Lista_CUIT[#All],2,0)),"CUIT NO CARGADO")</f>
        <v>-</v>
      </c>
      <c r="H2448" s="96">
        <f>ventas_b_mes12[[#This Row],[TOTAL]]/1.21</f>
        <v>5407.4380165289258</v>
      </c>
      <c r="I2448" s="60">
        <f>ventas_b_mes12[[#This Row],[IMPORTE NETO]]*0.21</f>
        <v>1135.5619834710744</v>
      </c>
      <c r="J2448" s="229"/>
      <c r="K2448" s="229"/>
      <c r="L2448" s="229">
        <v>6543</v>
      </c>
      <c r="M2448" s="55"/>
    </row>
    <row r="2449" spans="2:13" x14ac:dyDescent="0.3">
      <c r="B2449" s="223" t="s">
        <v>2489</v>
      </c>
      <c r="C2449" s="37">
        <v>6</v>
      </c>
      <c r="D2449" s="225">
        <v>13</v>
      </c>
      <c r="E2449" s="226">
        <v>26983</v>
      </c>
      <c r="F2449" s="227"/>
      <c r="G2449" s="1" t="str">
        <f>IFERROR(IF(ventas_b_mes12[[#This Row],[CUIT]]="","-",VLOOKUP(ventas_b_mes12[[#This Row],[CUIT]],Lista_CUIT[#All],2,0)),"CUIT NO CARGADO")</f>
        <v>-</v>
      </c>
      <c r="H2449" s="96">
        <f>ventas_b_mes12[[#This Row],[TOTAL]]/1.21</f>
        <v>351.23966942148763</v>
      </c>
      <c r="I2449" s="60">
        <f>ventas_b_mes12[[#This Row],[IMPORTE NETO]]*0.21</f>
        <v>73.760330578512395</v>
      </c>
      <c r="J2449" s="229"/>
      <c r="K2449" s="229"/>
      <c r="L2449" s="229">
        <v>425</v>
      </c>
      <c r="M2449" s="55"/>
    </row>
    <row r="2450" spans="2:13" x14ac:dyDescent="0.3">
      <c r="B2450" s="223" t="s">
        <v>2489</v>
      </c>
      <c r="C2450" s="37">
        <v>6</v>
      </c>
      <c r="D2450" s="225">
        <v>13</v>
      </c>
      <c r="E2450" s="226">
        <v>26981</v>
      </c>
      <c r="F2450" s="227"/>
      <c r="G2450" s="1" t="str">
        <f>IFERROR(IF(ventas_b_mes12[[#This Row],[CUIT]]="","-",VLOOKUP(ventas_b_mes12[[#This Row],[CUIT]],Lista_CUIT[#All],2,0)),"CUIT NO CARGADO")</f>
        <v>-</v>
      </c>
      <c r="H2450" s="96">
        <f>ventas_b_mes12[[#This Row],[TOTAL]]/1.21</f>
        <v>1093.3884297520663</v>
      </c>
      <c r="I2450" s="60">
        <f>ventas_b_mes12[[#This Row],[IMPORTE NETO]]*0.21</f>
        <v>229.61157024793391</v>
      </c>
      <c r="J2450" s="229"/>
      <c r="K2450" s="229"/>
      <c r="L2450" s="229">
        <v>1323</v>
      </c>
      <c r="M2450" s="55"/>
    </row>
    <row r="2451" spans="2:13" x14ac:dyDescent="0.3">
      <c r="B2451" s="223" t="s">
        <v>2489</v>
      </c>
      <c r="C2451" s="37">
        <v>6</v>
      </c>
      <c r="D2451" s="225">
        <v>11</v>
      </c>
      <c r="E2451" s="226">
        <v>30360</v>
      </c>
      <c r="F2451" s="227"/>
      <c r="G2451" s="1" t="str">
        <f>IFERROR(IF(ventas_b_mes12[[#This Row],[CUIT]]="","-",VLOOKUP(ventas_b_mes12[[#This Row],[CUIT]],Lista_CUIT[#All],2,0)),"CUIT NO CARGADO")</f>
        <v>-</v>
      </c>
      <c r="H2451" s="96">
        <f>ventas_b_mes12[[#This Row],[TOTAL]]/1.21</f>
        <v>1239.6694214876034</v>
      </c>
      <c r="I2451" s="60">
        <f>ventas_b_mes12[[#This Row],[IMPORTE NETO]]*0.21</f>
        <v>260.3305785123967</v>
      </c>
      <c r="J2451" s="229"/>
      <c r="K2451" s="229"/>
      <c r="L2451" s="229">
        <v>1500</v>
      </c>
      <c r="M2451" s="55"/>
    </row>
    <row r="2452" spans="2:13" x14ac:dyDescent="0.3">
      <c r="B2452" s="223" t="s">
        <v>2489</v>
      </c>
      <c r="C2452" s="37">
        <v>6</v>
      </c>
      <c r="D2452" s="225">
        <v>12</v>
      </c>
      <c r="E2452" s="226">
        <v>22851</v>
      </c>
      <c r="F2452" s="227"/>
      <c r="G2452" s="1" t="str">
        <f>IFERROR(IF(ventas_b_mes12[[#This Row],[CUIT]]="","-",VLOOKUP(ventas_b_mes12[[#This Row],[CUIT]],Lista_CUIT[#All],2,0)),"CUIT NO CARGADO")</f>
        <v>-</v>
      </c>
      <c r="H2452" s="96">
        <f>ventas_b_mes12[[#This Row],[TOTAL]]/1.21</f>
        <v>10632.239669421488</v>
      </c>
      <c r="I2452" s="60">
        <f>ventas_b_mes12[[#This Row],[IMPORTE NETO]]*0.21</f>
        <v>2232.7703305785121</v>
      </c>
      <c r="J2452" s="229"/>
      <c r="K2452" s="229"/>
      <c r="L2452" s="229">
        <v>12865.01</v>
      </c>
      <c r="M2452" s="55"/>
    </row>
    <row r="2453" spans="2:13" x14ac:dyDescent="0.3">
      <c r="B2453" s="223" t="s">
        <v>2489</v>
      </c>
      <c r="C2453" s="37">
        <v>6</v>
      </c>
      <c r="D2453" s="225">
        <v>12</v>
      </c>
      <c r="E2453" s="226">
        <v>22863</v>
      </c>
      <c r="F2453" s="227"/>
      <c r="G2453" s="1" t="str">
        <f>IFERROR(IF(ventas_b_mes12[[#This Row],[CUIT]]="","-",VLOOKUP(ventas_b_mes12[[#This Row],[CUIT]],Lista_CUIT[#All],2,0)),"CUIT NO CARGADO")</f>
        <v>-</v>
      </c>
      <c r="H2453" s="96">
        <f>ventas_b_mes12[[#This Row],[TOTAL]]/1.21</f>
        <v>4958.6776859504134</v>
      </c>
      <c r="I2453" s="60">
        <f>ventas_b_mes12[[#This Row],[IMPORTE NETO]]*0.21</f>
        <v>1041.3223140495868</v>
      </c>
      <c r="J2453" s="229"/>
      <c r="K2453" s="229"/>
      <c r="L2453" s="229">
        <v>6000</v>
      </c>
      <c r="M2453" s="55"/>
    </row>
    <row r="2454" spans="2:13" x14ac:dyDescent="0.3">
      <c r="B2454" s="223" t="s">
        <v>2489</v>
      </c>
      <c r="C2454" s="37">
        <v>6</v>
      </c>
      <c r="D2454" s="225">
        <v>12</v>
      </c>
      <c r="E2454" s="226">
        <v>22870</v>
      </c>
      <c r="F2454" s="227"/>
      <c r="G2454" s="1" t="str">
        <f>IFERROR(IF(ventas_b_mes12[[#This Row],[CUIT]]="","-",VLOOKUP(ventas_b_mes12[[#This Row],[CUIT]],Lista_CUIT[#All],2,0)),"CUIT NO CARGADO")</f>
        <v>-</v>
      </c>
      <c r="H2454" s="96">
        <f>ventas_b_mes12[[#This Row],[TOTAL]]/1.21</f>
        <v>669.42148760330576</v>
      </c>
      <c r="I2454" s="60">
        <f>ventas_b_mes12[[#This Row],[IMPORTE NETO]]*0.21</f>
        <v>140.57851239669421</v>
      </c>
      <c r="J2454" s="229"/>
      <c r="K2454" s="229"/>
      <c r="L2454" s="229">
        <v>810</v>
      </c>
      <c r="M2454" s="55"/>
    </row>
    <row r="2455" spans="2:13" x14ac:dyDescent="0.3">
      <c r="B2455" s="223" t="s">
        <v>2489</v>
      </c>
      <c r="C2455" s="37">
        <v>6</v>
      </c>
      <c r="D2455" s="225">
        <v>13</v>
      </c>
      <c r="E2455" s="226">
        <v>26989</v>
      </c>
      <c r="F2455" s="227"/>
      <c r="G2455" s="1" t="str">
        <f>IFERROR(IF(ventas_b_mes12[[#This Row],[CUIT]]="","-",VLOOKUP(ventas_b_mes12[[#This Row],[CUIT]],Lista_CUIT[#All],2,0)),"CUIT NO CARGADO")</f>
        <v>-</v>
      </c>
      <c r="H2455" s="96">
        <f>ventas_b_mes12[[#This Row],[TOTAL]]/1.21</f>
        <v>2685.9504132231405</v>
      </c>
      <c r="I2455" s="60">
        <f>ventas_b_mes12[[#This Row],[IMPORTE NETO]]*0.21</f>
        <v>564.04958677685943</v>
      </c>
      <c r="J2455" s="229"/>
      <c r="K2455" s="229"/>
      <c r="L2455" s="229">
        <v>3250</v>
      </c>
      <c r="M2455" s="55"/>
    </row>
    <row r="2456" spans="2:13" x14ac:dyDescent="0.3">
      <c r="B2456" s="223" t="s">
        <v>2489</v>
      </c>
      <c r="C2456" s="37">
        <v>6</v>
      </c>
      <c r="D2456" s="225">
        <v>12</v>
      </c>
      <c r="E2456" s="226">
        <v>22867</v>
      </c>
      <c r="F2456" s="227"/>
      <c r="G2456" s="1" t="str">
        <f>IFERROR(IF(ventas_b_mes12[[#This Row],[CUIT]]="","-",VLOOKUP(ventas_b_mes12[[#This Row],[CUIT]],Lista_CUIT[#All],2,0)),"CUIT NO CARGADO")</f>
        <v>-</v>
      </c>
      <c r="H2456" s="96">
        <f>ventas_b_mes12[[#This Row],[TOTAL]]/1.21</f>
        <v>16438.024793388427</v>
      </c>
      <c r="I2456" s="60">
        <f>ventas_b_mes12[[#This Row],[IMPORTE NETO]]*0.21</f>
        <v>3451.9852066115695</v>
      </c>
      <c r="J2456" s="229"/>
      <c r="K2456" s="229"/>
      <c r="L2456" s="229">
        <v>19890.009999999998</v>
      </c>
      <c r="M2456" s="55"/>
    </row>
    <row r="2457" spans="2:13" x14ac:dyDescent="0.3">
      <c r="B2457" s="223" t="s">
        <v>2489</v>
      </c>
      <c r="C2457" s="37">
        <v>6</v>
      </c>
      <c r="D2457" s="225">
        <v>15</v>
      </c>
      <c r="E2457" s="226">
        <v>7381</v>
      </c>
      <c r="F2457" s="227"/>
      <c r="G2457" s="1" t="str">
        <f>IFERROR(IF(ventas_b_mes12[[#This Row],[CUIT]]="","-",VLOOKUP(ventas_b_mes12[[#This Row],[CUIT]],Lista_CUIT[#All],2,0)),"CUIT NO CARGADO")</f>
        <v>-</v>
      </c>
      <c r="H2457" s="96">
        <f>ventas_b_mes12[[#This Row],[TOTAL]]/1.21</f>
        <v>4917.3553719008269</v>
      </c>
      <c r="I2457" s="60">
        <f>ventas_b_mes12[[#This Row],[IMPORTE NETO]]*0.21</f>
        <v>1032.6446280991736</v>
      </c>
      <c r="J2457" s="229"/>
      <c r="K2457" s="229"/>
      <c r="L2457" s="229">
        <v>5950</v>
      </c>
      <c r="M2457" s="55"/>
    </row>
    <row r="2458" spans="2:13" x14ac:dyDescent="0.3">
      <c r="B2458" s="223" t="s">
        <v>2489</v>
      </c>
      <c r="C2458" s="37">
        <v>6</v>
      </c>
      <c r="D2458" s="225">
        <v>10</v>
      </c>
      <c r="E2458" s="226">
        <v>44242</v>
      </c>
      <c r="F2458" s="227"/>
      <c r="G2458" s="1" t="str">
        <f>IFERROR(IF(ventas_b_mes12[[#This Row],[CUIT]]="","-",VLOOKUP(ventas_b_mes12[[#This Row],[CUIT]],Lista_CUIT[#All],2,0)),"CUIT NO CARGADO")</f>
        <v>-</v>
      </c>
      <c r="H2458" s="96">
        <f>ventas_b_mes12[[#This Row],[TOTAL]]/1.21</f>
        <v>1280.9917355371902</v>
      </c>
      <c r="I2458" s="60">
        <f>ventas_b_mes12[[#This Row],[IMPORTE NETO]]*0.21</f>
        <v>269.0082644628099</v>
      </c>
      <c r="J2458" s="229"/>
      <c r="K2458" s="229"/>
      <c r="L2458" s="229">
        <v>1550</v>
      </c>
      <c r="M2458" s="55"/>
    </row>
    <row r="2459" spans="2:13" x14ac:dyDescent="0.3">
      <c r="B2459" s="223" t="s">
        <v>2489</v>
      </c>
      <c r="C2459" s="37">
        <v>6</v>
      </c>
      <c r="D2459" s="225">
        <v>10</v>
      </c>
      <c r="E2459" s="226">
        <v>44247</v>
      </c>
      <c r="F2459" s="227"/>
      <c r="G2459" s="1" t="str">
        <f>IFERROR(IF(ventas_b_mes12[[#This Row],[CUIT]]="","-",VLOOKUP(ventas_b_mes12[[#This Row],[CUIT]],Lista_CUIT[#All],2,0)),"CUIT NO CARGADO")</f>
        <v>-</v>
      </c>
      <c r="H2459" s="96">
        <f>ventas_b_mes12[[#This Row],[TOTAL]]/1.21</f>
        <v>41433.057851239668</v>
      </c>
      <c r="I2459" s="60">
        <f>ventas_b_mes12[[#This Row],[IMPORTE NETO]]*0.21</f>
        <v>8700.9421487603304</v>
      </c>
      <c r="J2459" s="229"/>
      <c r="K2459" s="229"/>
      <c r="L2459" s="229">
        <v>50134</v>
      </c>
      <c r="M2459" s="55"/>
    </row>
    <row r="2460" spans="2:13" x14ac:dyDescent="0.3">
      <c r="B2460" s="223" t="s">
        <v>2489</v>
      </c>
      <c r="C2460" s="37">
        <v>6</v>
      </c>
      <c r="D2460" s="225">
        <v>10</v>
      </c>
      <c r="E2460" s="226">
        <v>44245</v>
      </c>
      <c r="F2460" s="227"/>
      <c r="G2460" s="1" t="str">
        <f>IFERROR(IF(ventas_b_mes12[[#This Row],[CUIT]]="","-",VLOOKUP(ventas_b_mes12[[#This Row],[CUIT]],Lista_CUIT[#All],2,0)),"CUIT NO CARGADO")</f>
        <v>-</v>
      </c>
      <c r="H2460" s="96">
        <f>ventas_b_mes12[[#This Row],[TOTAL]]/1.21</f>
        <v>10695.867768595042</v>
      </c>
      <c r="I2460" s="60">
        <f>ventas_b_mes12[[#This Row],[IMPORTE NETO]]*0.21</f>
        <v>2246.1322314049589</v>
      </c>
      <c r="J2460" s="229"/>
      <c r="K2460" s="229"/>
      <c r="L2460" s="229">
        <v>12942</v>
      </c>
      <c r="M2460" s="55"/>
    </row>
    <row r="2461" spans="2:13" x14ac:dyDescent="0.3">
      <c r="B2461" s="223" t="s">
        <v>2489</v>
      </c>
      <c r="C2461" s="37">
        <v>6</v>
      </c>
      <c r="D2461" s="225">
        <v>10</v>
      </c>
      <c r="E2461" s="226">
        <v>44241</v>
      </c>
      <c r="F2461" s="227"/>
      <c r="G2461" s="1" t="str">
        <f>IFERROR(IF(ventas_b_mes12[[#This Row],[CUIT]]="","-",VLOOKUP(ventas_b_mes12[[#This Row],[CUIT]],Lista_CUIT[#All],2,0)),"CUIT NO CARGADO")</f>
        <v>-</v>
      </c>
      <c r="H2461" s="96">
        <f>ventas_b_mes12[[#This Row],[TOTAL]]/1.21</f>
        <v>6148.7603305785124</v>
      </c>
      <c r="I2461" s="60">
        <f>ventas_b_mes12[[#This Row],[IMPORTE NETO]]*0.21</f>
        <v>1291.2396694214876</v>
      </c>
      <c r="J2461" s="229"/>
      <c r="K2461" s="229"/>
      <c r="L2461" s="229">
        <v>7440</v>
      </c>
      <c r="M2461" s="55"/>
    </row>
    <row r="2462" spans="2:13" x14ac:dyDescent="0.3">
      <c r="B2462" s="223" t="s">
        <v>2489</v>
      </c>
      <c r="C2462" s="37">
        <v>6</v>
      </c>
      <c r="D2462" s="225">
        <v>12</v>
      </c>
      <c r="E2462" s="226">
        <v>22860</v>
      </c>
      <c r="F2462" s="227"/>
      <c r="G2462" s="1" t="str">
        <f>IFERROR(IF(ventas_b_mes12[[#This Row],[CUIT]]="","-",VLOOKUP(ventas_b_mes12[[#This Row],[CUIT]],Lista_CUIT[#All],2,0)),"CUIT NO CARGADO")</f>
        <v>-</v>
      </c>
      <c r="H2462" s="96">
        <f>ventas_b_mes12[[#This Row],[TOTAL]]/1.21</f>
        <v>7995.8842975206617</v>
      </c>
      <c r="I2462" s="60">
        <f>ventas_b_mes12[[#This Row],[IMPORTE NETO]]*0.21</f>
        <v>1679.135702479339</v>
      </c>
      <c r="J2462" s="229"/>
      <c r="K2462" s="229"/>
      <c r="L2462" s="229">
        <v>9675.02</v>
      </c>
      <c r="M2462" s="55"/>
    </row>
    <row r="2463" spans="2:13" x14ac:dyDescent="0.3">
      <c r="B2463" s="223" t="s">
        <v>2489</v>
      </c>
      <c r="C2463" s="37">
        <v>6</v>
      </c>
      <c r="D2463" s="225">
        <v>12</v>
      </c>
      <c r="E2463" s="226">
        <v>22865</v>
      </c>
      <c r="F2463" s="227"/>
      <c r="G2463" s="1" t="str">
        <f>IFERROR(IF(ventas_b_mes12[[#This Row],[CUIT]]="","-",VLOOKUP(ventas_b_mes12[[#This Row],[CUIT]],Lista_CUIT[#All],2,0)),"CUIT NO CARGADO")</f>
        <v>-</v>
      </c>
      <c r="H2463" s="96">
        <f>ventas_b_mes12[[#This Row],[TOTAL]]/1.21</f>
        <v>3652.8925619834713</v>
      </c>
      <c r="I2463" s="60">
        <f>ventas_b_mes12[[#This Row],[IMPORTE NETO]]*0.21</f>
        <v>767.10743801652893</v>
      </c>
      <c r="J2463" s="229"/>
      <c r="K2463" s="229"/>
      <c r="L2463" s="229">
        <v>4420</v>
      </c>
      <c r="M2463" s="55"/>
    </row>
    <row r="2464" spans="2:13" x14ac:dyDescent="0.3">
      <c r="B2464" s="223" t="s">
        <v>2489</v>
      </c>
      <c r="C2464" s="37">
        <v>6</v>
      </c>
      <c r="D2464" s="225">
        <v>12</v>
      </c>
      <c r="E2464" s="226">
        <v>22866</v>
      </c>
      <c r="F2464" s="227"/>
      <c r="G2464" s="1" t="str">
        <f>IFERROR(IF(ventas_b_mes12[[#This Row],[CUIT]]="","-",VLOOKUP(ventas_b_mes12[[#This Row],[CUIT]],Lista_CUIT[#All],2,0)),"CUIT NO CARGADO")</f>
        <v>-</v>
      </c>
      <c r="H2464" s="96">
        <f>ventas_b_mes12[[#This Row],[TOTAL]]/1.21</f>
        <v>34553.74380165289</v>
      </c>
      <c r="I2464" s="60">
        <f>ventas_b_mes12[[#This Row],[IMPORTE NETO]]*0.21</f>
        <v>7256.2861983471066</v>
      </c>
      <c r="J2464" s="229"/>
      <c r="K2464" s="229"/>
      <c r="L2464" s="229">
        <v>41810.03</v>
      </c>
      <c r="M2464" s="55"/>
    </row>
    <row r="2465" spans="2:13" x14ac:dyDescent="0.3">
      <c r="B2465" s="223" t="s">
        <v>2489</v>
      </c>
      <c r="C2465" s="37">
        <v>6</v>
      </c>
      <c r="D2465" s="225">
        <v>10</v>
      </c>
      <c r="E2465" s="226">
        <v>44248</v>
      </c>
      <c r="F2465" s="227"/>
      <c r="G2465" s="1" t="str">
        <f>IFERROR(IF(ventas_b_mes12[[#This Row],[CUIT]]="","-",VLOOKUP(ventas_b_mes12[[#This Row],[CUIT]],Lista_CUIT[#All],2,0)),"CUIT NO CARGADO")</f>
        <v>-</v>
      </c>
      <c r="H2465" s="96">
        <f>ventas_b_mes12[[#This Row],[TOTAL]]/1.21</f>
        <v>9962.818181818182</v>
      </c>
      <c r="I2465" s="60">
        <f>ventas_b_mes12[[#This Row],[IMPORTE NETO]]*0.21</f>
        <v>2092.1918181818182</v>
      </c>
      <c r="J2465" s="229"/>
      <c r="K2465" s="229"/>
      <c r="L2465" s="229">
        <v>12055.01</v>
      </c>
      <c r="M2465" s="55"/>
    </row>
    <row r="2466" spans="2:13" x14ac:dyDescent="0.3">
      <c r="B2466" s="223" t="s">
        <v>2489</v>
      </c>
      <c r="C2466" s="37">
        <v>6</v>
      </c>
      <c r="D2466" s="225">
        <v>13</v>
      </c>
      <c r="E2466" s="226">
        <v>26987</v>
      </c>
      <c r="F2466" s="227"/>
      <c r="G2466" s="1" t="str">
        <f>IFERROR(IF(ventas_b_mes12[[#This Row],[CUIT]]="","-",VLOOKUP(ventas_b_mes12[[#This Row],[CUIT]],Lista_CUIT[#All],2,0)),"CUIT NO CARGADO")</f>
        <v>-</v>
      </c>
      <c r="H2466" s="96">
        <f>ventas_b_mes12[[#This Row],[TOTAL]]/1.21</f>
        <v>7231.4132231404965</v>
      </c>
      <c r="I2466" s="60">
        <f>ventas_b_mes12[[#This Row],[IMPORTE NETO]]*0.21</f>
        <v>1518.5967768595042</v>
      </c>
      <c r="J2466" s="229"/>
      <c r="K2466" s="229"/>
      <c r="L2466" s="229">
        <v>8750.01</v>
      </c>
      <c r="M2466" s="55"/>
    </row>
    <row r="2467" spans="2:13" x14ac:dyDescent="0.3">
      <c r="B2467" s="223" t="s">
        <v>2489</v>
      </c>
      <c r="C2467" s="37">
        <v>6</v>
      </c>
      <c r="D2467" s="225">
        <v>15</v>
      </c>
      <c r="E2467" s="226">
        <v>7380</v>
      </c>
      <c r="F2467" s="227"/>
      <c r="G2467" s="1" t="str">
        <f>IFERROR(IF(ventas_b_mes12[[#This Row],[CUIT]]="","-",VLOOKUP(ventas_b_mes12[[#This Row],[CUIT]],Lista_CUIT[#All],2,0)),"CUIT NO CARGADO")</f>
        <v>-</v>
      </c>
      <c r="H2467" s="96">
        <f>ventas_b_mes12[[#This Row],[TOTAL]]/1.21</f>
        <v>4545.454545454546</v>
      </c>
      <c r="I2467" s="60">
        <f>ventas_b_mes12[[#This Row],[IMPORTE NETO]]*0.21</f>
        <v>954.54545454545462</v>
      </c>
      <c r="J2467" s="229"/>
      <c r="K2467" s="229"/>
      <c r="L2467" s="229">
        <v>5500</v>
      </c>
      <c r="M2467" s="55"/>
    </row>
    <row r="2468" spans="2:13" x14ac:dyDescent="0.3">
      <c r="B2468" s="223" t="s">
        <v>2489</v>
      </c>
      <c r="C2468" s="37">
        <v>6</v>
      </c>
      <c r="D2468" s="225">
        <v>11</v>
      </c>
      <c r="E2468" s="226">
        <v>30358</v>
      </c>
      <c r="F2468" s="227"/>
      <c r="G2468" s="1" t="str">
        <f>IFERROR(IF(ventas_b_mes12[[#This Row],[CUIT]]="","-",VLOOKUP(ventas_b_mes12[[#This Row],[CUIT]],Lista_CUIT[#All],2,0)),"CUIT NO CARGADO")</f>
        <v>-</v>
      </c>
      <c r="H2468" s="96">
        <f>ventas_b_mes12[[#This Row],[TOTAL]]/1.21</f>
        <v>8037.181818181818</v>
      </c>
      <c r="I2468" s="60">
        <f>ventas_b_mes12[[#This Row],[IMPORTE NETO]]*0.21</f>
        <v>1687.8081818181818</v>
      </c>
      <c r="J2468" s="229"/>
      <c r="K2468" s="229"/>
      <c r="L2468" s="229">
        <v>9724.99</v>
      </c>
      <c r="M2468" s="55"/>
    </row>
    <row r="2469" spans="2:13" x14ac:dyDescent="0.3">
      <c r="B2469" s="223" t="s">
        <v>2489</v>
      </c>
      <c r="C2469" s="37">
        <v>6</v>
      </c>
      <c r="D2469" s="225">
        <v>11</v>
      </c>
      <c r="E2469" s="226">
        <v>30363</v>
      </c>
      <c r="F2469" s="227"/>
      <c r="G2469" s="1" t="str">
        <f>IFERROR(IF(ventas_b_mes12[[#This Row],[CUIT]]="","-",VLOOKUP(ventas_b_mes12[[#This Row],[CUIT]],Lista_CUIT[#All],2,0)),"CUIT NO CARGADO")</f>
        <v>-</v>
      </c>
      <c r="H2469" s="96">
        <f>ventas_b_mes12[[#This Row],[TOTAL]]/1.21</f>
        <v>7024.7933884297527</v>
      </c>
      <c r="I2469" s="60">
        <f>ventas_b_mes12[[#This Row],[IMPORTE NETO]]*0.21</f>
        <v>1475.206611570248</v>
      </c>
      <c r="J2469" s="229"/>
      <c r="K2469" s="229"/>
      <c r="L2469" s="229">
        <v>8500</v>
      </c>
      <c r="M2469" s="55"/>
    </row>
    <row r="2470" spans="2:13" x14ac:dyDescent="0.3">
      <c r="B2470" s="223" t="s">
        <v>2489</v>
      </c>
      <c r="C2470" s="37">
        <v>6</v>
      </c>
      <c r="D2470" s="225">
        <v>12</v>
      </c>
      <c r="E2470" s="226">
        <v>22853</v>
      </c>
      <c r="F2470" s="227"/>
      <c r="G2470" s="1" t="str">
        <f>IFERROR(IF(ventas_b_mes12[[#This Row],[CUIT]]="","-",VLOOKUP(ventas_b_mes12[[#This Row],[CUIT]],Lista_CUIT[#All],2,0)),"CUIT NO CARGADO")</f>
        <v>-</v>
      </c>
      <c r="H2470" s="96">
        <f>ventas_b_mes12[[#This Row],[TOTAL]]/1.21</f>
        <v>10330.603305785125</v>
      </c>
      <c r="I2470" s="60">
        <f>ventas_b_mes12[[#This Row],[IMPORTE NETO]]*0.21</f>
        <v>2169.4266942148761</v>
      </c>
      <c r="J2470" s="229"/>
      <c r="K2470" s="229"/>
      <c r="L2470" s="229">
        <v>12500.03</v>
      </c>
      <c r="M2470" s="55"/>
    </row>
    <row r="2471" spans="2:13" x14ac:dyDescent="0.3">
      <c r="B2471" s="223" t="s">
        <v>2489</v>
      </c>
      <c r="C2471" s="37">
        <v>6</v>
      </c>
      <c r="D2471" s="225">
        <v>12</v>
      </c>
      <c r="E2471" s="226">
        <v>22859</v>
      </c>
      <c r="F2471" s="227"/>
      <c r="G2471" s="1" t="str">
        <f>IFERROR(IF(ventas_b_mes12[[#This Row],[CUIT]]="","-",VLOOKUP(ventas_b_mes12[[#This Row],[CUIT]],Lista_CUIT[#All],2,0)),"CUIT NO CARGADO")</f>
        <v>-</v>
      </c>
      <c r="H2471" s="96">
        <f>ventas_b_mes12[[#This Row],[TOTAL]]/1.21</f>
        <v>2148.7603305785124</v>
      </c>
      <c r="I2471" s="60">
        <f>ventas_b_mes12[[#This Row],[IMPORTE NETO]]*0.21</f>
        <v>451.23966942148758</v>
      </c>
      <c r="J2471" s="229"/>
      <c r="K2471" s="229"/>
      <c r="L2471" s="229">
        <v>2600</v>
      </c>
      <c r="M2471" s="55"/>
    </row>
    <row r="2472" spans="2:13" x14ac:dyDescent="0.3">
      <c r="B2472" s="223" t="s">
        <v>2489</v>
      </c>
      <c r="C2472" s="37">
        <v>6</v>
      </c>
      <c r="D2472" s="225">
        <v>10</v>
      </c>
      <c r="E2472" s="226">
        <v>44246</v>
      </c>
      <c r="F2472" s="227"/>
      <c r="G2472" s="1" t="str">
        <f>IFERROR(IF(ventas_b_mes12[[#This Row],[CUIT]]="","-",VLOOKUP(ventas_b_mes12[[#This Row],[CUIT]],Lista_CUIT[#All],2,0)),"CUIT NO CARGADO")</f>
        <v>-</v>
      </c>
      <c r="H2472" s="96">
        <f>ventas_b_mes12[[#This Row],[TOTAL]]/1.21</f>
        <v>22159.338842975205</v>
      </c>
      <c r="I2472" s="60">
        <f>ventas_b_mes12[[#This Row],[IMPORTE NETO]]*0.21</f>
        <v>4653.4611570247926</v>
      </c>
      <c r="J2472" s="229"/>
      <c r="K2472" s="229"/>
      <c r="L2472" s="229">
        <v>26812.799999999999</v>
      </c>
      <c r="M2472" s="55"/>
    </row>
    <row r="2473" spans="2:13" x14ac:dyDescent="0.3">
      <c r="B2473" s="223" t="s">
        <v>2489</v>
      </c>
      <c r="C2473" s="37">
        <v>6</v>
      </c>
      <c r="D2473" s="225">
        <v>10</v>
      </c>
      <c r="E2473" s="226">
        <v>44251</v>
      </c>
      <c r="F2473" s="227"/>
      <c r="G2473" s="1" t="str">
        <f>IFERROR(IF(ventas_b_mes12[[#This Row],[CUIT]]="","-",VLOOKUP(ventas_b_mes12[[#This Row],[CUIT]],Lista_CUIT[#All],2,0)),"CUIT NO CARGADO")</f>
        <v>-</v>
      </c>
      <c r="H2473" s="96">
        <f>ventas_b_mes12[[#This Row],[TOTAL]]/1.21</f>
        <v>809.91735537190084</v>
      </c>
      <c r="I2473" s="60">
        <f>ventas_b_mes12[[#This Row],[IMPORTE NETO]]*0.21</f>
        <v>170.08264462809916</v>
      </c>
      <c r="J2473" s="229"/>
      <c r="K2473" s="229"/>
      <c r="L2473" s="229">
        <v>980</v>
      </c>
      <c r="M2473" s="55"/>
    </row>
    <row r="2474" spans="2:13" x14ac:dyDescent="0.3">
      <c r="B2474" s="223" t="s">
        <v>2489</v>
      </c>
      <c r="C2474" s="37">
        <v>6</v>
      </c>
      <c r="D2474" s="225">
        <v>12</v>
      </c>
      <c r="E2474" s="226">
        <v>22858</v>
      </c>
      <c r="F2474" s="227"/>
      <c r="G2474" s="1" t="str">
        <f>IFERROR(IF(ventas_b_mes12[[#This Row],[CUIT]]="","-",VLOOKUP(ventas_b_mes12[[#This Row],[CUIT]],Lista_CUIT[#All],2,0)),"CUIT NO CARGADO")</f>
        <v>-</v>
      </c>
      <c r="H2474" s="96">
        <f>ventas_b_mes12[[#This Row],[TOTAL]]/1.21</f>
        <v>4545.454545454546</v>
      </c>
      <c r="I2474" s="60">
        <f>ventas_b_mes12[[#This Row],[IMPORTE NETO]]*0.21</f>
        <v>954.54545454545462</v>
      </c>
      <c r="J2474" s="229"/>
      <c r="K2474" s="229"/>
      <c r="L2474" s="229">
        <v>5500</v>
      </c>
      <c r="M2474" s="55"/>
    </row>
    <row r="2475" spans="2:13" x14ac:dyDescent="0.3">
      <c r="B2475" s="223" t="s">
        <v>2489</v>
      </c>
      <c r="C2475" s="37">
        <v>6</v>
      </c>
      <c r="D2475" s="225">
        <v>12</v>
      </c>
      <c r="E2475" s="226">
        <v>22874</v>
      </c>
      <c r="F2475" s="227"/>
      <c r="G2475" s="1" t="str">
        <f>IFERROR(IF(ventas_b_mes12[[#This Row],[CUIT]]="","-",VLOOKUP(ventas_b_mes12[[#This Row],[CUIT]],Lista_CUIT[#All],2,0)),"CUIT NO CARGADO")</f>
        <v>-</v>
      </c>
      <c r="H2475" s="96">
        <f>ventas_b_mes12[[#This Row],[TOTAL]]/1.21</f>
        <v>6210.7520661157032</v>
      </c>
      <c r="I2475" s="60">
        <f>ventas_b_mes12[[#This Row],[IMPORTE NETO]]*0.21</f>
        <v>1304.2579338842977</v>
      </c>
      <c r="J2475" s="229"/>
      <c r="K2475" s="229"/>
      <c r="L2475" s="229">
        <v>7515.01</v>
      </c>
      <c r="M2475" s="55"/>
    </row>
    <row r="2476" spans="2:13" x14ac:dyDescent="0.3">
      <c r="B2476" s="223" t="s">
        <v>2466</v>
      </c>
      <c r="C2476" s="37">
        <v>8</v>
      </c>
      <c r="D2476" s="225">
        <v>11</v>
      </c>
      <c r="E2476" s="226">
        <v>812</v>
      </c>
      <c r="F2476" s="227"/>
      <c r="G2476" s="1" t="str">
        <f>IFERROR(IF(ventas_b_mes12[[#This Row],[CUIT]]="","-",VLOOKUP(ventas_b_mes12[[#This Row],[CUIT]],Lista_CUIT[#All],2,0)),"CUIT NO CARGADO")</f>
        <v>-</v>
      </c>
      <c r="H2476" s="96">
        <f>ventas_b_mes12[[#This Row],[TOTAL]]/1.21</f>
        <v>-3991.7355371900826</v>
      </c>
      <c r="I2476" s="60">
        <f>ventas_b_mes12[[#This Row],[IMPORTE NETO]]*0.21</f>
        <v>-838.26446280991729</v>
      </c>
      <c r="J2476" s="229"/>
      <c r="K2476" s="229"/>
      <c r="L2476" s="229">
        <v>-4830</v>
      </c>
      <c r="M2476" s="55"/>
    </row>
    <row r="2477" spans="2:13" x14ac:dyDescent="0.3">
      <c r="B2477" s="223" t="s">
        <v>2466</v>
      </c>
      <c r="C2477" s="37">
        <v>8</v>
      </c>
      <c r="D2477" s="225">
        <v>12</v>
      </c>
      <c r="E2477" s="226">
        <v>716</v>
      </c>
      <c r="F2477" s="227"/>
      <c r="G2477" s="1" t="str">
        <f>IFERROR(IF(ventas_b_mes12[[#This Row],[CUIT]]="","-",VLOOKUP(ventas_b_mes12[[#This Row],[CUIT]],Lista_CUIT[#All],2,0)),"CUIT NO CARGADO")</f>
        <v>-</v>
      </c>
      <c r="H2477" s="96">
        <f>ventas_b_mes12[[#This Row],[TOTAL]]/1.21</f>
        <v>-925.61983471074382</v>
      </c>
      <c r="I2477" s="60">
        <f>ventas_b_mes12[[#This Row],[IMPORTE NETO]]*0.21</f>
        <v>-194.38016528925618</v>
      </c>
      <c r="J2477" s="229"/>
      <c r="K2477" s="229"/>
      <c r="L2477" s="229">
        <v>-1120</v>
      </c>
      <c r="M2477" s="55"/>
    </row>
    <row r="2478" spans="2:13" x14ac:dyDescent="0.3">
      <c r="B2478" s="223" t="s">
        <v>2466</v>
      </c>
      <c r="C2478" s="37">
        <v>8</v>
      </c>
      <c r="D2478" s="225">
        <v>12</v>
      </c>
      <c r="E2478" s="226">
        <v>717</v>
      </c>
      <c r="F2478" s="227"/>
      <c r="G2478" s="1" t="str">
        <f>IFERROR(IF(ventas_b_mes12[[#This Row],[CUIT]]="","-",VLOOKUP(ventas_b_mes12[[#This Row],[CUIT]],Lista_CUIT[#All],2,0)),"CUIT NO CARGADO")</f>
        <v>-</v>
      </c>
      <c r="H2478" s="96">
        <f>ventas_b_mes12[[#This Row],[TOTAL]]/1.21</f>
        <v>-3367.7685950413224</v>
      </c>
      <c r="I2478" s="60">
        <f>ventas_b_mes12[[#This Row],[IMPORTE NETO]]*0.21</f>
        <v>-707.23140495867767</v>
      </c>
      <c r="J2478" s="229"/>
      <c r="K2478" s="229"/>
      <c r="L2478" s="229">
        <v>-4075</v>
      </c>
      <c r="M2478" s="55"/>
    </row>
    <row r="2479" spans="2:13" x14ac:dyDescent="0.3">
      <c r="B2479" s="223" t="s">
        <v>2468</v>
      </c>
      <c r="C2479" s="37">
        <v>8</v>
      </c>
      <c r="D2479" s="225">
        <v>12</v>
      </c>
      <c r="E2479" s="226">
        <v>719</v>
      </c>
      <c r="F2479" s="227"/>
      <c r="G2479" s="1" t="str">
        <f>IFERROR(IF(ventas_b_mes12[[#This Row],[CUIT]]="","-",VLOOKUP(ventas_b_mes12[[#This Row],[CUIT]],Lista_CUIT[#All],2,0)),"CUIT NO CARGADO")</f>
        <v>-</v>
      </c>
      <c r="H2479" s="96">
        <f>ventas_b_mes12[[#This Row],[TOTAL]]/1.21</f>
        <v>-3120.6611570247933</v>
      </c>
      <c r="I2479" s="60">
        <f>ventas_b_mes12[[#This Row],[IMPORTE NETO]]*0.21</f>
        <v>-655.3388429752066</v>
      </c>
      <c r="J2479" s="229"/>
      <c r="K2479" s="229"/>
      <c r="L2479" s="229">
        <v>-3776</v>
      </c>
      <c r="M2479" s="55"/>
    </row>
    <row r="2480" spans="2:13" x14ac:dyDescent="0.3">
      <c r="B2480" s="223" t="s">
        <v>2468</v>
      </c>
      <c r="C2480" s="37">
        <v>8</v>
      </c>
      <c r="D2480" s="225">
        <v>13</v>
      </c>
      <c r="E2480" s="226">
        <v>661</v>
      </c>
      <c r="F2480" s="227"/>
      <c r="G2480" s="1" t="str">
        <f>IFERROR(IF(ventas_b_mes12[[#This Row],[CUIT]]="","-",VLOOKUP(ventas_b_mes12[[#This Row],[CUIT]],Lista_CUIT[#All],2,0)),"CUIT NO CARGADO")</f>
        <v>-</v>
      </c>
      <c r="H2480" s="96">
        <f>ventas_b_mes12[[#This Row],[TOTAL]]/1.21</f>
        <v>-4545.454545454546</v>
      </c>
      <c r="I2480" s="60">
        <f>ventas_b_mes12[[#This Row],[IMPORTE NETO]]*0.21</f>
        <v>-954.54545454545462</v>
      </c>
      <c r="J2480" s="229"/>
      <c r="K2480" s="229"/>
      <c r="L2480" s="229">
        <v>-5500</v>
      </c>
      <c r="M2480" s="55"/>
    </row>
    <row r="2481" spans="2:13" x14ac:dyDescent="0.3">
      <c r="B2481" s="223" t="s">
        <v>2468</v>
      </c>
      <c r="C2481" s="37">
        <v>8</v>
      </c>
      <c r="D2481" s="225">
        <v>12</v>
      </c>
      <c r="E2481" s="226">
        <v>718</v>
      </c>
      <c r="F2481" s="227"/>
      <c r="G2481" s="1" t="str">
        <f>IFERROR(IF(ventas_b_mes12[[#This Row],[CUIT]]="","-",VLOOKUP(ventas_b_mes12[[#This Row],[CUIT]],Lista_CUIT[#All],2,0)),"CUIT NO CARGADO")</f>
        <v>-</v>
      </c>
      <c r="H2481" s="96">
        <f>ventas_b_mes12[[#This Row],[TOTAL]]/1.21</f>
        <v>-1475.206611570248</v>
      </c>
      <c r="I2481" s="60">
        <f>ventas_b_mes12[[#This Row],[IMPORTE NETO]]*0.21</f>
        <v>-309.7933884297521</v>
      </c>
      <c r="J2481" s="229"/>
      <c r="K2481" s="229"/>
      <c r="L2481" s="229">
        <v>-1785</v>
      </c>
      <c r="M2481" s="55"/>
    </row>
    <row r="2482" spans="2:13" x14ac:dyDescent="0.3">
      <c r="B2482" s="223" t="s">
        <v>2468</v>
      </c>
      <c r="C2482" s="37">
        <v>8</v>
      </c>
      <c r="D2482" s="225">
        <v>10</v>
      </c>
      <c r="E2482" s="226">
        <v>1411</v>
      </c>
      <c r="F2482" s="227"/>
      <c r="G2482" s="1" t="str">
        <f>IFERROR(IF(ventas_b_mes12[[#This Row],[CUIT]]="","-",VLOOKUP(ventas_b_mes12[[#This Row],[CUIT]],Lista_CUIT[#All],2,0)),"CUIT NO CARGADO")</f>
        <v>-</v>
      </c>
      <c r="H2482" s="96">
        <f>ventas_b_mes12[[#This Row],[TOTAL]]/1.21</f>
        <v>-33317.545454545456</v>
      </c>
      <c r="I2482" s="60">
        <f>ventas_b_mes12[[#This Row],[IMPORTE NETO]]*0.21</f>
        <v>-6996.6845454545455</v>
      </c>
      <c r="J2482" s="229"/>
      <c r="K2482" s="229"/>
      <c r="L2482" s="229">
        <v>-40314.230000000003</v>
      </c>
      <c r="M2482" s="55"/>
    </row>
    <row r="2483" spans="2:13" x14ac:dyDescent="0.3">
      <c r="B2483" s="223" t="s">
        <v>2469</v>
      </c>
      <c r="C2483" s="37">
        <v>8</v>
      </c>
      <c r="D2483" s="225">
        <v>11</v>
      </c>
      <c r="E2483" s="226">
        <v>813</v>
      </c>
      <c r="F2483" s="227"/>
      <c r="G2483" s="1" t="str">
        <f>IFERROR(IF(ventas_b_mes12[[#This Row],[CUIT]]="","-",VLOOKUP(ventas_b_mes12[[#This Row],[CUIT]],Lista_CUIT[#All],2,0)),"CUIT NO CARGADO")</f>
        <v>-</v>
      </c>
      <c r="H2483" s="96">
        <f>ventas_b_mes12[[#This Row],[TOTAL]]/1.21</f>
        <v>-2950.413223140496</v>
      </c>
      <c r="I2483" s="60">
        <f>ventas_b_mes12[[#This Row],[IMPORTE NETO]]*0.21</f>
        <v>-619.5867768595042</v>
      </c>
      <c r="J2483" s="229"/>
      <c r="K2483" s="229"/>
      <c r="L2483" s="229">
        <v>-3570</v>
      </c>
      <c r="M2483" s="55"/>
    </row>
    <row r="2484" spans="2:13" x14ac:dyDescent="0.3">
      <c r="B2484" s="223" t="s">
        <v>2469</v>
      </c>
      <c r="C2484" s="37">
        <v>8</v>
      </c>
      <c r="D2484" s="225">
        <v>10</v>
      </c>
      <c r="E2484" s="226">
        <v>1412</v>
      </c>
      <c r="F2484" s="227"/>
      <c r="G2484" s="1" t="str">
        <f>IFERROR(IF(ventas_b_mes12[[#This Row],[CUIT]]="","-",VLOOKUP(ventas_b_mes12[[#This Row],[CUIT]],Lista_CUIT[#All],2,0)),"CUIT NO CARGADO")</f>
        <v>-</v>
      </c>
      <c r="H2484" s="96">
        <f>ventas_b_mes12[[#This Row],[TOTAL]]/1.21</f>
        <v>-16206.198347107438</v>
      </c>
      <c r="I2484" s="60">
        <f>ventas_b_mes12[[#This Row],[IMPORTE NETO]]*0.21</f>
        <v>-3403.3016528925618</v>
      </c>
      <c r="J2484" s="229"/>
      <c r="K2484" s="229"/>
      <c r="L2484" s="229">
        <v>-19609.5</v>
      </c>
      <c r="M2484" s="55"/>
    </row>
    <row r="2485" spans="2:13" x14ac:dyDescent="0.3">
      <c r="B2485" s="223" t="s">
        <v>2469</v>
      </c>
      <c r="C2485" s="37">
        <v>8</v>
      </c>
      <c r="D2485" s="225">
        <v>13</v>
      </c>
      <c r="E2485" s="226">
        <v>662</v>
      </c>
      <c r="F2485" s="227"/>
      <c r="G2485" s="1" t="str">
        <f>IFERROR(IF(ventas_b_mes12[[#This Row],[CUIT]]="","-",VLOOKUP(ventas_b_mes12[[#This Row],[CUIT]],Lista_CUIT[#All],2,0)),"CUIT NO CARGADO")</f>
        <v>-</v>
      </c>
      <c r="H2485" s="96">
        <f>ventas_b_mes12[[#This Row],[TOTAL]]/1.21</f>
        <v>-3413.2231404958679</v>
      </c>
      <c r="I2485" s="60">
        <f>ventas_b_mes12[[#This Row],[IMPORTE NETO]]*0.21</f>
        <v>-716.77685950413229</v>
      </c>
      <c r="J2485" s="229"/>
      <c r="K2485" s="229"/>
      <c r="L2485" s="229">
        <v>-4130</v>
      </c>
      <c r="M2485" s="55"/>
    </row>
    <row r="2486" spans="2:13" x14ac:dyDescent="0.3">
      <c r="B2486" s="223" t="s">
        <v>2469</v>
      </c>
      <c r="C2486" s="37">
        <v>8</v>
      </c>
      <c r="D2486" s="225">
        <v>10</v>
      </c>
      <c r="E2486" s="226">
        <v>1413</v>
      </c>
      <c r="F2486" s="227"/>
      <c r="G2486" s="1" t="str">
        <f>IFERROR(IF(ventas_b_mes12[[#This Row],[CUIT]]="","-",VLOOKUP(ventas_b_mes12[[#This Row],[CUIT]],Lista_CUIT[#All],2,0)),"CUIT NO CARGADO")</f>
        <v>-</v>
      </c>
      <c r="H2486" s="96">
        <f>ventas_b_mes12[[#This Row],[TOTAL]]/1.21</f>
        <v>-33128.925619834714</v>
      </c>
      <c r="I2486" s="60">
        <f>ventas_b_mes12[[#This Row],[IMPORTE NETO]]*0.21</f>
        <v>-6957.0743801652898</v>
      </c>
      <c r="J2486" s="229"/>
      <c r="K2486" s="229"/>
      <c r="L2486" s="229">
        <v>-40086</v>
      </c>
      <c r="M2486" s="55"/>
    </row>
    <row r="2487" spans="2:13" x14ac:dyDescent="0.3">
      <c r="B2487" s="223" t="s">
        <v>2469</v>
      </c>
      <c r="C2487" s="37">
        <v>8</v>
      </c>
      <c r="D2487" s="225">
        <v>13</v>
      </c>
      <c r="E2487" s="226">
        <v>663</v>
      </c>
      <c r="F2487" s="227"/>
      <c r="G2487" s="1" t="str">
        <f>IFERROR(IF(ventas_b_mes12[[#This Row],[CUIT]]="","-",VLOOKUP(ventas_b_mes12[[#This Row],[CUIT]],Lista_CUIT[#All],2,0)),"CUIT NO CARGADO")</f>
        <v>-</v>
      </c>
      <c r="H2487" s="96">
        <f>ventas_b_mes12[[#This Row],[TOTAL]]/1.21</f>
        <v>-4950.4132231404956</v>
      </c>
      <c r="I2487" s="60">
        <f>ventas_b_mes12[[#This Row],[IMPORTE NETO]]*0.21</f>
        <v>-1039.586776859504</v>
      </c>
      <c r="J2487" s="229"/>
      <c r="K2487" s="229"/>
      <c r="L2487" s="229">
        <v>-5990</v>
      </c>
      <c r="M2487" s="55"/>
    </row>
    <row r="2488" spans="2:13" x14ac:dyDescent="0.3">
      <c r="B2488" s="223" t="s">
        <v>2471</v>
      </c>
      <c r="C2488" s="37">
        <v>8</v>
      </c>
      <c r="D2488" s="225">
        <v>12</v>
      </c>
      <c r="E2488" s="226">
        <v>720</v>
      </c>
      <c r="F2488" s="227"/>
      <c r="G2488" s="1" t="str">
        <f>IFERROR(IF(ventas_b_mes12[[#This Row],[CUIT]]="","-",VLOOKUP(ventas_b_mes12[[#This Row],[CUIT]],Lista_CUIT[#All],2,0)),"CUIT NO CARGADO")</f>
        <v>-</v>
      </c>
      <c r="H2488" s="96">
        <f>ventas_b_mes12[[#This Row],[TOTAL]]/1.21</f>
        <v>-4545.454545454546</v>
      </c>
      <c r="I2488" s="60">
        <f>ventas_b_mes12[[#This Row],[IMPORTE NETO]]*0.21</f>
        <v>-954.54545454545462</v>
      </c>
      <c r="J2488" s="229"/>
      <c r="K2488" s="229"/>
      <c r="L2488" s="229">
        <v>-5500</v>
      </c>
      <c r="M2488" s="55"/>
    </row>
    <row r="2489" spans="2:13" x14ac:dyDescent="0.3">
      <c r="B2489" s="223" t="s">
        <v>2471</v>
      </c>
      <c r="C2489" s="37">
        <v>8</v>
      </c>
      <c r="D2489" s="225">
        <v>12</v>
      </c>
      <c r="E2489" s="226">
        <v>721</v>
      </c>
      <c r="F2489" s="227"/>
      <c r="G2489" s="1" t="str">
        <f>IFERROR(IF(ventas_b_mes12[[#This Row],[CUIT]]="","-",VLOOKUP(ventas_b_mes12[[#This Row],[CUIT]],Lista_CUIT[#All],2,0)),"CUIT NO CARGADO")</f>
        <v>-</v>
      </c>
      <c r="H2489" s="96">
        <f>ventas_b_mes12[[#This Row],[TOTAL]]/1.21</f>
        <v>-4545.454545454546</v>
      </c>
      <c r="I2489" s="60">
        <f>ventas_b_mes12[[#This Row],[IMPORTE NETO]]*0.21</f>
        <v>-954.54545454545462</v>
      </c>
      <c r="J2489" s="229"/>
      <c r="K2489" s="229"/>
      <c r="L2489" s="229">
        <v>-5500</v>
      </c>
      <c r="M2489" s="55"/>
    </row>
    <row r="2490" spans="2:13" x14ac:dyDescent="0.3">
      <c r="B2490" s="223" t="s">
        <v>2472</v>
      </c>
      <c r="C2490" s="37">
        <v>8</v>
      </c>
      <c r="D2490" s="225">
        <v>11</v>
      </c>
      <c r="E2490" s="226">
        <v>814</v>
      </c>
      <c r="F2490" s="227"/>
      <c r="G2490" s="1" t="str">
        <f>IFERROR(IF(ventas_b_mes12[[#This Row],[CUIT]]="","-",VLOOKUP(ventas_b_mes12[[#This Row],[CUIT]],Lista_CUIT[#All],2,0)),"CUIT NO CARGADO")</f>
        <v>-</v>
      </c>
      <c r="H2490" s="96">
        <f>ventas_b_mes12[[#This Row],[TOTAL]]/1.21</f>
        <v>-2845.0413223140495</v>
      </c>
      <c r="I2490" s="60">
        <f>ventas_b_mes12[[#This Row],[IMPORTE NETO]]*0.21</f>
        <v>-597.45867768595042</v>
      </c>
      <c r="J2490" s="229"/>
      <c r="K2490" s="229"/>
      <c r="L2490" s="229">
        <v>-3442.5</v>
      </c>
      <c r="M2490" s="55"/>
    </row>
    <row r="2491" spans="2:13" x14ac:dyDescent="0.3">
      <c r="B2491" s="223" t="s">
        <v>2472</v>
      </c>
      <c r="C2491" s="37">
        <v>8</v>
      </c>
      <c r="D2491" s="225">
        <v>12</v>
      </c>
      <c r="E2491" s="226">
        <v>722</v>
      </c>
      <c r="F2491" s="227"/>
      <c r="G2491" s="1" t="str">
        <f>IFERROR(IF(ventas_b_mes12[[#This Row],[CUIT]]="","-",VLOOKUP(ventas_b_mes12[[#This Row],[CUIT]],Lista_CUIT[#All],2,0)),"CUIT NO CARGADO")</f>
        <v>-</v>
      </c>
      <c r="H2491" s="96">
        <f>ventas_b_mes12[[#This Row],[TOTAL]]/1.21</f>
        <v>-3264.4628099173556</v>
      </c>
      <c r="I2491" s="60">
        <f>ventas_b_mes12[[#This Row],[IMPORTE NETO]]*0.21</f>
        <v>-685.53719008264466</v>
      </c>
      <c r="J2491" s="229"/>
      <c r="K2491" s="229"/>
      <c r="L2491" s="229">
        <v>-3950</v>
      </c>
      <c r="M2491" s="55"/>
    </row>
    <row r="2492" spans="2:13" x14ac:dyDescent="0.3">
      <c r="B2492" s="223" t="s">
        <v>2473</v>
      </c>
      <c r="C2492" s="37">
        <v>8</v>
      </c>
      <c r="D2492" s="225">
        <v>11</v>
      </c>
      <c r="E2492" s="226">
        <v>815</v>
      </c>
      <c r="F2492" s="227"/>
      <c r="G2492" s="1" t="str">
        <f>IFERROR(IF(ventas_b_mes12[[#This Row],[CUIT]]="","-",VLOOKUP(ventas_b_mes12[[#This Row],[CUIT]],Lista_CUIT[#All],2,0)),"CUIT NO CARGADO")</f>
        <v>-</v>
      </c>
      <c r="H2492" s="96">
        <f>ventas_b_mes12[[#This Row],[TOTAL]]/1.21</f>
        <v>-9090.9090909090919</v>
      </c>
      <c r="I2492" s="60">
        <f>ventas_b_mes12[[#This Row],[IMPORTE NETO]]*0.21</f>
        <v>-1909.0909090909092</v>
      </c>
      <c r="J2492" s="229"/>
      <c r="K2492" s="229"/>
      <c r="L2492" s="229">
        <v>-11000</v>
      </c>
      <c r="M2492" s="55"/>
    </row>
    <row r="2493" spans="2:13" x14ac:dyDescent="0.3">
      <c r="B2493" s="223" t="s">
        <v>2474</v>
      </c>
      <c r="C2493" s="37">
        <v>8</v>
      </c>
      <c r="D2493" s="225">
        <v>11</v>
      </c>
      <c r="E2493" s="226">
        <v>817</v>
      </c>
      <c r="F2493" s="227"/>
      <c r="G2493" s="1" t="str">
        <f>IFERROR(IF(ventas_b_mes12[[#This Row],[CUIT]]="","-",VLOOKUP(ventas_b_mes12[[#This Row],[CUIT]],Lista_CUIT[#All],2,0)),"CUIT NO CARGADO")</f>
        <v>-</v>
      </c>
      <c r="H2493" s="96">
        <f>ventas_b_mes12[[#This Row],[TOTAL]]/1.21</f>
        <v>-4031.404958677686</v>
      </c>
      <c r="I2493" s="60">
        <f>ventas_b_mes12[[#This Row],[IMPORTE NETO]]*0.21</f>
        <v>-846.59504132231405</v>
      </c>
      <c r="J2493" s="229"/>
      <c r="K2493" s="229"/>
      <c r="L2493" s="229">
        <v>-4878</v>
      </c>
      <c r="M2493" s="55"/>
    </row>
    <row r="2494" spans="2:13" x14ac:dyDescent="0.3">
      <c r="B2494" s="223" t="s">
        <v>2474</v>
      </c>
      <c r="C2494" s="37">
        <v>8</v>
      </c>
      <c r="D2494" s="225">
        <v>11</v>
      </c>
      <c r="E2494" s="226">
        <v>816</v>
      </c>
      <c r="F2494" s="227"/>
      <c r="G2494" s="1" t="str">
        <f>IFERROR(IF(ventas_b_mes12[[#This Row],[CUIT]]="","-",VLOOKUP(ventas_b_mes12[[#This Row],[CUIT]],Lista_CUIT[#All],2,0)),"CUIT NO CARGADO")</f>
        <v>-</v>
      </c>
      <c r="H2494" s="96">
        <f>ventas_b_mes12[[#This Row],[TOTAL]]/1.21</f>
        <v>-7204.9586776859505</v>
      </c>
      <c r="I2494" s="60">
        <f>ventas_b_mes12[[#This Row],[IMPORTE NETO]]*0.21</f>
        <v>-1513.0413223140495</v>
      </c>
      <c r="J2494" s="229"/>
      <c r="K2494" s="229"/>
      <c r="L2494" s="229">
        <v>-8718</v>
      </c>
      <c r="M2494" s="55"/>
    </row>
    <row r="2495" spans="2:13" x14ac:dyDescent="0.3">
      <c r="B2495" s="223" t="s">
        <v>2474</v>
      </c>
      <c r="C2495" s="37">
        <v>8</v>
      </c>
      <c r="D2495" s="225">
        <v>13</v>
      </c>
      <c r="E2495" s="226">
        <v>665</v>
      </c>
      <c r="F2495" s="227"/>
      <c r="G2495" s="1" t="str">
        <f>IFERROR(IF(ventas_b_mes12[[#This Row],[CUIT]]="","-",VLOOKUP(ventas_b_mes12[[#This Row],[CUIT]],Lista_CUIT[#All],2,0)),"CUIT NO CARGADO")</f>
        <v>-</v>
      </c>
      <c r="H2495" s="96">
        <f>ventas_b_mes12[[#This Row],[TOTAL]]/1.21</f>
        <v>-9252.0743801652898</v>
      </c>
      <c r="I2495" s="60">
        <f>ventas_b_mes12[[#This Row],[IMPORTE NETO]]*0.21</f>
        <v>-1942.9356198347107</v>
      </c>
      <c r="J2495" s="229"/>
      <c r="K2495" s="229"/>
      <c r="L2495" s="229">
        <v>-11195.01</v>
      </c>
      <c r="M2495" s="55"/>
    </row>
    <row r="2496" spans="2:13" x14ac:dyDescent="0.3">
      <c r="B2496" s="223" t="s">
        <v>2474</v>
      </c>
      <c r="C2496" s="37">
        <v>8</v>
      </c>
      <c r="D2496" s="225">
        <v>13</v>
      </c>
      <c r="E2496" s="226">
        <v>664</v>
      </c>
      <c r="F2496" s="227"/>
      <c r="G2496" s="1" t="str">
        <f>IFERROR(IF(ventas_b_mes12[[#This Row],[CUIT]]="","-",VLOOKUP(ventas_b_mes12[[#This Row],[CUIT]],Lista_CUIT[#All],2,0)),"CUIT NO CARGADO")</f>
        <v>-</v>
      </c>
      <c r="H2496" s="96">
        <f>ventas_b_mes12[[#This Row],[TOTAL]]/1.21</f>
        <v>-1404.9586776859505</v>
      </c>
      <c r="I2496" s="60">
        <f>ventas_b_mes12[[#This Row],[IMPORTE NETO]]*0.21</f>
        <v>-295.04132231404958</v>
      </c>
      <c r="J2496" s="229"/>
      <c r="K2496" s="229"/>
      <c r="L2496" s="229">
        <v>-1700</v>
      </c>
      <c r="M2496" s="55"/>
    </row>
    <row r="2497" spans="2:13" x14ac:dyDescent="0.3">
      <c r="B2497" s="223" t="s">
        <v>2475</v>
      </c>
      <c r="C2497" s="37">
        <v>8</v>
      </c>
      <c r="D2497" s="225">
        <v>13</v>
      </c>
      <c r="E2497" s="226">
        <v>667</v>
      </c>
      <c r="F2497" s="227"/>
      <c r="G2497" s="1" t="str">
        <f>IFERROR(IF(ventas_b_mes12[[#This Row],[CUIT]]="","-",VLOOKUP(ventas_b_mes12[[#This Row],[CUIT]],Lista_CUIT[#All],2,0)),"CUIT NO CARGADO")</f>
        <v>-</v>
      </c>
      <c r="H2497" s="96">
        <f>ventas_b_mes12[[#This Row],[TOTAL]]/1.21</f>
        <v>-1088.8429752066115</v>
      </c>
      <c r="I2497" s="60">
        <f>ventas_b_mes12[[#This Row],[IMPORTE NETO]]*0.21</f>
        <v>-228.65702479338842</v>
      </c>
      <c r="J2497" s="229"/>
      <c r="K2497" s="229"/>
      <c r="L2497" s="229">
        <v>-1317.5</v>
      </c>
      <c r="M2497" s="55"/>
    </row>
    <row r="2498" spans="2:13" x14ac:dyDescent="0.3">
      <c r="B2498" s="223" t="s">
        <v>2475</v>
      </c>
      <c r="C2498" s="37">
        <v>8</v>
      </c>
      <c r="D2498" s="225">
        <v>13</v>
      </c>
      <c r="E2498" s="226">
        <v>666</v>
      </c>
      <c r="F2498" s="227"/>
      <c r="G2498" s="1" t="str">
        <f>IFERROR(IF(ventas_b_mes12[[#This Row],[CUIT]]="","-",VLOOKUP(ventas_b_mes12[[#This Row],[CUIT]],Lista_CUIT[#All],2,0)),"CUIT NO CARGADO")</f>
        <v>-</v>
      </c>
      <c r="H2498" s="96">
        <f>ventas_b_mes12[[#This Row],[TOTAL]]/1.21</f>
        <v>-17413.206611570247</v>
      </c>
      <c r="I2498" s="60">
        <f>ventas_b_mes12[[#This Row],[IMPORTE NETO]]*0.21</f>
        <v>-3656.7733884297518</v>
      </c>
      <c r="J2498" s="229"/>
      <c r="K2498" s="229"/>
      <c r="L2498" s="229">
        <v>-21069.98</v>
      </c>
      <c r="M2498" s="55"/>
    </row>
    <row r="2499" spans="2:13" x14ac:dyDescent="0.3">
      <c r="B2499" s="223" t="s">
        <v>2475</v>
      </c>
      <c r="C2499" s="37">
        <v>8</v>
      </c>
      <c r="D2499" s="225">
        <v>12</v>
      </c>
      <c r="E2499" s="226">
        <v>723</v>
      </c>
      <c r="F2499" s="227"/>
      <c r="G2499" s="1" t="str">
        <f>IFERROR(IF(ventas_b_mes12[[#This Row],[CUIT]]="","-",VLOOKUP(ventas_b_mes12[[#This Row],[CUIT]],Lista_CUIT[#All],2,0)),"CUIT NO CARGADO")</f>
        <v>-</v>
      </c>
      <c r="H2499" s="96">
        <f>ventas_b_mes12[[#This Row],[TOTAL]]/1.21</f>
        <v>-4144.6280991735539</v>
      </c>
      <c r="I2499" s="60">
        <f>ventas_b_mes12[[#This Row],[IMPORTE NETO]]*0.21</f>
        <v>-870.37190082644634</v>
      </c>
      <c r="J2499" s="229"/>
      <c r="K2499" s="229"/>
      <c r="L2499" s="229">
        <v>-5015</v>
      </c>
      <c r="M2499" s="55"/>
    </row>
    <row r="2500" spans="2:13" x14ac:dyDescent="0.3">
      <c r="B2500" s="223" t="s">
        <v>2476</v>
      </c>
      <c r="C2500" s="37">
        <v>8</v>
      </c>
      <c r="D2500" s="225">
        <v>11</v>
      </c>
      <c r="E2500" s="226">
        <v>818</v>
      </c>
      <c r="F2500" s="227"/>
      <c r="G2500" s="1" t="str">
        <f>IFERROR(IF(ventas_b_mes12[[#This Row],[CUIT]]="","-",VLOOKUP(ventas_b_mes12[[#This Row],[CUIT]],Lista_CUIT[#All],2,0)),"CUIT NO CARGADO")</f>
        <v>-</v>
      </c>
      <c r="H2500" s="96">
        <f>ventas_b_mes12[[#This Row],[TOTAL]]/1.21</f>
        <v>-1818.1818181818182</v>
      </c>
      <c r="I2500" s="60">
        <f>ventas_b_mes12[[#This Row],[IMPORTE NETO]]*0.21</f>
        <v>-381.81818181818181</v>
      </c>
      <c r="J2500" s="229"/>
      <c r="K2500" s="229"/>
      <c r="L2500" s="229">
        <v>-2200</v>
      </c>
      <c r="M2500" s="55"/>
    </row>
    <row r="2501" spans="2:13" x14ac:dyDescent="0.3">
      <c r="B2501" s="223" t="s">
        <v>2476</v>
      </c>
      <c r="C2501" s="37">
        <v>8</v>
      </c>
      <c r="D2501" s="225">
        <v>13</v>
      </c>
      <c r="E2501" s="226">
        <v>668</v>
      </c>
      <c r="F2501" s="227"/>
      <c r="G2501" s="1" t="str">
        <f>IFERROR(IF(ventas_b_mes12[[#This Row],[CUIT]]="","-",VLOOKUP(ventas_b_mes12[[#This Row],[CUIT]],Lista_CUIT[#All],2,0)),"CUIT NO CARGADO")</f>
        <v>-</v>
      </c>
      <c r="H2501" s="96">
        <f>ventas_b_mes12[[#This Row],[TOTAL]]/1.21</f>
        <v>-5206.6115702479337</v>
      </c>
      <c r="I2501" s="60">
        <f>ventas_b_mes12[[#This Row],[IMPORTE NETO]]*0.21</f>
        <v>-1093.388429752066</v>
      </c>
      <c r="J2501" s="229"/>
      <c r="K2501" s="229"/>
      <c r="L2501" s="229">
        <v>-6300</v>
      </c>
      <c r="M2501" s="55"/>
    </row>
    <row r="2502" spans="2:13" x14ac:dyDescent="0.3">
      <c r="B2502" s="223" t="s">
        <v>2477</v>
      </c>
      <c r="C2502" s="37">
        <v>8</v>
      </c>
      <c r="D2502" s="225">
        <v>12</v>
      </c>
      <c r="E2502" s="226">
        <v>724</v>
      </c>
      <c r="F2502" s="227"/>
      <c r="G2502" s="1" t="str">
        <f>IFERROR(IF(ventas_b_mes12[[#This Row],[CUIT]]="","-",VLOOKUP(ventas_b_mes12[[#This Row],[CUIT]],Lista_CUIT[#All],2,0)),"CUIT NO CARGADO")</f>
        <v>-</v>
      </c>
      <c r="H2502" s="96">
        <f>ventas_b_mes12[[#This Row],[TOTAL]]/1.21</f>
        <v>-4545.454545454546</v>
      </c>
      <c r="I2502" s="60">
        <f>ventas_b_mes12[[#This Row],[IMPORTE NETO]]*0.21</f>
        <v>-954.54545454545462</v>
      </c>
      <c r="J2502" s="229"/>
      <c r="K2502" s="229"/>
      <c r="L2502" s="229">
        <v>-5500</v>
      </c>
      <c r="M2502" s="55"/>
    </row>
    <row r="2503" spans="2:13" x14ac:dyDescent="0.3">
      <c r="B2503" s="223" t="s">
        <v>2478</v>
      </c>
      <c r="C2503" s="37">
        <v>8</v>
      </c>
      <c r="D2503" s="225">
        <v>12</v>
      </c>
      <c r="E2503" s="226">
        <v>726</v>
      </c>
      <c r="F2503" s="227"/>
      <c r="G2503" s="1" t="str">
        <f>IFERROR(IF(ventas_b_mes12[[#This Row],[CUIT]]="","-",VLOOKUP(ventas_b_mes12[[#This Row],[CUIT]],Lista_CUIT[#All],2,0)),"CUIT NO CARGADO")</f>
        <v>-</v>
      </c>
      <c r="H2503" s="96">
        <f>ventas_b_mes12[[#This Row],[TOTAL]]/1.21</f>
        <v>-6285.1322314049594</v>
      </c>
      <c r="I2503" s="60">
        <f>ventas_b_mes12[[#This Row],[IMPORTE NETO]]*0.21</f>
        <v>-1319.8777685950415</v>
      </c>
      <c r="J2503" s="229"/>
      <c r="K2503" s="229"/>
      <c r="L2503" s="229">
        <v>-7605.01</v>
      </c>
      <c r="M2503" s="55"/>
    </row>
    <row r="2504" spans="2:13" x14ac:dyDescent="0.3">
      <c r="B2504" s="223" t="s">
        <v>2478</v>
      </c>
      <c r="C2504" s="37">
        <v>8</v>
      </c>
      <c r="D2504" s="225">
        <v>12</v>
      </c>
      <c r="E2504" s="226">
        <v>725</v>
      </c>
      <c r="F2504" s="227"/>
      <c r="G2504" s="1" t="str">
        <f>IFERROR(IF(ventas_b_mes12[[#This Row],[CUIT]]="","-",VLOOKUP(ventas_b_mes12[[#This Row],[CUIT]],Lista_CUIT[#All],2,0)),"CUIT NO CARGADO")</f>
        <v>-</v>
      </c>
      <c r="H2504" s="96">
        <f>ventas_b_mes12[[#This Row],[TOTAL]]/1.21</f>
        <v>-691.73553719008271</v>
      </c>
      <c r="I2504" s="60">
        <f>ventas_b_mes12[[#This Row],[IMPORTE NETO]]*0.21</f>
        <v>-145.26446280991738</v>
      </c>
      <c r="J2504" s="229"/>
      <c r="K2504" s="229"/>
      <c r="L2504" s="229">
        <v>-837</v>
      </c>
      <c r="M2504" s="55"/>
    </row>
    <row r="2505" spans="2:13" x14ac:dyDescent="0.3">
      <c r="B2505" s="223" t="s">
        <v>2478</v>
      </c>
      <c r="C2505" s="37">
        <v>8</v>
      </c>
      <c r="D2505" s="225">
        <v>10</v>
      </c>
      <c r="E2505" s="226">
        <v>1414</v>
      </c>
      <c r="F2505" s="227"/>
      <c r="G2505" s="1" t="str">
        <f>IFERROR(IF(ventas_b_mes12[[#This Row],[CUIT]]="","-",VLOOKUP(ventas_b_mes12[[#This Row],[CUIT]],Lista_CUIT[#All],2,0)),"CUIT NO CARGADO")</f>
        <v>-</v>
      </c>
      <c r="H2505" s="96">
        <f>ventas_b_mes12[[#This Row],[TOTAL]]/1.21</f>
        <v>-9530.9917355371908</v>
      </c>
      <c r="I2505" s="60">
        <f>ventas_b_mes12[[#This Row],[IMPORTE NETO]]*0.21</f>
        <v>-2001.5082644628101</v>
      </c>
      <c r="J2505" s="229"/>
      <c r="K2505" s="229"/>
      <c r="L2505" s="229">
        <v>-11532.5</v>
      </c>
      <c r="M2505" s="55"/>
    </row>
    <row r="2506" spans="2:13" x14ac:dyDescent="0.3">
      <c r="B2506" s="223" t="s">
        <v>2479</v>
      </c>
      <c r="C2506" s="37">
        <v>8</v>
      </c>
      <c r="D2506" s="225">
        <v>13</v>
      </c>
      <c r="E2506" s="226">
        <v>669</v>
      </c>
      <c r="F2506" s="227"/>
      <c r="G2506" s="1" t="str">
        <f>IFERROR(IF(ventas_b_mes12[[#This Row],[CUIT]]="","-",VLOOKUP(ventas_b_mes12[[#This Row],[CUIT]],Lista_CUIT[#All],2,0)),"CUIT NO CARGADO")</f>
        <v>-</v>
      </c>
      <c r="H2506" s="96">
        <f>ventas_b_mes12[[#This Row],[TOTAL]]/1.21</f>
        <v>-4495.8677685950415</v>
      </c>
      <c r="I2506" s="60">
        <f>ventas_b_mes12[[#This Row],[IMPORTE NETO]]*0.21</f>
        <v>-944.1322314049587</v>
      </c>
      <c r="J2506" s="229"/>
      <c r="K2506" s="229"/>
      <c r="L2506" s="229">
        <v>-5440</v>
      </c>
      <c r="M2506" s="55"/>
    </row>
    <row r="2507" spans="2:13" x14ac:dyDescent="0.3">
      <c r="B2507" s="223" t="s">
        <v>2480</v>
      </c>
      <c r="C2507" s="37">
        <v>8</v>
      </c>
      <c r="D2507" s="225">
        <v>13</v>
      </c>
      <c r="E2507" s="226">
        <v>670</v>
      </c>
      <c r="F2507" s="227"/>
      <c r="G2507" s="1" t="str">
        <f>IFERROR(IF(ventas_b_mes12[[#This Row],[CUIT]]="","-",VLOOKUP(ventas_b_mes12[[#This Row],[CUIT]],Lista_CUIT[#All],2,0)),"CUIT NO CARGADO")</f>
        <v>-</v>
      </c>
      <c r="H2507" s="96">
        <f>ventas_b_mes12[[#This Row],[TOTAL]]/1.21</f>
        <v>-834.71074380165294</v>
      </c>
      <c r="I2507" s="60">
        <f>ventas_b_mes12[[#This Row],[IMPORTE NETO]]*0.21</f>
        <v>-175.28925619834712</v>
      </c>
      <c r="J2507" s="229"/>
      <c r="K2507" s="229"/>
      <c r="L2507" s="229">
        <v>-1010</v>
      </c>
      <c r="M2507" s="55"/>
    </row>
    <row r="2508" spans="2:13" x14ac:dyDescent="0.3">
      <c r="B2508" s="223" t="s">
        <v>2480</v>
      </c>
      <c r="C2508" s="37">
        <v>8</v>
      </c>
      <c r="D2508" s="225">
        <v>13</v>
      </c>
      <c r="E2508" s="226">
        <v>671</v>
      </c>
      <c r="F2508" s="227"/>
      <c r="G2508" s="1" t="str">
        <f>IFERROR(IF(ventas_b_mes12[[#This Row],[CUIT]]="","-",VLOOKUP(ventas_b_mes12[[#This Row],[CUIT]],Lista_CUIT[#All],2,0)),"CUIT NO CARGADO")</f>
        <v>-</v>
      </c>
      <c r="H2508" s="96">
        <f>ventas_b_mes12[[#This Row],[TOTAL]]/1.21</f>
        <v>-1057.8512396694216</v>
      </c>
      <c r="I2508" s="60">
        <f>ventas_b_mes12[[#This Row],[IMPORTE NETO]]*0.21</f>
        <v>-222.14876033057854</v>
      </c>
      <c r="J2508" s="229"/>
      <c r="K2508" s="229"/>
      <c r="L2508" s="229">
        <v>-1280</v>
      </c>
      <c r="M2508" s="55"/>
    </row>
    <row r="2509" spans="2:13" x14ac:dyDescent="0.3">
      <c r="B2509" s="223" t="s">
        <v>2480</v>
      </c>
      <c r="C2509" s="37">
        <v>8</v>
      </c>
      <c r="D2509" s="225">
        <v>11</v>
      </c>
      <c r="E2509" s="226">
        <v>819</v>
      </c>
      <c r="F2509" s="109"/>
      <c r="G2509" s="1" t="str">
        <f>IFERROR(IF(ventas_b_mes12[[#This Row],[CUIT]]="","-",VLOOKUP(ventas_b_mes12[[#This Row],[CUIT]],Lista_CUIT[#All],2,0)),"CUIT NO CARGADO")</f>
        <v>-</v>
      </c>
      <c r="H2509" s="96">
        <f>ventas_b_mes12[[#This Row],[TOTAL]]/1.21</f>
        <v>-1735.5371900826447</v>
      </c>
      <c r="I2509" s="60">
        <f>ventas_b_mes12[[#This Row],[IMPORTE NETO]]*0.21</f>
        <v>-364.46280991735534</v>
      </c>
      <c r="J2509" s="229"/>
      <c r="K2509" s="229"/>
      <c r="L2509" s="229">
        <v>-2100</v>
      </c>
      <c r="M2509" s="55"/>
    </row>
    <row r="2510" spans="2:13" x14ac:dyDescent="0.3">
      <c r="B2510" s="223" t="s">
        <v>2482</v>
      </c>
      <c r="C2510" s="37">
        <v>8</v>
      </c>
      <c r="D2510" s="225">
        <v>10</v>
      </c>
      <c r="E2510" s="226">
        <v>1415</v>
      </c>
      <c r="F2510" s="109"/>
      <c r="G2510" s="1" t="str">
        <f>IFERROR(IF(ventas_b_mes12[[#This Row],[CUIT]]="","-",VLOOKUP(ventas_b_mes12[[#This Row],[CUIT]],Lista_CUIT[#All],2,0)),"CUIT NO CARGADO")</f>
        <v>-</v>
      </c>
      <c r="H2510" s="96">
        <f>ventas_b_mes12[[#This Row],[TOTAL]]/1.21</f>
        <v>-29838.016528925622</v>
      </c>
      <c r="I2510" s="60">
        <f>ventas_b_mes12[[#This Row],[IMPORTE NETO]]*0.21</f>
        <v>-6265.9834710743808</v>
      </c>
      <c r="J2510" s="229"/>
      <c r="K2510" s="229"/>
      <c r="L2510" s="229">
        <v>-36104</v>
      </c>
      <c r="M2510" s="55"/>
    </row>
    <row r="2511" spans="2:13" x14ac:dyDescent="0.3">
      <c r="B2511" s="223" t="s">
        <v>2483</v>
      </c>
      <c r="C2511" s="37">
        <v>8</v>
      </c>
      <c r="D2511" s="225">
        <v>11</v>
      </c>
      <c r="E2511" s="226">
        <v>820</v>
      </c>
      <c r="F2511" s="109"/>
      <c r="G2511" s="1" t="str">
        <f>IFERROR(IF(ventas_b_mes12[[#This Row],[CUIT]]="","-",VLOOKUP(ventas_b_mes12[[#This Row],[CUIT]],Lista_CUIT[#All],2,0)),"CUIT NO CARGADO")</f>
        <v>-</v>
      </c>
      <c r="H2511" s="96">
        <f>ventas_b_mes12[[#This Row],[TOTAL]]/1.21</f>
        <v>-2938.0165289256197</v>
      </c>
      <c r="I2511" s="60">
        <f>ventas_b_mes12[[#This Row],[IMPORTE NETO]]*0.21</f>
        <v>-616.98347107438008</v>
      </c>
      <c r="J2511" s="229"/>
      <c r="K2511" s="229"/>
      <c r="L2511" s="229">
        <v>-3555</v>
      </c>
      <c r="M2511" s="55"/>
    </row>
    <row r="2512" spans="2:13" x14ac:dyDescent="0.3">
      <c r="B2512" s="223" t="s">
        <v>2485</v>
      </c>
      <c r="C2512" s="37">
        <v>8</v>
      </c>
      <c r="D2512" s="225">
        <v>10</v>
      </c>
      <c r="E2512" s="226">
        <v>1416</v>
      </c>
      <c r="F2512" s="109"/>
      <c r="G2512" s="1" t="str">
        <f>IFERROR(IF(ventas_b_mes12[[#This Row],[CUIT]]="","-",VLOOKUP(ventas_b_mes12[[#This Row],[CUIT]],Lista_CUIT[#All],2,0)),"CUIT NO CARGADO")</f>
        <v>-</v>
      </c>
      <c r="H2512" s="96">
        <f>ventas_b_mes12[[#This Row],[TOTAL]]/1.21</f>
        <v>-18512.396694214876</v>
      </c>
      <c r="I2512" s="60">
        <f>ventas_b_mes12[[#This Row],[IMPORTE NETO]]*0.21</f>
        <v>-3887.6033057851237</v>
      </c>
      <c r="J2512" s="229"/>
      <c r="K2512" s="229"/>
      <c r="L2512" s="229">
        <v>-22400</v>
      </c>
      <c r="M2512" s="55"/>
    </row>
    <row r="2513" spans="2:13" x14ac:dyDescent="0.3">
      <c r="B2513" s="223" t="s">
        <v>2485</v>
      </c>
      <c r="C2513" s="37">
        <v>8</v>
      </c>
      <c r="D2513" s="225">
        <v>12</v>
      </c>
      <c r="E2513" s="226">
        <v>727</v>
      </c>
      <c r="F2513" s="109"/>
      <c r="G2513" s="1" t="str">
        <f>IFERROR(IF(ventas_b_mes12[[#This Row],[CUIT]]="","-",VLOOKUP(ventas_b_mes12[[#This Row],[CUIT]],Lista_CUIT[#All],2,0)),"CUIT NO CARGADO")</f>
        <v>-</v>
      </c>
      <c r="H2513" s="96">
        <f>ventas_b_mes12[[#This Row],[TOTAL]]/1.21</f>
        <v>-6363.636363636364</v>
      </c>
      <c r="I2513" s="60">
        <f>ventas_b_mes12[[#This Row],[IMPORTE NETO]]*0.21</f>
        <v>-1336.3636363636365</v>
      </c>
      <c r="J2513" s="229"/>
      <c r="K2513" s="229"/>
      <c r="L2513" s="229">
        <v>-7700</v>
      </c>
      <c r="M2513" s="55"/>
    </row>
    <row r="2514" spans="2:13" x14ac:dyDescent="0.3">
      <c r="B2514" s="223" t="s">
        <v>2486</v>
      </c>
      <c r="C2514" s="37">
        <v>8</v>
      </c>
      <c r="D2514" s="225">
        <v>11</v>
      </c>
      <c r="E2514" s="226">
        <v>821</v>
      </c>
      <c r="F2514" s="109"/>
      <c r="G2514" s="1" t="str">
        <f>IFERROR(IF(ventas_b_mes12[[#This Row],[CUIT]]="","-",VLOOKUP(ventas_b_mes12[[#This Row],[CUIT]],Lista_CUIT[#All],2,0)),"CUIT NO CARGADO")</f>
        <v>-</v>
      </c>
      <c r="H2514" s="96">
        <f>ventas_b_mes12[[#This Row],[TOTAL]]/1.21</f>
        <v>-9917.3553719008269</v>
      </c>
      <c r="I2514" s="60">
        <f>ventas_b_mes12[[#This Row],[IMPORTE NETO]]*0.21</f>
        <v>-2082.6446280991736</v>
      </c>
      <c r="J2514" s="229"/>
      <c r="K2514" s="229"/>
      <c r="L2514" s="229">
        <v>-12000</v>
      </c>
      <c r="M2514" s="55"/>
    </row>
    <row r="2515" spans="2:13" x14ac:dyDescent="0.3">
      <c r="B2515" s="223" t="s">
        <v>2486</v>
      </c>
      <c r="C2515" s="37">
        <v>8</v>
      </c>
      <c r="D2515" s="225">
        <v>12</v>
      </c>
      <c r="E2515" s="226">
        <v>728</v>
      </c>
      <c r="F2515" s="109"/>
      <c r="G2515" s="1" t="str">
        <f>IFERROR(IF(ventas_b_mes12[[#This Row],[CUIT]]="","-",VLOOKUP(ventas_b_mes12[[#This Row],[CUIT]],Lista_CUIT[#All],2,0)),"CUIT NO CARGADO")</f>
        <v>-</v>
      </c>
      <c r="H2515" s="96">
        <f>ventas_b_mes12[[#This Row],[TOTAL]]/1.21</f>
        <v>-929.75206611570252</v>
      </c>
      <c r="I2515" s="60">
        <f>ventas_b_mes12[[#This Row],[IMPORTE NETO]]*0.21</f>
        <v>-195.24793388429751</v>
      </c>
      <c r="J2515" s="229"/>
      <c r="K2515" s="229"/>
      <c r="L2515" s="229">
        <v>-1125</v>
      </c>
      <c r="M2515" s="55"/>
    </row>
    <row r="2516" spans="2:13" x14ac:dyDescent="0.3">
      <c r="B2516" s="223" t="s">
        <v>2486</v>
      </c>
      <c r="C2516" s="37">
        <v>8</v>
      </c>
      <c r="D2516" s="225">
        <v>11</v>
      </c>
      <c r="E2516" s="226">
        <v>822</v>
      </c>
      <c r="F2516" s="109"/>
      <c r="G2516" s="1" t="str">
        <f>IFERROR(IF(ventas_b_mes12[[#This Row],[CUIT]]="","-",VLOOKUP(ventas_b_mes12[[#This Row],[CUIT]],Lista_CUIT[#All],2,0)),"CUIT NO CARGADO")</f>
        <v>-</v>
      </c>
      <c r="H2516" s="96">
        <f>ventas_b_mes12[[#This Row],[TOTAL]]/1.21</f>
        <v>-2661.1570247933887</v>
      </c>
      <c r="I2516" s="60">
        <f>ventas_b_mes12[[#This Row],[IMPORTE NETO]]*0.21</f>
        <v>-558.84297520661164</v>
      </c>
      <c r="J2516" s="229"/>
      <c r="K2516" s="229"/>
      <c r="L2516" s="229">
        <v>-3220</v>
      </c>
      <c r="M2516" s="55"/>
    </row>
    <row r="2517" spans="2:13" x14ac:dyDescent="0.3">
      <c r="B2517" s="223" t="s">
        <v>2487</v>
      </c>
      <c r="C2517" s="37">
        <v>8</v>
      </c>
      <c r="D2517" s="225">
        <v>11</v>
      </c>
      <c r="E2517" s="226">
        <v>823</v>
      </c>
      <c r="F2517" s="109"/>
      <c r="G2517" s="1" t="str">
        <f>IFERROR(IF(ventas_b_mes12[[#This Row],[CUIT]]="","-",VLOOKUP(ventas_b_mes12[[#This Row],[CUIT]],Lista_CUIT[#All],2,0)),"CUIT NO CARGADO")</f>
        <v>-</v>
      </c>
      <c r="H2517" s="96">
        <f>ventas_b_mes12[[#This Row],[TOTAL]]/1.21</f>
        <v>-2809.9173553719011</v>
      </c>
      <c r="I2517" s="60">
        <f>ventas_b_mes12[[#This Row],[IMPORTE NETO]]*0.21</f>
        <v>-590.08264462809916</v>
      </c>
      <c r="J2517" s="229"/>
      <c r="K2517" s="229"/>
      <c r="L2517" s="229">
        <v>-3400</v>
      </c>
      <c r="M2517" s="55"/>
    </row>
    <row r="2518" spans="2:13" x14ac:dyDescent="0.3">
      <c r="B2518" s="223" t="s">
        <v>2488</v>
      </c>
      <c r="C2518" s="37">
        <v>8</v>
      </c>
      <c r="D2518" s="225">
        <v>13</v>
      </c>
      <c r="E2518" s="226">
        <v>673</v>
      </c>
      <c r="F2518" s="109"/>
      <c r="G2518" s="1" t="str">
        <f>IFERROR(IF(ventas_b_mes12[[#This Row],[CUIT]]="","-",VLOOKUP(ventas_b_mes12[[#This Row],[CUIT]],Lista_CUIT[#All],2,0)),"CUIT NO CARGADO")</f>
        <v>-</v>
      </c>
      <c r="H2518" s="96">
        <f>ventas_b_mes12[[#This Row],[TOTAL]]/1.21</f>
        <v>-4958.6776859504134</v>
      </c>
      <c r="I2518" s="60">
        <f>ventas_b_mes12[[#This Row],[IMPORTE NETO]]*0.21</f>
        <v>-1041.3223140495868</v>
      </c>
      <c r="J2518" s="229"/>
      <c r="K2518" s="229"/>
      <c r="L2518" s="229">
        <v>-6000</v>
      </c>
      <c r="M2518" s="55"/>
    </row>
    <row r="2519" spans="2:13" x14ac:dyDescent="0.3">
      <c r="B2519" s="223" t="s">
        <v>2488</v>
      </c>
      <c r="C2519" s="37">
        <v>8</v>
      </c>
      <c r="D2519" s="225">
        <v>13</v>
      </c>
      <c r="E2519" s="226">
        <v>672</v>
      </c>
      <c r="F2519" s="109"/>
      <c r="G2519" s="1" t="str">
        <f>IFERROR(IF(ventas_b_mes12[[#This Row],[CUIT]]="","-",VLOOKUP(ventas_b_mes12[[#This Row],[CUIT]],Lista_CUIT[#All],2,0)),"CUIT NO CARGADO")</f>
        <v>-</v>
      </c>
      <c r="H2519" s="96">
        <f>ventas_b_mes12[[#This Row],[TOTAL]]/1.21</f>
        <v>-6190.0826446280989</v>
      </c>
      <c r="I2519" s="60">
        <f>ventas_b_mes12[[#This Row],[IMPORTE NETO]]*0.21</f>
        <v>-1299.9173553719008</v>
      </c>
      <c r="J2519" s="229"/>
      <c r="K2519" s="229"/>
      <c r="L2519" s="229">
        <v>-7490</v>
      </c>
      <c r="M2519" s="55"/>
    </row>
    <row r="2520" spans="2:13" x14ac:dyDescent="0.3">
      <c r="B2520" s="223" t="s">
        <v>2488</v>
      </c>
      <c r="C2520" s="37">
        <v>8</v>
      </c>
      <c r="D2520" s="225">
        <v>12</v>
      </c>
      <c r="E2520" s="226">
        <v>729</v>
      </c>
      <c r="F2520" s="109"/>
      <c r="G2520" s="1" t="str">
        <f>IFERROR(IF(ventas_b_mes12[[#This Row],[CUIT]]="","-",VLOOKUP(ventas_b_mes12[[#This Row],[CUIT]],Lista_CUIT[#All],2,0)),"CUIT NO CARGADO")</f>
        <v>-</v>
      </c>
      <c r="H2520" s="96">
        <f>ventas_b_mes12[[#This Row],[TOTAL]]/1.21</f>
        <v>-1041.3305785123966</v>
      </c>
      <c r="I2520" s="60">
        <f>ventas_b_mes12[[#This Row],[IMPORTE NETO]]*0.21</f>
        <v>-218.67942148760329</v>
      </c>
      <c r="J2520" s="229"/>
      <c r="K2520" s="229"/>
      <c r="L2520" s="229">
        <v>-1260.01</v>
      </c>
      <c r="M2520" s="55"/>
    </row>
    <row r="2521" spans="2:13" x14ac:dyDescent="0.3">
      <c r="B2521" s="223" t="s">
        <v>2489</v>
      </c>
      <c r="C2521" s="37">
        <v>8</v>
      </c>
      <c r="D2521" s="225">
        <v>12</v>
      </c>
      <c r="E2521" s="226">
        <v>730</v>
      </c>
      <c r="F2521" s="109"/>
      <c r="G2521" s="1" t="str">
        <f>IFERROR(IF(ventas_b_mes12[[#This Row],[CUIT]]="","-",VLOOKUP(ventas_b_mes12[[#This Row],[CUIT]],Lista_CUIT[#All],2,0)),"CUIT NO CARGADO")</f>
        <v>-</v>
      </c>
      <c r="H2521" s="96">
        <f>ventas_b_mes12[[#This Row],[TOTAL]]/1.21</f>
        <v>-3223.1404958677685</v>
      </c>
      <c r="I2521" s="60">
        <f>ventas_b_mes12[[#This Row],[IMPORTE NETO]]*0.21</f>
        <v>-676.85950413223134</v>
      </c>
      <c r="J2521" s="229"/>
      <c r="K2521" s="229"/>
      <c r="L2521" s="229">
        <v>-3900</v>
      </c>
      <c r="M2521" s="55"/>
    </row>
    <row r="2522" spans="2:13" x14ac:dyDescent="0.3">
      <c r="B2522" s="223" t="s">
        <v>2489</v>
      </c>
      <c r="C2522" s="37">
        <v>8</v>
      </c>
      <c r="D2522" s="225">
        <v>12</v>
      </c>
      <c r="E2522" s="226">
        <v>731</v>
      </c>
      <c r="F2522" s="227"/>
      <c r="G2522" s="1" t="str">
        <f>IFERROR(IF(ventas_b_mes12[[#This Row],[CUIT]]="","-",VLOOKUP(ventas_b_mes12[[#This Row],[CUIT]],Lista_CUIT[#All],2,0)),"CUIT NO CARGADO")</f>
        <v>-</v>
      </c>
      <c r="H2522" s="96">
        <f>ventas_b_mes12[[#This Row],[TOTAL]]/1.21</f>
        <v>-1041.3305785123966</v>
      </c>
      <c r="I2522" s="60">
        <f>ventas_b_mes12[[#This Row],[IMPORTE NETO]]*0.21</f>
        <v>-218.67942148760329</v>
      </c>
      <c r="J2522" s="229"/>
      <c r="K2522" s="229"/>
      <c r="L2522" s="229">
        <v>-1260.01</v>
      </c>
      <c r="M2522" s="55"/>
    </row>
    <row r="2523" spans="2:13" x14ac:dyDescent="0.3">
      <c r="B2523" s="62" t="s">
        <v>83</v>
      </c>
      <c r="C2523" s="63"/>
      <c r="D2523" s="63"/>
      <c r="E2523" s="63"/>
      <c r="F2523" s="63"/>
      <c r="G2523" s="63"/>
      <c r="H2523" s="73">
        <f>SUBTOTAL(109,ventas_b_mes12[IMPORTE NETO])</f>
        <v>13836661.710991679</v>
      </c>
      <c r="I2523" s="73">
        <f>SUBTOTAL(109,ventas_b_mes12[IVA 21%])</f>
        <v>2904651.8090082714</v>
      </c>
      <c r="J2523" s="74">
        <f>SUBTOTAL(109,ventas_b_mes12[IVA 10,5%])</f>
        <v>523.57515000000001</v>
      </c>
      <c r="K2523" s="74">
        <f>SUBTOTAL(109,ventas_b_mes12[EXENTO])</f>
        <v>0</v>
      </c>
      <c r="L2523" s="74">
        <f>SUBTOTAL(109,ventas_b_mes12[TOTAL])</f>
        <v>16741837.089999974</v>
      </c>
      <c r="M2523" s="64">
        <f>SUBTOTAL(103,ventas_b_mes12[Provincia])</f>
        <v>0</v>
      </c>
    </row>
    <row r="2524" spans="2:13" ht="15" thickBot="1" x14ac:dyDescent="0.35">
      <c r="B2524" s="238"/>
      <c r="C2524" s="238"/>
      <c r="D2524" s="238"/>
      <c r="E2524" s="238"/>
      <c r="F2524" s="238"/>
      <c r="G2524" s="238"/>
      <c r="H2524" s="244"/>
      <c r="I2524" s="244"/>
      <c r="J2524" s="245"/>
      <c r="K2524" s="245"/>
      <c r="L2524" s="245"/>
      <c r="M2524" s="239"/>
    </row>
    <row r="2525" spans="2:13" ht="15" thickTop="1" x14ac:dyDescent="0.3">
      <c r="C2525" s="447" t="s">
        <v>48</v>
      </c>
      <c r="D2525" s="447"/>
      <c r="E2525" s="447"/>
      <c r="F2525" s="447"/>
      <c r="G2525" s="447"/>
      <c r="H2525" s="29"/>
      <c r="I2525" s="29"/>
      <c r="J2525" s="29"/>
    </row>
    <row r="2526" spans="2:13" ht="15.6" x14ac:dyDescent="0.3">
      <c r="C2526" s="110" t="s">
        <v>49</v>
      </c>
      <c r="D2526" s="111" t="s">
        <v>50</v>
      </c>
      <c r="E2526" s="111" t="s">
        <v>85</v>
      </c>
      <c r="F2526" s="111" t="s">
        <v>3</v>
      </c>
      <c r="G2526" s="111" t="s">
        <v>4</v>
      </c>
      <c r="H2526" s="112" t="s">
        <v>51</v>
      </c>
      <c r="I2526" s="112" t="s">
        <v>52</v>
      </c>
      <c r="J2526" s="112" t="s">
        <v>53</v>
      </c>
      <c r="K2526" s="112" t="s">
        <v>54</v>
      </c>
      <c r="L2526" s="112" t="s">
        <v>55</v>
      </c>
    </row>
    <row r="2527" spans="2:13" x14ac:dyDescent="0.3">
      <c r="C2527" s="113"/>
      <c r="D2527" s="114"/>
      <c r="E2527" s="114"/>
      <c r="F2527" s="115"/>
      <c r="G2527" s="49" t="str">
        <f>IFERROR(IF(Retenciones_mes12[[#This Row],[CUIT]]="","-",VLOOKUP(Retenciones_mes12[[#This Row],[CUIT]],Lista_CUIT[#All],2,0)),"CUIT NO CARGADO")</f>
        <v>-</v>
      </c>
      <c r="H2527" s="116"/>
      <c r="I2527" s="116"/>
      <c r="J2527" s="116"/>
      <c r="K2527" s="116"/>
      <c r="L2527" s="116"/>
    </row>
    <row r="2528" spans="2:13" x14ac:dyDescent="0.3">
      <c r="C2528" s="113"/>
      <c r="D2528" s="114"/>
      <c r="E2528" s="114"/>
      <c r="F2528" s="115"/>
      <c r="G2528" s="49" t="str">
        <f>IFERROR(IF(Retenciones_mes12[[#This Row],[CUIT]]="","-",VLOOKUP(Retenciones_mes12[[#This Row],[CUIT]],Lista_CUIT[#All],2,0)),"CUIT NO CARGADO")</f>
        <v>-</v>
      </c>
      <c r="H2528" s="116"/>
      <c r="I2528" s="116"/>
      <c r="J2528" s="116"/>
      <c r="K2528" s="116"/>
      <c r="L2528" s="116"/>
    </row>
    <row r="2529" spans="3:12" x14ac:dyDescent="0.3">
      <c r="C2529" s="113"/>
      <c r="D2529" s="114"/>
      <c r="E2529" s="114"/>
      <c r="F2529" s="115"/>
      <c r="G2529" s="49" t="str">
        <f>IFERROR(IF(Retenciones_mes12[[#This Row],[CUIT]]="","-",VLOOKUP(Retenciones_mes12[[#This Row],[CUIT]],Lista_CUIT[#All],2,0)),"CUIT NO CARGADO")</f>
        <v>-</v>
      </c>
      <c r="H2529" s="116"/>
      <c r="I2529" s="116"/>
      <c r="J2529" s="116"/>
      <c r="K2529" s="116"/>
      <c r="L2529" s="116"/>
    </row>
    <row r="2530" spans="3:12" x14ac:dyDescent="0.3">
      <c r="C2530" s="113"/>
      <c r="D2530" s="114"/>
      <c r="E2530" s="114"/>
      <c r="F2530" s="115"/>
      <c r="G2530" s="49" t="str">
        <f>IFERROR(IF(Retenciones_mes12[[#This Row],[CUIT]]="","-",VLOOKUP(Retenciones_mes12[[#This Row],[CUIT]],Lista_CUIT[#All],2,0)),"CUIT NO CARGADO")</f>
        <v>-</v>
      </c>
      <c r="H2530" s="116"/>
      <c r="I2530" s="116"/>
      <c r="J2530" s="116"/>
      <c r="K2530" s="116"/>
      <c r="L2530" s="116"/>
    </row>
    <row r="2531" spans="3:12" x14ac:dyDescent="0.3">
      <c r="D2531" s="114"/>
      <c r="E2531" s="114"/>
      <c r="G2531" s="49" t="str">
        <f>IFERROR(IF(Retenciones_mes12[[#This Row],[CUIT]]="","-",VLOOKUP(Retenciones_mes12[[#This Row],[CUIT]],Lista_CUIT[#All],2,0)),"CUIT NO CARGADO")</f>
        <v>-</v>
      </c>
    </row>
    <row r="2532" spans="3:12" x14ac:dyDescent="0.3">
      <c r="C2532" s="30"/>
    </row>
  </sheetData>
  <mergeCells count="20">
    <mergeCell ref="C2525:G2525"/>
    <mergeCell ref="B4:E4"/>
    <mergeCell ref="G4:H4"/>
    <mergeCell ref="J4:K4"/>
    <mergeCell ref="M4:N4"/>
    <mergeCell ref="D181:K181"/>
    <mergeCell ref="B207:J207"/>
    <mergeCell ref="K207:M207"/>
    <mergeCell ref="B209:C209"/>
    <mergeCell ref="B400:C400"/>
    <mergeCell ref="P4:R4"/>
    <mergeCell ref="D166:L166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L213:L215">
      <formula1>IF($C12=3,L12&lt;0,L12&gt;=0)</formula1>
    </dataValidation>
    <dataValidation type="custom" allowBlank="1" showInputMessage="1" showErrorMessage="1" sqref="L211:L212">
      <formula1>IF($C9=3,L9&lt;0,L9&gt;=0)</formula1>
    </dataValidation>
    <dataValidation type="custom" allowBlank="1" showInputMessage="1" showErrorMessage="1" sqref="H211:K211 H213:K213 H215:K215 H217:K217">
      <formula1>IF($C211=3,H211&lt;0,H211&gt;=0)</formula1>
    </dataValidation>
    <dataValidation type="whole" allowBlank="1" showInputMessage="1" showErrorMessage="1" sqref="C162:C165 C211:C397 C9:C147">
      <formula1>1</formula1>
      <formula2>3</formula2>
    </dataValidation>
    <dataValidation type="date" allowBlank="1" showInputMessage="1" showErrorMessage="1" sqref="B14 B402:B2522 B211:B397 D183:D201 B162:B165 D168:D176">
      <formula1>40179</formula1>
      <formula2>TODAY()</formula2>
    </dataValidation>
    <dataValidation type="whole" allowBlank="1" showInputMessage="1" showErrorMessage="1" sqref="F211:F397 F14 G183:G201 F402:F2522">
      <formula1>20000000000</formula1>
      <formula2>33999999999</formula2>
    </dataValidation>
    <dataValidation type="whole" allowBlank="1" showInputMessage="1" showErrorMessage="1" sqref="E211:E397 F183:F201 E402:E2522 E9:E147">
      <formula1>1</formula1>
      <formula2>99999999</formula2>
    </dataValidation>
    <dataValidation type="whole" allowBlank="1" showInputMessage="1" showErrorMessage="1" sqref="D211:D397 E183:E201 D402:D2522 D9:D147">
      <formula1>1</formula1>
      <formula2>9999</formula2>
    </dataValidation>
    <dataValidation type="custom" allowBlank="1" showInputMessage="1" showErrorMessage="1" sqref="L216:L217">
      <formula1>IF($C161=3,L161&lt;0,L161&gt;=0)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4 I9:O147">
      <formula1>IF($C9=3,H9&lt;0,H9&gt;=0)</formula1>
    </dataValidation>
    <dataValidation type="custom" allowBlank="1" showInputMessage="1" showErrorMessage="1" sqref="H402:L2522">
      <formula1>IF($C402=8,H402&lt;0,H402&gt;=0)</formula1>
    </dataValidation>
    <dataValidation type="whole" allowBlank="1" showInputMessage="1" showErrorMessage="1" sqref="C402:C2522">
      <formula1>6</formula1>
      <formula2>8</formula2>
    </dataValidation>
  </dataValidations>
  <printOptions horizontalCentered="1"/>
  <pageMargins left="0.11811023622047245" right="0.11811023622047245" top="0.15748031496062992" bottom="0.15748031496062992" header="0.31496062992125984" footer="0.31496062992125984"/>
  <pageSetup paperSize="9" scale="30" fitToHeight="4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tabColor theme="9" tint="0.79998168889431442"/>
  </sheetPr>
  <dimension ref="A1:Z1878"/>
  <sheetViews>
    <sheetView showGridLines="0" topLeftCell="C137" zoomScale="80" zoomScaleNormal="80" workbookViewId="0">
      <selection activeCell="F168" sqref="F168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32.33203125" customWidth="1"/>
    <col min="8" max="8" width="21.109375" customWidth="1"/>
    <col min="9" max="9" width="17.5546875" customWidth="1"/>
    <col min="10" max="10" width="15.33203125" customWidth="1"/>
    <col min="11" max="11" width="16.66406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21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3"/>
      <c r="B1" s="450" t="s">
        <v>28</v>
      </c>
      <c r="C1" s="450"/>
      <c r="D1" s="450"/>
      <c r="E1" s="450"/>
      <c r="F1" s="450"/>
      <c r="G1" s="457" t="str">
        <f>'Ene-22'!G1:M1</f>
        <v>EUROARGENTINA</v>
      </c>
      <c r="H1" s="457"/>
      <c r="I1" s="457"/>
      <c r="J1" s="457"/>
      <c r="K1" s="457"/>
      <c r="L1" s="457"/>
      <c r="M1" s="457"/>
      <c r="N1" s="448">
        <f>EDATE('Ene-22'!N1,11)</f>
        <v>44896</v>
      </c>
      <c r="O1" s="448"/>
      <c r="P1" s="448"/>
      <c r="Q1" s="448"/>
      <c r="R1" s="448"/>
    </row>
    <row r="2" spans="1:26" ht="15" customHeight="1" x14ac:dyDescent="0.3"/>
    <row r="3" spans="1:26" ht="26.4" customHeight="1" x14ac:dyDescent="0.3">
      <c r="B3" s="453" t="s">
        <v>47</v>
      </c>
      <c r="C3" s="453"/>
      <c r="D3" s="453"/>
      <c r="E3" s="453"/>
      <c r="F3" s="34"/>
      <c r="G3" s="453" t="s">
        <v>37</v>
      </c>
      <c r="H3" s="453"/>
      <c r="I3" s="34"/>
      <c r="J3" s="445" t="s">
        <v>14</v>
      </c>
      <c r="K3" s="445"/>
      <c r="L3" s="34"/>
      <c r="M3" s="445" t="s">
        <v>12</v>
      </c>
      <c r="N3" s="445"/>
      <c r="O3" s="34"/>
      <c r="P3" s="444" t="s">
        <v>82</v>
      </c>
      <c r="Q3" s="444"/>
      <c r="R3" s="444"/>
    </row>
    <row r="4" spans="1:26" ht="25.2" customHeight="1" x14ac:dyDescent="0.4">
      <c r="B4" s="454">
        <f>SUM(compras_mes9[[#Totals],[NETO GRAVADO]])+extracto_banco_mes9[[#Totals],[NETO]]</f>
        <v>14517367.788000006</v>
      </c>
      <c r="C4" s="454"/>
      <c r="D4" s="454"/>
      <c r="E4" s="454"/>
      <c r="F4" s="35"/>
      <c r="G4" s="455">
        <f>compras_mes9[[#Totals],[IVA 21 %]]+compras_mes9[[#Totals],[IVA 27%]]+compras_mes9[[#Totals],[IVA 10,5%]]+extracto_banco_mes9[[#Totals],[IVA 21%]]+extracto_banco_mes9[[#Totals],[IVA 10,5%]]</f>
        <v>3030467.3806799995</v>
      </c>
      <c r="H4" s="455"/>
      <c r="I4" s="35"/>
      <c r="J4" s="446">
        <f>venta_a_mes9[[#Totals],[IMPORTE NETO]]+ventas_b_mes9[[#Totals],[IMPORTE NETO]]</f>
        <v>15180773.470000006</v>
      </c>
      <c r="K4" s="446"/>
      <c r="L4" s="35"/>
      <c r="M4" s="446">
        <f>venta_a_mes9[[#Totals],[IVA 21%]]+venta_a_mes9[[#Totals],[IVA 10,5%]]+ventas_b_mes9[[#Totals],[IVA 21%]]+ventas_b_mes9[[#Totals],[IVA 10,5%]]</f>
        <v>3187962.428700001</v>
      </c>
      <c r="N4" s="446"/>
      <c r="O4" s="35"/>
      <c r="P4" s="442">
        <f>G4-M4</f>
        <v>-157495.0480200015</v>
      </c>
      <c r="Q4" s="443"/>
      <c r="R4" s="443"/>
    </row>
    <row r="5" spans="1:26" ht="13.2" customHeight="1" x14ac:dyDescent="0.3">
      <c r="H5" t="s">
        <v>2562</v>
      </c>
    </row>
    <row r="6" spans="1:26" ht="10.95" customHeight="1" x14ac:dyDescent="0.3"/>
    <row r="7" spans="1:26" s="2" customFormat="1" ht="10.95" customHeight="1" x14ac:dyDescent="0.3">
      <c r="B7" s="36"/>
      <c r="C7" s="37"/>
      <c r="D7" s="38"/>
      <c r="E7" s="39"/>
      <c r="F7" s="40"/>
      <c r="G7" s="41"/>
      <c r="H7" s="42"/>
      <c r="I7" s="43"/>
      <c r="J7" s="43"/>
      <c r="K7" s="43"/>
      <c r="L7" s="43"/>
      <c r="M7" s="43"/>
      <c r="N7" s="43"/>
      <c r="O7" s="43"/>
      <c r="P7" s="44"/>
      <c r="Q7" s="45"/>
      <c r="R7" s="45"/>
      <c r="T7"/>
      <c r="U7"/>
      <c r="V7"/>
      <c r="W7"/>
      <c r="X7"/>
      <c r="Y7"/>
      <c r="Z7"/>
    </row>
    <row r="8" spans="1:26" ht="38.4" customHeight="1" x14ac:dyDescent="0.3">
      <c r="B8" s="80" t="s">
        <v>0</v>
      </c>
      <c r="C8" s="80" t="s">
        <v>1</v>
      </c>
      <c r="D8" s="80" t="s">
        <v>2</v>
      </c>
      <c r="E8" s="80" t="s">
        <v>27</v>
      </c>
      <c r="F8" s="80" t="s">
        <v>3</v>
      </c>
      <c r="G8" s="80" t="s">
        <v>4</v>
      </c>
      <c r="H8" s="80" t="s">
        <v>34</v>
      </c>
      <c r="I8" s="80" t="s">
        <v>35</v>
      </c>
      <c r="J8" s="80" t="s">
        <v>6</v>
      </c>
      <c r="K8" s="80" t="s">
        <v>7</v>
      </c>
      <c r="L8" s="80" t="s">
        <v>8</v>
      </c>
      <c r="M8" s="80" t="s">
        <v>33</v>
      </c>
      <c r="N8" s="80" t="s">
        <v>9</v>
      </c>
      <c r="O8" s="80" t="s">
        <v>36</v>
      </c>
      <c r="P8" s="80" t="s">
        <v>10</v>
      </c>
      <c r="Q8" s="80" t="s">
        <v>11</v>
      </c>
      <c r="R8" s="80" t="s">
        <v>38</v>
      </c>
    </row>
    <row r="9" spans="1:26" x14ac:dyDescent="0.3">
      <c r="B9" s="85"/>
      <c r="C9" s="86"/>
      <c r="D9" s="87"/>
      <c r="E9" s="88"/>
      <c r="F9" s="89"/>
      <c r="G9" s="90" t="str">
        <f>IFERROR(IF(compras_mes9[[#This Row],[CUIT]]="","-",VLOOKUP(compras_mes9[[#This Row],[CUIT]],Lista_CUIT[#All],2,0)),"CUIT NO CARGADO")</f>
        <v>-</v>
      </c>
      <c r="H9" s="91"/>
      <c r="I9" s="82" t="str">
        <f>IF(compras_mes9[[#This Row],[NETO GRAVADO]]="","",compras_mes9[[#This Row],[NETO GRAVADO]]*0.21)</f>
        <v/>
      </c>
      <c r="J9" s="82"/>
      <c r="K9" s="82"/>
      <c r="L9" s="82"/>
      <c r="M9" s="82"/>
      <c r="N9" s="82"/>
      <c r="O9" s="82"/>
      <c r="P9" s="83">
        <f>SUM(compras_mes9[[#This Row],[NETO GRAVADO]:[Otros / No Grav.]])</f>
        <v>0</v>
      </c>
      <c r="Q9" s="84" t="str">
        <f>IFERROR(IF(compras_mes9[[#This Row],[CUIT]]="","-",VLOOKUP(compras_mes9[[#This Row],[CUIT]],Lista_CUIT[#All],3,0)),"CUIT NO CARGADO")</f>
        <v>-</v>
      </c>
      <c r="R9" s="84" t="str">
        <f>IFERROR(IF(compras_mes9[[#This Row],[CUIT]]="","-",VLOOKUP(compras_mes9[[#This Row],[CUIT]],Lista_CUIT[#All],4,0)),"CUIT NO CARGADO")</f>
        <v>-</v>
      </c>
    </row>
    <row r="10" spans="1:26" x14ac:dyDescent="0.3">
      <c r="B10" s="85"/>
      <c r="C10" s="86"/>
      <c r="D10" s="87"/>
      <c r="E10" s="88"/>
      <c r="F10" s="89"/>
      <c r="G10" s="90" t="str">
        <f>IFERROR(IF(compras_mes9[[#This Row],[CUIT]]="","-",VLOOKUP(compras_mes9[[#This Row],[CUIT]],Lista_CUIT[#All],2,0)),"CUIT NO CARGADO")</f>
        <v>-</v>
      </c>
      <c r="H10" s="91"/>
      <c r="I10" s="82" t="str">
        <f>IF(compras_mes9[[#This Row],[NETO GRAVADO]]="","",compras_mes9[[#This Row],[NETO GRAVADO]]*0.21)</f>
        <v/>
      </c>
      <c r="J10" s="82"/>
      <c r="K10" s="82"/>
      <c r="L10" s="82"/>
      <c r="M10" s="82"/>
      <c r="N10" s="82"/>
      <c r="O10" s="82"/>
      <c r="P10" s="83">
        <f>SUM(compras_mes9[[#This Row],[NETO GRAVADO]:[Otros / No Grav.]])</f>
        <v>0</v>
      </c>
      <c r="Q10" s="84" t="str">
        <f>IFERROR(IF(compras_mes9[[#This Row],[CUIT]]="","-",VLOOKUP(compras_mes9[[#This Row],[CUIT]],Lista_CUIT[#All],3,0)),"CUIT NO CARGADO")</f>
        <v>-</v>
      </c>
      <c r="R10" s="84" t="str">
        <f>IFERROR(IF(compras_mes9[[#This Row],[CUIT]]="","-",VLOOKUP(compras_mes9[[#This Row],[CUIT]],Lista_CUIT[#All],4,0)),"CUIT NO CARGADO")</f>
        <v>-</v>
      </c>
    </row>
    <row r="11" spans="1:26" x14ac:dyDescent="0.3">
      <c r="B11" s="36"/>
      <c r="C11" s="37"/>
      <c r="D11" s="38"/>
      <c r="E11" s="39"/>
      <c r="F11" s="40"/>
      <c r="G11" s="41" t="str">
        <f>IFERROR(IF(compras_mes9[[#This Row],[CUIT]]="","-",VLOOKUP(compras_mes9[[#This Row],[CUIT]],Lista_CUIT[#All],2,0)),"CUIT NO CARGADO")</f>
        <v>-</v>
      </c>
      <c r="H11" s="42"/>
      <c r="I11" s="81" t="str">
        <f>IF(compras_mes9[[#This Row],[NETO GRAVADO]]="","",compras_mes9[[#This Row],[NETO GRAVADO]]*0.21)</f>
        <v/>
      </c>
      <c r="J11" s="81"/>
      <c r="K11" s="81"/>
      <c r="L11" s="81"/>
      <c r="M11" s="81"/>
      <c r="N11" s="81"/>
      <c r="O11" s="81"/>
      <c r="P11" s="44">
        <f>SUM(compras_mes9[[#This Row],[NETO GRAVADO]:[Otros / No Grav.]])</f>
        <v>0</v>
      </c>
      <c r="Q11" s="45" t="str">
        <f>IFERROR(IF(compras_mes9[[#This Row],[CUIT]]="","-",VLOOKUP(compras_mes9[[#This Row],[CUIT]],Lista_CUIT[#All],3,0)),"CUIT NO CARGADO")</f>
        <v>-</v>
      </c>
      <c r="R11" s="45" t="str">
        <f>IFERROR(IF(compras_mes9[[#This Row],[CUIT]]="","-",VLOOKUP(compras_mes9[[#This Row],[CUIT]],Lista_CUIT[#All],4,0)),"CUIT NO CARGADO")</f>
        <v>-</v>
      </c>
    </row>
    <row r="12" spans="1:26" x14ac:dyDescent="0.3">
      <c r="B12" s="36"/>
      <c r="C12" s="37"/>
      <c r="D12" s="38"/>
      <c r="E12" s="39"/>
      <c r="F12" s="40"/>
      <c r="G12" s="41" t="str">
        <f>IFERROR(IF(compras_mes9[[#This Row],[CUIT]]="","-",VLOOKUP(compras_mes9[[#This Row],[CUIT]],Lista_CUIT[#All],2,0)),"CUIT NO CARGADO")</f>
        <v>-</v>
      </c>
      <c r="H12" s="42"/>
      <c r="I12" s="81" t="str">
        <f>IF(compras_mes9[[#This Row],[NETO GRAVADO]]="","",compras_mes9[[#This Row],[NETO GRAVADO]]*0.21)</f>
        <v/>
      </c>
      <c r="J12" s="81"/>
      <c r="K12" s="81"/>
      <c r="L12" s="81"/>
      <c r="M12" s="81"/>
      <c r="N12" s="81"/>
      <c r="O12" s="81"/>
      <c r="P12" s="44">
        <f>SUM(compras_mes9[[#This Row],[NETO GRAVADO]:[Otros / No Grav.]])</f>
        <v>0</v>
      </c>
      <c r="Q12" s="45" t="str">
        <f>IFERROR(IF(compras_mes9[[#This Row],[CUIT]]="","-",VLOOKUP(compras_mes9[[#This Row],[CUIT]],Lista_CUIT[#All],3,0)),"CUIT NO CARGADO")</f>
        <v>-</v>
      </c>
      <c r="R12" s="45" t="str">
        <f>IFERROR(IF(compras_mes9[[#This Row],[CUIT]]="","-",VLOOKUP(compras_mes9[[#This Row],[CUIT]],Lista_CUIT[#All],4,0)),"CUIT NO CARGADO")</f>
        <v>-</v>
      </c>
    </row>
    <row r="13" spans="1:26" x14ac:dyDescent="0.3">
      <c r="B13" s="36"/>
      <c r="C13" s="37"/>
      <c r="D13" s="38"/>
      <c r="E13" s="39"/>
      <c r="F13" s="40"/>
      <c r="G13" s="41" t="str">
        <f>IFERROR(IF(compras_mes9[[#This Row],[CUIT]]="","-",VLOOKUP(compras_mes9[[#This Row],[CUIT]],Lista_CUIT[#All],2,0)),"CUIT NO CARGADO")</f>
        <v>-</v>
      </c>
      <c r="H13" s="42"/>
      <c r="I13" s="81" t="str">
        <f>IF(compras_mes9[[#This Row],[NETO GRAVADO]]="","",compras_mes9[[#This Row],[NETO GRAVADO]]*0.21)</f>
        <v/>
      </c>
      <c r="J13" s="81"/>
      <c r="K13" s="81"/>
      <c r="L13" s="81"/>
      <c r="M13" s="81"/>
      <c r="N13" s="81"/>
      <c r="O13" s="81"/>
      <c r="P13" s="44">
        <f>SUM(compras_mes9[[#This Row],[NETO GRAVADO]:[Otros / No Grav.]])</f>
        <v>0</v>
      </c>
      <c r="Q13" s="45" t="str">
        <f>IFERROR(IF(compras_mes9[[#This Row],[CUIT]]="","-",VLOOKUP(compras_mes9[[#This Row],[CUIT]],Lista_CUIT[#All],3,0)),"CUIT NO CARGADO")</f>
        <v>-</v>
      </c>
      <c r="R13" s="45" t="str">
        <f>IFERROR(IF(compras_mes9[[#This Row],[CUIT]]="","-",VLOOKUP(compras_mes9[[#This Row],[CUIT]],Lista_CUIT[#All],4,0)),"CUIT NO CARGADO")</f>
        <v>-</v>
      </c>
    </row>
    <row r="14" spans="1:26" x14ac:dyDescent="0.3">
      <c r="B14" s="85"/>
      <c r="C14" s="86"/>
      <c r="D14" s="87"/>
      <c r="E14" s="88"/>
      <c r="F14" s="89"/>
      <c r="G14" s="90" t="str">
        <f>IFERROR(IF(compras_mes9[[#This Row],[CUIT]]="","-",VLOOKUP(compras_mes9[[#This Row],[CUIT]],Lista_CUIT[#All],2,0)),"CUIT NO CARGADO")</f>
        <v>-</v>
      </c>
      <c r="H14" s="91"/>
      <c r="I14" s="82" t="str">
        <f>IF(compras_mes9[[#This Row],[NETO GRAVADO]]="","",compras_mes9[[#This Row],[NETO GRAVADO]]*0.21)</f>
        <v/>
      </c>
      <c r="J14" s="82"/>
      <c r="K14" s="82"/>
      <c r="L14" s="82"/>
      <c r="M14" s="82"/>
      <c r="N14" s="82"/>
      <c r="O14" s="82"/>
      <c r="P14" s="83">
        <f>SUM(compras_mes9[[#This Row],[NETO GRAVADO]:[Otros / No Grav.]])</f>
        <v>0</v>
      </c>
      <c r="Q14" s="84" t="str">
        <f>IFERROR(IF(compras_mes9[[#This Row],[CUIT]]="","-",VLOOKUP(compras_mes9[[#This Row],[CUIT]],Lista_CUIT[#All],3,0)),"CUIT NO CARGADO")</f>
        <v>-</v>
      </c>
      <c r="R14" s="84" t="str">
        <f>IFERROR(IF(compras_mes9[[#This Row],[CUIT]]="","-",VLOOKUP(compras_mes9[[#This Row],[CUIT]],Lista_CUIT[#All],4,0)),"CUIT NO CARGADO")</f>
        <v>-</v>
      </c>
    </row>
    <row r="15" spans="1:26" x14ac:dyDescent="0.3">
      <c r="B15" s="337">
        <v>44896</v>
      </c>
      <c r="C15" s="338">
        <v>1</v>
      </c>
      <c r="D15" s="339">
        <v>1</v>
      </c>
      <c r="E15" s="340">
        <v>321</v>
      </c>
      <c r="F15" s="341">
        <v>20131206144</v>
      </c>
      <c r="G15" s="342" t="str">
        <f>IFERROR(IF(compras_mes9[[#This Row],[CUIT]]="","-",VLOOKUP(compras_mes9[[#This Row],[CUIT]],Lista_CUIT[#All],2,0)),"CUIT NO CARGADO")</f>
        <v>CHAMORRO MANUEL</v>
      </c>
      <c r="H15" s="343">
        <v>60000</v>
      </c>
      <c r="I15" s="344">
        <f>IF(compras_mes9[[#This Row],[NETO GRAVADO]]="","",compras_mes9[[#This Row],[NETO GRAVADO]]*0.21)</f>
        <v>12600</v>
      </c>
      <c r="J15" s="344"/>
      <c r="K15" s="344"/>
      <c r="L15" s="344"/>
      <c r="M15" s="344"/>
      <c r="N15" s="344"/>
      <c r="O15" s="344"/>
      <c r="P15" s="345">
        <f>SUM(compras_mes9[[#This Row],[NETO GRAVADO]:[Otros / No Grav.]])</f>
        <v>72600</v>
      </c>
      <c r="Q15" s="346" t="str">
        <f>IFERROR(IF(compras_mes9[[#This Row],[CUIT]]="","-",VLOOKUP(compras_mes9[[#This Row],[CUIT]],Lista_CUIT[#All],3,0)),"CUIT NO CARGADO")</f>
        <v>Alquiler</v>
      </c>
      <c r="R15" s="346">
        <f>IFERROR(IF(compras_mes9[[#This Row],[CUIT]]="","-",VLOOKUP(compras_mes9[[#This Row],[CUIT]],Lista_CUIT[#All],4,0)),"CUIT NO CARGADO")</f>
        <v>0</v>
      </c>
    </row>
    <row r="16" spans="1:26" x14ac:dyDescent="0.3">
      <c r="B16" s="337">
        <v>44897</v>
      </c>
      <c r="C16" s="338">
        <v>1</v>
      </c>
      <c r="D16" s="339">
        <v>2</v>
      </c>
      <c r="E16" s="340">
        <v>188</v>
      </c>
      <c r="F16" s="341">
        <v>27309896063</v>
      </c>
      <c r="G16" s="342" t="str">
        <f>IFERROR(IF(compras_mes9[[#This Row],[CUIT]]="","-",VLOOKUP(compras_mes9[[#This Row],[CUIT]],Lista_CUIT[#All],2,0)),"CUIT NO CARGADO")</f>
        <v>BATTELLINI MARIA SOLEDAD</v>
      </c>
      <c r="H16" s="343">
        <v>35000</v>
      </c>
      <c r="I16" s="344">
        <f>IF(compras_mes9[[#This Row],[NETO GRAVADO]]="","",compras_mes9[[#This Row],[NETO GRAVADO]]*0.21)</f>
        <v>7350</v>
      </c>
      <c r="J16" s="344"/>
      <c r="K16" s="344"/>
      <c r="L16" s="344"/>
      <c r="M16" s="344"/>
      <c r="N16" s="344"/>
      <c r="O16" s="344"/>
      <c r="P16" s="345">
        <f>SUM(compras_mes9[[#This Row],[NETO GRAVADO]:[Otros / No Grav.]])</f>
        <v>42350</v>
      </c>
      <c r="Q16" s="346" t="str">
        <f>IFERROR(IF(compras_mes9[[#This Row],[CUIT]]="","-",VLOOKUP(compras_mes9[[#This Row],[CUIT]],Lista_CUIT[#All],3,0)),"CUIT NO CARGADO")</f>
        <v>Alquiler</v>
      </c>
      <c r="R16" s="346">
        <f>IFERROR(IF(compras_mes9[[#This Row],[CUIT]]="","-",VLOOKUP(compras_mes9[[#This Row],[CUIT]],Lista_CUIT[#All],4,0)),"CUIT NO CARGADO")</f>
        <v>0</v>
      </c>
    </row>
    <row r="17" spans="2:18" x14ac:dyDescent="0.3">
      <c r="B17" s="337">
        <v>44900</v>
      </c>
      <c r="C17" s="338">
        <v>1</v>
      </c>
      <c r="D17" s="339">
        <v>1</v>
      </c>
      <c r="E17" s="340">
        <v>61</v>
      </c>
      <c r="F17" s="341">
        <v>30716010313</v>
      </c>
      <c r="G17" s="342" t="str">
        <f>IFERROR(IF(compras_mes9[[#This Row],[CUIT]]="","-",VLOOKUP(compras_mes9[[#This Row],[CUIT]],Lista_CUIT[#All],2,0)),"CUIT NO CARGADO")</f>
        <v>H UNO 1469 S.A.</v>
      </c>
      <c r="H17" s="343">
        <v>38400</v>
      </c>
      <c r="I17" s="344">
        <f>IF(compras_mes9[[#This Row],[NETO GRAVADO]]="","",compras_mes9[[#This Row],[NETO GRAVADO]]*0.21)</f>
        <v>8064</v>
      </c>
      <c r="J17" s="344"/>
      <c r="K17" s="344"/>
      <c r="L17" s="344"/>
      <c r="M17" s="344"/>
      <c r="N17" s="344"/>
      <c r="O17" s="344"/>
      <c r="P17" s="345">
        <f>SUM(compras_mes9[[#This Row],[NETO GRAVADO]:[Otros / No Grav.]])</f>
        <v>46464</v>
      </c>
      <c r="Q17" s="346" t="str">
        <f>IFERROR(IF(compras_mes9[[#This Row],[CUIT]]="","-",VLOOKUP(compras_mes9[[#This Row],[CUIT]],Lista_CUIT[#All],3,0)),"CUIT NO CARGADO")</f>
        <v>Alquiler</v>
      </c>
      <c r="R17" s="346">
        <f>IFERROR(IF(compras_mes9[[#This Row],[CUIT]]="","-",VLOOKUP(compras_mes9[[#This Row],[CUIT]],Lista_CUIT[#All],4,0)),"CUIT NO CARGADO")</f>
        <v>0</v>
      </c>
    </row>
    <row r="18" spans="2:18" x14ac:dyDescent="0.3">
      <c r="B18" s="337">
        <v>44917</v>
      </c>
      <c r="C18" s="338">
        <v>1</v>
      </c>
      <c r="D18" s="339">
        <v>1</v>
      </c>
      <c r="E18" s="340">
        <v>547</v>
      </c>
      <c r="F18" s="341">
        <v>30715048066</v>
      </c>
      <c r="G18" s="342" t="str">
        <f>IFERROR(IF(compras_mes9[[#This Row],[CUIT]]="","-",VLOOKUP(compras_mes9[[#This Row],[CUIT]],Lista_CUIT[#All],2,0)),"CUIT NO CARGADO")</f>
        <v>ROLLS Y EMPANADAS SA</v>
      </c>
      <c r="H18" s="343">
        <v>314665</v>
      </c>
      <c r="I18" s="344">
        <f>IF(compras_mes9[[#This Row],[NETO GRAVADO]]="","",compras_mes9[[#This Row],[NETO GRAVADO]]*0.21)</f>
        <v>66079.649999999994</v>
      </c>
      <c r="J18" s="344"/>
      <c r="K18" s="344"/>
      <c r="L18" s="344"/>
      <c r="M18" s="344"/>
      <c r="N18" s="344"/>
      <c r="O18" s="344"/>
      <c r="P18" s="345">
        <f>SUM(compras_mes9[[#This Row],[NETO GRAVADO]:[Otros / No Grav.]])</f>
        <v>380744.65</v>
      </c>
      <c r="Q18" s="346" t="str">
        <f>IFERROR(IF(compras_mes9[[#This Row],[CUIT]]="","-",VLOOKUP(compras_mes9[[#This Row],[CUIT]],Lista_CUIT[#All],3,0)),"CUIT NO CARGADO")</f>
        <v>Catering</v>
      </c>
      <c r="R18" s="346">
        <f>IFERROR(IF(compras_mes9[[#This Row],[CUIT]]="","-",VLOOKUP(compras_mes9[[#This Row],[CUIT]],Lista_CUIT[#All],4,0)),"CUIT NO CARGADO")</f>
        <v>0</v>
      </c>
    </row>
    <row r="19" spans="2:18" x14ac:dyDescent="0.3">
      <c r="B19" s="337">
        <v>44917</v>
      </c>
      <c r="C19" s="338">
        <v>1</v>
      </c>
      <c r="D19" s="339">
        <v>1</v>
      </c>
      <c r="E19" s="340">
        <v>546</v>
      </c>
      <c r="F19" s="341">
        <v>30715048066</v>
      </c>
      <c r="G19" s="342" t="str">
        <f>IFERROR(IF(compras_mes9[[#This Row],[CUIT]]="","-",VLOOKUP(compras_mes9[[#This Row],[CUIT]],Lista_CUIT[#All],2,0)),"CUIT NO CARGADO")</f>
        <v>ROLLS Y EMPANADAS SA</v>
      </c>
      <c r="H19" s="343">
        <v>286470</v>
      </c>
      <c r="I19" s="344">
        <f>IF(compras_mes9[[#This Row],[NETO GRAVADO]]="","",compras_mes9[[#This Row],[NETO GRAVADO]]*0.21)</f>
        <v>60158.7</v>
      </c>
      <c r="J19" s="344"/>
      <c r="K19" s="344"/>
      <c r="L19" s="344"/>
      <c r="M19" s="344"/>
      <c r="N19" s="344"/>
      <c r="O19" s="344"/>
      <c r="P19" s="345">
        <f>SUM(compras_mes9[[#This Row],[NETO GRAVADO]:[Otros / No Grav.]])</f>
        <v>346628.7</v>
      </c>
      <c r="Q19" s="346" t="str">
        <f>IFERROR(IF(compras_mes9[[#This Row],[CUIT]]="","-",VLOOKUP(compras_mes9[[#This Row],[CUIT]],Lista_CUIT[#All],3,0)),"CUIT NO CARGADO")</f>
        <v>Catering</v>
      </c>
      <c r="R19" s="346">
        <f>IFERROR(IF(compras_mes9[[#This Row],[CUIT]]="","-",VLOOKUP(compras_mes9[[#This Row],[CUIT]],Lista_CUIT[#All],4,0)),"CUIT NO CARGADO")</f>
        <v>0</v>
      </c>
    </row>
    <row r="20" spans="2:18" x14ac:dyDescent="0.3">
      <c r="B20" s="337">
        <v>44917</v>
      </c>
      <c r="C20" s="338">
        <v>1</v>
      </c>
      <c r="D20" s="339">
        <v>1</v>
      </c>
      <c r="E20" s="340">
        <v>545</v>
      </c>
      <c r="F20" s="341">
        <v>30715048066</v>
      </c>
      <c r="G20" s="342" t="str">
        <f>IFERROR(IF(compras_mes9[[#This Row],[CUIT]]="","-",VLOOKUP(compras_mes9[[#This Row],[CUIT]],Lista_CUIT[#All],2,0)),"CUIT NO CARGADO")</f>
        <v>ROLLS Y EMPANADAS SA</v>
      </c>
      <c r="H20" s="343">
        <v>314210</v>
      </c>
      <c r="I20" s="344">
        <f>IF(compras_mes9[[#This Row],[NETO GRAVADO]]="","",compras_mes9[[#This Row],[NETO GRAVADO]]*0.21)</f>
        <v>65984.099999999991</v>
      </c>
      <c r="J20" s="344"/>
      <c r="K20" s="344"/>
      <c r="L20" s="344"/>
      <c r="M20" s="344"/>
      <c r="N20" s="344"/>
      <c r="O20" s="344"/>
      <c r="P20" s="345">
        <f>SUM(compras_mes9[[#This Row],[NETO GRAVADO]:[Otros / No Grav.]])</f>
        <v>380194.1</v>
      </c>
      <c r="Q20" s="346" t="str">
        <f>IFERROR(IF(compras_mes9[[#This Row],[CUIT]]="","-",VLOOKUP(compras_mes9[[#This Row],[CUIT]],Lista_CUIT[#All],3,0)),"CUIT NO CARGADO")</f>
        <v>Catering</v>
      </c>
      <c r="R20" s="346">
        <f>IFERROR(IF(compras_mes9[[#This Row],[CUIT]]="","-",VLOOKUP(compras_mes9[[#This Row],[CUIT]],Lista_CUIT[#All],4,0)),"CUIT NO CARGADO")</f>
        <v>0</v>
      </c>
    </row>
    <row r="21" spans="2:18" x14ac:dyDescent="0.3">
      <c r="B21" s="337">
        <v>44923</v>
      </c>
      <c r="C21" s="338">
        <v>1</v>
      </c>
      <c r="D21" s="339">
        <v>1</v>
      </c>
      <c r="E21" s="340">
        <v>549</v>
      </c>
      <c r="F21" s="341">
        <v>30715048066</v>
      </c>
      <c r="G21" s="342" t="str">
        <f>IFERROR(IF(compras_mes9[[#This Row],[CUIT]]="","-",VLOOKUP(compras_mes9[[#This Row],[CUIT]],Lista_CUIT[#All],2,0)),"CUIT NO CARGADO")</f>
        <v>ROLLS Y EMPANADAS SA</v>
      </c>
      <c r="H21" s="343">
        <v>385665</v>
      </c>
      <c r="I21" s="344">
        <f>IF(compras_mes9[[#This Row],[NETO GRAVADO]]="","",compras_mes9[[#This Row],[NETO GRAVADO]]*0.21)</f>
        <v>80989.649999999994</v>
      </c>
      <c r="J21" s="344"/>
      <c r="K21" s="344"/>
      <c r="L21" s="344"/>
      <c r="M21" s="344"/>
      <c r="N21" s="344"/>
      <c r="O21" s="344"/>
      <c r="P21" s="345">
        <f>SUM(compras_mes9[[#This Row],[NETO GRAVADO]:[Otros / No Grav.]])</f>
        <v>466654.65</v>
      </c>
      <c r="Q21" s="346" t="str">
        <f>IFERROR(IF(compras_mes9[[#This Row],[CUIT]]="","-",VLOOKUP(compras_mes9[[#This Row],[CUIT]],Lista_CUIT[#All],3,0)),"CUIT NO CARGADO")</f>
        <v>Catering</v>
      </c>
      <c r="R21" s="346">
        <f>IFERROR(IF(compras_mes9[[#This Row],[CUIT]]="","-",VLOOKUP(compras_mes9[[#This Row],[CUIT]],Lista_CUIT[#All],4,0)),"CUIT NO CARGADO")</f>
        <v>0</v>
      </c>
    </row>
    <row r="22" spans="2:18" x14ac:dyDescent="0.3">
      <c r="B22" s="337">
        <v>44923</v>
      </c>
      <c r="C22" s="338">
        <v>1</v>
      </c>
      <c r="D22" s="339">
        <v>1</v>
      </c>
      <c r="E22" s="340">
        <v>551</v>
      </c>
      <c r="F22" s="341">
        <v>30715048066</v>
      </c>
      <c r="G22" s="342" t="str">
        <f>IFERROR(IF(compras_mes9[[#This Row],[CUIT]]="","-",VLOOKUP(compras_mes9[[#This Row],[CUIT]],Lista_CUIT[#All],2,0)),"CUIT NO CARGADO")</f>
        <v>ROLLS Y EMPANADAS SA</v>
      </c>
      <c r="H22" s="343">
        <v>385665</v>
      </c>
      <c r="I22" s="344">
        <f>IF(compras_mes9[[#This Row],[NETO GRAVADO]]="","",compras_mes9[[#This Row],[NETO GRAVADO]]*0.21)</f>
        <v>80989.649999999994</v>
      </c>
      <c r="J22" s="344"/>
      <c r="K22" s="344"/>
      <c r="L22" s="344"/>
      <c r="M22" s="344"/>
      <c r="N22" s="344"/>
      <c r="O22" s="344"/>
      <c r="P22" s="345">
        <f>SUM(compras_mes9[[#This Row],[NETO GRAVADO]:[Otros / No Grav.]])</f>
        <v>466654.65</v>
      </c>
      <c r="Q22" s="346" t="str">
        <f>IFERROR(IF(compras_mes9[[#This Row],[CUIT]]="","-",VLOOKUP(compras_mes9[[#This Row],[CUIT]],Lista_CUIT[#All],3,0)),"CUIT NO CARGADO")</f>
        <v>Catering</v>
      </c>
      <c r="R22" s="346">
        <f>IFERROR(IF(compras_mes9[[#This Row],[CUIT]]="","-",VLOOKUP(compras_mes9[[#This Row],[CUIT]],Lista_CUIT[#All],4,0)),"CUIT NO CARGADO")</f>
        <v>0</v>
      </c>
    </row>
    <row r="23" spans="2:18" x14ac:dyDescent="0.3">
      <c r="B23" s="36">
        <v>44924</v>
      </c>
      <c r="C23" s="37">
        <v>3</v>
      </c>
      <c r="D23" s="38">
        <v>1</v>
      </c>
      <c r="E23" s="39">
        <v>26</v>
      </c>
      <c r="F23" s="40">
        <v>30715048066</v>
      </c>
      <c r="G23" s="41" t="str">
        <f>IFERROR(IF(compras_mes9[[#This Row],[CUIT]]="","-",VLOOKUP(compras_mes9[[#This Row],[CUIT]],Lista_CUIT[#All],2,0)),"CUIT NO CARGADO")</f>
        <v>ROLLS Y EMPANADAS SA</v>
      </c>
      <c r="H23" s="42">
        <v>-385665</v>
      </c>
      <c r="I23" s="81">
        <f>IF(compras_mes9[[#This Row],[NETO GRAVADO]]="","",compras_mes9[[#This Row],[NETO GRAVADO]]*0.21)</f>
        <v>-80989.649999999994</v>
      </c>
      <c r="J23" s="81"/>
      <c r="K23" s="81"/>
      <c r="L23" s="81"/>
      <c r="M23" s="81"/>
      <c r="N23" s="81"/>
      <c r="O23" s="81"/>
      <c r="P23" s="44">
        <f>SUM(compras_mes9[[#This Row],[NETO GRAVADO]:[Otros / No Grav.]])</f>
        <v>-466654.65</v>
      </c>
      <c r="Q23" s="45" t="str">
        <f>IFERROR(IF(compras_mes9[[#This Row],[CUIT]]="","-",VLOOKUP(compras_mes9[[#This Row],[CUIT]],Lista_CUIT[#All],3,0)),"CUIT NO CARGADO")</f>
        <v>Catering</v>
      </c>
      <c r="R23" s="45">
        <f>IFERROR(IF(compras_mes9[[#This Row],[CUIT]]="","-",VLOOKUP(compras_mes9[[#This Row],[CUIT]],Lista_CUIT[#All],4,0)),"CUIT NO CARGADO")</f>
        <v>0</v>
      </c>
    </row>
    <row r="24" spans="2:18" x14ac:dyDescent="0.3">
      <c r="B24" s="337">
        <v>44897</v>
      </c>
      <c r="C24" s="338">
        <v>1</v>
      </c>
      <c r="D24" s="339">
        <v>2036</v>
      </c>
      <c r="E24" s="340">
        <v>28853</v>
      </c>
      <c r="F24" s="341">
        <v>30516186670</v>
      </c>
      <c r="G24" s="342" t="str">
        <f>IFERROR(IF(compras_mes9[[#This Row],[CUIT]]="","-",VLOOKUP(compras_mes9[[#This Row],[CUIT]],Lista_CUIT[#All],2,0)),"CUIT NO CARGADO")</f>
        <v>DEHEZA S.A.I.C.F. e I.</v>
      </c>
      <c r="H24" s="343">
        <v>1046.92</v>
      </c>
      <c r="I24" s="344">
        <f>IF(compras_mes9[[#This Row],[NETO GRAVADO]]="","",compras_mes9[[#This Row],[NETO GRAVADO]]*0.21)</f>
        <v>219.85320000000002</v>
      </c>
      <c r="J24" s="344"/>
      <c r="K24" s="344"/>
      <c r="L24" s="344"/>
      <c r="M24" s="344">
        <v>233.14</v>
      </c>
      <c r="N24" s="344">
        <v>76.8</v>
      </c>
      <c r="O24" s="344"/>
      <c r="P24" s="345">
        <f>SUM(compras_mes9[[#This Row],[NETO GRAVADO]:[Otros / No Grav.]])</f>
        <v>1576.7131999999999</v>
      </c>
      <c r="Q24" s="346" t="str">
        <f>IFERROR(IF(compras_mes9[[#This Row],[CUIT]]="","-",VLOOKUP(compras_mes9[[#This Row],[CUIT]],Lista_CUIT[#All],3,0)),"CUIT NO CARGADO")</f>
        <v>Combustible</v>
      </c>
      <c r="R24" s="346">
        <f>IFERROR(IF(compras_mes9[[#This Row],[CUIT]]="","-",VLOOKUP(compras_mes9[[#This Row],[CUIT]],Lista_CUIT[#All],4,0)),"CUIT NO CARGADO")</f>
        <v>0</v>
      </c>
    </row>
    <row r="25" spans="2:18" x14ac:dyDescent="0.3">
      <c r="B25" s="337">
        <v>44905</v>
      </c>
      <c r="C25" s="338">
        <v>1</v>
      </c>
      <c r="D25" s="339">
        <v>2036</v>
      </c>
      <c r="E25" s="340">
        <v>29284</v>
      </c>
      <c r="F25" s="341">
        <v>30516186670</v>
      </c>
      <c r="G25" s="342" t="str">
        <f>IFERROR(IF(compras_mes9[[#This Row],[CUIT]]="","-",VLOOKUP(compras_mes9[[#This Row],[CUIT]],Lista_CUIT[#All],2,0)),"CUIT NO CARGADO")</f>
        <v>DEHEZA S.A.I.C.F. e I.</v>
      </c>
      <c r="H25" s="343">
        <v>1046.92</v>
      </c>
      <c r="I25" s="344">
        <f>IF(compras_mes9[[#This Row],[NETO GRAVADO]]="","",compras_mes9[[#This Row],[NETO GRAVADO]]*0.21)</f>
        <v>219.85320000000002</v>
      </c>
      <c r="J25" s="344"/>
      <c r="K25" s="344"/>
      <c r="L25" s="344"/>
      <c r="M25" s="344">
        <v>233.14</v>
      </c>
      <c r="N25" s="344">
        <v>76.8</v>
      </c>
      <c r="O25" s="344"/>
      <c r="P25" s="345">
        <f>SUM(compras_mes9[[#This Row],[NETO GRAVADO]:[Otros / No Grav.]])</f>
        <v>1576.7131999999999</v>
      </c>
      <c r="Q25" s="346" t="str">
        <f>IFERROR(IF(compras_mes9[[#This Row],[CUIT]]="","-",VLOOKUP(compras_mes9[[#This Row],[CUIT]],Lista_CUIT[#All],3,0)),"CUIT NO CARGADO")</f>
        <v>Combustible</v>
      </c>
      <c r="R25" s="346">
        <f>IFERROR(IF(compras_mes9[[#This Row],[CUIT]]="","-",VLOOKUP(compras_mes9[[#This Row],[CUIT]],Lista_CUIT[#All],4,0)),"CUIT NO CARGADO")</f>
        <v>0</v>
      </c>
    </row>
    <row r="26" spans="2:18" x14ac:dyDescent="0.3">
      <c r="B26" s="337">
        <v>44906</v>
      </c>
      <c r="C26" s="338">
        <v>1</v>
      </c>
      <c r="D26" s="339">
        <v>6850</v>
      </c>
      <c r="E26" s="340">
        <v>11498</v>
      </c>
      <c r="F26" s="341">
        <v>30678774495</v>
      </c>
      <c r="G26" s="342" t="str">
        <f>IFERROR(IF(compras_mes9[[#This Row],[CUIT]]="","-",VLOOKUP(compras_mes9[[#This Row],[CUIT]],Lista_CUIT[#All],2,0)),"CUIT NO CARGADO")</f>
        <v>OPER. DE EST. DE SERV. SA</v>
      </c>
      <c r="H26" s="343">
        <v>6942.5</v>
      </c>
      <c r="I26" s="344">
        <f>IF(compras_mes9[[#This Row],[NETO GRAVADO]]="","",compras_mes9[[#This Row],[NETO GRAVADO]]*0.21)</f>
        <v>1457.925</v>
      </c>
      <c r="J26" s="344"/>
      <c r="K26" s="344"/>
      <c r="L26" s="344"/>
      <c r="M26" s="344"/>
      <c r="N26" s="344"/>
      <c r="O26" s="344">
        <v>1549.89</v>
      </c>
      <c r="P26" s="345">
        <f>SUM(compras_mes9[[#This Row],[NETO GRAVADO]:[Otros / No Grav.]])</f>
        <v>9950.3149999999987</v>
      </c>
      <c r="Q26" s="346" t="str">
        <f>IFERROR(IF(compras_mes9[[#This Row],[CUIT]]="","-",VLOOKUP(compras_mes9[[#This Row],[CUIT]],Lista_CUIT[#All],3,0)),"CUIT NO CARGADO")</f>
        <v>Combustible</v>
      </c>
      <c r="R26" s="346">
        <f>IFERROR(IF(compras_mes9[[#This Row],[CUIT]]="","-",VLOOKUP(compras_mes9[[#This Row],[CUIT]],Lista_CUIT[#All],4,0)),"CUIT NO CARGADO")</f>
        <v>0</v>
      </c>
    </row>
    <row r="27" spans="2:18" x14ac:dyDescent="0.3">
      <c r="B27" s="337">
        <v>44907</v>
      </c>
      <c r="C27" s="338">
        <v>1</v>
      </c>
      <c r="D27" s="339">
        <v>6852</v>
      </c>
      <c r="E27" s="340">
        <v>13856</v>
      </c>
      <c r="F27" s="341">
        <v>30678774495</v>
      </c>
      <c r="G27" s="342" t="str">
        <f>IFERROR(IF(compras_mes9[[#This Row],[CUIT]]="","-",VLOOKUP(compras_mes9[[#This Row],[CUIT]],Lista_CUIT[#All],2,0)),"CUIT NO CARGADO")</f>
        <v>OPER. DE EST. DE SERV. SA</v>
      </c>
      <c r="H27" s="343">
        <v>3979.14</v>
      </c>
      <c r="I27" s="344">
        <f>IF(compras_mes9[[#This Row],[NETO GRAVADO]]="","",compras_mes9[[#This Row],[NETO GRAVADO]]*0.21)</f>
        <v>835.61939999999993</v>
      </c>
      <c r="J27" s="344"/>
      <c r="K27" s="344"/>
      <c r="L27" s="344"/>
      <c r="M27" s="344"/>
      <c r="N27" s="344"/>
      <c r="O27" s="344">
        <v>888.33</v>
      </c>
      <c r="P27" s="345">
        <f>SUM(compras_mes9[[#This Row],[NETO GRAVADO]:[Otros / No Grav.]])</f>
        <v>5703.0893999999998</v>
      </c>
      <c r="Q27" s="346" t="str">
        <f>IFERROR(IF(compras_mes9[[#This Row],[CUIT]]="","-",VLOOKUP(compras_mes9[[#This Row],[CUIT]],Lista_CUIT[#All],3,0)),"CUIT NO CARGADO")</f>
        <v>Combustible</v>
      </c>
      <c r="R27" s="346">
        <f>IFERROR(IF(compras_mes9[[#This Row],[CUIT]]="","-",VLOOKUP(compras_mes9[[#This Row],[CUIT]],Lista_CUIT[#All],4,0)),"CUIT NO CARGADO")</f>
        <v>0</v>
      </c>
    </row>
    <row r="28" spans="2:18" x14ac:dyDescent="0.3">
      <c r="B28" s="337">
        <v>44912</v>
      </c>
      <c r="C28" s="338">
        <v>1</v>
      </c>
      <c r="D28" s="339">
        <v>6850</v>
      </c>
      <c r="E28" s="340">
        <v>11671</v>
      </c>
      <c r="F28" s="341">
        <v>30678774495</v>
      </c>
      <c r="G28" s="342" t="str">
        <f>IFERROR(IF(compras_mes9[[#This Row],[CUIT]]="","-",VLOOKUP(compras_mes9[[#This Row],[CUIT]],Lista_CUIT[#All],2,0)),"CUIT NO CARGADO")</f>
        <v>OPER. DE EST. DE SERV. SA</v>
      </c>
      <c r="H28" s="343">
        <v>1046.57</v>
      </c>
      <c r="I28" s="344">
        <f>IF(compras_mes9[[#This Row],[NETO GRAVADO]]="","",compras_mes9[[#This Row],[NETO GRAVADO]]*0.21)</f>
        <v>219.77969999999999</v>
      </c>
      <c r="J28" s="344"/>
      <c r="K28" s="344"/>
      <c r="L28" s="344"/>
      <c r="M28" s="344"/>
      <c r="N28" s="344"/>
      <c r="O28" s="344">
        <v>233.66</v>
      </c>
      <c r="P28" s="345">
        <f>SUM(compras_mes9[[#This Row],[NETO GRAVADO]:[Otros / No Grav.]])</f>
        <v>1500.0097000000001</v>
      </c>
      <c r="Q28" s="346" t="str">
        <f>IFERROR(IF(compras_mes9[[#This Row],[CUIT]]="","-",VLOOKUP(compras_mes9[[#This Row],[CUIT]],Lista_CUIT[#All],3,0)),"CUIT NO CARGADO")</f>
        <v>Combustible</v>
      </c>
      <c r="R28" s="346">
        <f>IFERROR(IF(compras_mes9[[#This Row],[CUIT]]="","-",VLOOKUP(compras_mes9[[#This Row],[CUIT]],Lista_CUIT[#All],4,0)),"CUIT NO CARGADO")</f>
        <v>0</v>
      </c>
    </row>
    <row r="29" spans="2:18" x14ac:dyDescent="0.3">
      <c r="B29" s="337">
        <v>44921</v>
      </c>
      <c r="C29" s="338">
        <v>1</v>
      </c>
      <c r="D29" s="339">
        <v>6852</v>
      </c>
      <c r="E29" s="340">
        <v>14180</v>
      </c>
      <c r="F29" s="341">
        <v>30678774495</v>
      </c>
      <c r="G29" s="342" t="str">
        <f>IFERROR(IF(compras_mes9[[#This Row],[CUIT]]="","-",VLOOKUP(compras_mes9[[#This Row],[CUIT]],Lista_CUIT[#All],2,0)),"CUIT NO CARGADO")</f>
        <v>OPER. DE EST. DE SERV. SA</v>
      </c>
      <c r="H29" s="343">
        <v>1046.57</v>
      </c>
      <c r="I29" s="344">
        <f>IF(compras_mes9[[#This Row],[NETO GRAVADO]]="","",compras_mes9[[#This Row],[NETO GRAVADO]]*0.21)</f>
        <v>219.77969999999999</v>
      </c>
      <c r="J29" s="344"/>
      <c r="K29" s="344"/>
      <c r="L29" s="344"/>
      <c r="M29" s="344"/>
      <c r="N29" s="344"/>
      <c r="O29" s="344">
        <v>233.65</v>
      </c>
      <c r="P29" s="345">
        <f>SUM(compras_mes9[[#This Row],[NETO GRAVADO]:[Otros / No Grav.]])</f>
        <v>1499.9997000000001</v>
      </c>
      <c r="Q29" s="346" t="str">
        <f>IFERROR(IF(compras_mes9[[#This Row],[CUIT]]="","-",VLOOKUP(compras_mes9[[#This Row],[CUIT]],Lista_CUIT[#All],3,0)),"CUIT NO CARGADO")</f>
        <v>Combustible</v>
      </c>
      <c r="R29" s="346">
        <f>IFERROR(IF(compras_mes9[[#This Row],[CUIT]]="","-",VLOOKUP(compras_mes9[[#This Row],[CUIT]],Lista_CUIT[#All],4,0)),"CUIT NO CARGADO")</f>
        <v>0</v>
      </c>
    </row>
    <row r="30" spans="2:18" x14ac:dyDescent="0.3">
      <c r="B30" s="337">
        <v>44897</v>
      </c>
      <c r="C30" s="338">
        <v>1</v>
      </c>
      <c r="D30" s="339">
        <v>5</v>
      </c>
      <c r="E30" s="340">
        <v>77</v>
      </c>
      <c r="F30" s="341">
        <v>30716654105</v>
      </c>
      <c r="G30" s="342" t="str">
        <f>IFERROR(IF(compras_mes9[[#This Row],[CUIT]]="","-",VLOOKUP(compras_mes9[[#This Row],[CUIT]],Lista_CUIT[#All],2,0)),"CUIT NO CARGADO")</f>
        <v>CARNICA DEL NORTE S.R.L.</v>
      </c>
      <c r="H30" s="343">
        <v>3318.73</v>
      </c>
      <c r="I30" s="344"/>
      <c r="J30" s="344"/>
      <c r="K30" s="344">
        <v>348.46665000000002</v>
      </c>
      <c r="L30" s="344"/>
      <c r="M30" s="344"/>
      <c r="N30" s="344"/>
      <c r="O30" s="344"/>
      <c r="P30" s="345">
        <f>SUM(compras_mes9[[#This Row],[NETO GRAVADO]:[Otros / No Grav.]])</f>
        <v>3667.1966499999999</v>
      </c>
      <c r="Q30" s="346" t="str">
        <f>IFERROR(IF(compras_mes9[[#This Row],[CUIT]]="","-",VLOOKUP(compras_mes9[[#This Row],[CUIT]],Lista_CUIT[#All],3,0)),"CUIT NO CARGADO")</f>
        <v>Comida</v>
      </c>
      <c r="R30" s="346">
        <f>IFERROR(IF(compras_mes9[[#This Row],[CUIT]]="","-",VLOOKUP(compras_mes9[[#This Row],[CUIT]],Lista_CUIT[#All],4,0)),"CUIT NO CARGADO")</f>
        <v>0</v>
      </c>
    </row>
    <row r="31" spans="2:18" x14ac:dyDescent="0.3">
      <c r="B31" s="337">
        <v>44900</v>
      </c>
      <c r="C31" s="338">
        <v>1</v>
      </c>
      <c r="D31" s="339">
        <v>5</v>
      </c>
      <c r="E31" s="340">
        <v>84</v>
      </c>
      <c r="F31" s="341">
        <v>30716654105</v>
      </c>
      <c r="G31" s="342" t="str">
        <f>IFERROR(IF(compras_mes9[[#This Row],[CUIT]]="","-",VLOOKUP(compras_mes9[[#This Row],[CUIT]],Lista_CUIT[#All],2,0)),"CUIT NO CARGADO")</f>
        <v>CARNICA DEL NORTE S.R.L.</v>
      </c>
      <c r="H31" s="343">
        <v>5174.79</v>
      </c>
      <c r="I31" s="344"/>
      <c r="J31" s="344"/>
      <c r="K31" s="344">
        <v>543.35</v>
      </c>
      <c r="L31" s="344"/>
      <c r="M31" s="344"/>
      <c r="N31" s="344"/>
      <c r="O31" s="344"/>
      <c r="P31" s="345">
        <f>SUM(compras_mes9[[#This Row],[NETO GRAVADO]:[Otros / No Grav.]])</f>
        <v>5718.14</v>
      </c>
      <c r="Q31" s="346" t="str">
        <f>IFERROR(IF(compras_mes9[[#This Row],[CUIT]]="","-",VLOOKUP(compras_mes9[[#This Row],[CUIT]],Lista_CUIT[#All],3,0)),"CUIT NO CARGADO")</f>
        <v>Comida</v>
      </c>
      <c r="R31" s="346">
        <f>IFERROR(IF(compras_mes9[[#This Row],[CUIT]]="","-",VLOOKUP(compras_mes9[[#This Row],[CUIT]],Lista_CUIT[#All],4,0)),"CUIT NO CARGADO")</f>
        <v>0</v>
      </c>
    </row>
    <row r="32" spans="2:18" x14ac:dyDescent="0.3">
      <c r="B32" s="337">
        <v>44902</v>
      </c>
      <c r="C32" s="338">
        <v>1</v>
      </c>
      <c r="D32" s="339">
        <v>5</v>
      </c>
      <c r="E32" s="340">
        <v>92</v>
      </c>
      <c r="F32" s="341">
        <v>30716654105</v>
      </c>
      <c r="G32" s="342" t="str">
        <f>IFERROR(IF(compras_mes9[[#This Row],[CUIT]]="","-",VLOOKUP(compras_mes9[[#This Row],[CUIT]],Lista_CUIT[#All],2,0)),"CUIT NO CARGADO")</f>
        <v>CARNICA DEL NORTE S.R.L.</v>
      </c>
      <c r="H32" s="343">
        <v>11820.27</v>
      </c>
      <c r="I32" s="344"/>
      <c r="J32" s="344"/>
      <c r="K32" s="344">
        <v>1241.1300000000001</v>
      </c>
      <c r="L32" s="344"/>
      <c r="M32" s="344"/>
      <c r="N32" s="344"/>
      <c r="O32" s="344"/>
      <c r="P32" s="345">
        <f>SUM(compras_mes9[[#This Row],[NETO GRAVADO]:[Otros / No Grav.]])</f>
        <v>13061.400000000001</v>
      </c>
      <c r="Q32" s="346" t="str">
        <f>IFERROR(IF(compras_mes9[[#This Row],[CUIT]]="","-",VLOOKUP(compras_mes9[[#This Row],[CUIT]],Lista_CUIT[#All],3,0)),"CUIT NO CARGADO")</f>
        <v>Comida</v>
      </c>
      <c r="R32" s="346">
        <f>IFERROR(IF(compras_mes9[[#This Row],[CUIT]]="","-",VLOOKUP(compras_mes9[[#This Row],[CUIT]],Lista_CUIT[#All],4,0)),"CUIT NO CARGADO")</f>
        <v>0</v>
      </c>
    </row>
    <row r="33" spans="2:18" x14ac:dyDescent="0.3">
      <c r="B33" s="337">
        <v>44902</v>
      </c>
      <c r="C33" s="338">
        <v>1</v>
      </c>
      <c r="D33" s="339">
        <v>5</v>
      </c>
      <c r="E33" s="340">
        <v>91</v>
      </c>
      <c r="F33" s="341">
        <v>30716654105</v>
      </c>
      <c r="G33" s="342" t="str">
        <f>IFERROR(IF(compras_mes9[[#This Row],[CUIT]]="","-",VLOOKUP(compras_mes9[[#This Row],[CUIT]],Lista_CUIT[#All],2,0)),"CUIT NO CARGADO")</f>
        <v>CARNICA DEL NORTE S.R.L.</v>
      </c>
      <c r="H33" s="343">
        <v>11820.27</v>
      </c>
      <c r="I33" s="344"/>
      <c r="J33" s="344"/>
      <c r="K33" s="344">
        <v>1241.1300000000001</v>
      </c>
      <c r="L33" s="344"/>
      <c r="M33" s="344"/>
      <c r="N33" s="344"/>
      <c r="O33" s="344"/>
      <c r="P33" s="345">
        <f>SUM(compras_mes9[[#This Row],[NETO GRAVADO]:[Otros / No Grav.]])</f>
        <v>13061.400000000001</v>
      </c>
      <c r="Q33" s="346" t="str">
        <f>IFERROR(IF(compras_mes9[[#This Row],[CUIT]]="","-",VLOOKUP(compras_mes9[[#This Row],[CUIT]],Lista_CUIT[#All],3,0)),"CUIT NO CARGADO")</f>
        <v>Comida</v>
      </c>
      <c r="R33" s="346">
        <f>IFERROR(IF(compras_mes9[[#This Row],[CUIT]]="","-",VLOOKUP(compras_mes9[[#This Row],[CUIT]],Lista_CUIT[#All],4,0)),"CUIT NO CARGADO")</f>
        <v>0</v>
      </c>
    </row>
    <row r="34" spans="2:18" x14ac:dyDescent="0.3">
      <c r="B34" s="337">
        <v>44909</v>
      </c>
      <c r="C34" s="338">
        <v>1</v>
      </c>
      <c r="D34" s="339">
        <v>5</v>
      </c>
      <c r="E34" s="340">
        <v>104</v>
      </c>
      <c r="F34" s="341">
        <v>30716654105</v>
      </c>
      <c r="G34" s="342" t="str">
        <f>IFERROR(IF(compras_mes9[[#This Row],[CUIT]]="","-",VLOOKUP(compras_mes9[[#This Row],[CUIT]],Lista_CUIT[#All],2,0)),"CUIT NO CARGADO")</f>
        <v>CARNICA DEL NORTE S.R.L.</v>
      </c>
      <c r="H34" s="343">
        <v>2746.6</v>
      </c>
      <c r="I34" s="344"/>
      <c r="J34" s="344"/>
      <c r="K34" s="344">
        <v>288.39</v>
      </c>
      <c r="L34" s="344"/>
      <c r="M34" s="344"/>
      <c r="N34" s="344"/>
      <c r="O34" s="344"/>
      <c r="P34" s="345">
        <f>SUM(compras_mes9[[#This Row],[NETO GRAVADO]:[Otros / No Grav.]])</f>
        <v>3034.99</v>
      </c>
      <c r="Q34" s="346" t="str">
        <f>IFERROR(IF(compras_mes9[[#This Row],[CUIT]]="","-",VLOOKUP(compras_mes9[[#This Row],[CUIT]],Lista_CUIT[#All],3,0)),"CUIT NO CARGADO")</f>
        <v>Comida</v>
      </c>
      <c r="R34" s="346">
        <f>IFERROR(IF(compras_mes9[[#This Row],[CUIT]]="","-",VLOOKUP(compras_mes9[[#This Row],[CUIT]],Lista_CUIT[#All],4,0)),"CUIT NO CARGADO")</f>
        <v>0</v>
      </c>
    </row>
    <row r="35" spans="2:18" x14ac:dyDescent="0.3">
      <c r="B35" s="337">
        <v>44918</v>
      </c>
      <c r="C35" s="338">
        <v>1</v>
      </c>
      <c r="D35" s="339">
        <v>5</v>
      </c>
      <c r="E35" s="340">
        <v>131</v>
      </c>
      <c r="F35" s="341">
        <v>30716654105</v>
      </c>
      <c r="G35" s="342" t="str">
        <f>IFERROR(IF(compras_mes9[[#This Row],[CUIT]]="","-",VLOOKUP(compras_mes9[[#This Row],[CUIT]],Lista_CUIT[#All],2,0)),"CUIT NO CARGADO")</f>
        <v>CARNICA DEL NORTE S.R.L.</v>
      </c>
      <c r="H35" s="343">
        <v>4403.1400000000003</v>
      </c>
      <c r="I35" s="344"/>
      <c r="J35" s="344"/>
      <c r="K35" s="344">
        <v>462.33</v>
      </c>
      <c r="L35" s="344"/>
      <c r="M35" s="344"/>
      <c r="N35" s="344"/>
      <c r="O35" s="344"/>
      <c r="P35" s="345">
        <f>SUM(compras_mes9[[#This Row],[NETO GRAVADO]:[Otros / No Grav.]])</f>
        <v>4865.47</v>
      </c>
      <c r="Q35" s="346" t="str">
        <f>IFERROR(IF(compras_mes9[[#This Row],[CUIT]]="","-",VLOOKUP(compras_mes9[[#This Row],[CUIT]],Lista_CUIT[#All],3,0)),"CUIT NO CARGADO")</f>
        <v>Comida</v>
      </c>
      <c r="R35" s="346">
        <f>IFERROR(IF(compras_mes9[[#This Row],[CUIT]]="","-",VLOOKUP(compras_mes9[[#This Row],[CUIT]],Lista_CUIT[#All],4,0)),"CUIT NO CARGADO")</f>
        <v>0</v>
      </c>
    </row>
    <row r="36" spans="2:18" x14ac:dyDescent="0.3">
      <c r="B36" s="337">
        <v>44922</v>
      </c>
      <c r="C36" s="338">
        <v>1</v>
      </c>
      <c r="D36" s="339">
        <v>5</v>
      </c>
      <c r="E36" s="340">
        <v>141</v>
      </c>
      <c r="F36" s="341">
        <v>30716654105</v>
      </c>
      <c r="G36" s="342" t="str">
        <f>IFERROR(IF(compras_mes9[[#This Row],[CUIT]]="","-",VLOOKUP(compras_mes9[[#This Row],[CUIT]],Lista_CUIT[#All],2,0)),"CUIT NO CARGADO")</f>
        <v>CARNICA DEL NORTE S.R.L.</v>
      </c>
      <c r="H36" s="343">
        <v>1967.05</v>
      </c>
      <c r="I36" s="344"/>
      <c r="J36" s="344"/>
      <c r="K36" s="344">
        <v>206.54</v>
      </c>
      <c r="L36" s="344"/>
      <c r="M36" s="344"/>
      <c r="N36" s="344"/>
      <c r="O36" s="344"/>
      <c r="P36" s="345">
        <f>SUM(compras_mes9[[#This Row],[NETO GRAVADO]:[Otros / No Grav.]])</f>
        <v>2173.59</v>
      </c>
      <c r="Q36" s="346" t="str">
        <f>IFERROR(IF(compras_mes9[[#This Row],[CUIT]]="","-",VLOOKUP(compras_mes9[[#This Row],[CUIT]],Lista_CUIT[#All],3,0)),"CUIT NO CARGADO")</f>
        <v>Comida</v>
      </c>
      <c r="R36" s="346">
        <f>IFERROR(IF(compras_mes9[[#This Row],[CUIT]]="","-",VLOOKUP(compras_mes9[[#This Row],[CUIT]],Lista_CUIT[#All],4,0)),"CUIT NO CARGADO")</f>
        <v>0</v>
      </c>
    </row>
    <row r="37" spans="2:18" x14ac:dyDescent="0.3">
      <c r="B37" s="337">
        <v>44925</v>
      </c>
      <c r="C37" s="338">
        <v>1</v>
      </c>
      <c r="D37" s="339">
        <v>5</v>
      </c>
      <c r="E37" s="340">
        <v>147</v>
      </c>
      <c r="F37" s="341">
        <v>30716654105</v>
      </c>
      <c r="G37" s="342" t="str">
        <f>IFERROR(IF(compras_mes9[[#This Row],[CUIT]]="","-",VLOOKUP(compras_mes9[[#This Row],[CUIT]],Lista_CUIT[#All],2,0)),"CUIT NO CARGADO")</f>
        <v>CARNICA DEL NORTE S.R.L.</v>
      </c>
      <c r="H37" s="343">
        <v>5226.97</v>
      </c>
      <c r="I37" s="344"/>
      <c r="J37" s="344"/>
      <c r="K37" s="344">
        <v>548.83000000000004</v>
      </c>
      <c r="L37" s="344"/>
      <c r="M37" s="344"/>
      <c r="N37" s="344"/>
      <c r="O37" s="344"/>
      <c r="P37" s="345">
        <f>SUM(compras_mes9[[#This Row],[NETO GRAVADO]:[Otros / No Grav.]])</f>
        <v>5775.8</v>
      </c>
      <c r="Q37" s="346" t="str">
        <f>IFERROR(IF(compras_mes9[[#This Row],[CUIT]]="","-",VLOOKUP(compras_mes9[[#This Row],[CUIT]],Lista_CUIT[#All],3,0)),"CUIT NO CARGADO")</f>
        <v>Comida</v>
      </c>
      <c r="R37" s="346">
        <f>IFERROR(IF(compras_mes9[[#This Row],[CUIT]]="","-",VLOOKUP(compras_mes9[[#This Row],[CUIT]],Lista_CUIT[#All],4,0)),"CUIT NO CARGADO")</f>
        <v>0</v>
      </c>
    </row>
    <row r="38" spans="2:18" x14ac:dyDescent="0.3">
      <c r="B38" s="337">
        <v>44902</v>
      </c>
      <c r="C38" s="338">
        <v>3</v>
      </c>
      <c r="D38" s="339">
        <v>5</v>
      </c>
      <c r="E38" s="340">
        <v>2</v>
      </c>
      <c r="F38" s="341">
        <v>30716654105</v>
      </c>
      <c r="G38" s="342" t="str">
        <f>IFERROR(IF(compras_mes9[[#This Row],[CUIT]]="","-",VLOOKUP(compras_mes9[[#This Row],[CUIT]],Lista_CUIT[#All],2,0)),"CUIT NO CARGADO")</f>
        <v>CARNICA DEL NORTE S.R.L.</v>
      </c>
      <c r="H38" s="343">
        <v>-11820.27</v>
      </c>
      <c r="I38" s="344"/>
      <c r="J38" s="344"/>
      <c r="K38" s="344">
        <v>-1241.1300000000001</v>
      </c>
      <c r="L38" s="344"/>
      <c r="M38" s="344"/>
      <c r="N38" s="344"/>
      <c r="O38" s="344"/>
      <c r="P38" s="345">
        <f>SUM(compras_mes9[[#This Row],[NETO GRAVADO]:[Otros / No Grav.]])</f>
        <v>-13061.400000000001</v>
      </c>
      <c r="Q38" s="346" t="str">
        <f>IFERROR(IF(compras_mes9[[#This Row],[CUIT]]="","-",VLOOKUP(compras_mes9[[#This Row],[CUIT]],Lista_CUIT[#All],3,0)),"CUIT NO CARGADO")</f>
        <v>Comida</v>
      </c>
      <c r="R38" s="346">
        <f>IFERROR(IF(compras_mes9[[#This Row],[CUIT]]="","-",VLOOKUP(compras_mes9[[#This Row],[CUIT]],Lista_CUIT[#All],4,0)),"CUIT NO CARGADO")</f>
        <v>0</v>
      </c>
    </row>
    <row r="39" spans="2:18" x14ac:dyDescent="0.3">
      <c r="B39" s="337">
        <v>44909</v>
      </c>
      <c r="C39" s="338">
        <v>1</v>
      </c>
      <c r="D39" s="339">
        <v>1676</v>
      </c>
      <c r="E39" s="340">
        <v>12451</v>
      </c>
      <c r="F39" s="341">
        <v>30589621499</v>
      </c>
      <c r="G39" s="342" t="str">
        <f>IFERROR(IF(compras_mes9[[#This Row],[CUIT]]="","-",VLOOKUP(compras_mes9[[#This Row],[CUIT]],Lista_CUIT[#All],2,0)),"CUIT NO CARGADO")</f>
        <v>MAKRO SA</v>
      </c>
      <c r="H39" s="343">
        <v>51732.73</v>
      </c>
      <c r="I39" s="344">
        <f>IF(compras_mes9[[#This Row],[NETO GRAVADO]]="","",compras_mes9[[#This Row],[NETO GRAVADO]]*0.21)</f>
        <v>10863.873300000001</v>
      </c>
      <c r="J39" s="344"/>
      <c r="K39" s="344"/>
      <c r="L39" s="344">
        <v>1551.98</v>
      </c>
      <c r="M39" s="344"/>
      <c r="N39" s="344">
        <v>3103.96</v>
      </c>
      <c r="O39" s="344">
        <v>3896.57</v>
      </c>
      <c r="P39" s="345">
        <f>SUM(compras_mes9[[#This Row],[NETO GRAVADO]:[Otros / No Grav.]])</f>
        <v>71149.113300000012</v>
      </c>
      <c r="Q39" s="346" t="str">
        <f>IFERROR(IF(compras_mes9[[#This Row],[CUIT]]="","-",VLOOKUP(compras_mes9[[#This Row],[CUIT]],Lista_CUIT[#All],3,0)),"CUIT NO CARGADO")</f>
        <v>Comida-Limpieza</v>
      </c>
      <c r="R39" s="346">
        <f>IFERROR(IF(compras_mes9[[#This Row],[CUIT]]="","-",VLOOKUP(compras_mes9[[#This Row],[CUIT]],Lista_CUIT[#All],4,0)),"CUIT NO CARGADO")</f>
        <v>0</v>
      </c>
    </row>
    <row r="40" spans="2:18" x14ac:dyDescent="0.3">
      <c r="B40" s="337">
        <v>44918</v>
      </c>
      <c r="C40" s="338">
        <v>1</v>
      </c>
      <c r="D40" s="339">
        <v>7</v>
      </c>
      <c r="E40" s="340">
        <v>736</v>
      </c>
      <c r="F40" s="341">
        <v>20134664518</v>
      </c>
      <c r="G40" s="342" t="str">
        <f>IFERROR(IF(compras_mes9[[#This Row],[CUIT]]="","-",VLOOKUP(compras_mes9[[#This Row],[CUIT]],Lista_CUIT[#All],2,0)),"CUIT NO CARGADO")</f>
        <v>HOKAMA SERGIO ENRIQUE</v>
      </c>
      <c r="H40" s="343">
        <v>10563.86</v>
      </c>
      <c r="I40" s="344">
        <f>IF(compras_mes9[[#This Row],[NETO GRAVADO]]="","",compras_mes9[[#This Row],[NETO GRAVADO]]*0.21)</f>
        <v>2218.4106000000002</v>
      </c>
      <c r="J40" s="344"/>
      <c r="K40" s="344"/>
      <c r="L40" s="344"/>
      <c r="M40" s="344"/>
      <c r="N40" s="344"/>
      <c r="O40" s="344"/>
      <c r="P40" s="345">
        <f>SUM(compras_mes9[[#This Row],[NETO GRAVADO]:[Otros / No Grav.]])</f>
        <v>12782.2706</v>
      </c>
      <c r="Q40" s="346" t="str">
        <f>IFERROR(IF(compras_mes9[[#This Row],[CUIT]]="","-",VLOOKUP(compras_mes9[[#This Row],[CUIT]],Lista_CUIT[#All],3,0)),"CUIT NO CARGADO")</f>
        <v>Comida-Limpieza</v>
      </c>
      <c r="R40" s="346">
        <f>IFERROR(IF(compras_mes9[[#This Row],[CUIT]]="","-",VLOOKUP(compras_mes9[[#This Row],[CUIT]],Lista_CUIT[#All],4,0)),"CUIT NO CARGADO")</f>
        <v>0</v>
      </c>
    </row>
    <row r="41" spans="2:18" x14ac:dyDescent="0.3">
      <c r="B41" s="337">
        <v>44924</v>
      </c>
      <c r="C41" s="338">
        <v>1</v>
      </c>
      <c r="D41" s="339">
        <v>7</v>
      </c>
      <c r="E41" s="340">
        <v>4790</v>
      </c>
      <c r="F41" s="341">
        <v>30715124919</v>
      </c>
      <c r="G41" s="342" t="str">
        <f>IFERROR(IF(compras_mes9[[#This Row],[CUIT]]="","-",VLOOKUP(compras_mes9[[#This Row],[CUIT]],Lista_CUIT[#All],2,0)),"CUIT NO CARGADO")</f>
        <v>CLEAN LAB SRL</v>
      </c>
      <c r="H41" s="343">
        <v>14971.25</v>
      </c>
      <c r="I41" s="344">
        <f>IF(compras_mes9[[#This Row],[NETO GRAVADO]]="","",compras_mes9[[#This Row],[NETO GRAVADO]]*0.21)</f>
        <v>3143.9625000000001</v>
      </c>
      <c r="J41" s="344"/>
      <c r="K41" s="344"/>
      <c r="L41" s="344"/>
      <c r="M41" s="344"/>
      <c r="N41" s="344"/>
      <c r="O41" s="344"/>
      <c r="P41" s="345">
        <f>SUM(compras_mes9[[#This Row],[NETO GRAVADO]:[Otros / No Grav.]])</f>
        <v>18115.212500000001</v>
      </c>
      <c r="Q41" s="346" t="str">
        <f>IFERROR(IF(compras_mes9[[#This Row],[CUIT]]="","-",VLOOKUP(compras_mes9[[#This Row],[CUIT]],Lista_CUIT[#All],3,0)),"CUIT NO CARGADO")</f>
        <v>Comida-Limpieza</v>
      </c>
      <c r="R41" s="346">
        <f>IFERROR(IF(compras_mes9[[#This Row],[CUIT]]="","-",VLOOKUP(compras_mes9[[#This Row],[CUIT]],Lista_CUIT[#All],4,0)),"CUIT NO CARGADO")</f>
        <v>0</v>
      </c>
    </row>
    <row r="42" spans="2:18" x14ac:dyDescent="0.3">
      <c r="B42" s="337">
        <v>44924</v>
      </c>
      <c r="C42" s="338">
        <v>1</v>
      </c>
      <c r="D42" s="339">
        <v>7</v>
      </c>
      <c r="E42" s="340">
        <v>4788</v>
      </c>
      <c r="F42" s="341">
        <v>30715124919</v>
      </c>
      <c r="G42" s="342" t="str">
        <f>IFERROR(IF(compras_mes9[[#This Row],[CUIT]]="","-",VLOOKUP(compras_mes9[[#This Row],[CUIT]],Lista_CUIT[#All],2,0)),"CUIT NO CARGADO")</f>
        <v>CLEAN LAB SRL</v>
      </c>
      <c r="H42" s="343">
        <v>21323.93</v>
      </c>
      <c r="I42" s="344">
        <f>IF(compras_mes9[[#This Row],[NETO GRAVADO]]="","",compras_mes9[[#This Row],[NETO GRAVADO]]*0.21)</f>
        <v>4478.0253000000002</v>
      </c>
      <c r="J42" s="344"/>
      <c r="K42" s="344"/>
      <c r="L42" s="344"/>
      <c r="M42" s="344"/>
      <c r="N42" s="344"/>
      <c r="O42" s="344"/>
      <c r="P42" s="345">
        <f>SUM(compras_mes9[[#This Row],[NETO GRAVADO]:[Otros / No Grav.]])</f>
        <v>25801.955300000001</v>
      </c>
      <c r="Q42" s="346" t="str">
        <f>IFERROR(IF(compras_mes9[[#This Row],[CUIT]]="","-",VLOOKUP(compras_mes9[[#This Row],[CUIT]],Lista_CUIT[#All],3,0)),"CUIT NO CARGADO")</f>
        <v>Comida-Limpieza</v>
      </c>
      <c r="R42" s="346">
        <f>IFERROR(IF(compras_mes9[[#This Row],[CUIT]]="","-",VLOOKUP(compras_mes9[[#This Row],[CUIT]],Lista_CUIT[#All],4,0)),"CUIT NO CARGADO")</f>
        <v>0</v>
      </c>
    </row>
    <row r="43" spans="2:18" x14ac:dyDescent="0.3">
      <c r="B43" s="337">
        <v>44924</v>
      </c>
      <c r="C43" s="338">
        <v>1</v>
      </c>
      <c r="D43" s="339">
        <v>7</v>
      </c>
      <c r="E43" s="340">
        <v>4791</v>
      </c>
      <c r="F43" s="341">
        <v>30715124919</v>
      </c>
      <c r="G43" s="342" t="str">
        <f>IFERROR(IF(compras_mes9[[#This Row],[CUIT]]="","-",VLOOKUP(compras_mes9[[#This Row],[CUIT]],Lista_CUIT[#All],2,0)),"CUIT NO CARGADO")</f>
        <v>CLEAN LAB SRL</v>
      </c>
      <c r="H43" s="343">
        <v>5390.17</v>
      </c>
      <c r="I43" s="344">
        <f>IF(compras_mes9[[#This Row],[NETO GRAVADO]]="","",compras_mes9[[#This Row],[NETO GRAVADO]]*0.21)</f>
        <v>1131.9357</v>
      </c>
      <c r="J43" s="344"/>
      <c r="K43" s="344"/>
      <c r="L43" s="344"/>
      <c r="M43" s="344"/>
      <c r="N43" s="344"/>
      <c r="O43" s="344"/>
      <c r="P43" s="345">
        <f>SUM(compras_mes9[[#This Row],[NETO GRAVADO]:[Otros / No Grav.]])</f>
        <v>6522.1057000000001</v>
      </c>
      <c r="Q43" s="346" t="str">
        <f>IFERROR(IF(compras_mes9[[#This Row],[CUIT]]="","-",VLOOKUP(compras_mes9[[#This Row],[CUIT]],Lista_CUIT[#All],3,0)),"CUIT NO CARGADO")</f>
        <v>Comida-Limpieza</v>
      </c>
      <c r="R43" s="346">
        <f>IFERROR(IF(compras_mes9[[#This Row],[CUIT]]="","-",VLOOKUP(compras_mes9[[#This Row],[CUIT]],Lista_CUIT[#All],4,0)),"CUIT NO CARGADO")</f>
        <v>0</v>
      </c>
    </row>
    <row r="44" spans="2:18" x14ac:dyDescent="0.3">
      <c r="B44" s="337">
        <v>44924</v>
      </c>
      <c r="C44" s="338">
        <v>1</v>
      </c>
      <c r="D44" s="339">
        <v>7</v>
      </c>
      <c r="E44" s="340">
        <v>4789</v>
      </c>
      <c r="F44" s="341">
        <v>30715124919</v>
      </c>
      <c r="G44" s="342" t="str">
        <f>IFERROR(IF(compras_mes9[[#This Row],[CUIT]]="","-",VLOOKUP(compras_mes9[[#This Row],[CUIT]],Lista_CUIT[#All],2,0)),"CUIT NO CARGADO")</f>
        <v>CLEAN LAB SRL</v>
      </c>
      <c r="H44" s="343">
        <v>6437.32</v>
      </c>
      <c r="I44" s="344">
        <f>IF(compras_mes9[[#This Row],[NETO GRAVADO]]="","",compras_mes9[[#This Row],[NETO GRAVADO]]*0.21)</f>
        <v>1351.8371999999999</v>
      </c>
      <c r="J44" s="344"/>
      <c r="K44" s="344"/>
      <c r="L44" s="344"/>
      <c r="M44" s="344"/>
      <c r="N44" s="344"/>
      <c r="O44" s="344"/>
      <c r="P44" s="345">
        <f>SUM(compras_mes9[[#This Row],[NETO GRAVADO]:[Otros / No Grav.]])</f>
        <v>7789.1571999999996</v>
      </c>
      <c r="Q44" s="346" t="str">
        <f>IFERROR(IF(compras_mes9[[#This Row],[CUIT]]="","-",VLOOKUP(compras_mes9[[#This Row],[CUIT]],Lista_CUIT[#All],3,0)),"CUIT NO CARGADO")</f>
        <v>Comida-Limpieza</v>
      </c>
      <c r="R44" s="346">
        <f>IFERROR(IF(compras_mes9[[#This Row],[CUIT]]="","-",VLOOKUP(compras_mes9[[#This Row],[CUIT]],Lista_CUIT[#All],4,0)),"CUIT NO CARGADO")</f>
        <v>0</v>
      </c>
    </row>
    <row r="45" spans="2:18" x14ac:dyDescent="0.3">
      <c r="B45" s="337">
        <v>44902</v>
      </c>
      <c r="C45" s="338">
        <v>1</v>
      </c>
      <c r="D45" s="339">
        <v>4</v>
      </c>
      <c r="E45" s="340">
        <v>40735</v>
      </c>
      <c r="F45" s="341">
        <v>30709863076</v>
      </c>
      <c r="G45" s="342" t="str">
        <f>IFERROR(IF(compras_mes9[[#This Row],[CUIT]]="","-",VLOOKUP(compras_mes9[[#This Row],[CUIT]],Lista_CUIT[#All],2,0)),"CUIT NO CARGADO")</f>
        <v>Plasticos Salta</v>
      </c>
      <c r="H45" s="343">
        <v>22785.119999999999</v>
      </c>
      <c r="I45" s="344">
        <f>IF(compras_mes9[[#This Row],[NETO GRAVADO]]="","",compras_mes9[[#This Row],[NETO GRAVADO]]*0.21)</f>
        <v>4784.8751999999995</v>
      </c>
      <c r="J45" s="344"/>
      <c r="K45" s="344"/>
      <c r="L45" s="344"/>
      <c r="M45" s="344"/>
      <c r="N45" s="344"/>
      <c r="O45" s="344"/>
      <c r="P45" s="345">
        <f>SUM(compras_mes9[[#This Row],[NETO GRAVADO]:[Otros / No Grav.]])</f>
        <v>27569.995199999998</v>
      </c>
      <c r="Q45" s="346" t="str">
        <f>IFERROR(IF(compras_mes9[[#This Row],[CUIT]]="","-",VLOOKUP(compras_mes9[[#This Row],[CUIT]],Lista_CUIT[#All],3,0)),"CUIT NO CARGADO")</f>
        <v>EMBALAJE</v>
      </c>
      <c r="R45" s="346">
        <f>IFERROR(IF(compras_mes9[[#This Row],[CUIT]]="","-",VLOOKUP(compras_mes9[[#This Row],[CUIT]],Lista_CUIT[#All],4,0)),"CUIT NO CARGADO")</f>
        <v>0</v>
      </c>
    </row>
    <row r="46" spans="2:18" x14ac:dyDescent="0.3">
      <c r="B46" s="337">
        <v>44911</v>
      </c>
      <c r="C46" s="338">
        <v>1</v>
      </c>
      <c r="D46" s="339">
        <v>4</v>
      </c>
      <c r="E46" s="340">
        <v>40833</v>
      </c>
      <c r="F46" s="341">
        <v>30709863076</v>
      </c>
      <c r="G46" s="342" t="str">
        <f>IFERROR(IF(compras_mes9[[#This Row],[CUIT]]="","-",VLOOKUP(compras_mes9[[#This Row],[CUIT]],Lista_CUIT[#All],2,0)),"CUIT NO CARGADO")</f>
        <v>Plasticos Salta</v>
      </c>
      <c r="H46" s="343">
        <v>14272.73</v>
      </c>
      <c r="I46" s="344">
        <f>IF(compras_mes9[[#This Row],[NETO GRAVADO]]="","",compras_mes9[[#This Row],[NETO GRAVADO]]*0.21)</f>
        <v>2997.2732999999998</v>
      </c>
      <c r="J46" s="344"/>
      <c r="K46" s="344"/>
      <c r="L46" s="344"/>
      <c r="M46" s="344"/>
      <c r="N46" s="344"/>
      <c r="O46" s="344"/>
      <c r="P46" s="345">
        <f>SUM(compras_mes9[[#This Row],[NETO GRAVADO]:[Otros / No Grav.]])</f>
        <v>17270.0033</v>
      </c>
      <c r="Q46" s="346" t="str">
        <f>IFERROR(IF(compras_mes9[[#This Row],[CUIT]]="","-",VLOOKUP(compras_mes9[[#This Row],[CUIT]],Lista_CUIT[#All],3,0)),"CUIT NO CARGADO")</f>
        <v>EMBALAJE</v>
      </c>
      <c r="R46" s="346">
        <f>IFERROR(IF(compras_mes9[[#This Row],[CUIT]]="","-",VLOOKUP(compras_mes9[[#This Row],[CUIT]],Lista_CUIT[#All],4,0)),"CUIT NO CARGADO")</f>
        <v>0</v>
      </c>
    </row>
    <row r="47" spans="2:18" x14ac:dyDescent="0.3">
      <c r="B47" s="337">
        <v>44918</v>
      </c>
      <c r="C47" s="338">
        <v>1</v>
      </c>
      <c r="D47" s="339">
        <v>4</v>
      </c>
      <c r="E47" s="340">
        <v>8390</v>
      </c>
      <c r="F47" s="341">
        <v>30694547903</v>
      </c>
      <c r="G47" s="342" t="str">
        <f>IFERROR(IF(compras_mes9[[#This Row],[CUIT]]="","-",VLOOKUP(compras_mes9[[#This Row],[CUIT]],Lista_CUIT[#All],2,0)),"CUIT NO CARGADO")</f>
        <v>MULTICAJAS S A</v>
      </c>
      <c r="H47" s="343">
        <v>26245</v>
      </c>
      <c r="I47" s="344">
        <f>IF(compras_mes9[[#This Row],[NETO GRAVADO]]="","",compras_mes9[[#This Row],[NETO GRAVADO]]*0.21)</f>
        <v>5511.45</v>
      </c>
      <c r="J47" s="344"/>
      <c r="K47" s="344"/>
      <c r="L47" s="344"/>
      <c r="M47" s="344"/>
      <c r="N47" s="344"/>
      <c r="O47" s="344"/>
      <c r="P47" s="345">
        <f>SUM(compras_mes9[[#This Row],[NETO GRAVADO]:[Otros / No Grav.]])</f>
        <v>31756.45</v>
      </c>
      <c r="Q47" s="346" t="str">
        <f>IFERROR(IF(compras_mes9[[#This Row],[CUIT]]="","-",VLOOKUP(compras_mes9[[#This Row],[CUIT]],Lista_CUIT[#All],3,0)),"CUIT NO CARGADO")</f>
        <v>EMBALAJE</v>
      </c>
      <c r="R47" s="346">
        <f>IFERROR(IF(compras_mes9[[#This Row],[CUIT]]="","-",VLOOKUP(compras_mes9[[#This Row],[CUIT]],Lista_CUIT[#All],4,0)),"CUIT NO CARGADO")</f>
        <v>0</v>
      </c>
    </row>
    <row r="48" spans="2:18" x14ac:dyDescent="0.3">
      <c r="B48" s="337">
        <v>44925</v>
      </c>
      <c r="C48" s="338">
        <v>1</v>
      </c>
      <c r="D48" s="339">
        <v>4</v>
      </c>
      <c r="E48" s="340">
        <v>40972</v>
      </c>
      <c r="F48" s="341">
        <v>30709863076</v>
      </c>
      <c r="G48" s="342" t="str">
        <f>IFERROR(IF(compras_mes9[[#This Row],[CUIT]]="","-",VLOOKUP(compras_mes9[[#This Row],[CUIT]],Lista_CUIT[#All],2,0)),"CUIT NO CARGADO")</f>
        <v>Plasticos Salta</v>
      </c>
      <c r="H48" s="343">
        <v>39694.21</v>
      </c>
      <c r="I48" s="344">
        <f>IF(compras_mes9[[#This Row],[NETO GRAVADO]]="","",compras_mes9[[#This Row],[NETO GRAVADO]]*0.21)</f>
        <v>8335.7840999999989</v>
      </c>
      <c r="J48" s="344"/>
      <c r="K48" s="344"/>
      <c r="L48" s="344"/>
      <c r="M48" s="344"/>
      <c r="N48" s="344"/>
      <c r="O48" s="344"/>
      <c r="P48" s="345">
        <f>SUM(compras_mes9[[#This Row],[NETO GRAVADO]:[Otros / No Grav.]])</f>
        <v>48029.994099999996</v>
      </c>
      <c r="Q48" s="346" t="str">
        <f>IFERROR(IF(compras_mes9[[#This Row],[CUIT]]="","-",VLOOKUP(compras_mes9[[#This Row],[CUIT]],Lista_CUIT[#All],3,0)),"CUIT NO CARGADO")</f>
        <v>EMBALAJE</v>
      </c>
      <c r="R48" s="346">
        <f>IFERROR(IF(compras_mes9[[#This Row],[CUIT]]="","-",VLOOKUP(compras_mes9[[#This Row],[CUIT]],Lista_CUIT[#All],4,0)),"CUIT NO CARGADO")</f>
        <v>0</v>
      </c>
    </row>
    <row r="49" spans="2:18" x14ac:dyDescent="0.3">
      <c r="B49" s="337">
        <v>44923</v>
      </c>
      <c r="C49" s="338">
        <v>1</v>
      </c>
      <c r="D49" s="339">
        <v>4</v>
      </c>
      <c r="E49" s="340">
        <v>119954</v>
      </c>
      <c r="F49" s="341">
        <v>30715723871</v>
      </c>
      <c r="G49" s="342" t="str">
        <f>IFERROR(IF(compras_mes9[[#This Row],[CUIT]]="","-",VLOOKUP(compras_mes9[[#This Row],[CUIT]],Lista_CUIT[#All],2,0)),"CUIT NO CARGADO")</f>
        <v xml:space="preserve">LIBERTECH SRL </v>
      </c>
      <c r="H49" s="343">
        <v>5371.07</v>
      </c>
      <c r="I49" s="344">
        <f>IF(compras_mes9[[#This Row],[NETO GRAVADO]]="","",compras_mes9[[#This Row],[NETO GRAVADO]]*0.21)</f>
        <v>1127.9246999999998</v>
      </c>
      <c r="J49" s="344"/>
      <c r="K49" s="344"/>
      <c r="L49" s="344"/>
      <c r="M49" s="344"/>
      <c r="N49" s="344"/>
      <c r="O49" s="344"/>
      <c r="P49" s="345">
        <f>SUM(compras_mes9[[#This Row],[NETO GRAVADO]:[Otros / No Grav.]])</f>
        <v>6498.9946999999993</v>
      </c>
      <c r="Q49" s="346" t="str">
        <f>IFERROR(IF(compras_mes9[[#This Row],[CUIT]]="","-",VLOOKUP(compras_mes9[[#This Row],[CUIT]],Lista_CUIT[#All],3,0)),"CUIT NO CARGADO")</f>
        <v>Equipos de Informatica</v>
      </c>
      <c r="R49" s="346">
        <f>IFERROR(IF(compras_mes9[[#This Row],[CUIT]]="","-",VLOOKUP(compras_mes9[[#This Row],[CUIT]],Lista_CUIT[#All],4,0)),"CUIT NO CARGADO")</f>
        <v>0</v>
      </c>
    </row>
    <row r="50" spans="2:18" x14ac:dyDescent="0.3">
      <c r="B50" s="337">
        <v>44897</v>
      </c>
      <c r="C50" s="338">
        <v>1</v>
      </c>
      <c r="D50" s="339">
        <v>1</v>
      </c>
      <c r="E50" s="340">
        <v>413</v>
      </c>
      <c r="F50" s="341">
        <v>30715889486</v>
      </c>
      <c r="G50" s="342" t="str">
        <f>IFERROR(IF(compras_mes9[[#This Row],[CUIT]]="","-",VLOOKUP(compras_mes9[[#This Row],[CUIT]],Lista_CUIT[#All],2,0)),"CUIT NO CARGADO")</f>
        <v>EXPOESTETICA</v>
      </c>
      <c r="H50" s="343">
        <v>244800</v>
      </c>
      <c r="I50" s="344">
        <f>IF(compras_mes9[[#This Row],[NETO GRAVADO]]="","",compras_mes9[[#This Row],[NETO GRAVADO]]*0.21)</f>
        <v>51408</v>
      </c>
      <c r="J50" s="344"/>
      <c r="K50" s="344"/>
      <c r="L50" s="344"/>
      <c r="M50" s="344"/>
      <c r="N50" s="344"/>
      <c r="O50" s="344"/>
      <c r="P50" s="345">
        <f>SUM(compras_mes9[[#This Row],[NETO GRAVADO]:[Otros / No Grav.]])</f>
        <v>296208</v>
      </c>
      <c r="Q50" s="346" t="str">
        <f>IFERROR(IF(compras_mes9[[#This Row],[CUIT]]="","-",VLOOKUP(compras_mes9[[#This Row],[CUIT]],Lista_CUIT[#All],3,0)),"CUIT NO CARGADO")</f>
        <v>Espacio exposicion</v>
      </c>
      <c r="R50" s="346">
        <f>IFERROR(IF(compras_mes9[[#This Row],[CUIT]]="","-",VLOOKUP(compras_mes9[[#This Row],[CUIT]],Lista_CUIT[#All],4,0)),"CUIT NO CARGADO")</f>
        <v>0</v>
      </c>
    </row>
    <row r="51" spans="2:18" x14ac:dyDescent="0.3">
      <c r="B51" s="337">
        <v>44902</v>
      </c>
      <c r="C51" s="338">
        <v>1</v>
      </c>
      <c r="D51" s="339">
        <v>3</v>
      </c>
      <c r="E51" s="340">
        <v>1261</v>
      </c>
      <c r="F51" s="341">
        <v>20109190110</v>
      </c>
      <c r="G51" s="342" t="str">
        <f>IFERROR(IF(compras_mes9[[#This Row],[CUIT]]="","-",VLOOKUP(compras_mes9[[#This Row],[CUIT]],Lista_CUIT[#All],2,0)),"CUIT NO CARGADO")</f>
        <v>ARIAS ANGEL ALBERTO</v>
      </c>
      <c r="H51" s="343">
        <v>1826.46</v>
      </c>
      <c r="I51" s="344">
        <f>IF(compras_mes9[[#This Row],[NETO GRAVADO]]="","",compras_mes9[[#This Row],[NETO GRAVADO]]*0.21)</f>
        <v>383.5566</v>
      </c>
      <c r="J51" s="344"/>
      <c r="K51" s="344"/>
      <c r="L51" s="344"/>
      <c r="M51" s="344"/>
      <c r="N51" s="344"/>
      <c r="O51" s="344"/>
      <c r="P51" s="345">
        <f>SUM(compras_mes9[[#This Row],[NETO GRAVADO]:[Otros / No Grav.]])</f>
        <v>2210.0165999999999</v>
      </c>
      <c r="Q51" s="346" t="str">
        <f>IFERROR(IF(compras_mes9[[#This Row],[CUIT]]="","-",VLOOKUP(compras_mes9[[#This Row],[CUIT]],Lista_CUIT[#All],3,0)),"CUIT NO CARGADO")</f>
        <v>Ferreteria</v>
      </c>
      <c r="R51" s="346">
        <f>IFERROR(IF(compras_mes9[[#This Row],[CUIT]]="","-",VLOOKUP(compras_mes9[[#This Row],[CUIT]],Lista_CUIT[#All],4,0)),"CUIT NO CARGADO")</f>
        <v>0</v>
      </c>
    </row>
    <row r="52" spans="2:18" x14ac:dyDescent="0.3">
      <c r="B52" s="337">
        <v>44921</v>
      </c>
      <c r="C52" s="338">
        <v>1</v>
      </c>
      <c r="D52" s="339">
        <v>3</v>
      </c>
      <c r="E52" s="340">
        <v>1270</v>
      </c>
      <c r="F52" s="341">
        <v>20109190110</v>
      </c>
      <c r="G52" s="342" t="str">
        <f>IFERROR(IF(compras_mes9[[#This Row],[CUIT]]="","-",VLOOKUP(compras_mes9[[#This Row],[CUIT]],Lista_CUIT[#All],2,0)),"CUIT NO CARGADO")</f>
        <v>ARIAS ANGEL ALBERTO</v>
      </c>
      <c r="H52" s="343">
        <v>7987.61</v>
      </c>
      <c r="I52" s="344">
        <f>IF(compras_mes9[[#This Row],[NETO GRAVADO]]="","",compras_mes9[[#This Row],[NETO GRAVADO]]*0.21)</f>
        <v>1677.3980999999999</v>
      </c>
      <c r="J52" s="344"/>
      <c r="K52" s="344"/>
      <c r="L52" s="344"/>
      <c r="M52" s="344"/>
      <c r="N52" s="344"/>
      <c r="O52" s="344"/>
      <c r="P52" s="345">
        <f>SUM(compras_mes9[[#This Row],[NETO GRAVADO]:[Otros / No Grav.]])</f>
        <v>9665.0080999999991</v>
      </c>
      <c r="Q52" s="346" t="str">
        <f>IFERROR(IF(compras_mes9[[#This Row],[CUIT]]="","-",VLOOKUP(compras_mes9[[#This Row],[CUIT]],Lista_CUIT[#All],3,0)),"CUIT NO CARGADO")</f>
        <v>Ferreteria</v>
      </c>
      <c r="R52" s="346">
        <f>IFERROR(IF(compras_mes9[[#This Row],[CUIT]]="","-",VLOOKUP(compras_mes9[[#This Row],[CUIT]],Lista_CUIT[#All],4,0)),"CUIT NO CARGADO")</f>
        <v>0</v>
      </c>
    </row>
    <row r="53" spans="2:18" x14ac:dyDescent="0.3">
      <c r="B53" s="337">
        <v>44923</v>
      </c>
      <c r="C53" s="338">
        <v>1</v>
      </c>
      <c r="D53" s="339">
        <v>3</v>
      </c>
      <c r="E53" s="340">
        <v>1278</v>
      </c>
      <c r="F53" s="341">
        <v>20109190110</v>
      </c>
      <c r="G53" s="342" t="str">
        <f>IFERROR(IF(compras_mes9[[#This Row],[CUIT]]="","-",VLOOKUP(compras_mes9[[#This Row],[CUIT]],Lista_CUIT[#All],2,0)),"CUIT NO CARGADO")</f>
        <v>ARIAS ANGEL ALBERTO</v>
      </c>
      <c r="H53" s="343">
        <v>3057.86</v>
      </c>
      <c r="I53" s="344">
        <f>IF(compras_mes9[[#This Row],[NETO GRAVADO]]="","",compras_mes9[[#This Row],[NETO GRAVADO]]*0.21)</f>
        <v>642.15060000000005</v>
      </c>
      <c r="J53" s="344"/>
      <c r="K53" s="344"/>
      <c r="L53" s="344"/>
      <c r="M53" s="344"/>
      <c r="N53" s="344"/>
      <c r="O53" s="344"/>
      <c r="P53" s="345">
        <f>SUM(compras_mes9[[#This Row],[NETO GRAVADO]:[Otros / No Grav.]])</f>
        <v>3700.0106000000001</v>
      </c>
      <c r="Q53" s="346" t="str">
        <f>IFERROR(IF(compras_mes9[[#This Row],[CUIT]]="","-",VLOOKUP(compras_mes9[[#This Row],[CUIT]],Lista_CUIT[#All],3,0)),"CUIT NO CARGADO")</f>
        <v>Ferreteria</v>
      </c>
      <c r="R53" s="346">
        <f>IFERROR(IF(compras_mes9[[#This Row],[CUIT]]="","-",VLOOKUP(compras_mes9[[#This Row],[CUIT]],Lista_CUIT[#All],4,0)),"CUIT NO CARGADO")</f>
        <v>0</v>
      </c>
    </row>
    <row r="54" spans="2:18" x14ac:dyDescent="0.3">
      <c r="B54" s="337">
        <v>44908</v>
      </c>
      <c r="C54" s="338">
        <v>1</v>
      </c>
      <c r="D54" s="339">
        <v>3034</v>
      </c>
      <c r="E54" s="340">
        <v>2880807</v>
      </c>
      <c r="F54" s="341">
        <v>30708574836</v>
      </c>
      <c r="G54" s="342" t="str">
        <f>IFERROR(IF(compras_mes9[[#This Row],[CUIT]]="","-",VLOOKUP(compras_mes9[[#This Row],[CUIT]],Lista_CUIT[#All],2,0)),"CUIT NO CARGADO")</f>
        <v>CORREO OFICIAL DE LA REPUBLICA ARGENTINA SOCIEDAD ANONIMA</v>
      </c>
      <c r="H54" s="343">
        <v>413.01</v>
      </c>
      <c r="I54" s="344">
        <f>IF(compras_mes9[[#This Row],[NETO GRAVADO]]="","",compras_mes9[[#This Row],[NETO GRAVADO]]*0.21)</f>
        <v>86.732099999999988</v>
      </c>
      <c r="J54" s="344"/>
      <c r="K54" s="344"/>
      <c r="L54" s="344"/>
      <c r="M54" s="344"/>
      <c r="N54" s="344"/>
      <c r="O54" s="344"/>
      <c r="P54" s="345">
        <f>SUM(compras_mes9[[#This Row],[NETO GRAVADO]:[Otros / No Grav.]])</f>
        <v>499.74209999999999</v>
      </c>
      <c r="Q54" s="346" t="str">
        <f>IFERROR(IF(compras_mes9[[#This Row],[CUIT]]="","-",VLOOKUP(compras_mes9[[#This Row],[CUIT]],Lista_CUIT[#All],3,0)),"CUIT NO CARGADO")</f>
        <v>Flete-Logistica</v>
      </c>
      <c r="R54" s="346">
        <f>IFERROR(IF(compras_mes9[[#This Row],[CUIT]]="","-",VLOOKUP(compras_mes9[[#This Row],[CUIT]],Lista_CUIT[#All],4,0)),"CUIT NO CARGADO")</f>
        <v>0</v>
      </c>
    </row>
    <row r="55" spans="2:18" x14ac:dyDescent="0.3">
      <c r="B55" s="337">
        <v>44908</v>
      </c>
      <c r="C55" s="338">
        <v>1</v>
      </c>
      <c r="D55" s="339">
        <v>3034</v>
      </c>
      <c r="E55" s="340">
        <v>2878227</v>
      </c>
      <c r="F55" s="341">
        <v>30708574836</v>
      </c>
      <c r="G55" s="342" t="str">
        <f>IFERROR(IF(compras_mes9[[#This Row],[CUIT]]="","-",VLOOKUP(compras_mes9[[#This Row],[CUIT]],Lista_CUIT[#All],2,0)),"CUIT NO CARGADO")</f>
        <v>CORREO OFICIAL DE LA REPUBLICA ARGENTINA SOCIEDAD ANONIMA</v>
      </c>
      <c r="H55" s="343">
        <v>1147.76</v>
      </c>
      <c r="I55" s="344">
        <f>IF(compras_mes9[[#This Row],[NETO GRAVADO]]="","",compras_mes9[[#This Row],[NETO GRAVADO]]*0.21)</f>
        <v>241.02959999999999</v>
      </c>
      <c r="J55" s="344"/>
      <c r="K55" s="344"/>
      <c r="L55" s="344"/>
      <c r="M55" s="344"/>
      <c r="N55" s="344"/>
      <c r="O55" s="344"/>
      <c r="P55" s="345">
        <f>SUM(compras_mes9[[#This Row],[NETO GRAVADO]:[Otros / No Grav.]])</f>
        <v>1388.7896000000001</v>
      </c>
      <c r="Q55" s="346" t="str">
        <f>IFERROR(IF(compras_mes9[[#This Row],[CUIT]]="","-",VLOOKUP(compras_mes9[[#This Row],[CUIT]],Lista_CUIT[#All],3,0)),"CUIT NO CARGADO")</f>
        <v>Flete-Logistica</v>
      </c>
      <c r="R55" s="346">
        <f>IFERROR(IF(compras_mes9[[#This Row],[CUIT]]="","-",VLOOKUP(compras_mes9[[#This Row],[CUIT]],Lista_CUIT[#All],4,0)),"CUIT NO CARGADO")</f>
        <v>0</v>
      </c>
    </row>
    <row r="56" spans="2:18" x14ac:dyDescent="0.3">
      <c r="B56" s="337">
        <v>44916</v>
      </c>
      <c r="C56" s="338">
        <v>1</v>
      </c>
      <c r="D56" s="339">
        <v>4</v>
      </c>
      <c r="E56" s="340">
        <v>440</v>
      </c>
      <c r="F56" s="341">
        <v>20266613866</v>
      </c>
      <c r="G56" s="342" t="str">
        <f>IFERROR(IF(compras_mes9[[#This Row],[CUIT]]="","-",VLOOKUP(compras_mes9[[#This Row],[CUIT]],Lista_CUIT[#All],2,0)),"CUIT NO CARGADO")</f>
        <v>ZUCCALA ANGEL ROBERTO</v>
      </c>
      <c r="H56" s="343">
        <v>13000</v>
      </c>
      <c r="I56" s="344">
        <f>IF(compras_mes9[[#This Row],[NETO GRAVADO]]="","",compras_mes9[[#This Row],[NETO GRAVADO]]*0.21)</f>
        <v>2730</v>
      </c>
      <c r="J56" s="344"/>
      <c r="K56" s="344"/>
      <c r="L56" s="344"/>
      <c r="M56" s="344"/>
      <c r="N56" s="344"/>
      <c r="O56" s="344"/>
      <c r="P56" s="345">
        <f>SUM(compras_mes9[[#This Row],[NETO GRAVADO]:[Otros / No Grav.]])</f>
        <v>15730</v>
      </c>
      <c r="Q56" s="346" t="str">
        <f>IFERROR(IF(compras_mes9[[#This Row],[CUIT]]="","-",VLOOKUP(compras_mes9[[#This Row],[CUIT]],Lista_CUIT[#All],3,0)),"CUIT NO CARGADO")</f>
        <v>Flete-Logistica</v>
      </c>
      <c r="R56" s="346">
        <f>IFERROR(IF(compras_mes9[[#This Row],[CUIT]]="","-",VLOOKUP(compras_mes9[[#This Row],[CUIT]],Lista_CUIT[#All],4,0)),"CUIT NO CARGADO")</f>
        <v>0</v>
      </c>
    </row>
    <row r="57" spans="2:18" x14ac:dyDescent="0.3">
      <c r="B57" s="337">
        <v>44916</v>
      </c>
      <c r="C57" s="338">
        <v>1</v>
      </c>
      <c r="D57" s="339">
        <v>301</v>
      </c>
      <c r="E57" s="340">
        <v>37734</v>
      </c>
      <c r="F57" s="341">
        <v>30686978350</v>
      </c>
      <c r="G57" s="342" t="str">
        <f>IFERROR(IF(compras_mes9[[#This Row],[CUIT]]="","-",VLOOKUP(compras_mes9[[#This Row],[CUIT]],Lista_CUIT[#All],2,0)),"CUIT NO CARGADO")</f>
        <v>SPEED BUSINESS S. A.</v>
      </c>
      <c r="H57" s="343">
        <v>2099.17</v>
      </c>
      <c r="I57" s="344">
        <f>IF(compras_mes9[[#This Row],[NETO GRAVADO]]="","",compras_mes9[[#This Row],[NETO GRAVADO]]*0.21)</f>
        <v>440.82569999999998</v>
      </c>
      <c r="J57" s="344"/>
      <c r="K57" s="344"/>
      <c r="L57" s="344"/>
      <c r="M57" s="344"/>
      <c r="N57" s="344"/>
      <c r="O57" s="344"/>
      <c r="P57" s="345">
        <f>SUM(compras_mes9[[#This Row],[NETO GRAVADO]:[Otros / No Grav.]])</f>
        <v>2539.9956999999999</v>
      </c>
      <c r="Q57" s="346" t="str">
        <f>IFERROR(IF(compras_mes9[[#This Row],[CUIT]]="","-",VLOOKUP(compras_mes9[[#This Row],[CUIT]],Lista_CUIT[#All],3,0)),"CUIT NO CARGADO")</f>
        <v>Flete-Logistica</v>
      </c>
      <c r="R57" s="346">
        <f>IFERROR(IF(compras_mes9[[#This Row],[CUIT]]="","-",VLOOKUP(compras_mes9[[#This Row],[CUIT]],Lista_CUIT[#All],4,0)),"CUIT NO CARGADO")</f>
        <v>0</v>
      </c>
    </row>
    <row r="58" spans="2:18" x14ac:dyDescent="0.3">
      <c r="B58" s="337">
        <v>44922</v>
      </c>
      <c r="C58" s="338">
        <v>1</v>
      </c>
      <c r="D58" s="339">
        <v>301</v>
      </c>
      <c r="E58" s="340">
        <v>38307</v>
      </c>
      <c r="F58" s="341">
        <v>30686978350</v>
      </c>
      <c r="G58" s="342" t="str">
        <f>IFERROR(IF(compras_mes9[[#This Row],[CUIT]]="","-",VLOOKUP(compras_mes9[[#This Row],[CUIT]],Lista_CUIT[#All],2,0)),"CUIT NO CARGADO")</f>
        <v>SPEED BUSINESS S. A.</v>
      </c>
      <c r="H58" s="343">
        <v>2099.17</v>
      </c>
      <c r="I58" s="344">
        <f>IF(compras_mes9[[#This Row],[NETO GRAVADO]]="","",compras_mes9[[#This Row],[NETO GRAVADO]]*0.21)</f>
        <v>440.82569999999998</v>
      </c>
      <c r="J58" s="344"/>
      <c r="K58" s="344"/>
      <c r="L58" s="344"/>
      <c r="M58" s="344"/>
      <c r="N58" s="344"/>
      <c r="O58" s="344"/>
      <c r="P58" s="345">
        <f>SUM(compras_mes9[[#This Row],[NETO GRAVADO]:[Otros / No Grav.]])</f>
        <v>2539.9956999999999</v>
      </c>
      <c r="Q58" s="346" t="str">
        <f>IFERROR(IF(compras_mes9[[#This Row],[CUIT]]="","-",VLOOKUP(compras_mes9[[#This Row],[CUIT]],Lista_CUIT[#All],3,0)),"CUIT NO CARGADO")</f>
        <v>Flete-Logistica</v>
      </c>
      <c r="R58" s="346">
        <f>IFERROR(IF(compras_mes9[[#This Row],[CUIT]]="","-",VLOOKUP(compras_mes9[[#This Row],[CUIT]],Lista_CUIT[#All],4,0)),"CUIT NO CARGADO")</f>
        <v>0</v>
      </c>
    </row>
    <row r="59" spans="2:18" x14ac:dyDescent="0.3">
      <c r="B59" s="337">
        <v>44924</v>
      </c>
      <c r="C59" s="338">
        <v>1</v>
      </c>
      <c r="D59" s="339">
        <v>3034</v>
      </c>
      <c r="E59" s="340">
        <v>2971374</v>
      </c>
      <c r="F59" s="341">
        <v>30708574836</v>
      </c>
      <c r="G59" s="342" t="str">
        <f>IFERROR(IF(compras_mes9[[#This Row],[CUIT]]="","-",VLOOKUP(compras_mes9[[#This Row],[CUIT]],Lista_CUIT[#All],2,0)),"CUIT NO CARGADO")</f>
        <v>CORREO OFICIAL DE LA REPUBLICA ARGENTINA SOCIEDAD ANONIMA</v>
      </c>
      <c r="H59" s="343">
        <v>794.52</v>
      </c>
      <c r="I59" s="344">
        <f>IF(compras_mes9[[#This Row],[NETO GRAVADO]]="","",compras_mes9[[#This Row],[NETO GRAVADO]]*0.21)</f>
        <v>166.8492</v>
      </c>
      <c r="J59" s="344"/>
      <c r="K59" s="344"/>
      <c r="L59" s="344"/>
      <c r="M59" s="344"/>
      <c r="N59" s="344"/>
      <c r="O59" s="344"/>
      <c r="P59" s="345">
        <f>SUM(compras_mes9[[#This Row],[NETO GRAVADO]:[Otros / No Grav.]])</f>
        <v>961.36919999999998</v>
      </c>
      <c r="Q59" s="346" t="str">
        <f>IFERROR(IF(compras_mes9[[#This Row],[CUIT]]="","-",VLOOKUP(compras_mes9[[#This Row],[CUIT]],Lista_CUIT[#All],3,0)),"CUIT NO CARGADO")</f>
        <v>Flete-Logistica</v>
      </c>
      <c r="R59" s="346">
        <f>IFERROR(IF(compras_mes9[[#This Row],[CUIT]]="","-",VLOOKUP(compras_mes9[[#This Row],[CUIT]],Lista_CUIT[#All],4,0)),"CUIT NO CARGADO")</f>
        <v>0</v>
      </c>
    </row>
    <row r="60" spans="2:18" x14ac:dyDescent="0.3">
      <c r="B60" s="337">
        <v>44923</v>
      </c>
      <c r="C60" s="338">
        <v>1</v>
      </c>
      <c r="D60" s="339">
        <v>14</v>
      </c>
      <c r="E60" s="340">
        <v>75383</v>
      </c>
      <c r="F60" s="341">
        <v>30516336885</v>
      </c>
      <c r="G60" s="342" t="str">
        <f>IFERROR(IF(compras_mes9[[#This Row],[CUIT]]="","-",VLOOKUP(compras_mes9[[#This Row],[CUIT]],Lista_CUIT[#All],2,0)),"CUIT NO CARGADO")</f>
        <v>STENFAR S.A. INDUSTRIAL COMERCIAL IMP. Y EXP.</v>
      </c>
      <c r="H60" s="343">
        <v>11823.12</v>
      </c>
      <c r="I60" s="344">
        <f>IF(compras_mes9[[#This Row],[NETO GRAVADO]]="","",compras_mes9[[#This Row],[NETO GRAVADO]]*0.21)</f>
        <v>2482.8552</v>
      </c>
      <c r="J60" s="344"/>
      <c r="K60" s="344"/>
      <c r="L60" s="344"/>
      <c r="M60" s="344">
        <v>354.69</v>
      </c>
      <c r="N60" s="344">
        <v>709.39</v>
      </c>
      <c r="O60" s="344"/>
      <c r="P60" s="345">
        <f>SUM(compras_mes9[[#This Row],[NETO GRAVADO]:[Otros / No Grav.]])</f>
        <v>15370.055200000001</v>
      </c>
      <c r="Q60" s="346" t="str">
        <f>IFERROR(IF(compras_mes9[[#This Row],[CUIT]]="","-",VLOOKUP(compras_mes9[[#This Row],[CUIT]],Lista_CUIT[#All],3,0)),"CUIT NO CARGADO")</f>
        <v>Gastos Cursos</v>
      </c>
      <c r="R60" s="346">
        <f>IFERROR(IF(compras_mes9[[#This Row],[CUIT]]="","-",VLOOKUP(compras_mes9[[#This Row],[CUIT]],Lista_CUIT[#All],4,0)),"CUIT NO CARGADO")</f>
        <v>0</v>
      </c>
    </row>
    <row r="61" spans="2:18" x14ac:dyDescent="0.3">
      <c r="B61" s="337">
        <v>44923</v>
      </c>
      <c r="C61" s="338">
        <v>1</v>
      </c>
      <c r="D61" s="339">
        <v>14</v>
      </c>
      <c r="E61" s="340">
        <v>75384</v>
      </c>
      <c r="F61" s="341">
        <v>30516336885</v>
      </c>
      <c r="G61" s="342" t="str">
        <f>IFERROR(IF(compras_mes9[[#This Row],[CUIT]]="","-",VLOOKUP(compras_mes9[[#This Row],[CUIT]],Lista_CUIT[#All],2,0)),"CUIT NO CARGADO")</f>
        <v>STENFAR S.A. INDUSTRIAL COMERCIAL IMP. Y EXP.</v>
      </c>
      <c r="H61" s="343">
        <v>11823.12</v>
      </c>
      <c r="I61" s="344">
        <f>IF(compras_mes9[[#This Row],[NETO GRAVADO]]="","",compras_mes9[[#This Row],[NETO GRAVADO]]*0.21)</f>
        <v>2482.8552</v>
      </c>
      <c r="J61" s="344"/>
      <c r="K61" s="344"/>
      <c r="L61" s="344"/>
      <c r="M61" s="344">
        <v>354.69</v>
      </c>
      <c r="N61" s="344">
        <v>709.39</v>
      </c>
      <c r="O61" s="344"/>
      <c r="P61" s="345">
        <f>SUM(compras_mes9[[#This Row],[NETO GRAVADO]:[Otros / No Grav.]])</f>
        <v>15370.055200000001</v>
      </c>
      <c r="Q61" s="346" t="str">
        <f>IFERROR(IF(compras_mes9[[#This Row],[CUIT]]="","-",VLOOKUP(compras_mes9[[#This Row],[CUIT]],Lista_CUIT[#All],3,0)),"CUIT NO CARGADO")</f>
        <v>Gastos Cursos</v>
      </c>
      <c r="R61" s="346">
        <f>IFERROR(IF(compras_mes9[[#This Row],[CUIT]]="","-",VLOOKUP(compras_mes9[[#This Row],[CUIT]],Lista_CUIT[#All],4,0)),"CUIT NO CARGADO")</f>
        <v>0</v>
      </c>
    </row>
    <row r="62" spans="2:18" x14ac:dyDescent="0.3">
      <c r="B62" s="337">
        <v>44923</v>
      </c>
      <c r="C62" s="338">
        <v>1</v>
      </c>
      <c r="D62" s="339">
        <v>14</v>
      </c>
      <c r="E62" s="340">
        <v>75385</v>
      </c>
      <c r="F62" s="341">
        <v>30516336885</v>
      </c>
      <c r="G62" s="342" t="str">
        <f>IFERROR(IF(compras_mes9[[#This Row],[CUIT]]="","-",VLOOKUP(compras_mes9[[#This Row],[CUIT]],Lista_CUIT[#All],2,0)),"CUIT NO CARGADO")</f>
        <v>STENFAR S.A. INDUSTRIAL COMERCIAL IMP. Y EXP.</v>
      </c>
      <c r="H62" s="343">
        <v>11823.12</v>
      </c>
      <c r="I62" s="344">
        <f>IF(compras_mes9[[#This Row],[NETO GRAVADO]]="","",compras_mes9[[#This Row],[NETO GRAVADO]]*0.21)</f>
        <v>2482.8552</v>
      </c>
      <c r="J62" s="344"/>
      <c r="K62" s="344"/>
      <c r="L62" s="344"/>
      <c r="M62" s="344">
        <v>354.69</v>
      </c>
      <c r="N62" s="344">
        <v>709.39</v>
      </c>
      <c r="O62" s="344"/>
      <c r="P62" s="345">
        <f>SUM(compras_mes9[[#This Row],[NETO GRAVADO]:[Otros / No Grav.]])</f>
        <v>15370.055200000001</v>
      </c>
      <c r="Q62" s="346" t="str">
        <f>IFERROR(IF(compras_mes9[[#This Row],[CUIT]]="","-",VLOOKUP(compras_mes9[[#This Row],[CUIT]],Lista_CUIT[#All],3,0)),"CUIT NO CARGADO")</f>
        <v>Gastos Cursos</v>
      </c>
      <c r="R62" s="346">
        <f>IFERROR(IF(compras_mes9[[#This Row],[CUIT]]="","-",VLOOKUP(compras_mes9[[#This Row],[CUIT]],Lista_CUIT[#All],4,0)),"CUIT NO CARGADO")</f>
        <v>0</v>
      </c>
    </row>
    <row r="63" spans="2:18" x14ac:dyDescent="0.3">
      <c r="B63" s="337">
        <v>44896</v>
      </c>
      <c r="C63" s="338">
        <v>1</v>
      </c>
      <c r="D63" s="339">
        <v>4</v>
      </c>
      <c r="E63" s="340">
        <v>189</v>
      </c>
      <c r="F63" s="341">
        <v>20309026897</v>
      </c>
      <c r="G63" s="342" t="str">
        <f>IFERROR(IF(compras_mes9[[#This Row],[CUIT]]="","-",VLOOKUP(compras_mes9[[#This Row],[CUIT]],Lista_CUIT[#All],2,0)),"CUIT NO CARGADO")</f>
        <v>NICOLOSI AUGUSTO ALEJANDRO</v>
      </c>
      <c r="H63" s="343">
        <v>2332.56</v>
      </c>
      <c r="I63" s="344">
        <f>IF(compras_mes9[[#This Row],[NETO GRAVADO]]="","",compras_mes9[[#This Row],[NETO GRAVADO]]*0.21)</f>
        <v>489.83759999999995</v>
      </c>
      <c r="J63" s="344"/>
      <c r="K63" s="344"/>
      <c r="L63" s="344"/>
      <c r="M63" s="344"/>
      <c r="N63" s="344"/>
      <c r="O63" s="344"/>
      <c r="P63" s="345">
        <f>SUM(compras_mes9[[#This Row],[NETO GRAVADO]:[Otros / No Grav.]])</f>
        <v>2822.3975999999998</v>
      </c>
      <c r="Q63" s="346" t="str">
        <f>IFERROR(IF(compras_mes9[[#This Row],[CUIT]]="","-",VLOOKUP(compras_mes9[[#This Row],[CUIT]],Lista_CUIT[#All],3,0)),"CUIT NO CARGADO")</f>
        <v>Gastos Varios</v>
      </c>
      <c r="R63" s="346">
        <f>IFERROR(IF(compras_mes9[[#This Row],[CUIT]]="","-",VLOOKUP(compras_mes9[[#This Row],[CUIT]],Lista_CUIT[#All],4,0)),"CUIT NO CARGADO")</f>
        <v>0</v>
      </c>
    </row>
    <row r="64" spans="2:18" x14ac:dyDescent="0.3">
      <c r="B64" s="337">
        <v>44897</v>
      </c>
      <c r="C64" s="338">
        <v>1</v>
      </c>
      <c r="D64" s="339">
        <v>5</v>
      </c>
      <c r="E64" s="340">
        <v>1170</v>
      </c>
      <c r="F64" s="341">
        <v>20116347742</v>
      </c>
      <c r="G64" s="342" t="str">
        <f>IFERROR(IF(compras_mes9[[#This Row],[CUIT]]="","-",VLOOKUP(compras_mes9[[#This Row],[CUIT]],Lista_CUIT[#All],2,0)),"CUIT NO CARGADO")</f>
        <v>VALDEZ PEDRO ALBERTO</v>
      </c>
      <c r="H64" s="343">
        <v>2314.0700000000002</v>
      </c>
      <c r="I64" s="344">
        <f>IF(compras_mes9[[#This Row],[NETO GRAVADO]]="","",compras_mes9[[#This Row],[NETO GRAVADO]]*0.21)</f>
        <v>485.9547</v>
      </c>
      <c r="J64" s="344"/>
      <c r="K64" s="344"/>
      <c r="L64" s="344"/>
      <c r="M64" s="344"/>
      <c r="N64" s="344"/>
      <c r="O64" s="344"/>
      <c r="P64" s="345">
        <f>SUM(compras_mes9[[#This Row],[NETO GRAVADO]:[Otros / No Grav.]])</f>
        <v>2800.0246999999999</v>
      </c>
      <c r="Q64" s="346" t="str">
        <f>IFERROR(IF(compras_mes9[[#This Row],[CUIT]]="","-",VLOOKUP(compras_mes9[[#This Row],[CUIT]],Lista_CUIT[#All],3,0)),"CUIT NO CARGADO")</f>
        <v>Gastos Varios</v>
      </c>
      <c r="R64" s="346" t="str">
        <f>IFERROR(IF(compras_mes9[[#This Row],[CUIT]]="","-",VLOOKUP(compras_mes9[[#This Row],[CUIT]],Lista_CUIT[#All],4,0)),"CUIT NO CARGADO")</f>
        <v>CABA</v>
      </c>
    </row>
    <row r="65" spans="2:18" x14ac:dyDescent="0.3">
      <c r="B65" s="337">
        <v>44897</v>
      </c>
      <c r="C65" s="338">
        <v>1</v>
      </c>
      <c r="D65" s="339">
        <v>3</v>
      </c>
      <c r="E65" s="340">
        <v>35625</v>
      </c>
      <c r="F65" s="341">
        <v>30644823276</v>
      </c>
      <c r="G65" s="342" t="str">
        <f>IFERROR(IF(compras_mes9[[#This Row],[CUIT]]="","-",VLOOKUP(compras_mes9[[#This Row],[CUIT]],Lista_CUIT[#All],2,0)),"CUIT NO CARGADO")</f>
        <v>BEST PHONE S R L</v>
      </c>
      <c r="H65" s="343">
        <v>8619.15</v>
      </c>
      <c r="I65" s="344">
        <f>IF(compras_mes9[[#This Row],[NETO GRAVADO]]="","",compras_mes9[[#This Row],[NETO GRAVADO]]*0.21)</f>
        <v>1810.0214999999998</v>
      </c>
      <c r="J65" s="344"/>
      <c r="K65" s="344"/>
      <c r="L65" s="344"/>
      <c r="M65" s="344"/>
      <c r="N65" s="344"/>
      <c r="O65" s="344"/>
      <c r="P65" s="345">
        <f>SUM(compras_mes9[[#This Row],[NETO GRAVADO]:[Otros / No Grav.]])</f>
        <v>10429.1715</v>
      </c>
      <c r="Q65" s="346" t="str">
        <f>IFERROR(IF(compras_mes9[[#This Row],[CUIT]]="","-",VLOOKUP(compras_mes9[[#This Row],[CUIT]],Lista_CUIT[#All],3,0)),"CUIT NO CARGADO")</f>
        <v>Gastos Varios</v>
      </c>
      <c r="R65" s="346">
        <f>IFERROR(IF(compras_mes9[[#This Row],[CUIT]]="","-",VLOOKUP(compras_mes9[[#This Row],[CUIT]],Lista_CUIT[#All],4,0)),"CUIT NO CARGADO")</f>
        <v>0</v>
      </c>
    </row>
    <row r="66" spans="2:18" x14ac:dyDescent="0.3">
      <c r="B66" s="337">
        <v>44897</v>
      </c>
      <c r="C66" s="338">
        <v>1</v>
      </c>
      <c r="D66" s="339">
        <v>2188</v>
      </c>
      <c r="E66" s="340">
        <v>77987</v>
      </c>
      <c r="F66" s="341">
        <v>30548083156</v>
      </c>
      <c r="G66" s="342" t="str">
        <f>IFERROR(IF(compras_mes9[[#This Row],[CUIT]]="","-",VLOOKUP(compras_mes9[[#This Row],[CUIT]],Lista_CUIT[#All],2,0)),"CUIT NO CARGADO")</f>
        <v>COTO  S.A.</v>
      </c>
      <c r="H66" s="343">
        <v>17109.21</v>
      </c>
      <c r="I66" s="344">
        <v>3423.26</v>
      </c>
      <c r="J66" s="344"/>
      <c r="K66" s="344">
        <v>84.84</v>
      </c>
      <c r="L66" s="344">
        <v>492.01</v>
      </c>
      <c r="M66" s="344"/>
      <c r="N66" s="344">
        <v>990.93</v>
      </c>
      <c r="O66" s="344"/>
      <c r="P66" s="345">
        <f>SUM(compras_mes9[[#This Row],[NETO GRAVADO]:[Otros / No Grav.]])</f>
        <v>22100.25</v>
      </c>
      <c r="Q66" s="346" t="str">
        <f>IFERROR(IF(compras_mes9[[#This Row],[CUIT]]="","-",VLOOKUP(compras_mes9[[#This Row],[CUIT]],Lista_CUIT[#All],3,0)),"CUIT NO CARGADO")</f>
        <v>Gastos Varios</v>
      </c>
      <c r="R66" s="346">
        <f>IFERROR(IF(compras_mes9[[#This Row],[CUIT]]="","-",VLOOKUP(compras_mes9[[#This Row],[CUIT]],Lista_CUIT[#All],4,0)),"CUIT NO CARGADO")</f>
        <v>0</v>
      </c>
    </row>
    <row r="67" spans="2:18" x14ac:dyDescent="0.3">
      <c r="B67" s="337">
        <v>44898</v>
      </c>
      <c r="C67" s="338">
        <v>1</v>
      </c>
      <c r="D67" s="339">
        <v>2199</v>
      </c>
      <c r="E67" s="340">
        <v>19152</v>
      </c>
      <c r="F67" s="341">
        <v>30548083156</v>
      </c>
      <c r="G67" s="342" t="str">
        <f>IFERROR(IF(compras_mes9[[#This Row],[CUIT]]="","-",VLOOKUP(compras_mes9[[#This Row],[CUIT]],Lista_CUIT[#All],2,0)),"CUIT NO CARGADO")</f>
        <v>COTO  S.A.</v>
      </c>
      <c r="H67" s="343">
        <v>5126.38</v>
      </c>
      <c r="I67" s="344">
        <v>721.73</v>
      </c>
      <c r="J67" s="344"/>
      <c r="K67" s="344">
        <v>177.4</v>
      </c>
      <c r="L67" s="344">
        <v>103.1</v>
      </c>
      <c r="M67" s="344"/>
      <c r="N67" s="344">
        <v>206.21</v>
      </c>
      <c r="O67" s="344"/>
      <c r="P67" s="345">
        <f>SUM(compras_mes9[[#This Row],[NETO GRAVADO]:[Otros / No Grav.]])</f>
        <v>6334.8200000000006</v>
      </c>
      <c r="Q67" s="346" t="str">
        <f>IFERROR(IF(compras_mes9[[#This Row],[CUIT]]="","-",VLOOKUP(compras_mes9[[#This Row],[CUIT]],Lista_CUIT[#All],3,0)),"CUIT NO CARGADO")</f>
        <v>Gastos Varios</v>
      </c>
      <c r="R67" s="346">
        <f>IFERROR(IF(compras_mes9[[#This Row],[CUIT]]="","-",VLOOKUP(compras_mes9[[#This Row],[CUIT]],Lista_CUIT[#All],4,0)),"CUIT NO CARGADO")</f>
        <v>0</v>
      </c>
    </row>
    <row r="68" spans="2:18" x14ac:dyDescent="0.3">
      <c r="B68" s="337">
        <v>44900</v>
      </c>
      <c r="C68" s="338">
        <v>1</v>
      </c>
      <c r="D68" s="339">
        <v>8259</v>
      </c>
      <c r="E68" s="340">
        <v>2317</v>
      </c>
      <c r="F68" s="341">
        <v>30590360763</v>
      </c>
      <c r="G68" s="342" t="str">
        <f>IFERROR(IF(compras_mes9[[#This Row],[CUIT]]="","-",VLOOKUP(compras_mes9[[#This Row],[CUIT]],Lista_CUIT[#All],2,0)),"CUIT NO CARGADO")</f>
        <v>CENCOSUD S.A</v>
      </c>
      <c r="H68" s="343">
        <v>5790.08</v>
      </c>
      <c r="I68" s="344">
        <f>IF(compras_mes9[[#This Row],[NETO GRAVADO]]="","",compras_mes9[[#This Row],[NETO GRAVADO]]*0.21)</f>
        <v>1215.9168</v>
      </c>
      <c r="J68" s="344"/>
      <c r="K68" s="344"/>
      <c r="L68" s="344">
        <v>173.7</v>
      </c>
      <c r="M68" s="344"/>
      <c r="N68" s="344">
        <v>347.4</v>
      </c>
      <c r="O68" s="344"/>
      <c r="P68" s="345">
        <f>SUM(compras_mes9[[#This Row],[NETO GRAVADO]:[Otros / No Grav.]])</f>
        <v>7527.0967999999993</v>
      </c>
      <c r="Q68" s="346" t="str">
        <f>IFERROR(IF(compras_mes9[[#This Row],[CUIT]]="","-",VLOOKUP(compras_mes9[[#This Row],[CUIT]],Lista_CUIT[#All],3,0)),"CUIT NO CARGADO")</f>
        <v>Gastos Varios</v>
      </c>
      <c r="R68" s="346">
        <f>IFERROR(IF(compras_mes9[[#This Row],[CUIT]]="","-",VLOOKUP(compras_mes9[[#This Row],[CUIT]],Lista_CUIT[#All],4,0)),"CUIT NO CARGADO")</f>
        <v>0</v>
      </c>
    </row>
    <row r="69" spans="2:18" x14ac:dyDescent="0.3">
      <c r="B69" s="337">
        <v>44900</v>
      </c>
      <c r="C69" s="338">
        <v>1</v>
      </c>
      <c r="D69" s="339">
        <v>2188</v>
      </c>
      <c r="E69" s="340">
        <v>78205</v>
      </c>
      <c r="F69" s="341">
        <v>30548083156</v>
      </c>
      <c r="G69" s="342" t="str">
        <f>IFERROR(IF(compras_mes9[[#This Row],[CUIT]]="","-",VLOOKUP(compras_mes9[[#This Row],[CUIT]],Lista_CUIT[#All],2,0)),"CUIT NO CARGADO")</f>
        <v>COTO  S.A.</v>
      </c>
      <c r="H69" s="343">
        <v>11804.28</v>
      </c>
      <c r="I69" s="344">
        <v>2180.02</v>
      </c>
      <c r="J69" s="344"/>
      <c r="K69" s="344">
        <v>149.44</v>
      </c>
      <c r="L69" s="344">
        <v>292.92</v>
      </c>
      <c r="M69" s="344"/>
      <c r="N69" s="344">
        <v>614.19000000000005</v>
      </c>
      <c r="O69" s="344"/>
      <c r="P69" s="345">
        <f>SUM(compras_mes9[[#This Row],[NETO GRAVADO]:[Otros / No Grav.]])</f>
        <v>15040.850000000002</v>
      </c>
      <c r="Q69" s="346" t="str">
        <f>IFERROR(IF(compras_mes9[[#This Row],[CUIT]]="","-",VLOOKUP(compras_mes9[[#This Row],[CUIT]],Lista_CUIT[#All],3,0)),"CUIT NO CARGADO")</f>
        <v>Gastos Varios</v>
      </c>
      <c r="R69" s="346">
        <f>IFERROR(IF(compras_mes9[[#This Row],[CUIT]]="","-",VLOOKUP(compras_mes9[[#This Row],[CUIT]],Lista_CUIT[#All],4,0)),"CUIT NO CARGADO")</f>
        <v>0</v>
      </c>
    </row>
    <row r="70" spans="2:18" x14ac:dyDescent="0.3">
      <c r="B70" s="337">
        <v>44900</v>
      </c>
      <c r="C70" s="338">
        <v>1</v>
      </c>
      <c r="D70" s="339">
        <v>11</v>
      </c>
      <c r="E70" s="340">
        <v>493</v>
      </c>
      <c r="F70" s="341">
        <v>30716010739</v>
      </c>
      <c r="G70" s="342" t="str">
        <f>IFERROR(IF(compras_mes9[[#This Row],[CUIT]]="","-",VLOOKUP(compras_mes9[[#This Row],[CUIT]],Lista_CUIT[#All],2,0)),"CUIT NO CARGADO")</f>
        <v>CHAVERIM SA</v>
      </c>
      <c r="H70" s="343">
        <v>3785.13</v>
      </c>
      <c r="I70" s="344">
        <f>IF(compras_mes9[[#This Row],[NETO GRAVADO]]="","",compras_mes9[[#This Row],[NETO GRAVADO]]*0.21)</f>
        <v>794.87729999999999</v>
      </c>
      <c r="J70" s="344"/>
      <c r="K70" s="344"/>
      <c r="L70" s="344"/>
      <c r="M70" s="344"/>
      <c r="N70" s="344"/>
      <c r="O70" s="344"/>
      <c r="P70" s="345">
        <f>SUM(compras_mes9[[#This Row],[NETO GRAVADO]:[Otros / No Grav.]])</f>
        <v>4580.0073000000002</v>
      </c>
      <c r="Q70" s="346" t="str">
        <f>IFERROR(IF(compras_mes9[[#This Row],[CUIT]]="","-",VLOOKUP(compras_mes9[[#This Row],[CUIT]],Lista_CUIT[#All],3,0)),"CUIT NO CARGADO")</f>
        <v>Gastos Varios</v>
      </c>
      <c r="R70" s="346">
        <f>IFERROR(IF(compras_mes9[[#This Row],[CUIT]]="","-",VLOOKUP(compras_mes9[[#This Row],[CUIT]],Lista_CUIT[#All],4,0)),"CUIT NO CARGADO")</f>
        <v>0</v>
      </c>
    </row>
    <row r="71" spans="2:18" x14ac:dyDescent="0.3">
      <c r="B71" s="337">
        <v>44902</v>
      </c>
      <c r="C71" s="338">
        <v>1</v>
      </c>
      <c r="D71" s="339">
        <v>2199</v>
      </c>
      <c r="E71" s="340">
        <v>19237</v>
      </c>
      <c r="F71" s="341">
        <v>30548083156</v>
      </c>
      <c r="G71" s="342" t="str">
        <f>IFERROR(IF(compras_mes9[[#This Row],[CUIT]]="","-",VLOOKUP(compras_mes9[[#This Row],[CUIT]],Lista_CUIT[#All],2,0)),"CUIT NO CARGADO")</f>
        <v>COTO  S.A.</v>
      </c>
      <c r="H71" s="343">
        <v>10044.76</v>
      </c>
      <c r="I71" s="344">
        <f>IF(compras_mes9[[#This Row],[NETO GRAVADO]]="","",compras_mes9[[#This Row],[NETO GRAVADO]]*0.21)</f>
        <v>2109.3996000000002</v>
      </c>
      <c r="J71" s="344"/>
      <c r="K71" s="344"/>
      <c r="L71" s="344">
        <v>301.33999999999997</v>
      </c>
      <c r="M71" s="344"/>
      <c r="N71" s="344">
        <v>602.69000000000005</v>
      </c>
      <c r="O71" s="344"/>
      <c r="P71" s="345">
        <f>SUM(compras_mes9[[#This Row],[NETO GRAVADO]:[Otros / No Grav.]])</f>
        <v>13058.189600000002</v>
      </c>
      <c r="Q71" s="346" t="str">
        <f>IFERROR(IF(compras_mes9[[#This Row],[CUIT]]="","-",VLOOKUP(compras_mes9[[#This Row],[CUIT]],Lista_CUIT[#All],3,0)),"CUIT NO CARGADO")</f>
        <v>Gastos Varios</v>
      </c>
      <c r="R71" s="346">
        <f>IFERROR(IF(compras_mes9[[#This Row],[CUIT]]="","-",VLOOKUP(compras_mes9[[#This Row],[CUIT]],Lista_CUIT[#All],4,0)),"CUIT NO CARGADO")</f>
        <v>0</v>
      </c>
    </row>
    <row r="72" spans="2:18" x14ac:dyDescent="0.3">
      <c r="B72" s="337">
        <v>44902</v>
      </c>
      <c r="C72" s="338">
        <v>1</v>
      </c>
      <c r="D72" s="339">
        <v>2199</v>
      </c>
      <c r="E72" s="340">
        <v>19238</v>
      </c>
      <c r="F72" s="341">
        <v>30548083156</v>
      </c>
      <c r="G72" s="342" t="str">
        <f>IFERROR(IF(compras_mes9[[#This Row],[CUIT]]="","-",VLOOKUP(compras_mes9[[#This Row],[CUIT]],Lista_CUIT[#All],2,0)),"CUIT NO CARGADO")</f>
        <v>COTO  S.A.</v>
      </c>
      <c r="H72" s="343">
        <v>13154.12</v>
      </c>
      <c r="I72" s="344">
        <f>IF(compras_mes9[[#This Row],[NETO GRAVADO]]="","",compras_mes9[[#This Row],[NETO GRAVADO]]*0.21)</f>
        <v>2762.3652000000002</v>
      </c>
      <c r="J72" s="344"/>
      <c r="K72" s="344"/>
      <c r="L72" s="344">
        <v>392.15</v>
      </c>
      <c r="M72" s="344"/>
      <c r="N72" s="344">
        <v>750.37</v>
      </c>
      <c r="O72" s="344"/>
      <c r="P72" s="345">
        <f>SUM(compras_mes9[[#This Row],[NETO GRAVADO]:[Otros / No Grav.]])</f>
        <v>17059.0052</v>
      </c>
      <c r="Q72" s="346" t="str">
        <f>IFERROR(IF(compras_mes9[[#This Row],[CUIT]]="","-",VLOOKUP(compras_mes9[[#This Row],[CUIT]],Lista_CUIT[#All],3,0)),"CUIT NO CARGADO")</f>
        <v>Gastos Varios</v>
      </c>
      <c r="R72" s="346">
        <f>IFERROR(IF(compras_mes9[[#This Row],[CUIT]]="","-",VLOOKUP(compras_mes9[[#This Row],[CUIT]],Lista_CUIT[#All],4,0)),"CUIT NO CARGADO")</f>
        <v>0</v>
      </c>
    </row>
    <row r="73" spans="2:18" x14ac:dyDescent="0.3">
      <c r="B73" s="337">
        <v>44902</v>
      </c>
      <c r="C73" s="338">
        <v>1</v>
      </c>
      <c r="D73" s="339">
        <v>13</v>
      </c>
      <c r="E73" s="340">
        <v>5989</v>
      </c>
      <c r="F73" s="341">
        <v>33662613199</v>
      </c>
      <c r="G73" s="342" t="str">
        <f>IFERROR(IF(compras_mes9[[#This Row],[CUIT]]="","-",VLOOKUP(compras_mes9[[#This Row],[CUIT]],Lista_CUIT[#All],2,0)),"CUIT NO CARGADO")</f>
        <v>D M H S A</v>
      </c>
      <c r="H73" s="343">
        <v>21594.22</v>
      </c>
      <c r="I73" s="344">
        <f>IF(compras_mes9[[#This Row],[NETO GRAVADO]]="","",compras_mes9[[#This Row],[NETO GRAVADO]]*0.21)</f>
        <v>4534.7862000000005</v>
      </c>
      <c r="J73" s="344"/>
      <c r="K73" s="344"/>
      <c r="L73" s="344"/>
      <c r="M73" s="344"/>
      <c r="N73" s="344"/>
      <c r="O73" s="344"/>
      <c r="P73" s="345">
        <f>SUM(compras_mes9[[#This Row],[NETO GRAVADO]:[Otros / No Grav.]])</f>
        <v>26129.006200000003</v>
      </c>
      <c r="Q73" s="346" t="str">
        <f>IFERROR(IF(compras_mes9[[#This Row],[CUIT]]="","-",VLOOKUP(compras_mes9[[#This Row],[CUIT]],Lista_CUIT[#All],3,0)),"CUIT NO CARGADO")</f>
        <v>Gastos Varios</v>
      </c>
      <c r="R73" s="346">
        <f>IFERROR(IF(compras_mes9[[#This Row],[CUIT]]="","-",VLOOKUP(compras_mes9[[#This Row],[CUIT]],Lista_CUIT[#All],4,0)),"CUIT NO CARGADO")</f>
        <v>0</v>
      </c>
    </row>
    <row r="74" spans="2:18" x14ac:dyDescent="0.3">
      <c r="B74" s="337">
        <v>44904</v>
      </c>
      <c r="C74" s="338">
        <v>1</v>
      </c>
      <c r="D74" s="339">
        <v>3</v>
      </c>
      <c r="E74" s="340">
        <v>247904</v>
      </c>
      <c r="F74" s="341">
        <v>30709131865</v>
      </c>
      <c r="G74" s="342" t="str">
        <f>IFERROR(IF(compras_mes9[[#This Row],[CUIT]]="","-",VLOOKUP(compras_mes9[[#This Row],[CUIT]],Lista_CUIT[#All],2,0)),"CUIT NO CARGADO")</f>
        <v>EMPRENDIMIENTOS SATELITALES SA</v>
      </c>
      <c r="H74" s="343">
        <v>367.72</v>
      </c>
      <c r="I74" s="344">
        <f>IF(compras_mes9[[#This Row],[NETO GRAVADO]]="","",compras_mes9[[#This Row],[NETO GRAVADO]]*0.21)</f>
        <v>77.221199999999996</v>
      </c>
      <c r="J74" s="344"/>
      <c r="K74" s="344"/>
      <c r="L74" s="344"/>
      <c r="M74" s="344"/>
      <c r="N74" s="344"/>
      <c r="O74" s="344"/>
      <c r="P74" s="345">
        <f>SUM(compras_mes9[[#This Row],[NETO GRAVADO]:[Otros / No Grav.]])</f>
        <v>444.94120000000004</v>
      </c>
      <c r="Q74" s="346" t="str">
        <f>IFERROR(IF(compras_mes9[[#This Row],[CUIT]]="","-",VLOOKUP(compras_mes9[[#This Row],[CUIT]],Lista_CUIT[#All],3,0)),"CUIT NO CARGADO")</f>
        <v>Gastos Varios</v>
      </c>
      <c r="R74" s="346">
        <f>IFERROR(IF(compras_mes9[[#This Row],[CUIT]]="","-",VLOOKUP(compras_mes9[[#This Row],[CUIT]],Lista_CUIT[#All],4,0)),"CUIT NO CARGADO")</f>
        <v>0</v>
      </c>
    </row>
    <row r="75" spans="2:18" x14ac:dyDescent="0.3">
      <c r="B75" s="337">
        <v>44906</v>
      </c>
      <c r="C75" s="338">
        <v>1</v>
      </c>
      <c r="D75" s="339">
        <v>8970</v>
      </c>
      <c r="E75" s="340">
        <v>30</v>
      </c>
      <c r="F75" s="341">
        <v>30590360763</v>
      </c>
      <c r="G75" s="342" t="str">
        <f>IFERROR(IF(compras_mes9[[#This Row],[CUIT]]="","-",VLOOKUP(compras_mes9[[#This Row],[CUIT]],Lista_CUIT[#All],2,0)),"CUIT NO CARGADO")</f>
        <v>CENCOSUD S.A</v>
      </c>
      <c r="H75" s="343">
        <v>3081.82</v>
      </c>
      <c r="I75" s="344">
        <f>IF(compras_mes9[[#This Row],[NETO GRAVADO]]="","",compras_mes9[[#This Row],[NETO GRAVADO]]*0.21)</f>
        <v>647.18219999999997</v>
      </c>
      <c r="J75" s="344"/>
      <c r="K75" s="344"/>
      <c r="L75" s="344">
        <v>92.45</v>
      </c>
      <c r="M75" s="344"/>
      <c r="N75" s="344">
        <v>184.91</v>
      </c>
      <c r="O75" s="344"/>
      <c r="P75" s="345">
        <f>SUM(compras_mes9[[#This Row],[NETO GRAVADO]:[Otros / No Grav.]])</f>
        <v>4006.3621999999996</v>
      </c>
      <c r="Q75" s="346" t="str">
        <f>IFERROR(IF(compras_mes9[[#This Row],[CUIT]]="","-",VLOOKUP(compras_mes9[[#This Row],[CUIT]],Lista_CUIT[#All],3,0)),"CUIT NO CARGADO")</f>
        <v>Gastos Varios</v>
      </c>
      <c r="R75" s="346">
        <f>IFERROR(IF(compras_mes9[[#This Row],[CUIT]]="","-",VLOOKUP(compras_mes9[[#This Row],[CUIT]],Lista_CUIT[#All],4,0)),"CUIT NO CARGADO")</f>
        <v>0</v>
      </c>
    </row>
    <row r="76" spans="2:18" x14ac:dyDescent="0.3">
      <c r="B76" s="337">
        <v>44906</v>
      </c>
      <c r="C76" s="338">
        <v>1</v>
      </c>
      <c r="D76" s="339">
        <v>11034</v>
      </c>
      <c r="E76" s="340">
        <v>50</v>
      </c>
      <c r="F76" s="341">
        <v>30590360763</v>
      </c>
      <c r="G76" s="342" t="str">
        <f>IFERROR(IF(compras_mes9[[#This Row],[CUIT]]="","-",VLOOKUP(compras_mes9[[#This Row],[CUIT]],Lista_CUIT[#All],2,0)),"CUIT NO CARGADO")</f>
        <v>CENCOSUD S.A</v>
      </c>
      <c r="H76" s="343">
        <v>6844.53</v>
      </c>
      <c r="I76" s="344">
        <v>1229.83</v>
      </c>
      <c r="J76" s="344"/>
      <c r="K76" s="344">
        <v>103.76</v>
      </c>
      <c r="L76" s="344">
        <v>175.69</v>
      </c>
      <c r="M76" s="344"/>
      <c r="N76" s="344">
        <v>410.67</v>
      </c>
      <c r="O76" s="344"/>
      <c r="P76" s="345">
        <f>SUM(compras_mes9[[#This Row],[NETO GRAVADO]:[Otros / No Grav.]])</f>
        <v>8764.48</v>
      </c>
      <c r="Q76" s="346" t="str">
        <f>IFERROR(IF(compras_mes9[[#This Row],[CUIT]]="","-",VLOOKUP(compras_mes9[[#This Row],[CUIT]],Lista_CUIT[#All],3,0)),"CUIT NO CARGADO")</f>
        <v>Gastos Varios</v>
      </c>
      <c r="R76" s="346">
        <f>IFERROR(IF(compras_mes9[[#This Row],[CUIT]]="","-",VLOOKUP(compras_mes9[[#This Row],[CUIT]],Lista_CUIT[#All],4,0)),"CUIT NO CARGADO")</f>
        <v>0</v>
      </c>
    </row>
    <row r="77" spans="2:18" x14ac:dyDescent="0.3">
      <c r="B77" s="337">
        <v>44909</v>
      </c>
      <c r="C77" s="338">
        <v>1</v>
      </c>
      <c r="D77" s="339">
        <v>2188</v>
      </c>
      <c r="E77" s="340">
        <v>78877</v>
      </c>
      <c r="F77" s="341">
        <v>30548083156</v>
      </c>
      <c r="G77" s="342" t="str">
        <f>IFERROR(IF(compras_mes9[[#This Row],[CUIT]]="","-",VLOOKUP(compras_mes9[[#This Row],[CUIT]],Lista_CUIT[#All],2,0)),"CUIT NO CARGADO")</f>
        <v>COTO  S.A.</v>
      </c>
      <c r="H77" s="343">
        <v>22678.05</v>
      </c>
      <c r="I77" s="344">
        <f>IF(compras_mes9[[#This Row],[NETO GRAVADO]]="","",compras_mes9[[#This Row],[NETO GRAVADO]]*0.21)</f>
        <v>4762.3904999999995</v>
      </c>
      <c r="J77" s="344"/>
      <c r="K77" s="344"/>
      <c r="L77" s="344">
        <v>680.34</v>
      </c>
      <c r="M77" s="344"/>
      <c r="N77" s="344">
        <v>340.21</v>
      </c>
      <c r="O77" s="344">
        <v>1193.96</v>
      </c>
      <c r="P77" s="345">
        <f>SUM(compras_mes9[[#This Row],[NETO GRAVADO]:[Otros / No Grav.]])</f>
        <v>29654.950499999995</v>
      </c>
      <c r="Q77" s="346" t="str">
        <f>IFERROR(IF(compras_mes9[[#This Row],[CUIT]]="","-",VLOOKUP(compras_mes9[[#This Row],[CUIT]],Lista_CUIT[#All],3,0)),"CUIT NO CARGADO")</f>
        <v>Gastos Varios</v>
      </c>
      <c r="R77" s="346">
        <f>IFERROR(IF(compras_mes9[[#This Row],[CUIT]]="","-",VLOOKUP(compras_mes9[[#This Row],[CUIT]],Lista_CUIT[#All],4,0)),"CUIT NO CARGADO")</f>
        <v>0</v>
      </c>
    </row>
    <row r="78" spans="2:18" x14ac:dyDescent="0.3">
      <c r="B78" s="337">
        <v>44909</v>
      </c>
      <c r="C78" s="338">
        <v>1</v>
      </c>
      <c r="D78" s="339">
        <v>2188</v>
      </c>
      <c r="E78" s="340">
        <v>78876</v>
      </c>
      <c r="F78" s="341">
        <v>30548083156</v>
      </c>
      <c r="G78" s="342" t="str">
        <f>IFERROR(IF(compras_mes9[[#This Row],[CUIT]]="","-",VLOOKUP(compras_mes9[[#This Row],[CUIT]],Lista_CUIT[#All],2,0)),"CUIT NO CARGADO")</f>
        <v>COTO  S.A.</v>
      </c>
      <c r="H78" s="343">
        <v>53684.959999999999</v>
      </c>
      <c r="I78" s="344">
        <v>11182.65</v>
      </c>
      <c r="J78" s="344"/>
      <c r="K78" s="344">
        <v>45.59</v>
      </c>
      <c r="L78" s="344">
        <v>1584.39</v>
      </c>
      <c r="M78" s="344"/>
      <c r="N78" s="344">
        <v>3066.11</v>
      </c>
      <c r="O78" s="344"/>
      <c r="P78" s="345">
        <f>SUM(compras_mes9[[#This Row],[NETO GRAVADO]:[Otros / No Grav.]])</f>
        <v>69563.7</v>
      </c>
      <c r="Q78" s="346" t="str">
        <f>IFERROR(IF(compras_mes9[[#This Row],[CUIT]]="","-",VLOOKUP(compras_mes9[[#This Row],[CUIT]],Lista_CUIT[#All],3,0)),"CUIT NO CARGADO")</f>
        <v>Gastos Varios</v>
      </c>
      <c r="R78" s="346">
        <f>IFERROR(IF(compras_mes9[[#This Row],[CUIT]]="","-",VLOOKUP(compras_mes9[[#This Row],[CUIT]],Lista_CUIT[#All],4,0)),"CUIT NO CARGADO")</f>
        <v>0</v>
      </c>
    </row>
    <row r="79" spans="2:18" x14ac:dyDescent="0.3">
      <c r="B79" s="337">
        <v>44909</v>
      </c>
      <c r="C79" s="338">
        <v>1</v>
      </c>
      <c r="D79" s="339">
        <v>2</v>
      </c>
      <c r="E79" s="340">
        <v>1330</v>
      </c>
      <c r="F79" s="341">
        <v>20251522899</v>
      </c>
      <c r="G79" s="342" t="str">
        <f>IFERROR(IF(compras_mes9[[#This Row],[CUIT]]="","-",VLOOKUP(compras_mes9[[#This Row],[CUIT]],Lista_CUIT[#All],2,0)),"CUIT NO CARGADO")</f>
        <v>MALACASA LUIS DAMIAN</v>
      </c>
      <c r="H79" s="343">
        <v>2880.17</v>
      </c>
      <c r="I79" s="344">
        <f>IF(compras_mes9[[#This Row],[NETO GRAVADO]]="","",compras_mes9[[#This Row],[NETO GRAVADO]]*0.21)</f>
        <v>604.83569999999997</v>
      </c>
      <c r="J79" s="344"/>
      <c r="K79" s="344"/>
      <c r="L79" s="344"/>
      <c r="M79" s="344"/>
      <c r="N79" s="344"/>
      <c r="O79" s="344"/>
      <c r="P79" s="345">
        <f>SUM(compras_mes9[[#This Row],[NETO GRAVADO]:[Otros / No Grav.]])</f>
        <v>3485.0057000000002</v>
      </c>
      <c r="Q79" s="346" t="str">
        <f>IFERROR(IF(compras_mes9[[#This Row],[CUIT]]="","-",VLOOKUP(compras_mes9[[#This Row],[CUIT]],Lista_CUIT[#All],3,0)),"CUIT NO CARGADO")</f>
        <v>Gastos Varios</v>
      </c>
      <c r="R79" s="346">
        <f>IFERROR(IF(compras_mes9[[#This Row],[CUIT]]="","-",VLOOKUP(compras_mes9[[#This Row],[CUIT]],Lista_CUIT[#All],4,0)),"CUIT NO CARGADO")</f>
        <v>0</v>
      </c>
    </row>
    <row r="80" spans="2:18" x14ac:dyDescent="0.3">
      <c r="B80" s="337">
        <v>44912</v>
      </c>
      <c r="C80" s="338">
        <v>1</v>
      </c>
      <c r="D80" s="339">
        <v>10</v>
      </c>
      <c r="E80" s="340">
        <v>26</v>
      </c>
      <c r="F80" s="341">
        <v>30717035018</v>
      </c>
      <c r="G80" s="342" t="str">
        <f>IFERROR(IF(compras_mes9[[#This Row],[CUIT]]="","-",VLOOKUP(compras_mes9[[#This Row],[CUIT]],Lista_CUIT[#All],2,0)),"CUIT NO CARGADO")</f>
        <v>GROOVAS S.R.L.</v>
      </c>
      <c r="H80" s="343">
        <v>17023.97</v>
      </c>
      <c r="I80" s="344">
        <f>IF(compras_mes9[[#This Row],[NETO GRAVADO]]="","",compras_mes9[[#This Row],[NETO GRAVADO]]*0.21)</f>
        <v>3575.0337</v>
      </c>
      <c r="J80" s="344"/>
      <c r="K80" s="344"/>
      <c r="L80" s="344"/>
      <c r="M80" s="344"/>
      <c r="N80" s="344"/>
      <c r="O80" s="344"/>
      <c r="P80" s="345">
        <f>SUM(compras_mes9[[#This Row],[NETO GRAVADO]:[Otros / No Grav.]])</f>
        <v>20599.003700000001</v>
      </c>
      <c r="Q80" s="346" t="str">
        <f>IFERROR(IF(compras_mes9[[#This Row],[CUIT]]="","-",VLOOKUP(compras_mes9[[#This Row],[CUIT]],Lista_CUIT[#All],3,0)),"CUIT NO CARGADO")</f>
        <v>Gastos Varios</v>
      </c>
      <c r="R80" s="346">
        <f>IFERROR(IF(compras_mes9[[#This Row],[CUIT]]="","-",VLOOKUP(compras_mes9[[#This Row],[CUIT]],Lista_CUIT[#All],4,0)),"CUIT NO CARGADO")</f>
        <v>0</v>
      </c>
    </row>
    <row r="81" spans="2:18" x14ac:dyDescent="0.3">
      <c r="B81" s="337">
        <v>44914</v>
      </c>
      <c r="C81" s="338">
        <v>1</v>
      </c>
      <c r="D81" s="339">
        <v>2188</v>
      </c>
      <c r="E81" s="340">
        <v>79313</v>
      </c>
      <c r="F81" s="341">
        <v>30548083156</v>
      </c>
      <c r="G81" s="342" t="str">
        <f>IFERROR(IF(compras_mes9[[#This Row],[CUIT]]="","-",VLOOKUP(compras_mes9[[#This Row],[CUIT]],Lista_CUIT[#All],2,0)),"CUIT NO CARGADO")</f>
        <v>COTO  S.A.</v>
      </c>
      <c r="H81" s="343">
        <v>5931.8</v>
      </c>
      <c r="I81" s="344">
        <f>IF(compras_mes9[[#This Row],[NETO GRAVADO]]="","",compras_mes9[[#This Row],[NETO GRAVADO]]*0.21)</f>
        <v>1245.6779999999999</v>
      </c>
      <c r="J81" s="344"/>
      <c r="K81" s="344"/>
      <c r="L81" s="344">
        <v>177.95</v>
      </c>
      <c r="M81" s="344"/>
      <c r="N81" s="344">
        <v>355.91</v>
      </c>
      <c r="O81" s="344"/>
      <c r="P81" s="345">
        <f>SUM(compras_mes9[[#This Row],[NETO GRAVADO]:[Otros / No Grav.]])</f>
        <v>7711.3379999999997</v>
      </c>
      <c r="Q81" s="346" t="str">
        <f>IFERROR(IF(compras_mes9[[#This Row],[CUIT]]="","-",VLOOKUP(compras_mes9[[#This Row],[CUIT]],Lista_CUIT[#All],3,0)),"CUIT NO CARGADO")</f>
        <v>Gastos Varios</v>
      </c>
      <c r="R81" s="346">
        <f>IFERROR(IF(compras_mes9[[#This Row],[CUIT]]="","-",VLOOKUP(compras_mes9[[#This Row],[CUIT]],Lista_CUIT[#All],4,0)),"CUIT NO CARGADO")</f>
        <v>0</v>
      </c>
    </row>
    <row r="82" spans="2:18" x14ac:dyDescent="0.3">
      <c r="B82" s="337">
        <v>44916</v>
      </c>
      <c r="C82" s="338">
        <v>1</v>
      </c>
      <c r="D82" s="339">
        <v>11</v>
      </c>
      <c r="E82" s="340">
        <v>500</v>
      </c>
      <c r="F82" s="341">
        <v>30716010739</v>
      </c>
      <c r="G82" s="342" t="str">
        <f>IFERROR(IF(compras_mes9[[#This Row],[CUIT]]="","-",VLOOKUP(compras_mes9[[#This Row],[CUIT]],Lista_CUIT[#All],2,0)),"CUIT NO CARGADO")</f>
        <v>CHAVERIM SA</v>
      </c>
      <c r="H82" s="343">
        <v>8793.39</v>
      </c>
      <c r="I82" s="344">
        <f>IF(compras_mes9[[#This Row],[NETO GRAVADO]]="","",compras_mes9[[#This Row],[NETO GRAVADO]]*0.21)</f>
        <v>1846.6118999999999</v>
      </c>
      <c r="J82" s="344"/>
      <c r="K82" s="344"/>
      <c r="L82" s="344"/>
      <c r="M82" s="344"/>
      <c r="N82" s="344"/>
      <c r="O82" s="344"/>
      <c r="P82" s="345">
        <f>SUM(compras_mes9[[#This Row],[NETO GRAVADO]:[Otros / No Grav.]])</f>
        <v>10640.001899999999</v>
      </c>
      <c r="Q82" s="346" t="str">
        <f>IFERROR(IF(compras_mes9[[#This Row],[CUIT]]="","-",VLOOKUP(compras_mes9[[#This Row],[CUIT]],Lista_CUIT[#All],3,0)),"CUIT NO CARGADO")</f>
        <v>Gastos Varios</v>
      </c>
      <c r="R82" s="346">
        <f>IFERROR(IF(compras_mes9[[#This Row],[CUIT]]="","-",VLOOKUP(compras_mes9[[#This Row],[CUIT]],Lista_CUIT[#All],4,0)),"CUIT NO CARGADO")</f>
        <v>0</v>
      </c>
    </row>
    <row r="83" spans="2:18" x14ac:dyDescent="0.3">
      <c r="B83" s="337">
        <v>44916</v>
      </c>
      <c r="C83" s="338">
        <v>1</v>
      </c>
      <c r="D83" s="339">
        <v>113</v>
      </c>
      <c r="E83" s="340">
        <v>3026075</v>
      </c>
      <c r="F83" s="341">
        <v>30577207190</v>
      </c>
      <c r="G83" s="342" t="str">
        <f>IFERROR(IF(compras_mes9[[#This Row],[CUIT]]="","-",VLOOKUP(compras_mes9[[#This Row],[CUIT]],Lista_CUIT[#All],2,0)),"CUIT NO CARGADO")</f>
        <v>COORDINACION ECOLOGICA AREA METROPOLITANA SOCIEDAD DEL ESTADO</v>
      </c>
      <c r="H83" s="343">
        <v>2390.08</v>
      </c>
      <c r="I83" s="344">
        <f>IF(compras_mes9[[#This Row],[NETO GRAVADO]]="","",compras_mes9[[#This Row],[NETO GRAVADO]]*0.21)</f>
        <v>501.91679999999997</v>
      </c>
      <c r="J83" s="344"/>
      <c r="K83" s="344"/>
      <c r="L83" s="344"/>
      <c r="M83" s="344">
        <v>71.7</v>
      </c>
      <c r="N83" s="344"/>
      <c r="O83" s="344"/>
      <c r="P83" s="345">
        <f>SUM(compras_mes9[[#This Row],[NETO GRAVADO]:[Otros / No Grav.]])</f>
        <v>2963.6967999999997</v>
      </c>
      <c r="Q83" s="346" t="str">
        <f>IFERROR(IF(compras_mes9[[#This Row],[CUIT]]="","-",VLOOKUP(compras_mes9[[#This Row],[CUIT]],Lista_CUIT[#All],3,0)),"CUIT NO CARGADO")</f>
        <v>Gastos Varios</v>
      </c>
      <c r="R83" s="346" t="str">
        <f>IFERROR(IF(compras_mes9[[#This Row],[CUIT]]="","-",VLOOKUP(compras_mes9[[#This Row],[CUIT]],Lista_CUIT[#All],4,0)),"CUIT NO CARGADO")</f>
        <v>CABA</v>
      </c>
    </row>
    <row r="84" spans="2:18" x14ac:dyDescent="0.3">
      <c r="B84" s="337">
        <v>44917</v>
      </c>
      <c r="C84" s="338">
        <v>1</v>
      </c>
      <c r="D84" s="339">
        <v>2</v>
      </c>
      <c r="E84" s="340">
        <v>150</v>
      </c>
      <c r="F84" s="341">
        <v>27422248426</v>
      </c>
      <c r="G84" s="342" t="str">
        <f>IFERROR(IF(compras_mes9[[#This Row],[CUIT]]="","-",VLOOKUP(compras_mes9[[#This Row],[CUIT]],Lista_CUIT[#All],2,0)),"CUIT NO CARGADO")</f>
        <v>CARRERA VICTORIA</v>
      </c>
      <c r="H84" s="343">
        <v>28647.24</v>
      </c>
      <c r="I84" s="344">
        <f>IF(compras_mes9[[#This Row],[NETO GRAVADO]]="","",compras_mes9[[#This Row],[NETO GRAVADO]]*0.21)</f>
        <v>6015.9204</v>
      </c>
      <c r="J84" s="344"/>
      <c r="K84" s="344"/>
      <c r="L84" s="344"/>
      <c r="M84" s="344"/>
      <c r="N84" s="344"/>
      <c r="O84" s="344"/>
      <c r="P84" s="345">
        <f>SUM(compras_mes9[[#This Row],[NETO GRAVADO]:[Otros / No Grav.]])</f>
        <v>34663.160400000001</v>
      </c>
      <c r="Q84" s="346" t="str">
        <f>IFERROR(IF(compras_mes9[[#This Row],[CUIT]]="","-",VLOOKUP(compras_mes9[[#This Row],[CUIT]],Lista_CUIT[#All],3,0)),"CUIT NO CARGADO")</f>
        <v>Gastos Varios</v>
      </c>
      <c r="R84" s="346">
        <f>IFERROR(IF(compras_mes9[[#This Row],[CUIT]]="","-",VLOOKUP(compras_mes9[[#This Row],[CUIT]],Lista_CUIT[#All],4,0)),"CUIT NO CARGADO")</f>
        <v>0</v>
      </c>
    </row>
    <row r="85" spans="2:18" x14ac:dyDescent="0.3">
      <c r="B85" s="337">
        <v>44917</v>
      </c>
      <c r="C85" s="338">
        <v>1</v>
      </c>
      <c r="D85" s="339">
        <v>24</v>
      </c>
      <c r="E85" s="340">
        <v>4837</v>
      </c>
      <c r="F85" s="341">
        <v>30708247770</v>
      </c>
      <c r="G85" s="342" t="str">
        <f>IFERROR(IF(compras_mes9[[#This Row],[CUIT]]="","-",VLOOKUP(compras_mes9[[#This Row],[CUIT]],Lista_CUIT[#All],2,0)),"CUIT NO CARGADO")</f>
        <v>DUFF SRL</v>
      </c>
      <c r="H85" s="343">
        <v>24792.560000000001</v>
      </c>
      <c r="I85" s="344">
        <f>IF(compras_mes9[[#This Row],[NETO GRAVADO]]="","",compras_mes9[[#This Row],[NETO GRAVADO]]*0.21)</f>
        <v>5206.4376000000002</v>
      </c>
      <c r="J85" s="344"/>
      <c r="K85" s="344"/>
      <c r="L85" s="344"/>
      <c r="M85" s="344"/>
      <c r="N85" s="344"/>
      <c r="O85" s="344"/>
      <c r="P85" s="345">
        <f>SUM(compras_mes9[[#This Row],[NETO GRAVADO]:[Otros / No Grav.]])</f>
        <v>29998.997600000002</v>
      </c>
      <c r="Q85" s="346" t="str">
        <f>IFERROR(IF(compras_mes9[[#This Row],[CUIT]]="","-",VLOOKUP(compras_mes9[[#This Row],[CUIT]],Lista_CUIT[#All],3,0)),"CUIT NO CARGADO")</f>
        <v>Gastos Varios</v>
      </c>
      <c r="R85" s="346" t="str">
        <f>IFERROR(IF(compras_mes9[[#This Row],[CUIT]]="","-",VLOOKUP(compras_mes9[[#This Row],[CUIT]],Lista_CUIT[#All],4,0)),"CUIT NO CARGADO")</f>
        <v>CABA</v>
      </c>
    </row>
    <row r="86" spans="2:18" x14ac:dyDescent="0.3">
      <c r="B86" s="337">
        <v>44918</v>
      </c>
      <c r="C86" s="338">
        <v>1</v>
      </c>
      <c r="D86" s="339">
        <v>2199</v>
      </c>
      <c r="E86" s="340">
        <v>19592</v>
      </c>
      <c r="F86" s="341">
        <v>30548083156</v>
      </c>
      <c r="G86" s="342" t="str">
        <f>IFERROR(IF(compras_mes9[[#This Row],[CUIT]]="","-",VLOOKUP(compras_mes9[[#This Row],[CUIT]],Lista_CUIT[#All],2,0)),"CUIT NO CARGADO")</f>
        <v>COTO  S.A.</v>
      </c>
      <c r="H86" s="343">
        <v>13532.34</v>
      </c>
      <c r="I86" s="344">
        <v>2599.64</v>
      </c>
      <c r="J86" s="344"/>
      <c r="K86" s="344">
        <v>121.07</v>
      </c>
      <c r="L86" s="344">
        <v>371.38</v>
      </c>
      <c r="M86" s="344"/>
      <c r="N86" s="344">
        <v>729.66</v>
      </c>
      <c r="O86" s="344"/>
      <c r="P86" s="345">
        <f>SUM(compras_mes9[[#This Row],[NETO GRAVADO]:[Otros / No Grav.]])</f>
        <v>17354.09</v>
      </c>
      <c r="Q86" s="346" t="str">
        <f>IFERROR(IF(compras_mes9[[#This Row],[CUIT]]="","-",VLOOKUP(compras_mes9[[#This Row],[CUIT]],Lista_CUIT[#All],3,0)),"CUIT NO CARGADO")</f>
        <v>Gastos Varios</v>
      </c>
      <c r="R86" s="346">
        <f>IFERROR(IF(compras_mes9[[#This Row],[CUIT]]="","-",VLOOKUP(compras_mes9[[#This Row],[CUIT]],Lista_CUIT[#All],4,0)),"CUIT NO CARGADO")</f>
        <v>0</v>
      </c>
    </row>
    <row r="87" spans="2:18" x14ac:dyDescent="0.3">
      <c r="B87" s="337">
        <v>44918</v>
      </c>
      <c r="C87" s="338">
        <v>1</v>
      </c>
      <c r="D87" s="339">
        <v>5</v>
      </c>
      <c r="E87" s="340">
        <v>19307</v>
      </c>
      <c r="F87" s="341">
        <v>30616146447</v>
      </c>
      <c r="G87" s="342" t="str">
        <f>IFERROR(IF(compras_mes9[[#This Row],[CUIT]]="","-",VLOOKUP(compras_mes9[[#This Row],[CUIT]],Lista_CUIT[#All],2,0)),"CUIT NO CARGADO")</f>
        <v>EGEO SOCIEDAD DE RESPONSABILIDAD LIMITADA</v>
      </c>
      <c r="H87" s="343">
        <v>99000</v>
      </c>
      <c r="I87" s="344">
        <f>IF(compras_mes9[[#This Row],[NETO GRAVADO]]="","",compras_mes9[[#This Row],[NETO GRAVADO]]*0.21)</f>
        <v>20790</v>
      </c>
      <c r="J87" s="344"/>
      <c r="K87" s="344"/>
      <c r="L87" s="344"/>
      <c r="M87" s="344"/>
      <c r="N87" s="344"/>
      <c r="O87" s="344"/>
      <c r="P87" s="345">
        <f>SUM(compras_mes9[[#This Row],[NETO GRAVADO]:[Otros / No Grav.]])</f>
        <v>119790</v>
      </c>
      <c r="Q87" s="346" t="str">
        <f>IFERROR(IF(compras_mes9[[#This Row],[CUIT]]="","-",VLOOKUP(compras_mes9[[#This Row],[CUIT]],Lista_CUIT[#All],3,0)),"CUIT NO CARGADO")</f>
        <v>Gastos Varios</v>
      </c>
      <c r="R87" s="346">
        <f>IFERROR(IF(compras_mes9[[#This Row],[CUIT]]="","-",VLOOKUP(compras_mes9[[#This Row],[CUIT]],Lista_CUIT[#All],4,0)),"CUIT NO CARGADO")</f>
        <v>0</v>
      </c>
    </row>
    <row r="88" spans="2:18" x14ac:dyDescent="0.3">
      <c r="B88" s="337">
        <v>44921</v>
      </c>
      <c r="C88" s="338">
        <v>1</v>
      </c>
      <c r="D88" s="339">
        <v>9</v>
      </c>
      <c r="E88" s="340">
        <v>863</v>
      </c>
      <c r="F88" s="341">
        <v>20381564224</v>
      </c>
      <c r="G88" s="342" t="str">
        <f>IFERROR(IF(compras_mes9[[#This Row],[CUIT]]="","-",VLOOKUP(compras_mes9[[#This Row],[CUIT]],Lista_CUIT[#All],2,0)),"CUIT NO CARGADO")</f>
        <v>NICEFORO RODRIGUEZ NICOLAS EUGENIO</v>
      </c>
      <c r="H88" s="343">
        <v>73757.600000000006</v>
      </c>
      <c r="I88" s="344">
        <f>IF(compras_mes9[[#This Row],[NETO GRAVADO]]="","",compras_mes9[[#This Row],[NETO GRAVADO]]*0.21)</f>
        <v>15489.096000000001</v>
      </c>
      <c r="J88" s="344"/>
      <c r="K88" s="344"/>
      <c r="L88" s="344"/>
      <c r="M88" s="344"/>
      <c r="N88" s="344"/>
      <c r="O88" s="344"/>
      <c r="P88" s="345">
        <f>SUM(compras_mes9[[#This Row],[NETO GRAVADO]:[Otros / No Grav.]])</f>
        <v>89246.696000000011</v>
      </c>
      <c r="Q88" s="346" t="str">
        <f>IFERROR(IF(compras_mes9[[#This Row],[CUIT]]="","-",VLOOKUP(compras_mes9[[#This Row],[CUIT]],Lista_CUIT[#All],3,0)),"CUIT NO CARGADO")</f>
        <v>Gastos Varios</v>
      </c>
      <c r="R88" s="346">
        <f>IFERROR(IF(compras_mes9[[#This Row],[CUIT]]="","-",VLOOKUP(compras_mes9[[#This Row],[CUIT]],Lista_CUIT[#All],4,0)),"CUIT NO CARGADO")</f>
        <v>0</v>
      </c>
    </row>
    <row r="89" spans="2:18" x14ac:dyDescent="0.3">
      <c r="B89" s="337">
        <v>44924</v>
      </c>
      <c r="C89" s="338">
        <v>1</v>
      </c>
      <c r="D89" s="339">
        <v>2199</v>
      </c>
      <c r="E89" s="340">
        <v>19679</v>
      </c>
      <c r="F89" s="341">
        <v>30548083156</v>
      </c>
      <c r="G89" s="342" t="str">
        <f>IFERROR(IF(compras_mes9[[#This Row],[CUIT]]="","-",VLOOKUP(compras_mes9[[#This Row],[CUIT]],Lista_CUIT[#All],2,0)),"CUIT NO CARGADO")</f>
        <v>COTO  S.A.</v>
      </c>
      <c r="H89" s="343">
        <v>22397.98</v>
      </c>
      <c r="I89" s="344">
        <v>3700.1</v>
      </c>
      <c r="J89" s="344"/>
      <c r="K89" s="344">
        <v>501.74</v>
      </c>
      <c r="L89" s="344">
        <v>529.85</v>
      </c>
      <c r="M89" s="344"/>
      <c r="N89" s="344">
        <v>1224.43</v>
      </c>
      <c r="O89" s="344">
        <v>66.569999999999993</v>
      </c>
      <c r="P89" s="345">
        <f>SUM(compras_mes9[[#This Row],[NETO GRAVADO]:[Otros / No Grav.]])</f>
        <v>28420.67</v>
      </c>
      <c r="Q89" s="346" t="str">
        <f>IFERROR(IF(compras_mes9[[#This Row],[CUIT]]="","-",VLOOKUP(compras_mes9[[#This Row],[CUIT]],Lista_CUIT[#All],3,0)),"CUIT NO CARGADO")</f>
        <v>Gastos Varios</v>
      </c>
      <c r="R89" s="346">
        <f>IFERROR(IF(compras_mes9[[#This Row],[CUIT]]="","-",VLOOKUP(compras_mes9[[#This Row],[CUIT]],Lista_CUIT[#All],4,0)),"CUIT NO CARGADO")</f>
        <v>0</v>
      </c>
    </row>
    <row r="90" spans="2:18" x14ac:dyDescent="0.3">
      <c r="B90" s="337">
        <v>44925</v>
      </c>
      <c r="C90" s="338">
        <v>1</v>
      </c>
      <c r="D90" s="339">
        <v>9067</v>
      </c>
      <c r="E90" s="340">
        <v>1340</v>
      </c>
      <c r="F90" s="341">
        <v>30590360763</v>
      </c>
      <c r="G90" s="342" t="str">
        <f>IFERROR(IF(compras_mes9[[#This Row],[CUIT]]="","-",VLOOKUP(compras_mes9[[#This Row],[CUIT]],Lista_CUIT[#All],2,0)),"CUIT NO CARGADO")</f>
        <v>CENCOSUD S.A</v>
      </c>
      <c r="H90" s="343">
        <v>2941.32</v>
      </c>
      <c r="I90" s="344">
        <f>IF(compras_mes9[[#This Row],[NETO GRAVADO]]="","",compras_mes9[[#This Row],[NETO GRAVADO]]*0.21)</f>
        <v>617.67719999999997</v>
      </c>
      <c r="J90" s="344"/>
      <c r="K90" s="344"/>
      <c r="L90" s="344">
        <v>88.24</v>
      </c>
      <c r="M90" s="344"/>
      <c r="N90" s="344">
        <v>176.48</v>
      </c>
      <c r="O90" s="344"/>
      <c r="P90" s="345">
        <f>SUM(compras_mes9[[#This Row],[NETO GRAVADO]:[Otros / No Grav.]])</f>
        <v>3823.7172</v>
      </c>
      <c r="Q90" s="346" t="str">
        <f>IFERROR(IF(compras_mes9[[#This Row],[CUIT]]="","-",VLOOKUP(compras_mes9[[#This Row],[CUIT]],Lista_CUIT[#All],3,0)),"CUIT NO CARGADO")</f>
        <v>Gastos Varios</v>
      </c>
      <c r="R90" s="346">
        <f>IFERROR(IF(compras_mes9[[#This Row],[CUIT]]="","-",VLOOKUP(compras_mes9[[#This Row],[CUIT]],Lista_CUIT[#All],4,0)),"CUIT NO CARGADO")</f>
        <v>0</v>
      </c>
    </row>
    <row r="91" spans="2:18" x14ac:dyDescent="0.3">
      <c r="B91" s="337">
        <v>44921</v>
      </c>
      <c r="C91" s="338">
        <v>3</v>
      </c>
      <c r="D91" s="339">
        <v>9</v>
      </c>
      <c r="E91" s="340">
        <v>207</v>
      </c>
      <c r="F91" s="341">
        <v>20381564224</v>
      </c>
      <c r="G91" s="342" t="str">
        <f>IFERROR(IF(compras_mes9[[#This Row],[CUIT]]="","-",VLOOKUP(compras_mes9[[#This Row],[CUIT]],Lista_CUIT[#All],2,0)),"CUIT NO CARGADO")</f>
        <v>NICEFORO RODRIGUEZ NICOLAS EUGENIO</v>
      </c>
      <c r="H91" s="343">
        <v>-73757.600000000006</v>
      </c>
      <c r="I91" s="344">
        <f>IF(compras_mes9[[#This Row],[NETO GRAVADO]]="","",compras_mes9[[#This Row],[NETO GRAVADO]]*0.21)</f>
        <v>-15489.096000000001</v>
      </c>
      <c r="J91" s="344"/>
      <c r="K91" s="344"/>
      <c r="L91" s="344"/>
      <c r="M91" s="344"/>
      <c r="N91" s="344"/>
      <c r="O91" s="344"/>
      <c r="P91" s="345">
        <f>SUM(compras_mes9[[#This Row],[NETO GRAVADO]:[Otros / No Grav.]])</f>
        <v>-89246.696000000011</v>
      </c>
      <c r="Q91" s="346" t="str">
        <f>IFERROR(IF(compras_mes9[[#This Row],[CUIT]]="","-",VLOOKUP(compras_mes9[[#This Row],[CUIT]],Lista_CUIT[#All],3,0)),"CUIT NO CARGADO")</f>
        <v>Gastos Varios</v>
      </c>
      <c r="R91" s="346">
        <f>IFERROR(IF(compras_mes9[[#This Row],[CUIT]]="","-",VLOOKUP(compras_mes9[[#This Row],[CUIT]],Lista_CUIT[#All],4,0)),"CUIT NO CARGADO")</f>
        <v>0</v>
      </c>
    </row>
    <row r="92" spans="2:18" x14ac:dyDescent="0.3">
      <c r="B92" s="337">
        <v>44905</v>
      </c>
      <c r="C92" s="338">
        <v>1</v>
      </c>
      <c r="D92" s="339">
        <v>6</v>
      </c>
      <c r="E92" s="340">
        <v>13315839</v>
      </c>
      <c r="F92" s="341">
        <v>30620177497</v>
      </c>
      <c r="G92" s="342" t="str">
        <f>IFERROR(IF(compras_mes9[[#This Row],[CUIT]]="","-",VLOOKUP(compras_mes9[[#This Row],[CUIT]],Lista_CUIT[#All],2,0)),"CUIT NO CARGADO")</f>
        <v>POSNET SRL</v>
      </c>
      <c r="H92" s="343">
        <v>10185</v>
      </c>
      <c r="I92" s="344">
        <f>IF(compras_mes9[[#This Row],[NETO GRAVADO]]="","",compras_mes9[[#This Row],[NETO GRAVADO]]*0.21)</f>
        <v>2138.85</v>
      </c>
      <c r="J92" s="344"/>
      <c r="K92" s="344"/>
      <c r="L92" s="344"/>
      <c r="M92" s="344"/>
      <c r="N92" s="344">
        <v>916.65</v>
      </c>
      <c r="O92" s="344"/>
      <c r="P92" s="345">
        <f>SUM(compras_mes9[[#This Row],[NETO GRAVADO]:[Otros / No Grav.]])</f>
        <v>13240.5</v>
      </c>
      <c r="Q92" s="346" t="str">
        <f>IFERROR(IF(compras_mes9[[#This Row],[CUIT]]="","-",VLOOKUP(compras_mes9[[#This Row],[CUIT]],Lista_CUIT[#All],3,0)),"CUIT NO CARGADO")</f>
        <v>Gtos Comercializacion</v>
      </c>
      <c r="R92" s="346">
        <f>IFERROR(IF(compras_mes9[[#This Row],[CUIT]]="","-",VLOOKUP(compras_mes9[[#This Row],[CUIT]],Lista_CUIT[#All],4,0)),"CUIT NO CARGADO")</f>
        <v>0</v>
      </c>
    </row>
    <row r="93" spans="2:18" x14ac:dyDescent="0.3">
      <c r="B93" s="337">
        <v>44905</v>
      </c>
      <c r="C93" s="338">
        <v>1</v>
      </c>
      <c r="D93" s="339">
        <v>6</v>
      </c>
      <c r="E93" s="340">
        <v>13315689</v>
      </c>
      <c r="F93" s="341">
        <v>30620177497</v>
      </c>
      <c r="G93" s="342" t="str">
        <f>IFERROR(IF(compras_mes9[[#This Row],[CUIT]]="","-",VLOOKUP(compras_mes9[[#This Row],[CUIT]],Lista_CUIT[#All],2,0)),"CUIT NO CARGADO")</f>
        <v>POSNET SRL</v>
      </c>
      <c r="H93" s="343">
        <v>3395</v>
      </c>
      <c r="I93" s="344">
        <f>IF(compras_mes9[[#This Row],[NETO GRAVADO]]="","",compras_mes9[[#This Row],[NETO GRAVADO]]*0.21)</f>
        <v>712.94999999999993</v>
      </c>
      <c r="J93" s="344"/>
      <c r="K93" s="344"/>
      <c r="L93" s="344"/>
      <c r="M93" s="344"/>
      <c r="N93" s="344">
        <v>305.55</v>
      </c>
      <c r="O93" s="344"/>
      <c r="P93" s="345">
        <f>SUM(compras_mes9[[#This Row],[NETO GRAVADO]:[Otros / No Grav.]])</f>
        <v>4413.5</v>
      </c>
      <c r="Q93" s="346" t="str">
        <f>IFERROR(IF(compras_mes9[[#This Row],[CUIT]]="","-",VLOOKUP(compras_mes9[[#This Row],[CUIT]],Lista_CUIT[#All],3,0)),"CUIT NO CARGADO")</f>
        <v>Gtos Comercializacion</v>
      </c>
      <c r="R93" s="346">
        <f>IFERROR(IF(compras_mes9[[#This Row],[CUIT]]="","-",VLOOKUP(compras_mes9[[#This Row],[CUIT]],Lista_CUIT[#All],4,0)),"CUIT NO CARGADO")</f>
        <v>0</v>
      </c>
    </row>
    <row r="94" spans="2:18" x14ac:dyDescent="0.3">
      <c r="B94" s="337">
        <v>44905</v>
      </c>
      <c r="C94" s="338">
        <v>1</v>
      </c>
      <c r="D94" s="339">
        <v>6</v>
      </c>
      <c r="E94" s="340">
        <v>13315741</v>
      </c>
      <c r="F94" s="341">
        <v>30620177497</v>
      </c>
      <c r="G94" s="342" t="str">
        <f>IFERROR(IF(compras_mes9[[#This Row],[CUIT]]="","-",VLOOKUP(compras_mes9[[#This Row],[CUIT]],Lista_CUIT[#All],2,0)),"CUIT NO CARGADO")</f>
        <v>POSNET SRL</v>
      </c>
      <c r="H94" s="343">
        <v>3395</v>
      </c>
      <c r="I94" s="344">
        <f>IF(compras_mes9[[#This Row],[NETO GRAVADO]]="","",compras_mes9[[#This Row],[NETO GRAVADO]]*0.21)</f>
        <v>712.94999999999993</v>
      </c>
      <c r="J94" s="344"/>
      <c r="K94" s="344"/>
      <c r="L94" s="344"/>
      <c r="M94" s="344"/>
      <c r="N94" s="344">
        <v>305.55</v>
      </c>
      <c r="O94" s="344"/>
      <c r="P94" s="345">
        <f>SUM(compras_mes9[[#This Row],[NETO GRAVADO]:[Otros / No Grav.]])</f>
        <v>4413.5</v>
      </c>
      <c r="Q94" s="346" t="str">
        <f>IFERROR(IF(compras_mes9[[#This Row],[CUIT]]="","-",VLOOKUP(compras_mes9[[#This Row],[CUIT]],Lista_CUIT[#All],3,0)),"CUIT NO CARGADO")</f>
        <v>Gtos Comercializacion</v>
      </c>
      <c r="R94" s="346">
        <f>IFERROR(IF(compras_mes9[[#This Row],[CUIT]]="","-",VLOOKUP(compras_mes9[[#This Row],[CUIT]],Lista_CUIT[#All],4,0)),"CUIT NO CARGADO")</f>
        <v>0</v>
      </c>
    </row>
    <row r="95" spans="2:18" x14ac:dyDescent="0.3">
      <c r="B95" s="337">
        <v>44905</v>
      </c>
      <c r="C95" s="338">
        <v>1</v>
      </c>
      <c r="D95" s="339">
        <v>6</v>
      </c>
      <c r="E95" s="340">
        <v>13296968</v>
      </c>
      <c r="F95" s="341">
        <v>30620177497</v>
      </c>
      <c r="G95" s="342" t="str">
        <f>IFERROR(IF(compras_mes9[[#This Row],[CUIT]]="","-",VLOOKUP(compras_mes9[[#This Row],[CUIT]],Lista_CUIT[#All],2,0)),"CUIT NO CARGADO")</f>
        <v>POSNET SRL</v>
      </c>
      <c r="H95" s="343">
        <v>3395</v>
      </c>
      <c r="I95" s="344">
        <f>IF(compras_mes9[[#This Row],[NETO GRAVADO]]="","",compras_mes9[[#This Row],[NETO GRAVADO]]*0.21)</f>
        <v>712.94999999999993</v>
      </c>
      <c r="J95" s="344"/>
      <c r="K95" s="344"/>
      <c r="L95" s="344"/>
      <c r="M95" s="344"/>
      <c r="N95" s="344">
        <v>305.55</v>
      </c>
      <c r="O95" s="344"/>
      <c r="P95" s="345">
        <f>SUM(compras_mes9[[#This Row],[NETO GRAVADO]:[Otros / No Grav.]])</f>
        <v>4413.5</v>
      </c>
      <c r="Q95" s="346" t="str">
        <f>IFERROR(IF(compras_mes9[[#This Row],[CUIT]]="","-",VLOOKUP(compras_mes9[[#This Row],[CUIT]],Lista_CUIT[#All],3,0)),"CUIT NO CARGADO")</f>
        <v>Gtos Comercializacion</v>
      </c>
      <c r="R95" s="346">
        <f>IFERROR(IF(compras_mes9[[#This Row],[CUIT]]="","-",VLOOKUP(compras_mes9[[#This Row],[CUIT]],Lista_CUIT[#All],4,0)),"CUIT NO CARGADO")</f>
        <v>0</v>
      </c>
    </row>
    <row r="96" spans="2:18" x14ac:dyDescent="0.3">
      <c r="B96" s="337">
        <v>44916</v>
      </c>
      <c r="C96" s="338">
        <v>1</v>
      </c>
      <c r="D96" s="339">
        <v>4</v>
      </c>
      <c r="E96" s="340">
        <v>18824</v>
      </c>
      <c r="F96" s="341">
        <v>30552433595</v>
      </c>
      <c r="G96" s="342" t="str">
        <f>IFERROR(IF(compras_mes9[[#This Row],[CUIT]]="","-",VLOOKUP(compras_mes9[[#This Row],[CUIT]],Lista_CUIT[#All],2,0)),"CUIT NO CARGADO")</f>
        <v>PIROPLAST  S.R.L.</v>
      </c>
      <c r="H96" s="343">
        <v>367227</v>
      </c>
      <c r="I96" s="344">
        <f>IF(compras_mes9[[#This Row],[NETO GRAVADO]]="","",compras_mes9[[#This Row],[NETO GRAVADO]]*0.21)</f>
        <v>77117.67</v>
      </c>
      <c r="J96" s="344"/>
      <c r="K96" s="344"/>
      <c r="L96" s="344"/>
      <c r="M96" s="344"/>
      <c r="N96" s="344"/>
      <c r="O96" s="344"/>
      <c r="P96" s="345">
        <f>SUM(compras_mes9[[#This Row],[NETO GRAVADO]:[Otros / No Grav.]])</f>
        <v>444344.67</v>
      </c>
      <c r="Q96" s="346" t="str">
        <f>IFERROR(IF(compras_mes9[[#This Row],[CUIT]]="","-",VLOOKUP(compras_mes9[[#This Row],[CUIT]],Lista_CUIT[#All],3,0)),"CUIT NO CARGADO")</f>
        <v>Gtos Comercializacion</v>
      </c>
      <c r="R96" s="346">
        <f>IFERROR(IF(compras_mes9[[#This Row],[CUIT]]="","-",VLOOKUP(compras_mes9[[#This Row],[CUIT]],Lista_CUIT[#All],4,0)),"CUIT NO CARGADO")</f>
        <v>0</v>
      </c>
    </row>
    <row r="97" spans="2:18" x14ac:dyDescent="0.3">
      <c r="B97" s="337">
        <v>44924</v>
      </c>
      <c r="C97" s="338">
        <v>1</v>
      </c>
      <c r="D97" s="339">
        <v>27</v>
      </c>
      <c r="E97" s="340">
        <v>855416</v>
      </c>
      <c r="F97" s="341">
        <v>30703088534</v>
      </c>
      <c r="G97" s="342" t="str">
        <f>IFERROR(IF(compras_mes9[[#This Row],[CUIT]]="","-",VLOOKUP(compras_mes9[[#This Row],[CUIT]],Lista_CUIT[#All],2,0)),"CUIT NO CARGADO")</f>
        <v>MERCADO LIBRE SRL</v>
      </c>
      <c r="H97" s="343">
        <v>143417.89000000001</v>
      </c>
      <c r="I97" s="344">
        <f>IF(compras_mes9[[#This Row],[NETO GRAVADO]]="","",compras_mes9[[#This Row],[NETO GRAVADO]]*0.21)</f>
        <v>30117.7569</v>
      </c>
      <c r="J97" s="344"/>
      <c r="K97" s="344"/>
      <c r="L97" s="344"/>
      <c r="M97" s="344"/>
      <c r="N97" s="344"/>
      <c r="O97" s="344">
        <v>12907.61</v>
      </c>
      <c r="P97" s="345">
        <f>SUM(compras_mes9[[#This Row],[NETO GRAVADO]:[Otros / No Grav.]])</f>
        <v>186443.25690000004</v>
      </c>
      <c r="Q97" s="346" t="str">
        <f>IFERROR(IF(compras_mes9[[#This Row],[CUIT]]="","-",VLOOKUP(compras_mes9[[#This Row],[CUIT]],Lista_CUIT[#All],3,0)),"CUIT NO CARGADO")</f>
        <v>Gtos Comercializacion</v>
      </c>
      <c r="R97" s="346">
        <f>IFERROR(IF(compras_mes9[[#This Row],[CUIT]]="","-",VLOOKUP(compras_mes9[[#This Row],[CUIT]],Lista_CUIT[#All],4,0)),"CUIT NO CARGADO")</f>
        <v>0</v>
      </c>
    </row>
    <row r="98" spans="2:18" x14ac:dyDescent="0.3">
      <c r="B98" s="337">
        <v>44923</v>
      </c>
      <c r="C98" s="338">
        <v>3</v>
      </c>
      <c r="D98" s="339">
        <v>2</v>
      </c>
      <c r="E98" s="340">
        <v>32</v>
      </c>
      <c r="F98" s="341">
        <v>23145783224</v>
      </c>
      <c r="G98" s="342" t="str">
        <f>IFERROR(IF(compras_mes9[[#This Row],[CUIT]]="","-",VLOOKUP(compras_mes9[[#This Row],[CUIT]],Lista_CUIT[#All],2,0)),"CUIT NO CARGADO")</f>
        <v>SUTIL SILVIA EDITH</v>
      </c>
      <c r="H98" s="343">
        <v>-72000</v>
      </c>
      <c r="I98" s="344">
        <f>IF(compras_mes9[[#This Row],[NETO GRAVADO]]="","",compras_mes9[[#This Row],[NETO GRAVADO]]*0.21)</f>
        <v>-15120</v>
      </c>
      <c r="J98" s="344"/>
      <c r="K98" s="344"/>
      <c r="L98" s="344"/>
      <c r="M98" s="344"/>
      <c r="N98" s="344"/>
      <c r="O98" s="344"/>
      <c r="P98" s="345">
        <f>SUM(compras_mes9[[#This Row],[NETO GRAVADO]:[Otros / No Grav.]])</f>
        <v>-87120</v>
      </c>
      <c r="Q98" s="346" t="str">
        <f>IFERROR(IF(compras_mes9[[#This Row],[CUIT]]="","-",VLOOKUP(compras_mes9[[#This Row],[CUIT]],Lista_CUIT[#All],3,0)),"CUIT NO CARGADO")</f>
        <v>Honorarios Juridicos</v>
      </c>
      <c r="R98" s="346">
        <f>IFERROR(IF(compras_mes9[[#This Row],[CUIT]]="","-",VLOOKUP(compras_mes9[[#This Row],[CUIT]],Lista_CUIT[#All],4,0)),"CUIT NO CARGADO")</f>
        <v>0</v>
      </c>
    </row>
    <row r="99" spans="2:18" x14ac:dyDescent="0.3">
      <c r="B99" s="337">
        <v>44897</v>
      </c>
      <c r="C99" s="338">
        <v>1</v>
      </c>
      <c r="D99" s="339">
        <v>7</v>
      </c>
      <c r="E99" s="340">
        <v>29428</v>
      </c>
      <c r="F99" s="341">
        <v>30709496294</v>
      </c>
      <c r="G99" s="342" t="str">
        <f>IFERROR(IF(compras_mes9[[#This Row],[CUIT]]="","-",VLOOKUP(compras_mes9[[#This Row],[CUIT]],Lista_CUIT[#All],2,0)),"CUIT NO CARGADO")</f>
        <v>MARBLAS S R L</v>
      </c>
      <c r="H99" s="343">
        <v>3022.31</v>
      </c>
      <c r="I99" s="344">
        <f>IF(compras_mes9[[#This Row],[NETO GRAVADO]]="","",compras_mes9[[#This Row],[NETO GRAVADO]]*0.21)</f>
        <v>634.68509999999992</v>
      </c>
      <c r="J99" s="344"/>
      <c r="K99" s="344"/>
      <c r="L99" s="344"/>
      <c r="M99" s="344"/>
      <c r="N99" s="344"/>
      <c r="O99" s="344"/>
      <c r="P99" s="345">
        <f>SUM(compras_mes9[[#This Row],[NETO GRAVADO]:[Otros / No Grav.]])</f>
        <v>3656.9951000000001</v>
      </c>
      <c r="Q99" s="346" t="str">
        <f>IFERROR(IF(compras_mes9[[#This Row],[CUIT]]="","-",VLOOKUP(compras_mes9[[#This Row],[CUIT]],Lista_CUIT[#All],3,0)),"CUIT NO CARGADO")</f>
        <v>Librería</v>
      </c>
      <c r="R99" s="346">
        <f>IFERROR(IF(compras_mes9[[#This Row],[CUIT]]="","-",VLOOKUP(compras_mes9[[#This Row],[CUIT]],Lista_CUIT[#All],4,0)),"CUIT NO CARGADO")</f>
        <v>0</v>
      </c>
    </row>
    <row r="100" spans="2:18" x14ac:dyDescent="0.3">
      <c r="B100" s="337">
        <v>44902</v>
      </c>
      <c r="C100" s="338">
        <v>1</v>
      </c>
      <c r="D100" s="339">
        <v>10</v>
      </c>
      <c r="E100" s="340">
        <v>1683</v>
      </c>
      <c r="F100" s="341">
        <v>23127284369</v>
      </c>
      <c r="G100" s="342" t="str">
        <f>IFERROR(IF(compras_mes9[[#This Row],[CUIT]]="","-",VLOOKUP(compras_mes9[[#This Row],[CUIT]],Lista_CUIT[#All],2,0)),"CUIT NO CARGADO")</f>
        <v>DEALER  FX  -  MONTORRO  D.</v>
      </c>
      <c r="H100" s="343">
        <v>48491.98</v>
      </c>
      <c r="I100" s="344">
        <f>IF(compras_mes9[[#This Row],[NETO GRAVADO]]="","",compras_mes9[[#This Row],[NETO GRAVADO]]*0.21)</f>
        <v>10183.3158</v>
      </c>
      <c r="J100" s="344"/>
      <c r="K100" s="344"/>
      <c r="L100" s="344"/>
      <c r="M100" s="344"/>
      <c r="N100" s="344"/>
      <c r="O100" s="344"/>
      <c r="P100" s="345">
        <f>SUM(compras_mes9[[#This Row],[NETO GRAVADO]:[Otros / No Grav.]])</f>
        <v>58675.295800000007</v>
      </c>
      <c r="Q100" s="346" t="str">
        <f>IFERROR(IF(compras_mes9[[#This Row],[CUIT]]="","-",VLOOKUP(compras_mes9[[#This Row],[CUIT]],Lista_CUIT[#All],3,0)),"CUIT NO CARGADO")</f>
        <v>Librería</v>
      </c>
      <c r="R100" s="346">
        <f>IFERROR(IF(compras_mes9[[#This Row],[CUIT]]="","-",VLOOKUP(compras_mes9[[#This Row],[CUIT]],Lista_CUIT[#All],4,0)),"CUIT NO CARGADO")</f>
        <v>0</v>
      </c>
    </row>
    <row r="101" spans="2:18" x14ac:dyDescent="0.3">
      <c r="B101" s="337">
        <v>44907</v>
      </c>
      <c r="C101" s="338">
        <v>1</v>
      </c>
      <c r="D101" s="339">
        <v>6</v>
      </c>
      <c r="E101" s="340">
        <v>3384</v>
      </c>
      <c r="F101" s="341">
        <v>20232507978</v>
      </c>
      <c r="G101" s="342" t="str">
        <f>IFERROR(IF(compras_mes9[[#This Row],[CUIT]]="","-",VLOOKUP(compras_mes9[[#This Row],[CUIT]],Lista_CUIT[#All],2,0)),"CUIT NO CARGADO")</f>
        <v>RUA DIEGO ADRIAN</v>
      </c>
      <c r="H101" s="343">
        <v>25785.119999999999</v>
      </c>
      <c r="I101" s="344">
        <f>IF(compras_mes9[[#This Row],[NETO GRAVADO]]="","",compras_mes9[[#This Row],[NETO GRAVADO]]*0.21)</f>
        <v>5414.8751999999995</v>
      </c>
      <c r="J101" s="344"/>
      <c r="K101" s="344"/>
      <c r="L101" s="344"/>
      <c r="M101" s="344"/>
      <c r="N101" s="344"/>
      <c r="O101" s="344"/>
      <c r="P101" s="345">
        <f>SUM(compras_mes9[[#This Row],[NETO GRAVADO]:[Otros / No Grav.]])</f>
        <v>31199.995199999998</v>
      </c>
      <c r="Q101" s="346" t="str">
        <f>IFERROR(IF(compras_mes9[[#This Row],[CUIT]]="","-",VLOOKUP(compras_mes9[[#This Row],[CUIT]],Lista_CUIT[#All],3,0)),"CUIT NO CARGADO")</f>
        <v>Librería</v>
      </c>
      <c r="R101" s="346">
        <f>IFERROR(IF(compras_mes9[[#This Row],[CUIT]]="","-",VLOOKUP(compras_mes9[[#This Row],[CUIT]],Lista_CUIT[#All],4,0)),"CUIT NO CARGADO")</f>
        <v>0</v>
      </c>
    </row>
    <row r="102" spans="2:18" x14ac:dyDescent="0.3">
      <c r="B102" s="337">
        <v>44907</v>
      </c>
      <c r="C102" s="338">
        <v>1</v>
      </c>
      <c r="D102" s="339">
        <v>5</v>
      </c>
      <c r="E102" s="340">
        <v>62681</v>
      </c>
      <c r="F102" s="341">
        <v>30633678509</v>
      </c>
      <c r="G102" s="342" t="str">
        <f>IFERROR(IF(compras_mes9[[#This Row],[CUIT]]="","-",VLOOKUP(compras_mes9[[#This Row],[CUIT]],Lista_CUIT[#All],2,0)),"CUIT NO CARGADO")</f>
        <v>SEVENTEEN SOCIEDAD DE RESPONSABILIDAD LIMITADA</v>
      </c>
      <c r="H102" s="343">
        <v>17054.25</v>
      </c>
      <c r="I102" s="344">
        <f>IF(compras_mes9[[#This Row],[NETO GRAVADO]]="","",compras_mes9[[#This Row],[NETO GRAVADO]]*0.21)</f>
        <v>3581.3924999999999</v>
      </c>
      <c r="J102" s="344"/>
      <c r="K102" s="344"/>
      <c r="L102" s="344"/>
      <c r="M102" s="344"/>
      <c r="N102" s="344"/>
      <c r="O102" s="344"/>
      <c r="P102" s="345">
        <f>SUM(compras_mes9[[#This Row],[NETO GRAVADO]:[Otros / No Grav.]])</f>
        <v>20635.642500000002</v>
      </c>
      <c r="Q102" s="346" t="str">
        <f>IFERROR(IF(compras_mes9[[#This Row],[CUIT]]="","-",VLOOKUP(compras_mes9[[#This Row],[CUIT]],Lista_CUIT[#All],3,0)),"CUIT NO CARGADO")</f>
        <v>Librería</v>
      </c>
      <c r="R102" s="346">
        <f>IFERROR(IF(compras_mes9[[#This Row],[CUIT]]="","-",VLOOKUP(compras_mes9[[#This Row],[CUIT]],Lista_CUIT[#All],4,0)),"CUIT NO CARGADO")</f>
        <v>0</v>
      </c>
    </row>
    <row r="103" spans="2:18" x14ac:dyDescent="0.3">
      <c r="B103" s="337">
        <v>44907</v>
      </c>
      <c r="C103" s="338">
        <v>1</v>
      </c>
      <c r="D103" s="339">
        <v>5</v>
      </c>
      <c r="E103" s="340">
        <v>62680</v>
      </c>
      <c r="F103" s="341">
        <v>30633678509</v>
      </c>
      <c r="G103" s="342" t="str">
        <f>IFERROR(IF(compras_mes9[[#This Row],[CUIT]]="","-",VLOOKUP(compras_mes9[[#This Row],[CUIT]],Lista_CUIT[#All],2,0)),"CUIT NO CARGADO")</f>
        <v>SEVENTEEN SOCIEDAD DE RESPONSABILIDAD LIMITADA</v>
      </c>
      <c r="H103" s="343">
        <v>28372.5</v>
      </c>
      <c r="I103" s="344">
        <f>IF(compras_mes9[[#This Row],[NETO GRAVADO]]="","",compras_mes9[[#This Row],[NETO GRAVADO]]*0.21)</f>
        <v>5958.2249999999995</v>
      </c>
      <c r="J103" s="344"/>
      <c r="K103" s="344"/>
      <c r="L103" s="344"/>
      <c r="M103" s="344"/>
      <c r="N103" s="344"/>
      <c r="O103" s="344"/>
      <c r="P103" s="345">
        <f>SUM(compras_mes9[[#This Row],[NETO GRAVADO]:[Otros / No Grav.]])</f>
        <v>34330.724999999999</v>
      </c>
      <c r="Q103" s="346" t="str">
        <f>IFERROR(IF(compras_mes9[[#This Row],[CUIT]]="","-",VLOOKUP(compras_mes9[[#This Row],[CUIT]],Lista_CUIT[#All],3,0)),"CUIT NO CARGADO")</f>
        <v>Librería</v>
      </c>
      <c r="R103" s="346">
        <f>IFERROR(IF(compras_mes9[[#This Row],[CUIT]]="","-",VLOOKUP(compras_mes9[[#This Row],[CUIT]],Lista_CUIT[#All],4,0)),"CUIT NO CARGADO")</f>
        <v>0</v>
      </c>
    </row>
    <row r="104" spans="2:18" x14ac:dyDescent="0.3">
      <c r="B104" s="337">
        <v>44907</v>
      </c>
      <c r="C104" s="338">
        <v>1</v>
      </c>
      <c r="D104" s="339">
        <v>5</v>
      </c>
      <c r="E104" s="340">
        <v>62689</v>
      </c>
      <c r="F104" s="341">
        <v>30633678509</v>
      </c>
      <c r="G104" s="342" t="str">
        <f>IFERROR(IF(compras_mes9[[#This Row],[CUIT]]="","-",VLOOKUP(compras_mes9[[#This Row],[CUIT]],Lista_CUIT[#All],2,0)),"CUIT NO CARGADO")</f>
        <v>SEVENTEEN SOCIEDAD DE RESPONSABILIDAD LIMITADA</v>
      </c>
      <c r="H104" s="343">
        <v>26835</v>
      </c>
      <c r="I104" s="344">
        <f>IF(compras_mes9[[#This Row],[NETO GRAVADO]]="","",compras_mes9[[#This Row],[NETO GRAVADO]]*0.21)</f>
        <v>5635.3499999999995</v>
      </c>
      <c r="J104" s="344"/>
      <c r="K104" s="344"/>
      <c r="L104" s="344"/>
      <c r="M104" s="344"/>
      <c r="N104" s="344"/>
      <c r="O104" s="344"/>
      <c r="P104" s="345">
        <f>SUM(compras_mes9[[#This Row],[NETO GRAVADO]:[Otros / No Grav.]])</f>
        <v>32470.35</v>
      </c>
      <c r="Q104" s="346" t="str">
        <f>IFERROR(IF(compras_mes9[[#This Row],[CUIT]]="","-",VLOOKUP(compras_mes9[[#This Row],[CUIT]],Lista_CUIT[#All],3,0)),"CUIT NO CARGADO")</f>
        <v>Librería</v>
      </c>
      <c r="R104" s="346">
        <f>IFERROR(IF(compras_mes9[[#This Row],[CUIT]]="","-",VLOOKUP(compras_mes9[[#This Row],[CUIT]],Lista_CUIT[#All],4,0)),"CUIT NO CARGADO")</f>
        <v>0</v>
      </c>
    </row>
    <row r="105" spans="2:18" x14ac:dyDescent="0.3">
      <c r="B105" s="337">
        <v>44914</v>
      </c>
      <c r="C105" s="338">
        <v>1</v>
      </c>
      <c r="D105" s="339">
        <v>5</v>
      </c>
      <c r="E105" s="340">
        <v>62927</v>
      </c>
      <c r="F105" s="341">
        <v>30633678509</v>
      </c>
      <c r="G105" s="342" t="str">
        <f>IFERROR(IF(compras_mes9[[#This Row],[CUIT]]="","-",VLOOKUP(compras_mes9[[#This Row],[CUIT]],Lista_CUIT[#All],2,0)),"CUIT NO CARGADO")</f>
        <v>SEVENTEEN SOCIEDAD DE RESPONSABILIDAD LIMITADA</v>
      </c>
      <c r="H105" s="343">
        <v>6462</v>
      </c>
      <c r="I105" s="344">
        <f>IF(compras_mes9[[#This Row],[NETO GRAVADO]]="","",compras_mes9[[#This Row],[NETO GRAVADO]]*0.21)</f>
        <v>1357.02</v>
      </c>
      <c r="J105" s="344"/>
      <c r="K105" s="344"/>
      <c r="L105" s="344"/>
      <c r="M105" s="344"/>
      <c r="N105" s="344"/>
      <c r="O105" s="344"/>
      <c r="P105" s="345">
        <f>SUM(compras_mes9[[#This Row],[NETO GRAVADO]:[Otros / No Grav.]])</f>
        <v>7819.02</v>
      </c>
      <c r="Q105" s="346" t="str">
        <f>IFERROR(IF(compras_mes9[[#This Row],[CUIT]]="","-",VLOOKUP(compras_mes9[[#This Row],[CUIT]],Lista_CUIT[#All],3,0)),"CUIT NO CARGADO")</f>
        <v>Librería</v>
      </c>
      <c r="R105" s="346">
        <f>IFERROR(IF(compras_mes9[[#This Row],[CUIT]]="","-",VLOOKUP(compras_mes9[[#This Row],[CUIT]],Lista_CUIT[#All],4,0)),"CUIT NO CARGADO")</f>
        <v>0</v>
      </c>
    </row>
    <row r="106" spans="2:18" x14ac:dyDescent="0.3">
      <c r="B106" s="337">
        <v>44921</v>
      </c>
      <c r="C106" s="338">
        <v>1</v>
      </c>
      <c r="D106" s="339">
        <v>1</v>
      </c>
      <c r="E106" s="340">
        <v>1697</v>
      </c>
      <c r="F106" s="341">
        <v>30717219232</v>
      </c>
      <c r="G106" s="342" t="str">
        <f>IFERROR(IF(compras_mes9[[#This Row],[CUIT]]="","-",VLOOKUP(compras_mes9[[#This Row],[CUIT]],Lista_CUIT[#All],2,0)),"CUIT NO CARGADO")</f>
        <v>COPIADO FULL S.R.L</v>
      </c>
      <c r="H106" s="343">
        <v>35039.89</v>
      </c>
      <c r="I106" s="344">
        <f>IF(compras_mes9[[#This Row],[NETO GRAVADO]]="","",compras_mes9[[#This Row],[NETO GRAVADO]]*0.21)</f>
        <v>7358.3768999999993</v>
      </c>
      <c r="J106" s="344"/>
      <c r="K106" s="344"/>
      <c r="L106" s="344"/>
      <c r="M106" s="344"/>
      <c r="N106" s="344"/>
      <c r="O106" s="344"/>
      <c r="P106" s="345">
        <f>SUM(compras_mes9[[#This Row],[NETO GRAVADO]:[Otros / No Grav.]])</f>
        <v>42398.266900000002</v>
      </c>
      <c r="Q106" s="346" t="str">
        <f>IFERROR(IF(compras_mes9[[#This Row],[CUIT]]="","-",VLOOKUP(compras_mes9[[#This Row],[CUIT]],Lista_CUIT[#All],3,0)),"CUIT NO CARGADO")</f>
        <v>Librería</v>
      </c>
      <c r="R106" s="346">
        <f>IFERROR(IF(compras_mes9[[#This Row],[CUIT]]="","-",VLOOKUP(compras_mes9[[#This Row],[CUIT]],Lista_CUIT[#All],4,0)),"CUIT NO CARGADO")</f>
        <v>0</v>
      </c>
    </row>
    <row r="107" spans="2:18" x14ac:dyDescent="0.3">
      <c r="B107" s="337">
        <v>44922</v>
      </c>
      <c r="C107" s="338">
        <v>1</v>
      </c>
      <c r="D107" s="339">
        <v>5</v>
      </c>
      <c r="E107" s="340">
        <v>63251</v>
      </c>
      <c r="F107" s="341">
        <v>30633678509</v>
      </c>
      <c r="G107" s="342" t="str">
        <f>IFERROR(IF(compras_mes9[[#This Row],[CUIT]]="","-",VLOOKUP(compras_mes9[[#This Row],[CUIT]],Lista_CUIT[#All],2,0)),"CUIT NO CARGADO")</f>
        <v>SEVENTEEN SOCIEDAD DE RESPONSABILIDAD LIMITADA</v>
      </c>
      <c r="H107" s="343">
        <v>25610.400000000001</v>
      </c>
      <c r="I107" s="344">
        <f>IF(compras_mes9[[#This Row],[NETO GRAVADO]]="","",compras_mes9[[#This Row],[NETO GRAVADO]]*0.21)</f>
        <v>5378.1840000000002</v>
      </c>
      <c r="J107" s="344"/>
      <c r="K107" s="344"/>
      <c r="L107" s="344"/>
      <c r="M107" s="344"/>
      <c r="N107" s="344"/>
      <c r="O107" s="344"/>
      <c r="P107" s="345">
        <f>SUM(compras_mes9[[#This Row],[NETO GRAVADO]:[Otros / No Grav.]])</f>
        <v>30988.584000000003</v>
      </c>
      <c r="Q107" s="346" t="str">
        <f>IFERROR(IF(compras_mes9[[#This Row],[CUIT]]="","-",VLOOKUP(compras_mes9[[#This Row],[CUIT]],Lista_CUIT[#All],3,0)),"CUIT NO CARGADO")</f>
        <v>Librería</v>
      </c>
      <c r="R107" s="346">
        <f>IFERROR(IF(compras_mes9[[#This Row],[CUIT]]="","-",VLOOKUP(compras_mes9[[#This Row],[CUIT]],Lista_CUIT[#All],4,0)),"CUIT NO CARGADO")</f>
        <v>0</v>
      </c>
    </row>
    <row r="108" spans="2:18" x14ac:dyDescent="0.3">
      <c r="B108" s="337">
        <v>44923</v>
      </c>
      <c r="C108" s="338">
        <v>1</v>
      </c>
      <c r="D108" s="339">
        <v>1</v>
      </c>
      <c r="E108" s="340">
        <v>35009</v>
      </c>
      <c r="F108" s="341">
        <v>30715188674</v>
      </c>
      <c r="G108" s="342" t="str">
        <f>IFERROR(IF(compras_mes9[[#This Row],[CUIT]]="","-",VLOOKUP(compras_mes9[[#This Row],[CUIT]],Lista_CUIT[#All],2,0)),"CUIT NO CARGADO")</f>
        <v>GC COMERCIAL S.R.L.</v>
      </c>
      <c r="H108" s="343">
        <v>606.38</v>
      </c>
      <c r="I108" s="344">
        <f>IF(compras_mes9[[#This Row],[NETO GRAVADO]]="","",compras_mes9[[#This Row],[NETO GRAVADO]]*0.21)</f>
        <v>127.3398</v>
      </c>
      <c r="J108" s="344"/>
      <c r="K108" s="344"/>
      <c r="L108" s="344"/>
      <c r="M108" s="344"/>
      <c r="N108" s="344"/>
      <c r="O108" s="344"/>
      <c r="P108" s="345">
        <f>SUM(compras_mes9[[#This Row],[NETO GRAVADO]:[Otros / No Grav.]])</f>
        <v>733.71979999999996</v>
      </c>
      <c r="Q108" s="346" t="str">
        <f>IFERROR(IF(compras_mes9[[#This Row],[CUIT]]="","-",VLOOKUP(compras_mes9[[#This Row],[CUIT]],Lista_CUIT[#All],3,0)),"CUIT NO CARGADO")</f>
        <v>Librería</v>
      </c>
      <c r="R108" s="346">
        <f>IFERROR(IF(compras_mes9[[#This Row],[CUIT]]="","-",VLOOKUP(compras_mes9[[#This Row],[CUIT]],Lista_CUIT[#All],4,0)),"CUIT NO CARGADO")</f>
        <v>0</v>
      </c>
    </row>
    <row r="109" spans="2:18" x14ac:dyDescent="0.3">
      <c r="B109" s="337">
        <v>44896</v>
      </c>
      <c r="C109" s="338">
        <v>1</v>
      </c>
      <c r="D109" s="339">
        <v>3</v>
      </c>
      <c r="E109" s="340">
        <v>159</v>
      </c>
      <c r="F109" s="341">
        <v>27162860866</v>
      </c>
      <c r="G109" s="342" t="str">
        <f>IFERROR(IF(compras_mes9[[#This Row],[CUIT]]="","-",VLOOKUP(compras_mes9[[#This Row],[CUIT]],Lista_CUIT[#All],2,0)),"CUIT NO CARGADO")</f>
        <v>IZZO MARCELA EMMA</v>
      </c>
      <c r="H109" s="343">
        <v>46785.120000000003</v>
      </c>
      <c r="I109" s="344">
        <f>IF(compras_mes9[[#This Row],[NETO GRAVADO]]="","",compras_mes9[[#This Row],[NETO GRAVADO]]*0.21)</f>
        <v>9824.8752000000004</v>
      </c>
      <c r="J109" s="344"/>
      <c r="K109" s="344"/>
      <c r="L109" s="344"/>
      <c r="M109" s="344"/>
      <c r="N109" s="344"/>
      <c r="O109" s="344"/>
      <c r="P109" s="345">
        <f>SUM(compras_mes9[[#This Row],[NETO GRAVADO]:[Otros / No Grav.]])</f>
        <v>56609.995200000005</v>
      </c>
      <c r="Q109" s="346" t="str">
        <f>IFERROR(IF(compras_mes9[[#This Row],[CUIT]]="","-",VLOOKUP(compras_mes9[[#This Row],[CUIT]],Lista_CUIT[#All],3,0)),"CUIT NO CARGADO")</f>
        <v>Mantenimiento</v>
      </c>
      <c r="R109" s="346">
        <f>IFERROR(IF(compras_mes9[[#This Row],[CUIT]]="","-",VLOOKUP(compras_mes9[[#This Row],[CUIT]],Lista_CUIT[#All],4,0)),"CUIT NO CARGADO")</f>
        <v>0</v>
      </c>
    </row>
    <row r="110" spans="2:18" x14ac:dyDescent="0.3">
      <c r="B110" s="337">
        <v>44897</v>
      </c>
      <c r="C110" s="338">
        <v>1</v>
      </c>
      <c r="D110" s="339">
        <v>4</v>
      </c>
      <c r="E110" s="340">
        <v>3661</v>
      </c>
      <c r="F110" s="341">
        <v>30709480711</v>
      </c>
      <c r="G110" s="342" t="str">
        <f>IFERROR(IF(compras_mes9[[#This Row],[CUIT]]="","-",VLOOKUP(compras_mes9[[#This Row],[CUIT]],Lista_CUIT[#All],2,0)),"CUIT NO CARGADO")</f>
        <v>SCALISE LEANDRO ALBERTO Y SCALISE PABLO HERNAN SH</v>
      </c>
      <c r="H110" s="343">
        <v>6363.64</v>
      </c>
      <c r="I110" s="344">
        <f>IF(compras_mes9[[#This Row],[NETO GRAVADO]]="","",compras_mes9[[#This Row],[NETO GRAVADO]]*0.21)</f>
        <v>1336.3643999999999</v>
      </c>
      <c r="J110" s="344"/>
      <c r="K110" s="344"/>
      <c r="L110" s="344"/>
      <c r="M110" s="344"/>
      <c r="N110" s="344"/>
      <c r="O110" s="344"/>
      <c r="P110" s="345">
        <f>SUM(compras_mes9[[#This Row],[NETO GRAVADO]:[Otros / No Grav.]])</f>
        <v>7700.0043999999998</v>
      </c>
      <c r="Q110" s="346" t="str">
        <f>IFERROR(IF(compras_mes9[[#This Row],[CUIT]]="","-",VLOOKUP(compras_mes9[[#This Row],[CUIT]],Lista_CUIT[#All],3,0)),"CUIT NO CARGADO")</f>
        <v>Mantenimiento</v>
      </c>
      <c r="R110" s="346">
        <f>IFERROR(IF(compras_mes9[[#This Row],[CUIT]]="","-",VLOOKUP(compras_mes9[[#This Row],[CUIT]],Lista_CUIT[#All],4,0)),"CUIT NO CARGADO")</f>
        <v>0</v>
      </c>
    </row>
    <row r="111" spans="2:18" x14ac:dyDescent="0.3">
      <c r="B111" s="337">
        <v>44897</v>
      </c>
      <c r="C111" s="338">
        <v>1</v>
      </c>
      <c r="D111" s="339">
        <v>9</v>
      </c>
      <c r="E111" s="340">
        <v>987</v>
      </c>
      <c r="F111" s="341">
        <v>23168212429</v>
      </c>
      <c r="G111" s="342" t="str">
        <f>IFERROR(IF(compras_mes9[[#This Row],[CUIT]]="","-",VLOOKUP(compras_mes9[[#This Row],[CUIT]],Lista_CUIT[#All],2,0)),"CUIT NO CARGADO")</f>
        <v>DANA JOSE LUIS</v>
      </c>
      <c r="H111" s="343">
        <v>51404.959999999999</v>
      </c>
      <c r="I111" s="344">
        <f>IF(compras_mes9[[#This Row],[NETO GRAVADO]]="","",compras_mes9[[#This Row],[NETO GRAVADO]]*0.21)</f>
        <v>10795.041599999999</v>
      </c>
      <c r="J111" s="344"/>
      <c r="K111" s="344"/>
      <c r="L111" s="344"/>
      <c r="M111" s="344"/>
      <c r="N111" s="344"/>
      <c r="O111" s="344"/>
      <c r="P111" s="345">
        <f>SUM(compras_mes9[[#This Row],[NETO GRAVADO]:[Otros / No Grav.]])</f>
        <v>62200.001599999996</v>
      </c>
      <c r="Q111" s="346" t="str">
        <f>IFERROR(IF(compras_mes9[[#This Row],[CUIT]]="","-",VLOOKUP(compras_mes9[[#This Row],[CUIT]],Lista_CUIT[#All],3,0)),"CUIT NO CARGADO")</f>
        <v>Mantenimiento</v>
      </c>
      <c r="R111" s="346">
        <f>IFERROR(IF(compras_mes9[[#This Row],[CUIT]]="","-",VLOOKUP(compras_mes9[[#This Row],[CUIT]],Lista_CUIT[#All],4,0)),"CUIT NO CARGADO")</f>
        <v>0</v>
      </c>
    </row>
    <row r="112" spans="2:18" x14ac:dyDescent="0.3">
      <c r="B112" s="337">
        <v>44914</v>
      </c>
      <c r="C112" s="338">
        <v>1</v>
      </c>
      <c r="D112" s="339">
        <v>2</v>
      </c>
      <c r="E112" s="340">
        <v>5546</v>
      </c>
      <c r="F112" s="341">
        <v>33714677239</v>
      </c>
      <c r="G112" s="342" t="str">
        <f>IFERROR(IF(compras_mes9[[#This Row],[CUIT]]="","-",VLOOKUP(compras_mes9[[#This Row],[CUIT]],Lista_CUIT[#All],2,0)),"CUIT NO CARGADO")</f>
        <v>VABAR LIN SRL</v>
      </c>
      <c r="H112" s="343">
        <v>483300</v>
      </c>
      <c r="I112" s="344">
        <f>IF(compras_mes9[[#This Row],[NETO GRAVADO]]="","",compras_mes9[[#This Row],[NETO GRAVADO]]*0.21)</f>
        <v>101493</v>
      </c>
      <c r="J112" s="344"/>
      <c r="K112" s="344"/>
      <c r="L112" s="344"/>
      <c r="M112" s="344"/>
      <c r="N112" s="344"/>
      <c r="O112" s="344"/>
      <c r="P112" s="345">
        <f>SUM(compras_mes9[[#This Row],[NETO GRAVADO]:[Otros / No Grav.]])</f>
        <v>584793</v>
      </c>
      <c r="Q112" s="346" t="str">
        <f>IFERROR(IF(compras_mes9[[#This Row],[CUIT]]="","-",VLOOKUP(compras_mes9[[#This Row],[CUIT]],Lista_CUIT[#All],3,0)),"CUIT NO CARGADO")</f>
        <v>Mantenimiento</v>
      </c>
      <c r="R112" s="346">
        <f>IFERROR(IF(compras_mes9[[#This Row],[CUIT]]="","-",VLOOKUP(compras_mes9[[#This Row],[CUIT]],Lista_CUIT[#All],4,0)),"CUIT NO CARGADO")</f>
        <v>0</v>
      </c>
    </row>
    <row r="113" spans="2:18" x14ac:dyDescent="0.3">
      <c r="B113" s="337">
        <v>44915</v>
      </c>
      <c r="C113" s="338">
        <v>1</v>
      </c>
      <c r="D113" s="339">
        <v>9</v>
      </c>
      <c r="E113" s="340">
        <v>3162</v>
      </c>
      <c r="F113" s="341">
        <v>30715548182</v>
      </c>
      <c r="G113" s="342" t="str">
        <f>IFERROR(IF(compras_mes9[[#This Row],[CUIT]]="","-",VLOOKUP(compras_mes9[[#This Row],[CUIT]],Lista_CUIT[#All],2,0)),"CUIT NO CARGADO")</f>
        <v>TELGOPOR ARGENTINA SA</v>
      </c>
      <c r="H113" s="343">
        <v>24709.919999999998</v>
      </c>
      <c r="I113" s="344">
        <f>IF(compras_mes9[[#This Row],[NETO GRAVADO]]="","",compras_mes9[[#This Row],[NETO GRAVADO]]*0.21)</f>
        <v>5189.0831999999991</v>
      </c>
      <c r="J113" s="344"/>
      <c r="K113" s="344"/>
      <c r="L113" s="344"/>
      <c r="M113" s="344"/>
      <c r="N113" s="344"/>
      <c r="O113" s="344"/>
      <c r="P113" s="345">
        <f>SUM(compras_mes9[[#This Row],[NETO GRAVADO]:[Otros / No Grav.]])</f>
        <v>29899.003199999999</v>
      </c>
      <c r="Q113" s="346" t="str">
        <f>IFERROR(IF(compras_mes9[[#This Row],[CUIT]]="","-",VLOOKUP(compras_mes9[[#This Row],[CUIT]],Lista_CUIT[#All],3,0)),"CUIT NO CARGADO")</f>
        <v>Mantenimiento</v>
      </c>
      <c r="R113" s="346">
        <f>IFERROR(IF(compras_mes9[[#This Row],[CUIT]]="","-",VLOOKUP(compras_mes9[[#This Row],[CUIT]],Lista_CUIT[#All],4,0)),"CUIT NO CARGADO")</f>
        <v>0</v>
      </c>
    </row>
    <row r="114" spans="2:18" x14ac:dyDescent="0.3">
      <c r="B114" s="337">
        <v>44916</v>
      </c>
      <c r="C114" s="338">
        <v>1</v>
      </c>
      <c r="D114" s="339">
        <v>2</v>
      </c>
      <c r="E114" s="340">
        <v>3310</v>
      </c>
      <c r="F114" s="341">
        <v>30715847023</v>
      </c>
      <c r="G114" s="342" t="str">
        <f>IFERROR(IF(compras_mes9[[#This Row],[CUIT]]="","-",VLOOKUP(compras_mes9[[#This Row],[CUIT]],Lista_CUIT[#All],2,0)),"CUIT NO CARGADO")</f>
        <v>BAUKLA PORCELLANATOS SA</v>
      </c>
      <c r="H114" s="343">
        <v>48006.78</v>
      </c>
      <c r="I114" s="344">
        <f>IF(compras_mes9[[#This Row],[NETO GRAVADO]]="","",compras_mes9[[#This Row],[NETO GRAVADO]]*0.21)</f>
        <v>10081.423799999999</v>
      </c>
      <c r="J114" s="344"/>
      <c r="K114" s="344"/>
      <c r="L114" s="344"/>
      <c r="M114" s="344"/>
      <c r="N114" s="344"/>
      <c r="O114" s="344"/>
      <c r="P114" s="345">
        <f>SUM(compras_mes9[[#This Row],[NETO GRAVADO]:[Otros / No Grav.]])</f>
        <v>58088.203799999996</v>
      </c>
      <c r="Q114" s="346" t="str">
        <f>IFERROR(IF(compras_mes9[[#This Row],[CUIT]]="","-",VLOOKUP(compras_mes9[[#This Row],[CUIT]],Lista_CUIT[#All],3,0)),"CUIT NO CARGADO")</f>
        <v>Mantenimiento</v>
      </c>
      <c r="R114" s="346">
        <f>IFERROR(IF(compras_mes9[[#This Row],[CUIT]]="","-",VLOOKUP(compras_mes9[[#This Row],[CUIT]],Lista_CUIT[#All],4,0)),"CUIT NO CARGADO")</f>
        <v>0</v>
      </c>
    </row>
    <row r="115" spans="2:18" x14ac:dyDescent="0.3">
      <c r="B115" s="337">
        <v>44916</v>
      </c>
      <c r="C115" s="338">
        <v>1</v>
      </c>
      <c r="D115" s="339">
        <v>4</v>
      </c>
      <c r="E115" s="340">
        <v>2491</v>
      </c>
      <c r="F115" s="341">
        <v>27162860866</v>
      </c>
      <c r="G115" s="342" t="str">
        <f>IFERROR(IF(compras_mes9[[#This Row],[CUIT]]="","-",VLOOKUP(compras_mes9[[#This Row],[CUIT]],Lista_CUIT[#All],2,0)),"CUIT NO CARGADO")</f>
        <v>IZZO MARCELA EMMA</v>
      </c>
      <c r="H115" s="343">
        <v>10991.74</v>
      </c>
      <c r="I115" s="344">
        <f>IF(compras_mes9[[#This Row],[NETO GRAVADO]]="","",compras_mes9[[#This Row],[NETO GRAVADO]]*0.21)</f>
        <v>2308.2653999999998</v>
      </c>
      <c r="J115" s="344"/>
      <c r="K115" s="344"/>
      <c r="L115" s="344"/>
      <c r="M115" s="344"/>
      <c r="N115" s="344"/>
      <c r="O115" s="344"/>
      <c r="P115" s="345">
        <f>SUM(compras_mes9[[#This Row],[NETO GRAVADO]:[Otros / No Grav.]])</f>
        <v>13300.0054</v>
      </c>
      <c r="Q115" s="346" t="str">
        <f>IFERROR(IF(compras_mes9[[#This Row],[CUIT]]="","-",VLOOKUP(compras_mes9[[#This Row],[CUIT]],Lista_CUIT[#All],3,0)),"CUIT NO CARGADO")</f>
        <v>Mantenimiento</v>
      </c>
      <c r="R115" s="346">
        <f>IFERROR(IF(compras_mes9[[#This Row],[CUIT]]="","-",VLOOKUP(compras_mes9[[#This Row],[CUIT]],Lista_CUIT[#All],4,0)),"CUIT NO CARGADO")</f>
        <v>0</v>
      </c>
    </row>
    <row r="116" spans="2:18" x14ac:dyDescent="0.3">
      <c r="B116" s="337">
        <v>44917</v>
      </c>
      <c r="C116" s="338">
        <v>1</v>
      </c>
      <c r="D116" s="339">
        <v>2</v>
      </c>
      <c r="E116" s="340">
        <v>213</v>
      </c>
      <c r="F116" s="341">
        <v>27302111346</v>
      </c>
      <c r="G116" s="342" t="str">
        <f>IFERROR(IF(compras_mes9[[#This Row],[CUIT]]="","-",VLOOKUP(compras_mes9[[#This Row],[CUIT]],Lista_CUIT[#All],2,0)),"CUIT NO CARGADO")</f>
        <v>ARBIT MARIA FLOR</v>
      </c>
      <c r="H116" s="343">
        <v>690900</v>
      </c>
      <c r="I116" s="344">
        <f>IF(compras_mes9[[#This Row],[NETO GRAVADO]]="","",compras_mes9[[#This Row],[NETO GRAVADO]]*0.21)</f>
        <v>145089</v>
      </c>
      <c r="J116" s="344"/>
      <c r="K116" s="344"/>
      <c r="L116" s="344"/>
      <c r="M116" s="344"/>
      <c r="N116" s="344"/>
      <c r="O116" s="344"/>
      <c r="P116" s="345">
        <f>SUM(compras_mes9[[#This Row],[NETO GRAVADO]:[Otros / No Grav.]])</f>
        <v>835989</v>
      </c>
      <c r="Q116" s="346" t="str">
        <f>IFERROR(IF(compras_mes9[[#This Row],[CUIT]]="","-",VLOOKUP(compras_mes9[[#This Row],[CUIT]],Lista_CUIT[#All],3,0)),"CUIT NO CARGADO")</f>
        <v>Mantenimiento</v>
      </c>
      <c r="R116" s="346">
        <f>IFERROR(IF(compras_mes9[[#This Row],[CUIT]]="","-",VLOOKUP(compras_mes9[[#This Row],[CUIT]],Lista_CUIT[#All],4,0)),"CUIT NO CARGADO")</f>
        <v>0</v>
      </c>
    </row>
    <row r="117" spans="2:18" x14ac:dyDescent="0.3">
      <c r="B117" s="337">
        <v>44923</v>
      </c>
      <c r="C117" s="338">
        <v>1</v>
      </c>
      <c r="D117" s="339">
        <v>2</v>
      </c>
      <c r="E117" s="340">
        <v>2920</v>
      </c>
      <c r="F117" s="341">
        <v>30716303442</v>
      </c>
      <c r="G117" s="342" t="str">
        <f>IFERROR(IF(compras_mes9[[#This Row],[CUIT]]="","-",VLOOKUP(compras_mes9[[#This Row],[CUIT]],Lista_CUIT[#All],2,0)),"CUIT NO CARGADO")</f>
        <v>REPUESTOS ARMANDO DE DUARTE Y CASTEL SAS</v>
      </c>
      <c r="H117" s="343">
        <v>29421.49</v>
      </c>
      <c r="I117" s="344">
        <f>IF(compras_mes9[[#This Row],[NETO GRAVADO]]="","",compras_mes9[[#This Row],[NETO GRAVADO]]*0.21)</f>
        <v>6178.5128999999997</v>
      </c>
      <c r="J117" s="344"/>
      <c r="K117" s="344"/>
      <c r="L117" s="344"/>
      <c r="M117" s="344"/>
      <c r="N117" s="344"/>
      <c r="O117" s="344"/>
      <c r="P117" s="345">
        <f>SUM(compras_mes9[[#This Row],[NETO GRAVADO]:[Otros / No Grav.]])</f>
        <v>35600.002899999999</v>
      </c>
      <c r="Q117" s="346" t="str">
        <f>IFERROR(IF(compras_mes9[[#This Row],[CUIT]]="","-",VLOOKUP(compras_mes9[[#This Row],[CUIT]],Lista_CUIT[#All],3,0)),"CUIT NO CARGADO")</f>
        <v>Mantenimiento Auto</v>
      </c>
      <c r="R117" s="346">
        <f>IFERROR(IF(compras_mes9[[#This Row],[CUIT]]="","-",VLOOKUP(compras_mes9[[#This Row],[CUIT]],Lista_CUIT[#All],4,0)),"CUIT NO CARGADO")</f>
        <v>0</v>
      </c>
    </row>
    <row r="118" spans="2:18" x14ac:dyDescent="0.3">
      <c r="B118" s="36">
        <v>44896</v>
      </c>
      <c r="C118" s="37">
        <v>1</v>
      </c>
      <c r="D118" s="38">
        <v>2</v>
      </c>
      <c r="E118" s="39">
        <v>3209</v>
      </c>
      <c r="F118" s="40">
        <v>30629863571</v>
      </c>
      <c r="G118" s="41" t="str">
        <f>IFERROR(IF(compras_mes9[[#This Row],[CUIT]]="","-",VLOOKUP(compras_mes9[[#This Row],[CUIT]],Lista_CUIT[#All],2,0)),"CUIT NO CARGADO")</f>
        <v>TECNIMAR S R L</v>
      </c>
      <c r="H118" s="42">
        <v>710570.7</v>
      </c>
      <c r="I118" s="81">
        <f>IF(compras_mes9[[#This Row],[NETO GRAVADO]]="","",compras_mes9[[#This Row],[NETO GRAVADO]]*0.21)</f>
        <v>149219.84699999998</v>
      </c>
      <c r="J118" s="81"/>
      <c r="K118" s="81"/>
      <c r="L118" s="81"/>
      <c r="M118" s="81"/>
      <c r="N118" s="81"/>
      <c r="O118" s="81"/>
      <c r="P118" s="44">
        <f>SUM(compras_mes9[[#This Row],[NETO GRAVADO]:[Otros / No Grav.]])</f>
        <v>859790.5469999999</v>
      </c>
      <c r="Q118" s="45" t="str">
        <f>IFERROR(IF(compras_mes9[[#This Row],[CUIT]]="","-",VLOOKUP(compras_mes9[[#This Row],[CUIT]],Lista_CUIT[#All],3,0)),"CUIT NO CARGADO")</f>
        <v>Mercaderia</v>
      </c>
      <c r="R118" s="45">
        <f>IFERROR(IF(compras_mes9[[#This Row],[CUIT]]="","-",VLOOKUP(compras_mes9[[#This Row],[CUIT]],Lista_CUIT[#All],4,0)),"CUIT NO CARGADO")</f>
        <v>0</v>
      </c>
    </row>
    <row r="119" spans="2:18" x14ac:dyDescent="0.3">
      <c r="B119" s="337">
        <v>44896</v>
      </c>
      <c r="C119" s="338">
        <v>1</v>
      </c>
      <c r="D119" s="339">
        <v>9</v>
      </c>
      <c r="E119" s="340">
        <v>722</v>
      </c>
      <c r="F119" s="341">
        <v>30710446047</v>
      </c>
      <c r="G119" s="342" t="str">
        <f>IFERROR(IF(compras_mes9[[#This Row],[CUIT]]="","-",VLOOKUP(compras_mes9[[#This Row],[CUIT]],Lista_CUIT[#All],2,0)),"CUIT NO CARGADO")</f>
        <v>ENSAMBLE GRAFICO S.H.</v>
      </c>
      <c r="H119" s="343">
        <v>428490</v>
      </c>
      <c r="I119" s="344">
        <f>IF(compras_mes9[[#This Row],[NETO GRAVADO]]="","",compras_mes9[[#This Row],[NETO GRAVADO]]*0.21)</f>
        <v>89982.9</v>
      </c>
      <c r="J119" s="344"/>
      <c r="K119" s="344"/>
      <c r="L119" s="344"/>
      <c r="M119" s="344"/>
      <c r="N119" s="344"/>
      <c r="O119" s="344"/>
      <c r="P119" s="345">
        <f>SUM(compras_mes9[[#This Row],[NETO GRAVADO]:[Otros / No Grav.]])</f>
        <v>518472.9</v>
      </c>
      <c r="Q119" s="346" t="str">
        <f>IFERROR(IF(compras_mes9[[#This Row],[CUIT]]="","-",VLOOKUP(compras_mes9[[#This Row],[CUIT]],Lista_CUIT[#All],3,0)),"CUIT NO CARGADO")</f>
        <v>Mercaderia</v>
      </c>
      <c r="R119" s="346">
        <f>IFERROR(IF(compras_mes9[[#This Row],[CUIT]]="","-",VLOOKUP(compras_mes9[[#This Row],[CUIT]],Lista_CUIT[#All],4,0)),"CUIT NO CARGADO")</f>
        <v>0</v>
      </c>
    </row>
    <row r="120" spans="2:18" x14ac:dyDescent="0.3">
      <c r="B120" s="337">
        <v>44896</v>
      </c>
      <c r="C120" s="338">
        <v>1</v>
      </c>
      <c r="D120" s="339">
        <v>9</v>
      </c>
      <c r="E120" s="340">
        <v>721</v>
      </c>
      <c r="F120" s="341">
        <v>30710446047</v>
      </c>
      <c r="G120" s="342" t="str">
        <f>IFERROR(IF(compras_mes9[[#This Row],[CUIT]]="","-",VLOOKUP(compras_mes9[[#This Row],[CUIT]],Lista_CUIT[#All],2,0)),"CUIT NO CARGADO")</f>
        <v>ENSAMBLE GRAFICO S.H.</v>
      </c>
      <c r="H120" s="343">
        <v>575380</v>
      </c>
      <c r="I120" s="344">
        <f>IF(compras_mes9[[#This Row],[NETO GRAVADO]]="","",compras_mes9[[#This Row],[NETO GRAVADO]]*0.21)</f>
        <v>120829.79999999999</v>
      </c>
      <c r="J120" s="344"/>
      <c r="K120" s="344"/>
      <c r="L120" s="344"/>
      <c r="M120" s="344"/>
      <c r="N120" s="344"/>
      <c r="O120" s="344"/>
      <c r="P120" s="345">
        <f>SUM(compras_mes9[[#This Row],[NETO GRAVADO]:[Otros / No Grav.]])</f>
        <v>696209.8</v>
      </c>
      <c r="Q120" s="346" t="str">
        <f>IFERROR(IF(compras_mes9[[#This Row],[CUIT]]="","-",VLOOKUP(compras_mes9[[#This Row],[CUIT]],Lista_CUIT[#All],3,0)),"CUIT NO CARGADO")</f>
        <v>Mercaderia</v>
      </c>
      <c r="R120" s="346">
        <f>IFERROR(IF(compras_mes9[[#This Row],[CUIT]]="","-",VLOOKUP(compras_mes9[[#This Row],[CUIT]],Lista_CUIT[#All],4,0)),"CUIT NO CARGADO")</f>
        <v>0</v>
      </c>
    </row>
    <row r="121" spans="2:18" x14ac:dyDescent="0.3">
      <c r="B121" s="337">
        <v>44896</v>
      </c>
      <c r="C121" s="338">
        <v>1</v>
      </c>
      <c r="D121" s="339">
        <v>7</v>
      </c>
      <c r="E121" s="340">
        <v>7957</v>
      </c>
      <c r="F121" s="341">
        <v>30708017759</v>
      </c>
      <c r="G121" s="342" t="str">
        <f>IFERROR(IF(compras_mes9[[#This Row],[CUIT]]="","-",VLOOKUP(compras_mes9[[#This Row],[CUIT]],Lista_CUIT[#All],2,0)),"CUIT NO CARGADO")</f>
        <v>NEW  HIGH PACK  SA</v>
      </c>
      <c r="H121" s="343">
        <v>263466</v>
      </c>
      <c r="I121" s="344">
        <f>IF(compras_mes9[[#This Row],[NETO GRAVADO]]="","",compras_mes9[[#This Row],[NETO GRAVADO]]*0.21)</f>
        <v>55327.86</v>
      </c>
      <c r="J121" s="344"/>
      <c r="K121" s="344"/>
      <c r="L121" s="344"/>
      <c r="M121" s="344"/>
      <c r="N121" s="344">
        <v>15807.96</v>
      </c>
      <c r="O121" s="344"/>
      <c r="P121" s="345">
        <f>SUM(compras_mes9[[#This Row],[NETO GRAVADO]:[Otros / No Grav.]])</f>
        <v>334601.82</v>
      </c>
      <c r="Q121" s="346" t="str">
        <f>IFERROR(IF(compras_mes9[[#This Row],[CUIT]]="","-",VLOOKUP(compras_mes9[[#This Row],[CUIT]],Lista_CUIT[#All],3,0)),"CUIT NO CARGADO")</f>
        <v>Mercaderia</v>
      </c>
      <c r="R121" s="346">
        <f>IFERROR(IF(compras_mes9[[#This Row],[CUIT]]="","-",VLOOKUP(compras_mes9[[#This Row],[CUIT]],Lista_CUIT[#All],4,0)),"CUIT NO CARGADO")</f>
        <v>0</v>
      </c>
    </row>
    <row r="122" spans="2:18" x14ac:dyDescent="0.3">
      <c r="B122" s="337">
        <v>44897</v>
      </c>
      <c r="C122" s="338">
        <v>1</v>
      </c>
      <c r="D122" s="339">
        <v>2</v>
      </c>
      <c r="E122" s="340">
        <v>3214</v>
      </c>
      <c r="F122" s="341">
        <v>30629863571</v>
      </c>
      <c r="G122" s="342" t="str">
        <f>IFERROR(IF(compras_mes9[[#This Row],[CUIT]]="","-",VLOOKUP(compras_mes9[[#This Row],[CUIT]],Lista_CUIT[#All],2,0)),"CUIT NO CARGADO")</f>
        <v>TECNIMAR S R L</v>
      </c>
      <c r="H122" s="343">
        <v>619350.68999999994</v>
      </c>
      <c r="I122" s="344">
        <f>IF(compras_mes9[[#This Row],[NETO GRAVADO]]="","",compras_mes9[[#This Row],[NETO GRAVADO]]*0.21)</f>
        <v>130063.64489999998</v>
      </c>
      <c r="J122" s="344"/>
      <c r="K122" s="344"/>
      <c r="L122" s="344"/>
      <c r="M122" s="344"/>
      <c r="N122" s="344"/>
      <c r="O122" s="344"/>
      <c r="P122" s="345">
        <f>SUM(compras_mes9[[#This Row],[NETO GRAVADO]:[Otros / No Grav.]])</f>
        <v>749414.3348999999</v>
      </c>
      <c r="Q122" s="346" t="str">
        <f>IFERROR(IF(compras_mes9[[#This Row],[CUIT]]="","-",VLOOKUP(compras_mes9[[#This Row],[CUIT]],Lista_CUIT[#All],3,0)),"CUIT NO CARGADO")</f>
        <v>Mercaderia</v>
      </c>
      <c r="R122" s="346">
        <f>IFERROR(IF(compras_mes9[[#This Row],[CUIT]]="","-",VLOOKUP(compras_mes9[[#This Row],[CUIT]],Lista_CUIT[#All],4,0)),"CUIT NO CARGADO")</f>
        <v>0</v>
      </c>
    </row>
    <row r="123" spans="2:18" x14ac:dyDescent="0.3">
      <c r="B123" s="337">
        <v>44897</v>
      </c>
      <c r="C123" s="338">
        <v>1</v>
      </c>
      <c r="D123" s="339">
        <v>7</v>
      </c>
      <c r="E123" s="340">
        <v>7966</v>
      </c>
      <c r="F123" s="341">
        <v>30708017759</v>
      </c>
      <c r="G123" s="342" t="str">
        <f>IFERROR(IF(compras_mes9[[#This Row],[CUIT]]="","-",VLOOKUP(compras_mes9[[#This Row],[CUIT]],Lista_CUIT[#All],2,0)),"CUIT NO CARGADO")</f>
        <v>NEW  HIGH PACK  SA</v>
      </c>
      <c r="H123" s="343">
        <v>261198</v>
      </c>
      <c r="I123" s="344">
        <f>IF(compras_mes9[[#This Row],[NETO GRAVADO]]="","",compras_mes9[[#This Row],[NETO GRAVADO]]*0.21)</f>
        <v>54851.579999999994</v>
      </c>
      <c r="J123" s="344"/>
      <c r="K123" s="344"/>
      <c r="L123" s="344">
        <v>15671.88</v>
      </c>
      <c r="M123" s="344"/>
      <c r="N123" s="344"/>
      <c r="O123" s="344"/>
      <c r="P123" s="345">
        <f>SUM(compras_mes9[[#This Row],[NETO GRAVADO]:[Otros / No Grav.]])</f>
        <v>331721.46000000002</v>
      </c>
      <c r="Q123" s="346" t="str">
        <f>IFERROR(IF(compras_mes9[[#This Row],[CUIT]]="","-",VLOOKUP(compras_mes9[[#This Row],[CUIT]],Lista_CUIT[#All],3,0)),"CUIT NO CARGADO")</f>
        <v>Mercaderia</v>
      </c>
      <c r="R123" s="346">
        <f>IFERROR(IF(compras_mes9[[#This Row],[CUIT]]="","-",VLOOKUP(compras_mes9[[#This Row],[CUIT]],Lista_CUIT[#All],4,0)),"CUIT NO CARGADO")</f>
        <v>0</v>
      </c>
    </row>
    <row r="124" spans="2:18" x14ac:dyDescent="0.3">
      <c r="B124" s="337">
        <v>44900</v>
      </c>
      <c r="C124" s="338">
        <v>1</v>
      </c>
      <c r="D124" s="339">
        <v>1</v>
      </c>
      <c r="E124" s="340">
        <v>106</v>
      </c>
      <c r="F124" s="341">
        <v>20077604627</v>
      </c>
      <c r="G124" s="342" t="str">
        <f>IFERROR(IF(compras_mes9[[#This Row],[CUIT]]="","-",VLOOKUP(compras_mes9[[#This Row],[CUIT]],Lista_CUIT[#All],2,0)),"CUIT NO CARGADO")</f>
        <v>OCAÑO ENRIQUE</v>
      </c>
      <c r="H124" s="343">
        <v>283323.5</v>
      </c>
      <c r="I124" s="344">
        <f>IF(compras_mes9[[#This Row],[NETO GRAVADO]]="","",compras_mes9[[#This Row],[NETO GRAVADO]]*0.21)</f>
        <v>59497.934999999998</v>
      </c>
      <c r="J124" s="344"/>
      <c r="K124" s="344"/>
      <c r="L124" s="344"/>
      <c r="M124" s="344"/>
      <c r="N124" s="344"/>
      <c r="O124" s="344"/>
      <c r="P124" s="345">
        <f>SUM(compras_mes9[[#This Row],[NETO GRAVADO]:[Otros / No Grav.]])</f>
        <v>342821.435</v>
      </c>
      <c r="Q124" s="346" t="str">
        <f>IFERROR(IF(compras_mes9[[#This Row],[CUIT]]="","-",VLOOKUP(compras_mes9[[#This Row],[CUIT]],Lista_CUIT[#All],3,0)),"CUIT NO CARGADO")</f>
        <v>Mercaderia</v>
      </c>
      <c r="R124" s="346">
        <f>IFERROR(IF(compras_mes9[[#This Row],[CUIT]]="","-",VLOOKUP(compras_mes9[[#This Row],[CUIT]],Lista_CUIT[#All],4,0)),"CUIT NO CARGADO")</f>
        <v>0</v>
      </c>
    </row>
    <row r="125" spans="2:18" x14ac:dyDescent="0.3">
      <c r="B125" s="337">
        <v>44907</v>
      </c>
      <c r="C125" s="338">
        <v>1</v>
      </c>
      <c r="D125" s="339">
        <v>2</v>
      </c>
      <c r="E125" s="340">
        <v>3219</v>
      </c>
      <c r="F125" s="341">
        <v>30629863571</v>
      </c>
      <c r="G125" s="342" t="str">
        <f>IFERROR(IF(compras_mes9[[#This Row],[CUIT]]="","-",VLOOKUP(compras_mes9[[#This Row],[CUIT]],Lista_CUIT[#All],2,0)),"CUIT NO CARGADO")</f>
        <v>TECNIMAR S R L</v>
      </c>
      <c r="H125" s="343">
        <v>932304.48</v>
      </c>
      <c r="I125" s="344">
        <f>IF(compras_mes9[[#This Row],[NETO GRAVADO]]="","",compras_mes9[[#This Row],[NETO GRAVADO]]*0.21)</f>
        <v>195783.94079999998</v>
      </c>
      <c r="J125" s="344"/>
      <c r="K125" s="344"/>
      <c r="L125" s="344"/>
      <c r="M125" s="344"/>
      <c r="N125" s="344"/>
      <c r="O125" s="344"/>
      <c r="P125" s="345">
        <f>SUM(compras_mes9[[#This Row],[NETO GRAVADO]:[Otros / No Grav.]])</f>
        <v>1128088.4208</v>
      </c>
      <c r="Q125" s="346" t="str">
        <f>IFERROR(IF(compras_mes9[[#This Row],[CUIT]]="","-",VLOOKUP(compras_mes9[[#This Row],[CUIT]],Lista_CUIT[#All],3,0)),"CUIT NO CARGADO")</f>
        <v>Mercaderia</v>
      </c>
      <c r="R125" s="346">
        <f>IFERROR(IF(compras_mes9[[#This Row],[CUIT]]="","-",VLOOKUP(compras_mes9[[#This Row],[CUIT]],Lista_CUIT[#All],4,0)),"CUIT NO CARGADO")</f>
        <v>0</v>
      </c>
    </row>
    <row r="126" spans="2:18" x14ac:dyDescent="0.3">
      <c r="B126" s="337">
        <v>44908</v>
      </c>
      <c r="C126" s="338">
        <v>1</v>
      </c>
      <c r="D126" s="339">
        <v>6</v>
      </c>
      <c r="E126" s="340">
        <v>2341</v>
      </c>
      <c r="F126" s="341">
        <v>30574603788</v>
      </c>
      <c r="G126" s="342" t="str">
        <f>IFERROR(IF(compras_mes9[[#This Row],[CUIT]]="","-",VLOOKUP(compras_mes9[[#This Row],[CUIT]],Lista_CUIT[#All],2,0)),"CUIT NO CARGADO")</f>
        <v>Codac SRL</v>
      </c>
      <c r="H126" s="343">
        <v>240240</v>
      </c>
      <c r="I126" s="344">
        <f>IF(compras_mes9[[#This Row],[NETO GRAVADO]]="","",compras_mes9[[#This Row],[NETO GRAVADO]]*0.21)</f>
        <v>50450.400000000001</v>
      </c>
      <c r="J126" s="344"/>
      <c r="K126" s="344"/>
      <c r="L126" s="344"/>
      <c r="M126" s="344"/>
      <c r="N126" s="344"/>
      <c r="O126" s="344"/>
      <c r="P126" s="345">
        <f>SUM(compras_mes9[[#This Row],[NETO GRAVADO]:[Otros / No Grav.]])</f>
        <v>290690.40000000002</v>
      </c>
      <c r="Q126" s="346" t="str">
        <f>IFERROR(IF(compras_mes9[[#This Row],[CUIT]]="","-",VLOOKUP(compras_mes9[[#This Row],[CUIT]],Lista_CUIT[#All],3,0)),"CUIT NO CARGADO")</f>
        <v>Mercaderia</v>
      </c>
      <c r="R126" s="346">
        <f>IFERROR(IF(compras_mes9[[#This Row],[CUIT]]="","-",VLOOKUP(compras_mes9[[#This Row],[CUIT]],Lista_CUIT[#All],4,0)),"CUIT NO CARGADO")</f>
        <v>0</v>
      </c>
    </row>
    <row r="127" spans="2:18" x14ac:dyDescent="0.3">
      <c r="B127" s="337">
        <v>44908</v>
      </c>
      <c r="C127" s="338">
        <v>1</v>
      </c>
      <c r="D127" s="339">
        <v>2</v>
      </c>
      <c r="E127" s="340">
        <v>5233</v>
      </c>
      <c r="F127" s="341">
        <v>23180288899</v>
      </c>
      <c r="G127" s="342" t="str">
        <f>IFERROR(IF(compras_mes9[[#This Row],[CUIT]]="","-",VLOOKUP(compras_mes9[[#This Row],[CUIT]],Lista_CUIT[#All],2,0)),"CUIT NO CARGADO")</f>
        <v>ROMERO EMILIO</v>
      </c>
      <c r="H127" s="343">
        <v>290000</v>
      </c>
      <c r="I127" s="344">
        <f>IF(compras_mes9[[#This Row],[NETO GRAVADO]]="","",compras_mes9[[#This Row],[NETO GRAVADO]]*0.21)</f>
        <v>60900</v>
      </c>
      <c r="J127" s="344"/>
      <c r="K127" s="344"/>
      <c r="L127" s="344"/>
      <c r="M127" s="344"/>
      <c r="N127" s="344"/>
      <c r="O127" s="344"/>
      <c r="P127" s="345">
        <f>SUM(compras_mes9[[#This Row],[NETO GRAVADO]:[Otros / No Grav.]])</f>
        <v>350900</v>
      </c>
      <c r="Q127" s="346" t="str">
        <f>IFERROR(IF(compras_mes9[[#This Row],[CUIT]]="","-",VLOOKUP(compras_mes9[[#This Row],[CUIT]],Lista_CUIT[#All],3,0)),"CUIT NO CARGADO")</f>
        <v>Mercaderia</v>
      </c>
      <c r="R127" s="346" t="str">
        <f>IFERROR(IF(compras_mes9[[#This Row],[CUIT]]="","-",VLOOKUP(compras_mes9[[#This Row],[CUIT]],Lista_CUIT[#All],4,0)),"CUIT NO CARGADO")</f>
        <v>BUENOS AIRES</v>
      </c>
    </row>
    <row r="128" spans="2:18" x14ac:dyDescent="0.3">
      <c r="B128" s="337">
        <v>44909</v>
      </c>
      <c r="C128" s="338">
        <v>1</v>
      </c>
      <c r="D128" s="339">
        <v>2</v>
      </c>
      <c r="E128" s="340">
        <v>3223</v>
      </c>
      <c r="F128" s="341">
        <v>30629863571</v>
      </c>
      <c r="G128" s="342" t="str">
        <f>IFERROR(IF(compras_mes9[[#This Row],[CUIT]]="","-",VLOOKUP(compras_mes9[[#This Row],[CUIT]],Lista_CUIT[#All],2,0)),"CUIT NO CARGADO")</f>
        <v>TECNIMAR S R L</v>
      </c>
      <c r="H128" s="343">
        <v>496790.1</v>
      </c>
      <c r="I128" s="344">
        <f>IF(compras_mes9[[#This Row],[NETO GRAVADO]]="","",compras_mes9[[#This Row],[NETO GRAVADO]]*0.21)</f>
        <v>104325.92099999999</v>
      </c>
      <c r="J128" s="344"/>
      <c r="K128" s="344"/>
      <c r="L128" s="344"/>
      <c r="M128" s="344"/>
      <c r="N128" s="344"/>
      <c r="O128" s="344"/>
      <c r="P128" s="345">
        <f>SUM(compras_mes9[[#This Row],[NETO GRAVADO]:[Otros / No Grav.]])</f>
        <v>601116.02099999995</v>
      </c>
      <c r="Q128" s="346" t="str">
        <f>IFERROR(IF(compras_mes9[[#This Row],[CUIT]]="","-",VLOOKUP(compras_mes9[[#This Row],[CUIT]],Lista_CUIT[#All],3,0)),"CUIT NO CARGADO")</f>
        <v>Mercaderia</v>
      </c>
      <c r="R128" s="346">
        <f>IFERROR(IF(compras_mes9[[#This Row],[CUIT]]="","-",VLOOKUP(compras_mes9[[#This Row],[CUIT]],Lista_CUIT[#All],4,0)),"CUIT NO CARGADO")</f>
        <v>0</v>
      </c>
    </row>
    <row r="129" spans="2:18" x14ac:dyDescent="0.3">
      <c r="B129" s="337">
        <v>44909</v>
      </c>
      <c r="C129" s="338">
        <v>1</v>
      </c>
      <c r="D129" s="339">
        <v>1</v>
      </c>
      <c r="E129" s="340">
        <v>108</v>
      </c>
      <c r="F129" s="341">
        <v>20077604627</v>
      </c>
      <c r="G129" s="342" t="str">
        <f>IFERROR(IF(compras_mes9[[#This Row],[CUIT]]="","-",VLOOKUP(compras_mes9[[#This Row],[CUIT]],Lista_CUIT[#All],2,0)),"CUIT NO CARGADO")</f>
        <v>OCAÑO ENRIQUE</v>
      </c>
      <c r="H129" s="343">
        <v>419931.3</v>
      </c>
      <c r="I129" s="344">
        <f>IF(compras_mes9[[#This Row],[NETO GRAVADO]]="","",compras_mes9[[#This Row],[NETO GRAVADO]]*0.21)</f>
        <v>88185.572999999989</v>
      </c>
      <c r="J129" s="344"/>
      <c r="K129" s="344"/>
      <c r="L129" s="344"/>
      <c r="M129" s="344"/>
      <c r="N129" s="344"/>
      <c r="O129" s="344"/>
      <c r="P129" s="345">
        <f>SUM(compras_mes9[[#This Row],[NETO GRAVADO]:[Otros / No Grav.]])</f>
        <v>508116.87299999996</v>
      </c>
      <c r="Q129" s="346" t="str">
        <f>IFERROR(IF(compras_mes9[[#This Row],[CUIT]]="","-",VLOOKUP(compras_mes9[[#This Row],[CUIT]],Lista_CUIT[#All],3,0)),"CUIT NO CARGADO")</f>
        <v>Mercaderia</v>
      </c>
      <c r="R129" s="346">
        <f>IFERROR(IF(compras_mes9[[#This Row],[CUIT]]="","-",VLOOKUP(compras_mes9[[#This Row],[CUIT]],Lista_CUIT[#All],4,0)),"CUIT NO CARGADO")</f>
        <v>0</v>
      </c>
    </row>
    <row r="130" spans="2:18" x14ac:dyDescent="0.3">
      <c r="B130" s="337">
        <v>44909</v>
      </c>
      <c r="C130" s="338">
        <v>1</v>
      </c>
      <c r="D130" s="339">
        <v>6</v>
      </c>
      <c r="E130" s="340">
        <v>2345</v>
      </c>
      <c r="F130" s="341">
        <v>30574603788</v>
      </c>
      <c r="G130" s="342" t="str">
        <f>IFERROR(IF(compras_mes9[[#This Row],[CUIT]]="","-",VLOOKUP(compras_mes9[[#This Row],[CUIT]],Lista_CUIT[#All],2,0)),"CUIT NO CARGADO")</f>
        <v>Codac SRL</v>
      </c>
      <c r="H130" s="343">
        <v>126620</v>
      </c>
      <c r="I130" s="344">
        <f>IF(compras_mes9[[#This Row],[NETO GRAVADO]]="","",compras_mes9[[#This Row],[NETO GRAVADO]]*0.21)</f>
        <v>26590.2</v>
      </c>
      <c r="J130" s="344"/>
      <c r="K130" s="344"/>
      <c r="L130" s="344"/>
      <c r="M130" s="344"/>
      <c r="N130" s="344"/>
      <c r="O130" s="344"/>
      <c r="P130" s="345">
        <f>SUM(compras_mes9[[#This Row],[NETO GRAVADO]:[Otros / No Grav.]])</f>
        <v>153210.20000000001</v>
      </c>
      <c r="Q130" s="346" t="str">
        <f>IFERROR(IF(compras_mes9[[#This Row],[CUIT]]="","-",VLOOKUP(compras_mes9[[#This Row],[CUIT]],Lista_CUIT[#All],3,0)),"CUIT NO CARGADO")</f>
        <v>Mercaderia</v>
      </c>
      <c r="R130" s="346">
        <f>IFERROR(IF(compras_mes9[[#This Row],[CUIT]]="","-",VLOOKUP(compras_mes9[[#This Row],[CUIT]],Lista_CUIT[#All],4,0)),"CUIT NO CARGADO")</f>
        <v>0</v>
      </c>
    </row>
    <row r="131" spans="2:18" x14ac:dyDescent="0.3">
      <c r="B131" s="337">
        <v>44910</v>
      </c>
      <c r="C131" s="338">
        <v>1</v>
      </c>
      <c r="D131" s="339">
        <v>4</v>
      </c>
      <c r="E131" s="340">
        <v>2598</v>
      </c>
      <c r="F131" s="341">
        <v>30708669306</v>
      </c>
      <c r="G131" s="342" t="str">
        <f>IFERROR(IF(compras_mes9[[#This Row],[CUIT]]="","-",VLOOKUP(compras_mes9[[#This Row],[CUIT]],Lista_CUIT[#All],2,0)),"CUIT NO CARGADO")</f>
        <v>MAYOLAS S.R.L.</v>
      </c>
      <c r="H131" s="343">
        <v>171000</v>
      </c>
      <c r="I131" s="344">
        <f>IF(compras_mes9[[#This Row],[NETO GRAVADO]]="","",compras_mes9[[#This Row],[NETO GRAVADO]]*0.21)</f>
        <v>35910</v>
      </c>
      <c r="J131" s="344"/>
      <c r="K131" s="344"/>
      <c r="L131" s="344"/>
      <c r="M131" s="344"/>
      <c r="N131" s="344"/>
      <c r="O131" s="344"/>
      <c r="P131" s="345">
        <f>SUM(compras_mes9[[#This Row],[NETO GRAVADO]:[Otros / No Grav.]])</f>
        <v>206910</v>
      </c>
      <c r="Q131" s="346" t="str">
        <f>IFERROR(IF(compras_mes9[[#This Row],[CUIT]]="","-",VLOOKUP(compras_mes9[[#This Row],[CUIT]],Lista_CUIT[#All],3,0)),"CUIT NO CARGADO")</f>
        <v>Mercaderia</v>
      </c>
      <c r="R131" s="346">
        <f>IFERROR(IF(compras_mes9[[#This Row],[CUIT]]="","-",VLOOKUP(compras_mes9[[#This Row],[CUIT]],Lista_CUIT[#All],4,0)),"CUIT NO CARGADO")</f>
        <v>0</v>
      </c>
    </row>
    <row r="132" spans="2:18" x14ac:dyDescent="0.3">
      <c r="B132" s="337">
        <v>44914</v>
      </c>
      <c r="C132" s="338">
        <v>1</v>
      </c>
      <c r="D132" s="339">
        <v>3</v>
      </c>
      <c r="E132" s="340">
        <v>6334</v>
      </c>
      <c r="F132" s="341">
        <v>30708006420</v>
      </c>
      <c r="G132" s="342" t="str">
        <f>IFERROR(IF(compras_mes9[[#This Row],[CUIT]]="","-",VLOOKUP(compras_mes9[[#This Row],[CUIT]],Lista_CUIT[#All],2,0)),"CUIT NO CARGADO")</f>
        <v>MEDILEA  S.A.</v>
      </c>
      <c r="H132" s="343">
        <v>790700</v>
      </c>
      <c r="I132" s="344">
        <f>IF(compras_mes9[[#This Row],[NETO GRAVADO]]="","",compras_mes9[[#This Row],[NETO GRAVADO]]*0.21)</f>
        <v>166047</v>
      </c>
      <c r="J132" s="344"/>
      <c r="K132" s="344"/>
      <c r="L132" s="344"/>
      <c r="M132" s="344"/>
      <c r="N132" s="344"/>
      <c r="O132" s="344"/>
      <c r="P132" s="345">
        <f>SUM(compras_mes9[[#This Row],[NETO GRAVADO]:[Otros / No Grav.]])</f>
        <v>956747</v>
      </c>
      <c r="Q132" s="346" t="str">
        <f>IFERROR(IF(compras_mes9[[#This Row],[CUIT]]="","-",VLOOKUP(compras_mes9[[#This Row],[CUIT]],Lista_CUIT[#All],3,0)),"CUIT NO CARGADO")</f>
        <v>Mercaderia</v>
      </c>
      <c r="R132" s="346">
        <f>IFERROR(IF(compras_mes9[[#This Row],[CUIT]]="","-",VLOOKUP(compras_mes9[[#This Row],[CUIT]],Lista_CUIT[#All],4,0)),"CUIT NO CARGADO")</f>
        <v>0</v>
      </c>
    </row>
    <row r="133" spans="2:18" x14ac:dyDescent="0.3">
      <c r="B133" s="337">
        <v>44916</v>
      </c>
      <c r="C133" s="338">
        <v>1</v>
      </c>
      <c r="D133" s="339">
        <v>2</v>
      </c>
      <c r="E133" s="340">
        <v>3229</v>
      </c>
      <c r="F133" s="341">
        <v>30629863571</v>
      </c>
      <c r="G133" s="342" t="str">
        <f>IFERROR(IF(compras_mes9[[#This Row],[CUIT]]="","-",VLOOKUP(compras_mes9[[#This Row],[CUIT]],Lista_CUIT[#All],2,0)),"CUIT NO CARGADO")</f>
        <v>TECNIMAR S R L</v>
      </c>
      <c r="H133" s="343">
        <v>799695.35999999999</v>
      </c>
      <c r="I133" s="344">
        <f>IF(compras_mes9[[#This Row],[NETO GRAVADO]]="","",compras_mes9[[#This Row],[NETO GRAVADO]]*0.21)</f>
        <v>167936.02559999999</v>
      </c>
      <c r="J133" s="344"/>
      <c r="K133" s="344"/>
      <c r="L133" s="344"/>
      <c r="M133" s="344"/>
      <c r="N133" s="344"/>
      <c r="O133" s="344"/>
      <c r="P133" s="345">
        <f>SUM(compras_mes9[[#This Row],[NETO GRAVADO]:[Otros / No Grav.]])</f>
        <v>967631.38559999992</v>
      </c>
      <c r="Q133" s="346" t="str">
        <f>IFERROR(IF(compras_mes9[[#This Row],[CUIT]]="","-",VLOOKUP(compras_mes9[[#This Row],[CUIT]],Lista_CUIT[#All],3,0)),"CUIT NO CARGADO")</f>
        <v>Mercaderia</v>
      </c>
      <c r="R133" s="346">
        <f>IFERROR(IF(compras_mes9[[#This Row],[CUIT]]="","-",VLOOKUP(compras_mes9[[#This Row],[CUIT]],Lista_CUIT[#All],4,0)),"CUIT NO CARGADO")</f>
        <v>0</v>
      </c>
    </row>
    <row r="134" spans="2:18" x14ac:dyDescent="0.3">
      <c r="B134" s="337">
        <v>44917</v>
      </c>
      <c r="C134" s="338">
        <v>1</v>
      </c>
      <c r="D134" s="339">
        <v>2</v>
      </c>
      <c r="E134" s="340">
        <v>938</v>
      </c>
      <c r="F134" s="341">
        <v>20172319743</v>
      </c>
      <c r="G134" s="342" t="str">
        <f>IFERROR(IF(compras_mes9[[#This Row],[CUIT]]="","-",VLOOKUP(compras_mes9[[#This Row],[CUIT]],Lista_CUIT[#All],2,0)),"CUIT NO CARGADO")</f>
        <v>IACONIS SERGIO OMAR</v>
      </c>
      <c r="H134" s="343">
        <v>378255.8</v>
      </c>
      <c r="I134" s="344">
        <f>IF(compras_mes9[[#This Row],[NETO GRAVADO]]="","",compras_mes9[[#This Row],[NETO GRAVADO]]*0.21)</f>
        <v>79433.717999999993</v>
      </c>
      <c r="J134" s="344"/>
      <c r="K134" s="344"/>
      <c r="L134" s="344"/>
      <c r="M134" s="344"/>
      <c r="N134" s="344"/>
      <c r="O134" s="344"/>
      <c r="P134" s="345">
        <f>SUM(compras_mes9[[#This Row],[NETO GRAVADO]:[Otros / No Grav.]])</f>
        <v>457689.51799999998</v>
      </c>
      <c r="Q134" s="346" t="str">
        <f>IFERROR(IF(compras_mes9[[#This Row],[CUIT]]="","-",VLOOKUP(compras_mes9[[#This Row],[CUIT]],Lista_CUIT[#All],3,0)),"CUIT NO CARGADO")</f>
        <v>Mercaderia</v>
      </c>
      <c r="R134" s="346" t="str">
        <f>IFERROR(IF(compras_mes9[[#This Row],[CUIT]]="","-",VLOOKUP(compras_mes9[[#This Row],[CUIT]],Lista_CUIT[#All],4,0)),"CUIT NO CARGADO")</f>
        <v>BS AS</v>
      </c>
    </row>
    <row r="135" spans="2:18" x14ac:dyDescent="0.3">
      <c r="B135" s="337">
        <v>44917</v>
      </c>
      <c r="C135" s="338">
        <v>1</v>
      </c>
      <c r="D135" s="339">
        <v>5</v>
      </c>
      <c r="E135" s="340">
        <v>1024</v>
      </c>
      <c r="F135" s="341">
        <v>30707397256</v>
      </c>
      <c r="G135" s="342" t="str">
        <f>IFERROR(IF(compras_mes9[[#This Row],[CUIT]]="","-",VLOOKUP(compras_mes9[[#This Row],[CUIT]],Lista_CUIT[#All],2,0)),"CUIT NO CARGADO")</f>
        <v>GRAFICA Y FOTOGRABADOS LA PLAZA S.R.L.</v>
      </c>
      <c r="H135" s="343">
        <v>335900</v>
      </c>
      <c r="I135" s="344">
        <f>IF(compras_mes9[[#This Row],[NETO GRAVADO]]="","",compras_mes9[[#This Row],[NETO GRAVADO]]*0.21)</f>
        <v>70539</v>
      </c>
      <c r="J135" s="344"/>
      <c r="K135" s="344"/>
      <c r="L135" s="344"/>
      <c r="M135" s="344"/>
      <c r="N135" s="344"/>
      <c r="O135" s="344"/>
      <c r="P135" s="345">
        <f>SUM(compras_mes9[[#This Row],[NETO GRAVADO]:[Otros / No Grav.]])</f>
        <v>406439</v>
      </c>
      <c r="Q135" s="346" t="str">
        <f>IFERROR(IF(compras_mes9[[#This Row],[CUIT]]="","-",VLOOKUP(compras_mes9[[#This Row],[CUIT]],Lista_CUIT[#All],3,0)),"CUIT NO CARGADO")</f>
        <v>Mercaderia</v>
      </c>
      <c r="R135" s="346">
        <f>IFERROR(IF(compras_mes9[[#This Row],[CUIT]]="","-",VLOOKUP(compras_mes9[[#This Row],[CUIT]],Lista_CUIT[#All],4,0)),"CUIT NO CARGADO")</f>
        <v>0</v>
      </c>
    </row>
    <row r="136" spans="2:18" x14ac:dyDescent="0.3">
      <c r="B136" s="337">
        <v>44917</v>
      </c>
      <c r="C136" s="338">
        <v>1</v>
      </c>
      <c r="D136" s="339">
        <v>6</v>
      </c>
      <c r="E136" s="340">
        <v>2361</v>
      </c>
      <c r="F136" s="341">
        <v>30574603788</v>
      </c>
      <c r="G136" s="342" t="str">
        <f>IFERROR(IF(compras_mes9[[#This Row],[CUIT]]="","-",VLOOKUP(compras_mes9[[#This Row],[CUIT]],Lista_CUIT[#All],2,0)),"CUIT NO CARGADO")</f>
        <v>Codac SRL</v>
      </c>
      <c r="H136" s="343">
        <v>216535</v>
      </c>
      <c r="I136" s="344">
        <f>IF(compras_mes9[[#This Row],[NETO GRAVADO]]="","",compras_mes9[[#This Row],[NETO GRAVADO]]*0.21)</f>
        <v>45472.35</v>
      </c>
      <c r="J136" s="344"/>
      <c r="K136" s="344"/>
      <c r="L136" s="344"/>
      <c r="M136" s="344"/>
      <c r="N136" s="344"/>
      <c r="O136" s="344"/>
      <c r="P136" s="345">
        <f>SUM(compras_mes9[[#This Row],[NETO GRAVADO]:[Otros / No Grav.]])</f>
        <v>262007.35</v>
      </c>
      <c r="Q136" s="346" t="str">
        <f>IFERROR(IF(compras_mes9[[#This Row],[CUIT]]="","-",VLOOKUP(compras_mes9[[#This Row],[CUIT]],Lista_CUIT[#All],3,0)),"CUIT NO CARGADO")</f>
        <v>Mercaderia</v>
      </c>
      <c r="R136" s="346">
        <f>IFERROR(IF(compras_mes9[[#This Row],[CUIT]]="","-",VLOOKUP(compras_mes9[[#This Row],[CUIT]],Lista_CUIT[#All],4,0)),"CUIT NO CARGADO")</f>
        <v>0</v>
      </c>
    </row>
    <row r="137" spans="2:18" x14ac:dyDescent="0.3">
      <c r="B137" s="337">
        <v>44922</v>
      </c>
      <c r="C137" s="338">
        <v>1</v>
      </c>
      <c r="D137" s="339">
        <v>15</v>
      </c>
      <c r="E137" s="340">
        <v>3048</v>
      </c>
      <c r="F137" s="341">
        <v>30691617773</v>
      </c>
      <c r="G137" s="342" t="str">
        <f>IFERROR(IF(compras_mes9[[#This Row],[CUIT]]="","-",VLOOKUP(compras_mes9[[#This Row],[CUIT]],Lista_CUIT[#All],2,0)),"CUIT NO CARGADO")</f>
        <v>NOVACHEM S R L</v>
      </c>
      <c r="H137" s="343">
        <v>84315</v>
      </c>
      <c r="I137" s="344">
        <f>IF(compras_mes9[[#This Row],[NETO GRAVADO]]="","",compras_mes9[[#This Row],[NETO GRAVADO]]*0.21)</f>
        <v>17706.149999999998</v>
      </c>
      <c r="J137" s="344"/>
      <c r="K137" s="344"/>
      <c r="L137" s="344"/>
      <c r="M137" s="344"/>
      <c r="N137" s="344"/>
      <c r="O137" s="344"/>
      <c r="P137" s="345">
        <f>SUM(compras_mes9[[#This Row],[NETO GRAVADO]:[Otros / No Grav.]])</f>
        <v>102021.15</v>
      </c>
      <c r="Q137" s="346" t="str">
        <f>IFERROR(IF(compras_mes9[[#This Row],[CUIT]]="","-",VLOOKUP(compras_mes9[[#This Row],[CUIT]],Lista_CUIT[#All],3,0)),"CUIT NO CARGADO")</f>
        <v>Mercaderia</v>
      </c>
      <c r="R137" s="346">
        <f>IFERROR(IF(compras_mes9[[#This Row],[CUIT]]="","-",VLOOKUP(compras_mes9[[#This Row],[CUIT]],Lista_CUIT[#All],4,0)),"CUIT NO CARGADO")</f>
        <v>0</v>
      </c>
    </row>
    <row r="138" spans="2:18" x14ac:dyDescent="0.3">
      <c r="B138" s="337">
        <v>44923</v>
      </c>
      <c r="C138" s="338">
        <v>1</v>
      </c>
      <c r="D138" s="339">
        <v>5</v>
      </c>
      <c r="E138" s="340">
        <v>1036</v>
      </c>
      <c r="F138" s="341">
        <v>30707397256</v>
      </c>
      <c r="G138" s="342" t="str">
        <f>IFERROR(IF(compras_mes9[[#This Row],[CUIT]]="","-",VLOOKUP(compras_mes9[[#This Row],[CUIT]],Lista_CUIT[#All],2,0)),"CUIT NO CARGADO")</f>
        <v>GRAFICA Y FOTOGRABADOS LA PLAZA S.R.L.</v>
      </c>
      <c r="H138" s="343">
        <v>327787.40000000002</v>
      </c>
      <c r="I138" s="344">
        <f>IF(compras_mes9[[#This Row],[NETO GRAVADO]]="","",compras_mes9[[#This Row],[NETO GRAVADO]]*0.21)</f>
        <v>68835.354000000007</v>
      </c>
      <c r="J138" s="344"/>
      <c r="K138" s="344"/>
      <c r="L138" s="344"/>
      <c r="M138" s="344"/>
      <c r="N138" s="344"/>
      <c r="O138" s="344"/>
      <c r="P138" s="345">
        <f>SUM(compras_mes9[[#This Row],[NETO GRAVADO]:[Otros / No Grav.]])</f>
        <v>396622.75400000002</v>
      </c>
      <c r="Q138" s="346" t="str">
        <f>IFERROR(IF(compras_mes9[[#This Row],[CUIT]]="","-",VLOOKUP(compras_mes9[[#This Row],[CUIT]],Lista_CUIT[#All],3,0)),"CUIT NO CARGADO")</f>
        <v>Mercaderia</v>
      </c>
      <c r="R138" s="346">
        <f>IFERROR(IF(compras_mes9[[#This Row],[CUIT]]="","-",VLOOKUP(compras_mes9[[#This Row],[CUIT]],Lista_CUIT[#All],4,0)),"CUIT NO CARGADO")</f>
        <v>0</v>
      </c>
    </row>
    <row r="139" spans="2:18" x14ac:dyDescent="0.3">
      <c r="B139" s="337">
        <v>44924</v>
      </c>
      <c r="C139" s="338">
        <v>1</v>
      </c>
      <c r="D139" s="339">
        <v>2</v>
      </c>
      <c r="E139" s="340">
        <v>3233</v>
      </c>
      <c r="F139" s="341">
        <v>30629863571</v>
      </c>
      <c r="G139" s="342" t="str">
        <f>IFERROR(IF(compras_mes9[[#This Row],[CUIT]]="","-",VLOOKUP(compras_mes9[[#This Row],[CUIT]],Lista_CUIT[#All],2,0)),"CUIT NO CARGADO")</f>
        <v>TECNIMAR S R L</v>
      </c>
      <c r="H139" s="343">
        <v>362076.48</v>
      </c>
      <c r="I139" s="344">
        <f>IF(compras_mes9[[#This Row],[NETO GRAVADO]]="","",compras_mes9[[#This Row],[NETO GRAVADO]]*0.21)</f>
        <v>76036.060799999992</v>
      </c>
      <c r="J139" s="344"/>
      <c r="K139" s="344"/>
      <c r="L139" s="344"/>
      <c r="M139" s="344"/>
      <c r="N139" s="344"/>
      <c r="O139" s="344"/>
      <c r="P139" s="345">
        <f>SUM(compras_mes9[[#This Row],[NETO GRAVADO]:[Otros / No Grav.]])</f>
        <v>438112.54079999996</v>
      </c>
      <c r="Q139" s="346" t="str">
        <f>IFERROR(IF(compras_mes9[[#This Row],[CUIT]]="","-",VLOOKUP(compras_mes9[[#This Row],[CUIT]],Lista_CUIT[#All],3,0)),"CUIT NO CARGADO")</f>
        <v>Mercaderia</v>
      </c>
      <c r="R139" s="346">
        <f>IFERROR(IF(compras_mes9[[#This Row],[CUIT]]="","-",VLOOKUP(compras_mes9[[#This Row],[CUIT]],Lista_CUIT[#All],4,0)),"CUIT NO CARGADO")</f>
        <v>0</v>
      </c>
    </row>
    <row r="140" spans="2:18" x14ac:dyDescent="0.3">
      <c r="B140" s="337">
        <v>44924</v>
      </c>
      <c r="C140" s="338">
        <v>1</v>
      </c>
      <c r="D140" s="339">
        <v>3</v>
      </c>
      <c r="E140" s="340">
        <v>3307</v>
      </c>
      <c r="F140" s="341">
        <v>30714618977</v>
      </c>
      <c r="G140" s="342" t="str">
        <f>IFERROR(IF(compras_mes9[[#This Row],[CUIT]]="","-",VLOOKUP(compras_mes9[[#This Row],[CUIT]],Lista_CUIT[#All],2,0)),"CUIT NO CARGADO")</f>
        <v>DISTRIBUIDORA N.G. S.A.</v>
      </c>
      <c r="H140" s="343">
        <v>126000</v>
      </c>
      <c r="I140" s="344">
        <f>IF(compras_mes9[[#This Row],[NETO GRAVADO]]="","",compras_mes9[[#This Row],[NETO GRAVADO]]*0.21)</f>
        <v>26460</v>
      </c>
      <c r="J140" s="344"/>
      <c r="K140" s="344"/>
      <c r="L140" s="344"/>
      <c r="M140" s="344"/>
      <c r="N140" s="344"/>
      <c r="O140" s="344"/>
      <c r="P140" s="345">
        <f>SUM(compras_mes9[[#This Row],[NETO GRAVADO]:[Otros / No Grav.]])</f>
        <v>152460</v>
      </c>
      <c r="Q140" s="346" t="str">
        <f>IFERROR(IF(compras_mes9[[#This Row],[CUIT]]="","-",VLOOKUP(compras_mes9[[#This Row],[CUIT]],Lista_CUIT[#All],3,0)),"CUIT NO CARGADO")</f>
        <v>Mercaderia</v>
      </c>
      <c r="R140" s="346">
        <f>IFERROR(IF(compras_mes9[[#This Row],[CUIT]]="","-",VLOOKUP(compras_mes9[[#This Row],[CUIT]],Lista_CUIT[#All],4,0)),"CUIT NO CARGADO")</f>
        <v>0</v>
      </c>
    </row>
    <row r="141" spans="2:18" x14ac:dyDescent="0.3">
      <c r="B141" s="337">
        <v>44925</v>
      </c>
      <c r="C141" s="338">
        <v>1</v>
      </c>
      <c r="D141" s="339">
        <v>3</v>
      </c>
      <c r="E141" s="340">
        <v>6349</v>
      </c>
      <c r="F141" s="341">
        <v>30708006420</v>
      </c>
      <c r="G141" s="342" t="str">
        <f>IFERROR(IF(compras_mes9[[#This Row],[CUIT]]="","-",VLOOKUP(compras_mes9[[#This Row],[CUIT]],Lista_CUIT[#All],2,0)),"CUIT NO CARGADO")</f>
        <v>MEDILEA  S.A.</v>
      </c>
      <c r="H141" s="343">
        <v>280000</v>
      </c>
      <c r="I141" s="344">
        <f>IF(compras_mes9[[#This Row],[NETO GRAVADO]]="","",compras_mes9[[#This Row],[NETO GRAVADO]]*0.21)</f>
        <v>58800</v>
      </c>
      <c r="J141" s="344"/>
      <c r="K141" s="344"/>
      <c r="L141" s="344"/>
      <c r="M141" s="344"/>
      <c r="N141" s="344"/>
      <c r="O141" s="344"/>
      <c r="P141" s="345">
        <f>SUM(compras_mes9[[#This Row],[NETO GRAVADO]:[Otros / No Grav.]])</f>
        <v>338800</v>
      </c>
      <c r="Q141" s="346" t="str">
        <f>IFERROR(IF(compras_mes9[[#This Row],[CUIT]]="","-",VLOOKUP(compras_mes9[[#This Row],[CUIT]],Lista_CUIT[#All],3,0)),"CUIT NO CARGADO")</f>
        <v>Mercaderia</v>
      </c>
      <c r="R141" s="346">
        <f>IFERROR(IF(compras_mes9[[#This Row],[CUIT]]="","-",VLOOKUP(compras_mes9[[#This Row],[CUIT]],Lista_CUIT[#All],4,0)),"CUIT NO CARGADO")</f>
        <v>0</v>
      </c>
    </row>
    <row r="142" spans="2:18" x14ac:dyDescent="0.3">
      <c r="B142" s="337">
        <v>44925</v>
      </c>
      <c r="C142" s="338">
        <v>1</v>
      </c>
      <c r="D142" s="339">
        <v>3</v>
      </c>
      <c r="E142" s="340">
        <v>3311</v>
      </c>
      <c r="F142" s="341">
        <v>30714618977</v>
      </c>
      <c r="G142" s="342" t="str">
        <f>IFERROR(IF(compras_mes9[[#This Row],[CUIT]]="","-",VLOOKUP(compras_mes9[[#This Row],[CUIT]],Lista_CUIT[#All],2,0)),"CUIT NO CARGADO")</f>
        <v>DISTRIBUIDORA N.G. S.A.</v>
      </c>
      <c r="H142" s="343">
        <v>44700</v>
      </c>
      <c r="I142" s="344">
        <f>IF(compras_mes9[[#This Row],[NETO GRAVADO]]="","",compras_mes9[[#This Row],[NETO GRAVADO]]*0.21)</f>
        <v>9387</v>
      </c>
      <c r="J142" s="344"/>
      <c r="K142" s="344"/>
      <c r="L142" s="344"/>
      <c r="M142" s="344"/>
      <c r="N142" s="344"/>
      <c r="O142" s="344"/>
      <c r="P142" s="345">
        <f>SUM(compras_mes9[[#This Row],[NETO GRAVADO]:[Otros / No Grav.]])</f>
        <v>54087</v>
      </c>
      <c r="Q142" s="346" t="str">
        <f>IFERROR(IF(compras_mes9[[#This Row],[CUIT]]="","-",VLOOKUP(compras_mes9[[#This Row],[CUIT]],Lista_CUIT[#All],3,0)),"CUIT NO CARGADO")</f>
        <v>Mercaderia</v>
      </c>
      <c r="R142" s="346">
        <f>IFERROR(IF(compras_mes9[[#This Row],[CUIT]]="","-",VLOOKUP(compras_mes9[[#This Row],[CUIT]],Lista_CUIT[#All],4,0)),"CUIT NO CARGADO")</f>
        <v>0</v>
      </c>
    </row>
    <row r="143" spans="2:18" x14ac:dyDescent="0.3">
      <c r="B143" s="337">
        <v>44901</v>
      </c>
      <c r="C143" s="338">
        <v>2</v>
      </c>
      <c r="D143" s="339">
        <v>4</v>
      </c>
      <c r="E143" s="340">
        <v>3874</v>
      </c>
      <c r="F143" s="341">
        <v>30585948817</v>
      </c>
      <c r="G143" s="342" t="str">
        <f>IFERROR(IF(compras_mes9[[#This Row],[CUIT]]="","-",VLOOKUP(compras_mes9[[#This Row],[CUIT]],Lista_CUIT[#All],2,0)),"CUIT NO CARGADO")</f>
        <v xml:space="preserve">GLASCAR </v>
      </c>
      <c r="H143" s="343">
        <v>79367.5</v>
      </c>
      <c r="I143" s="344">
        <f>IF(compras_mes9[[#This Row],[NETO GRAVADO]]="","",compras_mes9[[#This Row],[NETO GRAVADO]]*0.21)</f>
        <v>16667.174999999999</v>
      </c>
      <c r="J143" s="344"/>
      <c r="K143" s="344"/>
      <c r="L143" s="344"/>
      <c r="M143" s="344"/>
      <c r="N143" s="344"/>
      <c r="O143" s="344"/>
      <c r="P143" s="345">
        <f>SUM(compras_mes9[[#This Row],[NETO GRAVADO]:[Otros / No Grav.]])</f>
        <v>96034.675000000003</v>
      </c>
      <c r="Q143" s="346" t="str">
        <f>IFERROR(IF(compras_mes9[[#This Row],[CUIT]]="","-",VLOOKUP(compras_mes9[[#This Row],[CUIT]],Lista_CUIT[#All],3,0)),"CUIT NO CARGADO")</f>
        <v>Mercaderia</v>
      </c>
      <c r="R143" s="346">
        <f>IFERROR(IF(compras_mes9[[#This Row],[CUIT]]="","-",VLOOKUP(compras_mes9[[#This Row],[CUIT]],Lista_CUIT[#All],4,0)),"CUIT NO CARGADO")</f>
        <v>0</v>
      </c>
    </row>
    <row r="144" spans="2:18" x14ac:dyDescent="0.3">
      <c r="B144" s="337">
        <v>44911</v>
      </c>
      <c r="C144" s="338">
        <v>2</v>
      </c>
      <c r="D144" s="339">
        <v>4</v>
      </c>
      <c r="E144" s="340">
        <v>3905</v>
      </c>
      <c r="F144" s="341">
        <v>30585948817</v>
      </c>
      <c r="G144" s="342" t="str">
        <f>IFERROR(IF(compras_mes9[[#This Row],[CUIT]]="","-",VLOOKUP(compras_mes9[[#This Row],[CUIT]],Lista_CUIT[#All],2,0)),"CUIT NO CARGADO")</f>
        <v xml:space="preserve">GLASCAR </v>
      </c>
      <c r="H144" s="343">
        <v>72383.570000000007</v>
      </c>
      <c r="I144" s="344">
        <f>IF(compras_mes9[[#This Row],[NETO GRAVADO]]="","",compras_mes9[[#This Row],[NETO GRAVADO]]*0.21)</f>
        <v>15200.549700000001</v>
      </c>
      <c r="J144" s="344"/>
      <c r="K144" s="344"/>
      <c r="L144" s="344"/>
      <c r="M144" s="344"/>
      <c r="N144" s="344"/>
      <c r="O144" s="344"/>
      <c r="P144" s="345">
        <f>SUM(compras_mes9[[#This Row],[NETO GRAVADO]:[Otros / No Grav.]])</f>
        <v>87584.11970000001</v>
      </c>
      <c r="Q144" s="346" t="str">
        <f>IFERROR(IF(compras_mes9[[#This Row],[CUIT]]="","-",VLOOKUP(compras_mes9[[#This Row],[CUIT]],Lista_CUIT[#All],3,0)),"CUIT NO CARGADO")</f>
        <v>Mercaderia</v>
      </c>
      <c r="R144" s="346">
        <f>IFERROR(IF(compras_mes9[[#This Row],[CUIT]]="","-",VLOOKUP(compras_mes9[[#This Row],[CUIT]],Lista_CUIT[#All],4,0)),"CUIT NO CARGADO")</f>
        <v>0</v>
      </c>
    </row>
    <row r="145" spans="2:18" x14ac:dyDescent="0.3">
      <c r="B145" s="337">
        <v>44917</v>
      </c>
      <c r="C145" s="338">
        <v>2</v>
      </c>
      <c r="D145" s="339">
        <v>4</v>
      </c>
      <c r="E145" s="340">
        <v>3925</v>
      </c>
      <c r="F145" s="341">
        <v>30585948817</v>
      </c>
      <c r="G145" s="342" t="str">
        <f>IFERROR(IF(compras_mes9[[#This Row],[CUIT]]="","-",VLOOKUP(compras_mes9[[#This Row],[CUIT]],Lista_CUIT[#All],2,0)),"CUIT NO CARGADO")</f>
        <v xml:space="preserve">GLASCAR </v>
      </c>
      <c r="H145" s="343">
        <v>35000.07</v>
      </c>
      <c r="I145" s="344">
        <f>IF(compras_mes9[[#This Row],[NETO GRAVADO]]="","",compras_mes9[[#This Row],[NETO GRAVADO]]*0.21)</f>
        <v>7350.0146999999997</v>
      </c>
      <c r="J145" s="344"/>
      <c r="K145" s="344"/>
      <c r="L145" s="344"/>
      <c r="M145" s="344"/>
      <c r="N145" s="344"/>
      <c r="O145" s="344"/>
      <c r="P145" s="345">
        <f>SUM(compras_mes9[[#This Row],[NETO GRAVADO]:[Otros / No Grav.]])</f>
        <v>42350.084699999999</v>
      </c>
      <c r="Q145" s="346" t="str">
        <f>IFERROR(IF(compras_mes9[[#This Row],[CUIT]]="","-",VLOOKUP(compras_mes9[[#This Row],[CUIT]],Lista_CUIT[#All],3,0)),"CUIT NO CARGADO")</f>
        <v>Mercaderia</v>
      </c>
      <c r="R145" s="346">
        <f>IFERROR(IF(compras_mes9[[#This Row],[CUIT]]="","-",VLOOKUP(compras_mes9[[#This Row],[CUIT]],Lista_CUIT[#All],4,0)),"CUIT NO CARGADO")</f>
        <v>0</v>
      </c>
    </row>
    <row r="146" spans="2:18" x14ac:dyDescent="0.3">
      <c r="B146" s="337">
        <v>44921</v>
      </c>
      <c r="C146" s="338">
        <v>2</v>
      </c>
      <c r="D146" s="339">
        <v>7</v>
      </c>
      <c r="E146" s="340">
        <v>1329</v>
      </c>
      <c r="F146" s="341">
        <v>30691617773</v>
      </c>
      <c r="G146" s="342" t="str">
        <f>IFERROR(IF(compras_mes9[[#This Row],[CUIT]]="","-",VLOOKUP(compras_mes9[[#This Row],[CUIT]],Lista_CUIT[#All],2,0)),"CUIT NO CARGADO")</f>
        <v>NOVACHEM S R L</v>
      </c>
      <c r="H146" s="343">
        <v>3354.83</v>
      </c>
      <c r="I146" s="344">
        <f>IF(compras_mes9[[#This Row],[NETO GRAVADO]]="","",compras_mes9[[#This Row],[NETO GRAVADO]]*0.21)</f>
        <v>704.51429999999993</v>
      </c>
      <c r="J146" s="344"/>
      <c r="K146" s="344"/>
      <c r="L146" s="344"/>
      <c r="M146" s="344"/>
      <c r="N146" s="344"/>
      <c r="O146" s="344"/>
      <c r="P146" s="345">
        <f>SUM(compras_mes9[[#This Row],[NETO GRAVADO]:[Otros / No Grav.]])</f>
        <v>4059.3442999999997</v>
      </c>
      <c r="Q146" s="346" t="str">
        <f>IFERROR(IF(compras_mes9[[#This Row],[CUIT]]="","-",VLOOKUP(compras_mes9[[#This Row],[CUIT]],Lista_CUIT[#All],3,0)),"CUIT NO CARGADO")</f>
        <v>Mercaderia</v>
      </c>
      <c r="R146" s="346">
        <f>IFERROR(IF(compras_mes9[[#This Row],[CUIT]]="","-",VLOOKUP(compras_mes9[[#This Row],[CUIT]],Lista_CUIT[#All],4,0)),"CUIT NO CARGADO")</f>
        <v>0</v>
      </c>
    </row>
    <row r="147" spans="2:18" x14ac:dyDescent="0.3">
      <c r="B147" s="337">
        <v>44900</v>
      </c>
      <c r="C147" s="338">
        <v>3</v>
      </c>
      <c r="D147" s="339">
        <v>7</v>
      </c>
      <c r="E147" s="340">
        <v>770</v>
      </c>
      <c r="F147" s="341">
        <v>30708017759</v>
      </c>
      <c r="G147" s="342" t="str">
        <f>IFERROR(IF(compras_mes9[[#This Row],[CUIT]]="","-",VLOOKUP(compras_mes9[[#This Row],[CUIT]],Lista_CUIT[#All],2,0)),"CUIT NO CARGADO")</f>
        <v>NEW  HIGH PACK  SA</v>
      </c>
      <c r="H147" s="343">
        <v>-261198</v>
      </c>
      <c r="I147" s="344">
        <f>IF(compras_mes9[[#This Row],[NETO GRAVADO]]="","",compras_mes9[[#This Row],[NETO GRAVADO]]*0.21)</f>
        <v>-54851.579999999994</v>
      </c>
      <c r="J147" s="344"/>
      <c r="K147" s="344"/>
      <c r="L147" s="344"/>
      <c r="M147" s="344"/>
      <c r="N147" s="344">
        <v>-15671.88</v>
      </c>
      <c r="O147" s="344"/>
      <c r="P147" s="345">
        <f>SUM(compras_mes9[[#This Row],[NETO GRAVADO]:[Otros / No Grav.]])</f>
        <v>-331721.46000000002</v>
      </c>
      <c r="Q147" s="346" t="str">
        <f>IFERROR(IF(compras_mes9[[#This Row],[CUIT]]="","-",VLOOKUP(compras_mes9[[#This Row],[CUIT]],Lista_CUIT[#All],3,0)),"CUIT NO CARGADO")</f>
        <v>Mercaderia</v>
      </c>
      <c r="R147" s="346">
        <f>IFERROR(IF(compras_mes9[[#This Row],[CUIT]]="","-",VLOOKUP(compras_mes9[[#This Row],[CUIT]],Lista_CUIT[#All],4,0)),"CUIT NO CARGADO")</f>
        <v>0</v>
      </c>
    </row>
    <row r="148" spans="2:18" x14ac:dyDescent="0.3">
      <c r="B148" s="337">
        <v>44897</v>
      </c>
      <c r="C148" s="338">
        <v>1</v>
      </c>
      <c r="D148" s="339">
        <v>50</v>
      </c>
      <c r="E148" s="340">
        <v>2852749</v>
      </c>
      <c r="F148" s="341">
        <v>30714112836</v>
      </c>
      <c r="G148" s="342" t="str">
        <f>IFERROR(IF(compras_mes9[[#This Row],[CUIT]]="","-",VLOOKUP(compras_mes9[[#This Row],[CUIT]],Lista_CUIT[#All],2,0)),"CUIT NO CARGADO")</f>
        <v>AUTOPISTAS DE BS AS</v>
      </c>
      <c r="H148" s="343">
        <v>954.54</v>
      </c>
      <c r="I148" s="344">
        <f>IF(compras_mes9[[#This Row],[NETO GRAVADO]]="","",compras_mes9[[#This Row],[NETO GRAVADO]]*0.21)</f>
        <v>200.45339999999999</v>
      </c>
      <c r="J148" s="344"/>
      <c r="K148" s="344"/>
      <c r="L148" s="344">
        <v>28.64</v>
      </c>
      <c r="M148" s="344"/>
      <c r="N148" s="344"/>
      <c r="O148" s="344"/>
      <c r="P148" s="345">
        <f>SUM(compras_mes9[[#This Row],[NETO GRAVADO]:[Otros / No Grav.]])</f>
        <v>1183.6333999999999</v>
      </c>
      <c r="Q148" s="346" t="str">
        <f>IFERROR(IF(compras_mes9[[#This Row],[CUIT]]="","-",VLOOKUP(compras_mes9[[#This Row],[CUIT]],Lista_CUIT[#All],3,0)),"CUIT NO CARGADO")</f>
        <v>Peaje</v>
      </c>
      <c r="R148" s="346">
        <f>IFERROR(IF(compras_mes9[[#This Row],[CUIT]]="","-",VLOOKUP(compras_mes9[[#This Row],[CUIT]],Lista_CUIT[#All],4,0)),"CUIT NO CARGADO")</f>
        <v>0</v>
      </c>
    </row>
    <row r="149" spans="2:18" x14ac:dyDescent="0.3">
      <c r="B149" s="337">
        <v>44898</v>
      </c>
      <c r="C149" s="338">
        <v>1</v>
      </c>
      <c r="D149" s="339">
        <v>629</v>
      </c>
      <c r="E149" s="340">
        <v>3750096</v>
      </c>
      <c r="F149" s="341">
        <v>30663498513</v>
      </c>
      <c r="G149" s="342" t="str">
        <f>IFERROR(IF(compras_mes9[[#This Row],[CUIT]]="","-",VLOOKUP(compras_mes9[[#This Row],[CUIT]],Lista_CUIT[#All],2,0)),"CUIT NO CARGADO")</f>
        <v>GRUPO CONCES. DEL OESTE SA</v>
      </c>
      <c r="H149" s="343">
        <v>1391.72</v>
      </c>
      <c r="I149" s="344">
        <f>IF(compras_mes9[[#This Row],[NETO GRAVADO]]="","",compras_mes9[[#This Row],[NETO GRAVADO]]*0.21)</f>
        <v>292.26119999999997</v>
      </c>
      <c r="J149" s="344"/>
      <c r="K149" s="344"/>
      <c r="L149" s="344"/>
      <c r="M149" s="344"/>
      <c r="N149" s="344"/>
      <c r="O149" s="344"/>
      <c r="P149" s="345">
        <f>SUM(compras_mes9[[#This Row],[NETO GRAVADO]:[Otros / No Grav.]])</f>
        <v>1683.9811999999999</v>
      </c>
      <c r="Q149" s="346" t="str">
        <f>IFERROR(IF(compras_mes9[[#This Row],[CUIT]]="","-",VLOOKUP(compras_mes9[[#This Row],[CUIT]],Lista_CUIT[#All],3,0)),"CUIT NO CARGADO")</f>
        <v>Peaje</v>
      </c>
      <c r="R149" s="346">
        <f>IFERROR(IF(compras_mes9[[#This Row],[CUIT]]="","-",VLOOKUP(compras_mes9[[#This Row],[CUIT]],Lista_CUIT[#All],4,0)),"CUIT NO CARGADO")</f>
        <v>0</v>
      </c>
    </row>
    <row r="150" spans="2:18" x14ac:dyDescent="0.3">
      <c r="B150" s="337">
        <v>44898</v>
      </c>
      <c r="C150" s="338">
        <v>1</v>
      </c>
      <c r="D150" s="339">
        <v>711</v>
      </c>
      <c r="E150" s="340">
        <v>3693752</v>
      </c>
      <c r="F150" s="341">
        <v>30677237119</v>
      </c>
      <c r="G150" s="342" t="str">
        <f>IFERROR(IF(compras_mes9[[#This Row],[CUIT]]="","-",VLOOKUP(compras_mes9[[#This Row],[CUIT]],Lista_CUIT[#All],2,0)),"CUIT NO CARGADO")</f>
        <v>AUTOPISTAS DEL SOL S A</v>
      </c>
      <c r="H150" s="343">
        <v>2331.42</v>
      </c>
      <c r="I150" s="344">
        <f>IF(compras_mes9[[#This Row],[NETO GRAVADO]]="","",compras_mes9[[#This Row],[NETO GRAVADO]]*0.21)</f>
        <v>489.59820000000002</v>
      </c>
      <c r="J150" s="344"/>
      <c r="K150" s="344"/>
      <c r="L150" s="344"/>
      <c r="M150" s="344"/>
      <c r="N150" s="344"/>
      <c r="O150" s="344">
        <v>69.94</v>
      </c>
      <c r="P150" s="345">
        <f>SUM(compras_mes9[[#This Row],[NETO GRAVADO]:[Otros / No Grav.]])</f>
        <v>2890.9582</v>
      </c>
      <c r="Q150" s="346" t="str">
        <f>IFERROR(IF(compras_mes9[[#This Row],[CUIT]]="","-",VLOOKUP(compras_mes9[[#This Row],[CUIT]],Lista_CUIT[#All],3,0)),"CUIT NO CARGADO")</f>
        <v>Peaje</v>
      </c>
      <c r="R150" s="346">
        <f>IFERROR(IF(compras_mes9[[#This Row],[CUIT]]="","-",VLOOKUP(compras_mes9[[#This Row],[CUIT]],Lista_CUIT[#All],4,0)),"CUIT NO CARGADO")</f>
        <v>0</v>
      </c>
    </row>
    <row r="151" spans="2:18" x14ac:dyDescent="0.3">
      <c r="B151" s="337">
        <v>44900</v>
      </c>
      <c r="C151" s="338">
        <v>1</v>
      </c>
      <c r="D151" s="339">
        <v>5014</v>
      </c>
      <c r="E151" s="340">
        <v>336245</v>
      </c>
      <c r="F151" s="341">
        <v>30574876474</v>
      </c>
      <c r="G151" s="342" t="str">
        <f>IFERROR(IF(compras_mes9[[#This Row],[CUIT]]="","-",VLOOKUP(compras_mes9[[#This Row],[CUIT]],Lista_CUIT[#All],2,0)),"CUIT NO CARGADO")</f>
        <v>AUTOPISTAS URBANAS S A</v>
      </c>
      <c r="H151" s="343">
        <v>14243.07</v>
      </c>
      <c r="I151" s="344">
        <f>IF(compras_mes9[[#This Row],[NETO GRAVADO]]="","",compras_mes9[[#This Row],[NETO GRAVADO]]*0.21)</f>
        <v>2991.0446999999999</v>
      </c>
      <c r="J151" s="344"/>
      <c r="K151" s="344"/>
      <c r="L151" s="344"/>
      <c r="M151" s="344"/>
      <c r="N151" s="344">
        <v>427.27</v>
      </c>
      <c r="O151" s="344">
        <v>1423.13</v>
      </c>
      <c r="P151" s="345">
        <f>SUM(compras_mes9[[#This Row],[NETO GRAVADO]:[Otros / No Grav.]])</f>
        <v>19084.5147</v>
      </c>
      <c r="Q151" s="346" t="str">
        <f>IFERROR(IF(compras_mes9[[#This Row],[CUIT]]="","-",VLOOKUP(compras_mes9[[#This Row],[CUIT]],Lista_CUIT[#All],3,0)),"CUIT NO CARGADO")</f>
        <v>Peaje</v>
      </c>
      <c r="R151" s="346">
        <f>IFERROR(IF(compras_mes9[[#This Row],[CUIT]]="","-",VLOOKUP(compras_mes9[[#This Row],[CUIT]],Lista_CUIT[#All],4,0)),"CUIT NO CARGADO")</f>
        <v>0</v>
      </c>
    </row>
    <row r="152" spans="2:18" x14ac:dyDescent="0.3">
      <c r="B152" s="337">
        <v>44912</v>
      </c>
      <c r="C152" s="338">
        <v>1</v>
      </c>
      <c r="D152" s="339">
        <v>629</v>
      </c>
      <c r="E152" s="340">
        <v>3788502</v>
      </c>
      <c r="F152" s="341">
        <v>30663498513</v>
      </c>
      <c r="G152" s="342" t="str">
        <f>IFERROR(IF(compras_mes9[[#This Row],[CUIT]]="","-",VLOOKUP(compras_mes9[[#This Row],[CUIT]],Lista_CUIT[#All],2,0)),"CUIT NO CARGADO")</f>
        <v>GRUPO CONCES. DEL OESTE SA</v>
      </c>
      <c r="H152" s="343">
        <v>1571.9</v>
      </c>
      <c r="I152" s="344">
        <f>IF(compras_mes9[[#This Row],[NETO GRAVADO]]="","",compras_mes9[[#This Row],[NETO GRAVADO]]*0.21)</f>
        <v>330.09899999999999</v>
      </c>
      <c r="J152" s="344"/>
      <c r="K152" s="344"/>
      <c r="L152" s="344"/>
      <c r="M152" s="344"/>
      <c r="N152" s="344"/>
      <c r="O152" s="344"/>
      <c r="P152" s="345">
        <f>SUM(compras_mes9[[#This Row],[NETO GRAVADO]:[Otros / No Grav.]])</f>
        <v>1901.999</v>
      </c>
      <c r="Q152" s="346" t="str">
        <f>IFERROR(IF(compras_mes9[[#This Row],[CUIT]]="","-",VLOOKUP(compras_mes9[[#This Row],[CUIT]],Lista_CUIT[#All],3,0)),"CUIT NO CARGADO")</f>
        <v>Peaje</v>
      </c>
      <c r="R152" s="346">
        <f>IFERROR(IF(compras_mes9[[#This Row],[CUIT]]="","-",VLOOKUP(compras_mes9[[#This Row],[CUIT]],Lista_CUIT[#All],4,0)),"CUIT NO CARGADO")</f>
        <v>0</v>
      </c>
    </row>
    <row r="153" spans="2:18" x14ac:dyDescent="0.3">
      <c r="B153" s="337">
        <v>44912</v>
      </c>
      <c r="C153" s="338">
        <v>1</v>
      </c>
      <c r="D153" s="339">
        <v>711</v>
      </c>
      <c r="E153" s="340">
        <v>3750029</v>
      </c>
      <c r="F153" s="341">
        <v>30677237119</v>
      </c>
      <c r="G153" s="342" t="str">
        <f>IFERROR(IF(compras_mes9[[#This Row],[CUIT]]="","-",VLOOKUP(compras_mes9[[#This Row],[CUIT]],Lista_CUIT[#All],2,0)),"CUIT NO CARGADO")</f>
        <v>AUTOPISTAS DEL SOL S A</v>
      </c>
      <c r="H153" s="343">
        <v>2278.12</v>
      </c>
      <c r="I153" s="344">
        <f>IF(compras_mes9[[#This Row],[NETO GRAVADO]]="","",compras_mes9[[#This Row],[NETO GRAVADO]]*0.21)</f>
        <v>478.40519999999998</v>
      </c>
      <c r="J153" s="344"/>
      <c r="K153" s="344"/>
      <c r="L153" s="344"/>
      <c r="M153" s="344"/>
      <c r="N153" s="344"/>
      <c r="O153" s="344">
        <v>68.34</v>
      </c>
      <c r="P153" s="345">
        <f>SUM(compras_mes9[[#This Row],[NETO GRAVADO]:[Otros / No Grav.]])</f>
        <v>2824.8652000000002</v>
      </c>
      <c r="Q153" s="346" t="str">
        <f>IFERROR(IF(compras_mes9[[#This Row],[CUIT]]="","-",VLOOKUP(compras_mes9[[#This Row],[CUIT]],Lista_CUIT[#All],3,0)),"CUIT NO CARGADO")</f>
        <v>Peaje</v>
      </c>
      <c r="R153" s="346">
        <f>IFERROR(IF(compras_mes9[[#This Row],[CUIT]]="","-",VLOOKUP(compras_mes9[[#This Row],[CUIT]],Lista_CUIT[#All],4,0)),"CUIT NO CARGADO")</f>
        <v>0</v>
      </c>
    </row>
    <row r="154" spans="2:18" x14ac:dyDescent="0.3">
      <c r="B154" s="337">
        <v>44914</v>
      </c>
      <c r="C154" s="338">
        <v>1</v>
      </c>
      <c r="D154" s="339">
        <v>5014</v>
      </c>
      <c r="E154" s="340">
        <v>344064</v>
      </c>
      <c r="F154" s="341">
        <v>30574876474</v>
      </c>
      <c r="G154" s="342" t="str">
        <f>IFERROR(IF(compras_mes9[[#This Row],[CUIT]]="","-",VLOOKUP(compras_mes9[[#This Row],[CUIT]],Lista_CUIT[#All],2,0)),"CUIT NO CARGADO")</f>
        <v>AUTOPISTAS URBANAS S A</v>
      </c>
      <c r="H154" s="343">
        <v>12093.05</v>
      </c>
      <c r="I154" s="344">
        <f>IF(compras_mes9[[#This Row],[NETO GRAVADO]]="","",compras_mes9[[#This Row],[NETO GRAVADO]]*0.21)</f>
        <v>2539.5404999999996</v>
      </c>
      <c r="J154" s="344"/>
      <c r="K154" s="344"/>
      <c r="L154" s="344"/>
      <c r="M154" s="344">
        <v>362.77</v>
      </c>
      <c r="N154" s="344"/>
      <c r="O154" s="344">
        <v>1208.1400000000001</v>
      </c>
      <c r="P154" s="345">
        <f>SUM(compras_mes9[[#This Row],[NETO GRAVADO]:[Otros / No Grav.]])</f>
        <v>16203.500499999998</v>
      </c>
      <c r="Q154" s="346" t="str">
        <f>IFERROR(IF(compras_mes9[[#This Row],[CUIT]]="","-",VLOOKUP(compras_mes9[[#This Row],[CUIT]],Lista_CUIT[#All],3,0)),"CUIT NO CARGADO")</f>
        <v>Peaje</v>
      </c>
      <c r="R154" s="346">
        <f>IFERROR(IF(compras_mes9[[#This Row],[CUIT]]="","-",VLOOKUP(compras_mes9[[#This Row],[CUIT]],Lista_CUIT[#All],4,0)),"CUIT NO CARGADO")</f>
        <v>0</v>
      </c>
    </row>
    <row r="155" spans="2:18" x14ac:dyDescent="0.3">
      <c r="B155" s="337">
        <v>44923</v>
      </c>
      <c r="C155" s="338">
        <v>1</v>
      </c>
      <c r="D155" s="339">
        <v>700</v>
      </c>
      <c r="E155" s="340">
        <v>757454</v>
      </c>
      <c r="F155" s="341">
        <v>30715804812</v>
      </c>
      <c r="G155" s="342" t="str">
        <f>IFERROR(IF(compras_mes9[[#This Row],[CUIT]]="","-",VLOOKUP(compras_mes9[[#This Row],[CUIT]],Lista_CUIT[#All],2,0)),"CUIT NO CARGADO")</f>
        <v>CORREDORES VIALES SOCIEDAD ANONIMA</v>
      </c>
      <c r="H155" s="343">
        <v>1140.49</v>
      </c>
      <c r="I155" s="344">
        <f>IF(compras_mes9[[#This Row],[NETO GRAVADO]]="","",compras_mes9[[#This Row],[NETO GRAVADO]]*0.21)</f>
        <v>239.50289999999998</v>
      </c>
      <c r="J155" s="344"/>
      <c r="K155" s="344"/>
      <c r="L155" s="344"/>
      <c r="M155" s="344"/>
      <c r="N155" s="344"/>
      <c r="O155" s="344"/>
      <c r="P155" s="345">
        <f>SUM(compras_mes9[[#This Row],[NETO GRAVADO]:[Otros / No Grav.]])</f>
        <v>1379.9929</v>
      </c>
      <c r="Q155" s="346" t="str">
        <f>IFERROR(IF(compras_mes9[[#This Row],[CUIT]]="","-",VLOOKUP(compras_mes9[[#This Row],[CUIT]],Lista_CUIT[#All],3,0)),"CUIT NO CARGADO")</f>
        <v>Peaje</v>
      </c>
      <c r="R155" s="346">
        <f>IFERROR(IF(compras_mes9[[#This Row],[CUIT]]="","-",VLOOKUP(compras_mes9[[#This Row],[CUIT]],Lista_CUIT[#All],4,0)),"CUIT NO CARGADO")</f>
        <v>0</v>
      </c>
    </row>
    <row r="156" spans="2:18" x14ac:dyDescent="0.3">
      <c r="B156" s="337">
        <v>44924</v>
      </c>
      <c r="C156" s="338">
        <v>1</v>
      </c>
      <c r="D156" s="339">
        <v>2002</v>
      </c>
      <c r="E156" s="340">
        <v>35122</v>
      </c>
      <c r="F156" s="341">
        <v>30716425165</v>
      </c>
      <c r="G156" s="342" t="str">
        <f>IFERROR(IF(compras_mes9[[#This Row],[CUIT]]="","-",VLOOKUP(compras_mes9[[#This Row],[CUIT]],Lista_CUIT[#All],2,0)),"CUIT NO CARGADO")</f>
        <v>MERCADO TOTAL SAS</v>
      </c>
      <c r="H156" s="343">
        <v>45483.47</v>
      </c>
      <c r="I156" s="344">
        <f>IF(compras_mes9[[#This Row],[NETO GRAVADO]]="","",compras_mes9[[#This Row],[NETO GRAVADO]]*0.21)</f>
        <v>9551.5287000000008</v>
      </c>
      <c r="J156" s="344"/>
      <c r="K156" s="344"/>
      <c r="L156" s="344"/>
      <c r="M156" s="344"/>
      <c r="N156" s="344"/>
      <c r="O156" s="344"/>
      <c r="P156" s="345">
        <f>SUM(compras_mes9[[#This Row],[NETO GRAVADO]:[Otros / No Grav.]])</f>
        <v>55034.998700000004</v>
      </c>
      <c r="Q156" s="346" t="str">
        <f>IFERROR(IF(compras_mes9[[#This Row],[CUIT]]="","-",VLOOKUP(compras_mes9[[#This Row],[CUIT]],Lista_CUIT[#All],3,0)),"CUIT NO CARGADO")</f>
        <v>Servicios Informatica</v>
      </c>
      <c r="R156" s="346">
        <f>IFERROR(IF(compras_mes9[[#This Row],[CUIT]]="","-",VLOOKUP(compras_mes9[[#This Row],[CUIT]],Lista_CUIT[#All],4,0)),"CUIT NO CARGADO")</f>
        <v>0</v>
      </c>
    </row>
    <row r="157" spans="2:18" x14ac:dyDescent="0.3">
      <c r="B157" s="337">
        <v>44898</v>
      </c>
      <c r="C157" s="338">
        <v>1</v>
      </c>
      <c r="D157" s="339">
        <v>943</v>
      </c>
      <c r="E157" s="340">
        <v>1285842</v>
      </c>
      <c r="F157" s="341">
        <v>30639453975</v>
      </c>
      <c r="G157" s="342" t="str">
        <f>IFERROR(IF(compras_mes9[[#This Row],[CUIT]]="","-",VLOOKUP(compras_mes9[[#This Row],[CUIT]],Lista_CUIT[#All],2,0)),"CUIT NO CARGADO")</f>
        <v>TELEFONICA DE ARG S.A.</v>
      </c>
      <c r="H157" s="343">
        <v>14722.55</v>
      </c>
      <c r="I157" s="344">
        <v>3975.09</v>
      </c>
      <c r="J157" s="344"/>
      <c r="K157" s="344"/>
      <c r="L157" s="344">
        <v>441.68</v>
      </c>
      <c r="M157" s="344"/>
      <c r="N157" s="344">
        <v>883.35</v>
      </c>
      <c r="O157" s="344"/>
      <c r="P157" s="345">
        <f>SUM(compras_mes9[[#This Row],[NETO GRAVADO]:[Otros / No Grav.]])</f>
        <v>20022.669999999998</v>
      </c>
      <c r="Q157" s="346" t="str">
        <f>IFERROR(IF(compras_mes9[[#This Row],[CUIT]]="","-",VLOOKUP(compras_mes9[[#This Row],[CUIT]],Lista_CUIT[#All],3,0)),"CUIT NO CARGADO")</f>
        <v>Servicios Gas, Luz, etc.</v>
      </c>
      <c r="R157" s="346">
        <f>IFERROR(IF(compras_mes9[[#This Row],[CUIT]]="","-",VLOOKUP(compras_mes9[[#This Row],[CUIT]],Lista_CUIT[#All],4,0)),"CUIT NO CARGADO")</f>
        <v>0</v>
      </c>
    </row>
    <row r="158" spans="2:18" x14ac:dyDescent="0.3">
      <c r="B158" s="337">
        <v>44900</v>
      </c>
      <c r="C158" s="338">
        <v>1</v>
      </c>
      <c r="D158" s="339">
        <v>63</v>
      </c>
      <c r="E158" s="340">
        <v>2186171</v>
      </c>
      <c r="F158" s="341">
        <v>30640897267</v>
      </c>
      <c r="G158" s="342" t="str">
        <f>IFERROR(IF(compras_mes9[[#This Row],[CUIT]]="","-",VLOOKUP(compras_mes9[[#This Row],[CUIT]],Lista_CUIT[#All],2,0)),"CUIT NO CARGADO")</f>
        <v>TELECENTRO S.A.</v>
      </c>
      <c r="H158" s="343">
        <v>6714.34</v>
      </c>
      <c r="I158" s="344">
        <f>IF(compras_mes9[[#This Row],[NETO GRAVADO]]="","",compras_mes9[[#This Row],[NETO GRAVADO]]*0.21)</f>
        <v>1410.0113999999999</v>
      </c>
      <c r="J158" s="344"/>
      <c r="K158" s="344"/>
      <c r="L158" s="344">
        <v>201.43</v>
      </c>
      <c r="M158" s="344"/>
      <c r="N158" s="344">
        <v>402.86</v>
      </c>
      <c r="O158" s="344"/>
      <c r="P158" s="345">
        <f>SUM(compras_mes9[[#This Row],[NETO GRAVADO]:[Otros / No Grav.]])</f>
        <v>8728.6414000000004</v>
      </c>
      <c r="Q158" s="346" t="str">
        <f>IFERROR(IF(compras_mes9[[#This Row],[CUIT]]="","-",VLOOKUP(compras_mes9[[#This Row],[CUIT]],Lista_CUIT[#All],3,0)),"CUIT NO CARGADO")</f>
        <v>Servicios Gas, Luz, etc.</v>
      </c>
      <c r="R158" s="346">
        <f>IFERROR(IF(compras_mes9[[#This Row],[CUIT]]="","-",VLOOKUP(compras_mes9[[#This Row],[CUIT]],Lista_CUIT[#All],4,0)),"CUIT NO CARGADO")</f>
        <v>0</v>
      </c>
    </row>
    <row r="159" spans="2:18" x14ac:dyDescent="0.3">
      <c r="B159" s="337">
        <v>44900</v>
      </c>
      <c r="C159" s="338">
        <v>1</v>
      </c>
      <c r="D159" s="339">
        <v>63</v>
      </c>
      <c r="E159" s="340">
        <v>2186812</v>
      </c>
      <c r="F159" s="341">
        <v>30640897267</v>
      </c>
      <c r="G159" s="342" t="str">
        <f>IFERROR(IF(compras_mes9[[#This Row],[CUIT]]="","-",VLOOKUP(compras_mes9[[#This Row],[CUIT]],Lista_CUIT[#All],2,0)),"CUIT NO CARGADO")</f>
        <v>TELECENTRO S.A.</v>
      </c>
      <c r="H159" s="343">
        <v>6714.34</v>
      </c>
      <c r="I159" s="344">
        <f>IF(compras_mes9[[#This Row],[NETO GRAVADO]]="","",compras_mes9[[#This Row],[NETO GRAVADO]]*0.21)</f>
        <v>1410.0113999999999</v>
      </c>
      <c r="J159" s="344"/>
      <c r="K159" s="344"/>
      <c r="L159" s="344">
        <v>201.43</v>
      </c>
      <c r="M159" s="344"/>
      <c r="N159" s="344">
        <v>402.86</v>
      </c>
      <c r="O159" s="344"/>
      <c r="P159" s="345">
        <f>SUM(compras_mes9[[#This Row],[NETO GRAVADO]:[Otros / No Grav.]])</f>
        <v>8728.6414000000004</v>
      </c>
      <c r="Q159" s="346" t="str">
        <f>IFERROR(IF(compras_mes9[[#This Row],[CUIT]]="","-",VLOOKUP(compras_mes9[[#This Row],[CUIT]],Lista_CUIT[#All],3,0)),"CUIT NO CARGADO")</f>
        <v>Servicios Gas, Luz, etc.</v>
      </c>
      <c r="R159" s="346">
        <f>IFERROR(IF(compras_mes9[[#This Row],[CUIT]]="","-",VLOOKUP(compras_mes9[[#This Row],[CUIT]],Lista_CUIT[#All],4,0)),"CUIT NO CARGADO")</f>
        <v>0</v>
      </c>
    </row>
    <row r="160" spans="2:18" x14ac:dyDescent="0.3">
      <c r="B160" s="337">
        <v>44904</v>
      </c>
      <c r="C160" s="338">
        <v>1</v>
      </c>
      <c r="D160" s="339">
        <v>948</v>
      </c>
      <c r="E160" s="340">
        <v>829024</v>
      </c>
      <c r="F160" s="341">
        <v>30639453975</v>
      </c>
      <c r="G160" s="342" t="str">
        <f>IFERROR(IF(compras_mes9[[#This Row],[CUIT]]="","-",VLOOKUP(compras_mes9[[#This Row],[CUIT]],Lista_CUIT[#All],2,0)),"CUIT NO CARGADO")</f>
        <v>TELEFONICA DE ARG S.A.</v>
      </c>
      <c r="H160" s="343">
        <v>4256.13</v>
      </c>
      <c r="I160" s="344">
        <v>1149.1600000000001</v>
      </c>
      <c r="J160" s="344"/>
      <c r="K160" s="344"/>
      <c r="L160" s="344">
        <v>127.68</v>
      </c>
      <c r="M160" s="344"/>
      <c r="N160" s="344">
        <v>255.37</v>
      </c>
      <c r="O160" s="344"/>
      <c r="P160" s="345">
        <f>SUM(compras_mes9[[#This Row],[NETO GRAVADO]:[Otros / No Grav.]])</f>
        <v>5788.34</v>
      </c>
      <c r="Q160" s="346" t="str">
        <f>IFERROR(IF(compras_mes9[[#This Row],[CUIT]]="","-",VLOOKUP(compras_mes9[[#This Row],[CUIT]],Lista_CUIT[#All],3,0)),"CUIT NO CARGADO")</f>
        <v>Servicios Gas, Luz, etc.</v>
      </c>
      <c r="R160" s="346">
        <f>IFERROR(IF(compras_mes9[[#This Row],[CUIT]]="","-",VLOOKUP(compras_mes9[[#This Row],[CUIT]],Lista_CUIT[#All],4,0)),"CUIT NO CARGADO")</f>
        <v>0</v>
      </c>
    </row>
    <row r="161" spans="2:18" x14ac:dyDescent="0.3">
      <c r="B161" s="337">
        <v>44905</v>
      </c>
      <c r="C161" s="338">
        <v>1</v>
      </c>
      <c r="D161" s="339">
        <v>6364</v>
      </c>
      <c r="E161" s="340">
        <v>7059386</v>
      </c>
      <c r="F161" s="341">
        <v>30639453738</v>
      </c>
      <c r="G161" s="342" t="str">
        <f>IFERROR(IF(compras_mes9[[#This Row],[CUIT]]="","-",VLOOKUP(compras_mes9[[#This Row],[CUIT]],Lista_CUIT[#All],2,0)),"CUIT NO CARGADO")</f>
        <v>TELECOM ARG SA</v>
      </c>
      <c r="H161" s="343">
        <v>67384.759999999995</v>
      </c>
      <c r="I161" s="344">
        <v>13757.15</v>
      </c>
      <c r="J161" s="344">
        <v>506.12</v>
      </c>
      <c r="K161" s="344"/>
      <c r="L161" s="344"/>
      <c r="M161" s="344">
        <v>2021.54</v>
      </c>
      <c r="N161" s="344">
        <v>3780.24</v>
      </c>
      <c r="O161" s="344">
        <v>102.43</v>
      </c>
      <c r="P161" s="345">
        <f>SUM(compras_mes9[[#This Row],[NETO GRAVADO]:[Otros / No Grav.]])</f>
        <v>87552.239999999976</v>
      </c>
      <c r="Q161" s="346" t="str">
        <f>IFERROR(IF(compras_mes9[[#This Row],[CUIT]]="","-",VLOOKUP(compras_mes9[[#This Row],[CUIT]],Lista_CUIT[#All],3,0)),"CUIT NO CARGADO")</f>
        <v>Servicios Gas, Luz, etc.</v>
      </c>
      <c r="R161" s="346">
        <f>IFERROR(IF(compras_mes9[[#This Row],[CUIT]]="","-",VLOOKUP(compras_mes9[[#This Row],[CUIT]],Lista_CUIT[#All],4,0)),"CUIT NO CARGADO")</f>
        <v>0</v>
      </c>
    </row>
    <row r="162" spans="2:18" x14ac:dyDescent="0.3">
      <c r="B162" s="337">
        <v>44912</v>
      </c>
      <c r="C162" s="338">
        <v>1</v>
      </c>
      <c r="D162" s="339">
        <v>4264</v>
      </c>
      <c r="E162" s="340">
        <v>981668</v>
      </c>
      <c r="F162" s="341">
        <v>30639453738</v>
      </c>
      <c r="G162" s="342" t="str">
        <f>IFERROR(IF(compras_mes9[[#This Row],[CUIT]]="","-",VLOOKUP(compras_mes9[[#This Row],[CUIT]],Lista_CUIT[#All],2,0)),"CUIT NO CARGADO")</f>
        <v>TELECOM ARG SA</v>
      </c>
      <c r="H162" s="343">
        <v>16500</v>
      </c>
      <c r="I162" s="344">
        <f>IF(compras_mes9[[#This Row],[NETO GRAVADO]]="","",compras_mes9[[#This Row],[NETO GRAVADO]]*0.21)</f>
        <v>3465</v>
      </c>
      <c r="J162" s="344"/>
      <c r="K162" s="344"/>
      <c r="L162" s="344"/>
      <c r="M162" s="344"/>
      <c r="N162" s="344">
        <v>1485</v>
      </c>
      <c r="O162" s="344"/>
      <c r="P162" s="345">
        <f>SUM(compras_mes9[[#This Row],[NETO GRAVADO]:[Otros / No Grav.]])</f>
        <v>21450</v>
      </c>
      <c r="Q162" s="346" t="str">
        <f>IFERROR(IF(compras_mes9[[#This Row],[CUIT]]="","-",VLOOKUP(compras_mes9[[#This Row],[CUIT]],Lista_CUIT[#All],3,0)),"CUIT NO CARGADO")</f>
        <v>Servicios Gas, Luz, etc.</v>
      </c>
      <c r="R162" s="346">
        <f>IFERROR(IF(compras_mes9[[#This Row],[CUIT]]="","-",VLOOKUP(compras_mes9[[#This Row],[CUIT]],Lista_CUIT[#All],4,0)),"CUIT NO CARGADO")</f>
        <v>0</v>
      </c>
    </row>
    <row r="163" spans="2:18" x14ac:dyDescent="0.3">
      <c r="B163" s="337">
        <v>44912</v>
      </c>
      <c r="C163" s="338">
        <v>1</v>
      </c>
      <c r="D163" s="339">
        <v>4264</v>
      </c>
      <c r="E163" s="340">
        <v>941812</v>
      </c>
      <c r="F163" s="341">
        <v>30639453738</v>
      </c>
      <c r="G163" s="342" t="str">
        <f>IFERROR(IF(compras_mes9[[#This Row],[CUIT]]="","-",VLOOKUP(compras_mes9[[#This Row],[CUIT]],Lista_CUIT[#All],2,0)),"CUIT NO CARGADO")</f>
        <v>TELECOM ARG SA</v>
      </c>
      <c r="H163" s="343">
        <v>7850</v>
      </c>
      <c r="I163" s="344">
        <f>IF(compras_mes9[[#This Row],[NETO GRAVADO]]="","",compras_mes9[[#This Row],[NETO GRAVADO]]*0.21)</f>
        <v>1648.5</v>
      </c>
      <c r="J163" s="344"/>
      <c r="K163" s="344"/>
      <c r="L163" s="344"/>
      <c r="M163" s="344"/>
      <c r="N163" s="344">
        <v>235.5</v>
      </c>
      <c r="O163" s="344"/>
      <c r="P163" s="345">
        <f>SUM(compras_mes9[[#This Row],[NETO GRAVADO]:[Otros / No Grav.]])</f>
        <v>9734</v>
      </c>
      <c r="Q163" s="346" t="str">
        <f>IFERROR(IF(compras_mes9[[#This Row],[CUIT]]="","-",VLOOKUP(compras_mes9[[#This Row],[CUIT]],Lista_CUIT[#All],3,0)),"CUIT NO CARGADO")</f>
        <v>Servicios Gas, Luz, etc.</v>
      </c>
      <c r="R163" s="346">
        <f>IFERROR(IF(compras_mes9[[#This Row],[CUIT]]="","-",VLOOKUP(compras_mes9[[#This Row],[CUIT]],Lista_CUIT[#All],4,0)),"CUIT NO CARGADO")</f>
        <v>0</v>
      </c>
    </row>
    <row r="164" spans="2:18" x14ac:dyDescent="0.3">
      <c r="B164" s="337">
        <v>44912</v>
      </c>
      <c r="C164" s="338">
        <v>1</v>
      </c>
      <c r="D164" s="339">
        <v>4264</v>
      </c>
      <c r="E164" s="340">
        <v>935743</v>
      </c>
      <c r="F164" s="341">
        <v>30639453738</v>
      </c>
      <c r="G164" s="342" t="str">
        <f>IFERROR(IF(compras_mes9[[#This Row],[CUIT]]="","-",VLOOKUP(compras_mes9[[#This Row],[CUIT]],Lista_CUIT[#All],2,0)),"CUIT NO CARGADO")</f>
        <v>TELECOM ARG SA</v>
      </c>
      <c r="H164" s="343">
        <v>10500</v>
      </c>
      <c r="I164" s="344">
        <f>IF(compras_mes9[[#This Row],[NETO GRAVADO]]="","",compras_mes9[[#This Row],[NETO GRAVADO]]*0.21)</f>
        <v>2205</v>
      </c>
      <c r="J164" s="344"/>
      <c r="K164" s="344"/>
      <c r="L164" s="344"/>
      <c r="M164" s="344"/>
      <c r="N164" s="344">
        <v>945</v>
      </c>
      <c r="O164" s="344"/>
      <c r="P164" s="345">
        <f>SUM(compras_mes9[[#This Row],[NETO GRAVADO]:[Otros / No Grav.]])</f>
        <v>13650</v>
      </c>
      <c r="Q164" s="346" t="str">
        <f>IFERROR(IF(compras_mes9[[#This Row],[CUIT]]="","-",VLOOKUP(compras_mes9[[#This Row],[CUIT]],Lista_CUIT[#All],3,0)),"CUIT NO CARGADO")</f>
        <v>Servicios Gas, Luz, etc.</v>
      </c>
      <c r="R164" s="346">
        <f>IFERROR(IF(compras_mes9[[#This Row],[CUIT]]="","-",VLOOKUP(compras_mes9[[#This Row],[CUIT]],Lista_CUIT[#All],4,0)),"CUIT NO CARGADO")</f>
        <v>0</v>
      </c>
    </row>
    <row r="165" spans="2:18" x14ac:dyDescent="0.3">
      <c r="B165" s="337">
        <v>44916</v>
      </c>
      <c r="C165" s="338">
        <v>1</v>
      </c>
      <c r="D165" s="339">
        <v>5</v>
      </c>
      <c r="E165" s="340">
        <v>2668694</v>
      </c>
      <c r="F165" s="341">
        <v>30702652975</v>
      </c>
      <c r="G165" s="342" t="str">
        <f>IFERROR(IF(compras_mes9[[#This Row],[CUIT]]="","-",VLOOKUP(compras_mes9[[#This Row],[CUIT]],Lista_CUIT[#All],2,0)),"CUIT NO CARGADO")</f>
        <v>NSS SA</v>
      </c>
      <c r="H165" s="343">
        <v>5037.88</v>
      </c>
      <c r="I165" s="344">
        <f>IF(compras_mes9[[#This Row],[NETO GRAVADO]]="","",compras_mes9[[#This Row],[NETO GRAVADO]]*0.21)</f>
        <v>1057.9548</v>
      </c>
      <c r="J165" s="344"/>
      <c r="K165" s="344"/>
      <c r="L165" s="344"/>
      <c r="M165" s="344"/>
      <c r="N165" s="344">
        <v>302.27</v>
      </c>
      <c r="O165" s="344"/>
      <c r="P165" s="345">
        <f>SUM(compras_mes9[[#This Row],[NETO GRAVADO]:[Otros / No Grav.]])</f>
        <v>6398.104800000001</v>
      </c>
      <c r="Q165" s="346" t="str">
        <f>IFERROR(IF(compras_mes9[[#This Row],[CUIT]]="","-",VLOOKUP(compras_mes9[[#This Row],[CUIT]],Lista_CUIT[#All],3,0)),"CUIT NO CARGADO")</f>
        <v>Servicios Gas, Luz, etc.</v>
      </c>
      <c r="R165" s="346">
        <f>IFERROR(IF(compras_mes9[[#This Row],[CUIT]]="","-",VLOOKUP(compras_mes9[[#This Row],[CUIT]],Lista_CUIT[#All],4,0)),"CUIT NO CARGADO")</f>
        <v>0</v>
      </c>
    </row>
    <row r="166" spans="2:18" x14ac:dyDescent="0.3">
      <c r="B166" s="337">
        <v>44901</v>
      </c>
      <c r="C166" s="338">
        <v>1</v>
      </c>
      <c r="D166" s="339">
        <v>2</v>
      </c>
      <c r="E166" s="340">
        <v>32924</v>
      </c>
      <c r="F166" s="341">
        <v>33714232199</v>
      </c>
      <c r="G166" s="342" t="str">
        <f>IFERROR(IF(compras_mes9[[#This Row],[CUIT]]="","-",VLOOKUP(compras_mes9[[#This Row],[CUIT]],Lista_CUIT[#All],2,0)),"CUIT NO CARGADO")</f>
        <v>NUAGE SYSTEMS S.A</v>
      </c>
      <c r="H166" s="343">
        <v>25725</v>
      </c>
      <c r="I166" s="344">
        <f>IF(compras_mes9[[#This Row],[NETO GRAVADO]]="","",compras_mes9[[#This Row],[NETO GRAVADO]]*0.21)</f>
        <v>5402.25</v>
      </c>
      <c r="J166" s="344"/>
      <c r="K166" s="344"/>
      <c r="L166" s="344"/>
      <c r="M166" s="344"/>
      <c r="N166" s="344"/>
      <c r="O166" s="344"/>
      <c r="P166" s="345">
        <f>SUM(compras_mes9[[#This Row],[NETO GRAVADO]:[Otros / No Grav.]])</f>
        <v>31127.25</v>
      </c>
      <c r="Q166" s="346" t="str">
        <f>IFERROR(IF(compras_mes9[[#This Row],[CUIT]]="","-",VLOOKUP(compras_mes9[[#This Row],[CUIT]],Lista_CUIT[#All],3,0)),"CUIT NO CARGADO")</f>
        <v>Servicios Informatica</v>
      </c>
      <c r="R166" s="346">
        <f>IFERROR(IF(compras_mes9[[#This Row],[CUIT]]="","-",VLOOKUP(compras_mes9[[#This Row],[CUIT]],Lista_CUIT[#All],4,0)),"CUIT NO CARGADO")</f>
        <v>0</v>
      </c>
    </row>
    <row r="167" spans="2:18" s="52" customFormat="1" ht="18.600000000000001" customHeight="1" x14ac:dyDescent="0.3">
      <c r="B167" s="337">
        <v>44904</v>
      </c>
      <c r="C167" s="338">
        <v>1</v>
      </c>
      <c r="D167" s="339">
        <v>1</v>
      </c>
      <c r="E167" s="340">
        <v>70747</v>
      </c>
      <c r="F167" s="341">
        <v>30714867349</v>
      </c>
      <c r="G167" s="342" t="str">
        <f>IFERROR(IF(compras_mes9[[#This Row],[CUIT]]="","-",VLOOKUP(compras_mes9[[#This Row],[CUIT]],Lista_CUIT[#All],2,0)),"CUIT NO CARGADO")</f>
        <v>VTV SUD S.A.</v>
      </c>
      <c r="H167" s="343">
        <v>2958.02</v>
      </c>
      <c r="I167" s="344">
        <f>IF(compras_mes9[[#This Row],[NETO GRAVADO]]="","",compras_mes9[[#This Row],[NETO GRAVADO]]*0.21)</f>
        <v>621.18419999999992</v>
      </c>
      <c r="J167" s="344"/>
      <c r="K167" s="344"/>
      <c r="L167" s="344"/>
      <c r="M167" s="344"/>
      <c r="N167" s="344"/>
      <c r="O167" s="344"/>
      <c r="P167" s="345">
        <f>SUM(compras_mes9[[#This Row],[NETO GRAVADO]:[Otros / No Grav.]])</f>
        <v>3579.2042000000001</v>
      </c>
      <c r="Q167" s="346" t="str">
        <f>IFERROR(IF(compras_mes9[[#This Row],[CUIT]]="","-",VLOOKUP(compras_mes9[[#This Row],[CUIT]],Lista_CUIT[#All],3,0)),"CUIT NO CARGADO")</f>
        <v>Mantenimiento Auto</v>
      </c>
      <c r="R167" s="346">
        <f>IFERROR(IF(compras_mes9[[#This Row],[CUIT]]="","-",VLOOKUP(compras_mes9[[#This Row],[CUIT]],Lista_CUIT[#All],4,0)),"CUIT NO CARGADO")</f>
        <v>0</v>
      </c>
    </row>
    <row r="168" spans="2:18" x14ac:dyDescent="0.3">
      <c r="B168" s="92" t="s">
        <v>83</v>
      </c>
      <c r="C168" s="92"/>
      <c r="D168" s="92"/>
      <c r="E168" s="92"/>
      <c r="F168" s="92"/>
      <c r="G168" s="93"/>
      <c r="H168" s="94">
        <f>SUBTOTAL(109,compras_mes9[NETO GRAVADO])</f>
        <v>14243887.320000006</v>
      </c>
      <c r="I168" s="94">
        <f>SUBTOTAL(109,compras_mes9[IVA 21 %])</f>
        <v>2982315.6264999998</v>
      </c>
      <c r="J168" s="94">
        <f>SUBTOTAL(109,compras_mes9[IVA 27%])</f>
        <v>506.12</v>
      </c>
      <c r="K168" s="94">
        <f>SUBTOTAL(109,compras_mes9[IVA 10,5%])</f>
        <v>4822.8766500000002</v>
      </c>
      <c r="L168" s="94">
        <f>SUBTOTAL(109,compras_mes9[PERC. IVA])</f>
        <v>23680.23</v>
      </c>
      <c r="M168" s="94">
        <f>SUBTOTAL(109,compras_mes9[PERC IIBB 
BS AS])</f>
        <v>3986.36</v>
      </c>
      <c r="N168" s="94">
        <f>SUBTOTAL(109,compras_mes9[PERC. IIBB CABA])</f>
        <v>26475.000000000004</v>
      </c>
      <c r="O168" s="94">
        <f>SUBTOTAL(109,compras_mes9[Otros / No Grav.])</f>
        <v>23842.22</v>
      </c>
      <c r="P168" s="94">
        <f>SUBTOTAL(109,compras_mes9[TOTAL])</f>
        <v>17309515.753150001</v>
      </c>
      <c r="Q168" s="92"/>
      <c r="R168" s="92"/>
    </row>
    <row r="169" spans="2:18" x14ac:dyDescent="0.3">
      <c r="B169" s="36"/>
      <c r="C169" s="37"/>
      <c r="D169" s="38"/>
      <c r="E169" s="39"/>
      <c r="F169" s="40"/>
      <c r="G169" s="41"/>
      <c r="H169" s="42"/>
      <c r="I169" s="43"/>
      <c r="J169" s="43"/>
      <c r="K169" s="43"/>
      <c r="L169" s="43"/>
      <c r="M169" s="43"/>
      <c r="N169" s="43"/>
      <c r="O169" s="43"/>
      <c r="P169" s="44"/>
      <c r="Q169" s="45"/>
      <c r="R169" s="45"/>
    </row>
    <row r="170" spans="2:18" x14ac:dyDescent="0.3">
      <c r="B170" s="36"/>
      <c r="C170" s="37"/>
      <c r="D170" s="38"/>
      <c r="E170" s="39"/>
      <c r="F170" s="40"/>
      <c r="G170" s="41"/>
      <c r="H170" s="42"/>
      <c r="I170" s="43"/>
      <c r="J170" s="43"/>
      <c r="K170" s="43"/>
      <c r="L170" s="43"/>
      <c r="M170" s="43"/>
      <c r="N170" s="43"/>
      <c r="O170" s="43"/>
      <c r="P170" s="44"/>
      <c r="Q170" s="45"/>
      <c r="R170" s="45"/>
    </row>
    <row r="171" spans="2:18" ht="14.4" customHeight="1" x14ac:dyDescent="0.3">
      <c r="B171" s="36"/>
      <c r="C171" s="37"/>
      <c r="D171" s="38"/>
      <c r="E171" s="39"/>
      <c r="F171" s="40"/>
      <c r="G171" s="41"/>
      <c r="H171" s="42"/>
      <c r="I171" s="43"/>
      <c r="J171" s="43"/>
      <c r="K171" s="43"/>
      <c r="L171" s="43"/>
      <c r="M171" s="43"/>
      <c r="N171" s="43"/>
      <c r="O171" s="43"/>
      <c r="P171" s="44"/>
      <c r="Q171" s="45"/>
      <c r="R171" s="45"/>
    </row>
    <row r="172" spans="2:18" ht="22.95" customHeight="1" x14ac:dyDescent="0.3">
      <c r="B172" s="36"/>
      <c r="C172" s="37"/>
      <c r="D172" s="38"/>
      <c r="E172" s="39"/>
      <c r="F172" s="40"/>
      <c r="G172" s="41"/>
      <c r="H172" s="42"/>
      <c r="I172" s="43"/>
      <c r="J172" s="43"/>
      <c r="K172" s="43"/>
      <c r="L172" s="43"/>
    </row>
    <row r="173" spans="2:18" ht="25.95" customHeight="1" x14ac:dyDescent="0.3">
      <c r="D173" s="441" t="s">
        <v>15</v>
      </c>
      <c r="E173" s="441"/>
      <c r="F173" s="441"/>
      <c r="G173" s="441"/>
      <c r="H173" s="441"/>
      <c r="I173" s="441"/>
      <c r="J173" s="441"/>
      <c r="K173" s="441"/>
      <c r="L173" s="441"/>
    </row>
    <row r="174" spans="2:18" ht="14.4" customHeight="1" x14ac:dyDescent="0.3">
      <c r="D174" s="69" t="s">
        <v>0</v>
      </c>
      <c r="E174" s="70" t="s">
        <v>26</v>
      </c>
      <c r="F174" s="70" t="s">
        <v>16</v>
      </c>
      <c r="G174" s="70" t="s">
        <v>5</v>
      </c>
      <c r="H174" s="70" t="s">
        <v>17</v>
      </c>
      <c r="I174" s="70" t="s">
        <v>7</v>
      </c>
      <c r="J174" s="71" t="s">
        <v>18</v>
      </c>
      <c r="K174" s="71" t="s">
        <v>19</v>
      </c>
      <c r="L174" s="72" t="s">
        <v>20</v>
      </c>
    </row>
    <row r="175" spans="2:18" ht="14.4" customHeight="1" x14ac:dyDescent="0.3">
      <c r="D175" s="46">
        <v>44926</v>
      </c>
      <c r="E175" s="437">
        <v>131812</v>
      </c>
      <c r="F175" s="76" t="s">
        <v>2563</v>
      </c>
      <c r="G175" s="77">
        <v>18049</v>
      </c>
      <c r="H175" s="77">
        <v>3790.29</v>
      </c>
      <c r="I175" s="77"/>
      <c r="J175" s="77"/>
      <c r="K175" s="77"/>
      <c r="L175" s="77"/>
    </row>
    <row r="176" spans="2:18" ht="15" customHeight="1" x14ac:dyDescent="0.3">
      <c r="D176" s="46">
        <v>44926</v>
      </c>
      <c r="E176" s="437">
        <v>181213</v>
      </c>
      <c r="F176" s="76" t="s">
        <v>2564</v>
      </c>
      <c r="G176" s="77">
        <v>2355.8900000000003</v>
      </c>
      <c r="H176" s="77">
        <v>494.73689999999999</v>
      </c>
      <c r="I176" s="77"/>
      <c r="J176" s="77">
        <v>13145.68</v>
      </c>
      <c r="K176" s="77"/>
      <c r="L176" s="77"/>
    </row>
    <row r="177" spans="4:12" ht="15" customHeight="1" x14ac:dyDescent="0.3">
      <c r="D177" s="46">
        <v>44926</v>
      </c>
      <c r="E177" s="437">
        <v>121318</v>
      </c>
      <c r="F177" s="76" t="s">
        <v>2565</v>
      </c>
      <c r="G177" s="77">
        <v>228602.57799999998</v>
      </c>
      <c r="H177" s="77">
        <v>18790.259879999998</v>
      </c>
      <c r="I177" s="77">
        <v>14608.140749999999</v>
      </c>
      <c r="J177" s="77">
        <v>230597.80999999997</v>
      </c>
      <c r="K177" s="77">
        <v>3073.1199999999994</v>
      </c>
      <c r="L177" s="77"/>
    </row>
    <row r="178" spans="4:12" ht="15" customHeight="1" x14ac:dyDescent="0.3">
      <c r="D178" s="347">
        <v>44926</v>
      </c>
      <c r="E178" s="438">
        <v>122218</v>
      </c>
      <c r="F178" s="348" t="s">
        <v>2566</v>
      </c>
      <c r="G178" s="349">
        <v>17495</v>
      </c>
      <c r="H178" s="349">
        <v>3673.95</v>
      </c>
      <c r="I178" s="349"/>
      <c r="J178" s="349"/>
      <c r="K178" s="349">
        <v>524.85</v>
      </c>
      <c r="L178" s="349"/>
    </row>
    <row r="179" spans="4:12" ht="15" customHeight="1" x14ac:dyDescent="0.3">
      <c r="D179" s="347">
        <v>44926</v>
      </c>
      <c r="E179" s="438">
        <v>121822</v>
      </c>
      <c r="F179" s="348" t="s">
        <v>2567</v>
      </c>
      <c r="G179" s="349">
        <v>5982</v>
      </c>
      <c r="H179" s="349">
        <v>1256.22</v>
      </c>
      <c r="I179" s="349"/>
      <c r="J179" s="349"/>
      <c r="K179" s="349"/>
      <c r="L179" s="349"/>
    </row>
    <row r="180" spans="4:12" ht="15" customHeight="1" x14ac:dyDescent="0.3">
      <c r="D180" s="347">
        <v>44926</v>
      </c>
      <c r="E180" s="438">
        <v>120122</v>
      </c>
      <c r="F180" s="348" t="s">
        <v>2568</v>
      </c>
      <c r="G180" s="349">
        <v>496</v>
      </c>
      <c r="H180" s="349">
        <v>104.16</v>
      </c>
      <c r="I180" s="349"/>
      <c r="J180" s="349"/>
      <c r="K180" s="349"/>
      <c r="L180" s="349"/>
    </row>
    <row r="181" spans="4:12" ht="15" customHeight="1" x14ac:dyDescent="0.3">
      <c r="D181" s="435">
        <v>44926</v>
      </c>
      <c r="E181" s="439">
        <v>122022</v>
      </c>
      <c r="F181" s="436" t="s">
        <v>2967</v>
      </c>
      <c r="G181" s="429">
        <v>500</v>
      </c>
      <c r="H181" s="429">
        <v>105</v>
      </c>
      <c r="I181" s="429"/>
      <c r="J181" s="429"/>
      <c r="K181" s="429"/>
      <c r="L181" s="429">
        <v>2237.96</v>
      </c>
    </row>
    <row r="182" spans="4:12" ht="23.4" customHeight="1" x14ac:dyDescent="0.3">
      <c r="D182" s="430" t="s">
        <v>83</v>
      </c>
      <c r="E182" s="440"/>
      <c r="F182" s="431"/>
      <c r="G182" s="432">
        <f>SUBTOTAL(109,extracto_banco_mes9[NETO])</f>
        <v>273480.46799999999</v>
      </c>
      <c r="H182" s="432">
        <f>SUBTOTAL(109,extracto_banco_mes9[IVA 21%])</f>
        <v>28214.61678</v>
      </c>
      <c r="I182" s="432">
        <f>SUBTOTAL(109,extracto_banco_mes9[IVA 10,5%])</f>
        <v>14608.140749999999</v>
      </c>
      <c r="J182" s="432">
        <f>SUBTOTAL(109,extracto_banco_mes9[RET IIBB CABA])</f>
        <v>243743.48999999996</v>
      </c>
      <c r="K182" s="432">
        <f>SUBTOTAL(109,extracto_banco_mes9[PERC IVA])</f>
        <v>3597.9699999999993</v>
      </c>
      <c r="L182" s="432">
        <f>SUBTOTAL(109,extracto_banco_mes9[PERC IIBB])</f>
        <v>2237.96</v>
      </c>
    </row>
    <row r="183" spans="4:12" ht="23.4" customHeight="1" x14ac:dyDescent="0.3">
      <c r="D183" s="350"/>
      <c r="E183" s="348"/>
      <c r="F183" s="348"/>
      <c r="G183" s="351"/>
      <c r="H183" s="351"/>
      <c r="I183" s="351"/>
      <c r="J183" s="351"/>
      <c r="K183" s="351"/>
      <c r="L183" s="351"/>
    </row>
    <row r="184" spans="4:12" ht="21" x14ac:dyDescent="0.3">
      <c r="D184" s="441" t="s">
        <v>25</v>
      </c>
      <c r="E184" s="441"/>
      <c r="F184" s="441"/>
      <c r="G184" s="441"/>
      <c r="H184" s="441"/>
      <c r="I184" s="441"/>
      <c r="J184" s="441"/>
      <c r="K184" s="441"/>
    </row>
    <row r="185" spans="4:12" x14ac:dyDescent="0.3">
      <c r="D185" s="47" t="s">
        <v>0</v>
      </c>
      <c r="E185" s="47" t="s">
        <v>2</v>
      </c>
      <c r="F185" s="47" t="s">
        <v>56</v>
      </c>
      <c r="G185" s="47" t="s">
        <v>3</v>
      </c>
      <c r="H185" s="47" t="s">
        <v>4</v>
      </c>
      <c r="I185" s="48" t="s">
        <v>10</v>
      </c>
      <c r="J185" s="47" t="s">
        <v>13</v>
      </c>
      <c r="K185" s="47" t="s">
        <v>38</v>
      </c>
    </row>
    <row r="186" spans="4:12" x14ac:dyDescent="0.3">
      <c r="D186" s="355">
        <v>44896</v>
      </c>
      <c r="E186" s="356">
        <v>3</v>
      </c>
      <c r="F186" s="357">
        <v>654</v>
      </c>
      <c r="G186" s="358">
        <v>20086277523</v>
      </c>
      <c r="H186" s="352" t="str">
        <f>IFERROR(IF(factura_c_mes9[[#This Row],[CUIT]]="","-",VLOOKUP(factura_c_mes9[[#This Row],[CUIT]],Lista_CUIT[#All],2,0)),"CUIT NO CARGADO")</f>
        <v>BOTINDARI JUAN CARLOS</v>
      </c>
      <c r="I186" s="353">
        <v>60000</v>
      </c>
      <c r="J186" s="354" t="str">
        <f>IFERROR(IF(factura_c_mes9[[#This Row],[CUIT]]="","-",VLOOKUP(factura_c_mes9[[#This Row],[CUIT]],Lista_CUIT[#All],3,0)),"CUIT NO CARGADO")</f>
        <v>Honorarios Contables</v>
      </c>
      <c r="K186" s="354">
        <f>IFERROR(IF(factura_c_mes9[[#This Row],[CUIT]]="","-",VLOOKUP(factura_c_mes9[[#This Row],[CUIT]],Lista_CUIT[#All],4,0)),"CUIT NO CARGADO")</f>
        <v>0</v>
      </c>
    </row>
    <row r="187" spans="4:12" x14ac:dyDescent="0.3">
      <c r="D187" s="355">
        <v>44896</v>
      </c>
      <c r="E187" s="356">
        <v>3</v>
      </c>
      <c r="F187" s="357">
        <v>81</v>
      </c>
      <c r="G187" s="358">
        <v>20173025557</v>
      </c>
      <c r="H187" s="352" t="str">
        <f>IFERROR(IF(factura_c_mes9[[#This Row],[CUIT]]="","-",VLOOKUP(factura_c_mes9[[#This Row],[CUIT]],Lista_CUIT[#All],2,0)),"CUIT NO CARGADO")</f>
        <v>MARAUDA HECTOR</v>
      </c>
      <c r="I187" s="353">
        <v>900</v>
      </c>
      <c r="J187" s="354" t="str">
        <f>IFERROR(IF(factura_c_mes9[[#This Row],[CUIT]]="","-",VLOOKUP(factura_c_mes9[[#This Row],[CUIT]],Lista_CUIT[#All],3,0)),"CUIT NO CARGADO")</f>
        <v>Gastos Varios</v>
      </c>
      <c r="K187" s="354">
        <f>IFERROR(IF(factura_c_mes9[[#This Row],[CUIT]]="","-",VLOOKUP(factura_c_mes9[[#This Row],[CUIT]],Lista_CUIT[#All],4,0)),"CUIT NO CARGADO")</f>
        <v>0</v>
      </c>
    </row>
    <row r="188" spans="4:12" x14ac:dyDescent="0.3">
      <c r="D188" s="355">
        <v>44897</v>
      </c>
      <c r="E188" s="356">
        <v>3</v>
      </c>
      <c r="F188" s="357">
        <v>85</v>
      </c>
      <c r="G188" s="358">
        <v>20226549758</v>
      </c>
      <c r="H188" s="352" t="str">
        <f>IFERROR(IF(factura_c_mes9[[#This Row],[CUIT]]="","-",VLOOKUP(factura_c_mes9[[#This Row],[CUIT]],Lista_CUIT[#All],2,0)),"CUIT NO CARGADO")</f>
        <v>JANEIRO VERONICA BELEN</v>
      </c>
      <c r="I188" s="353">
        <v>70000</v>
      </c>
      <c r="J188" s="354" t="str">
        <f>IFERROR(IF(factura_c_mes9[[#This Row],[CUIT]]="","-",VLOOKUP(factura_c_mes9[[#This Row],[CUIT]],Lista_CUIT[#All],3,0)),"CUIT NO CARGADO")</f>
        <v>GASTO FERIAS</v>
      </c>
      <c r="K188" s="354">
        <f>IFERROR(IF(factura_c_mes9[[#This Row],[CUIT]]="","-",VLOOKUP(factura_c_mes9[[#This Row],[CUIT]],Lista_CUIT[#All],4,0)),"CUIT NO CARGADO")</f>
        <v>0</v>
      </c>
    </row>
    <row r="189" spans="4:12" x14ac:dyDescent="0.3">
      <c r="D189" s="355">
        <v>44897</v>
      </c>
      <c r="E189" s="356">
        <v>2</v>
      </c>
      <c r="F189" s="357">
        <v>3307</v>
      </c>
      <c r="G189" s="358">
        <v>20136536320</v>
      </c>
      <c r="H189" s="352" t="str">
        <f>IFERROR(IF(factura_c_mes9[[#This Row],[CUIT]]="","-",VLOOKUP(factura_c_mes9[[#This Row],[CUIT]],Lista_CUIT[#All],2,0)),"CUIT NO CARGADO")</f>
        <v>FONTENLA ERNESTO MARIO</v>
      </c>
      <c r="I189" s="353">
        <v>1660</v>
      </c>
      <c r="J189" s="354" t="str">
        <f>IFERROR(IF(factura_c_mes9[[#This Row],[CUIT]]="","-",VLOOKUP(factura_c_mes9[[#This Row],[CUIT]],Lista_CUIT[#All],3,0)),"CUIT NO CARGADO")</f>
        <v>Gastos Varios</v>
      </c>
      <c r="K189" s="354">
        <f>IFERROR(IF(factura_c_mes9[[#This Row],[CUIT]]="","-",VLOOKUP(factura_c_mes9[[#This Row],[CUIT]],Lista_CUIT[#All],4,0)),"CUIT NO CARGADO")</f>
        <v>0</v>
      </c>
    </row>
    <row r="190" spans="4:12" x14ac:dyDescent="0.3">
      <c r="D190" s="355">
        <v>44901</v>
      </c>
      <c r="E190" s="356">
        <v>2</v>
      </c>
      <c r="F190" s="357">
        <v>201</v>
      </c>
      <c r="G190" s="358">
        <v>23319210954</v>
      </c>
      <c r="H190" s="352" t="str">
        <f>IFERROR(IF(factura_c_mes9[[#This Row],[CUIT]]="","-",VLOOKUP(factura_c_mes9[[#This Row],[CUIT]],Lista_CUIT[#All],2,0)),"CUIT NO CARGADO")</f>
        <v>CAFFARATTI ROMINA PAOLA</v>
      </c>
      <c r="I190" s="353">
        <v>7300</v>
      </c>
      <c r="J190" s="354" t="str">
        <f>IFERROR(IF(factura_c_mes9[[#This Row],[CUIT]]="","-",VLOOKUP(factura_c_mes9[[#This Row],[CUIT]],Lista_CUIT[#All],3,0)),"CUIT NO CARGADO")</f>
        <v>Honorarios Contables</v>
      </c>
      <c r="K190" s="354">
        <f>IFERROR(IF(factura_c_mes9[[#This Row],[CUIT]]="","-",VLOOKUP(factura_c_mes9[[#This Row],[CUIT]],Lista_CUIT[#All],4,0)),"CUIT NO CARGADO")</f>
        <v>0</v>
      </c>
    </row>
    <row r="191" spans="4:12" x14ac:dyDescent="0.3">
      <c r="D191" s="355">
        <v>44901</v>
      </c>
      <c r="E191" s="356">
        <v>2</v>
      </c>
      <c r="F191" s="357">
        <v>202</v>
      </c>
      <c r="G191" s="358">
        <v>23319210954</v>
      </c>
      <c r="H191" s="352" t="str">
        <f>IFERROR(IF(factura_c_mes9[[#This Row],[CUIT]]="","-",VLOOKUP(factura_c_mes9[[#This Row],[CUIT]],Lista_CUIT[#All],2,0)),"CUIT NO CARGADO")</f>
        <v>CAFFARATTI ROMINA PAOLA</v>
      </c>
      <c r="I191" s="353">
        <v>22400</v>
      </c>
      <c r="J191" s="354" t="str">
        <f>IFERROR(IF(factura_c_mes9[[#This Row],[CUIT]]="","-",VLOOKUP(factura_c_mes9[[#This Row],[CUIT]],Lista_CUIT[#All],3,0)),"CUIT NO CARGADO")</f>
        <v>Honorarios Contables</v>
      </c>
      <c r="K191" s="354">
        <f>IFERROR(IF(factura_c_mes9[[#This Row],[CUIT]]="","-",VLOOKUP(factura_c_mes9[[#This Row],[CUIT]],Lista_CUIT[#All],4,0)),"CUIT NO CARGADO")</f>
        <v>0</v>
      </c>
    </row>
    <row r="192" spans="4:12" x14ac:dyDescent="0.3">
      <c r="D192" s="355">
        <v>44902</v>
      </c>
      <c r="E192" s="356">
        <v>3</v>
      </c>
      <c r="F192" s="357">
        <v>368</v>
      </c>
      <c r="G192" s="358">
        <v>20210551574</v>
      </c>
      <c r="H192" s="352" t="str">
        <f>IFERROR(IF(factura_c_mes9[[#This Row],[CUIT]]="","-",VLOOKUP(factura_c_mes9[[#This Row],[CUIT]],Lista_CUIT[#All],2,0)),"CUIT NO CARGADO")</f>
        <v>REUS JORGE DIEGO</v>
      </c>
      <c r="I192" s="353">
        <v>30000</v>
      </c>
      <c r="J192" s="354" t="str">
        <f>IFERROR(IF(factura_c_mes9[[#This Row],[CUIT]]="","-",VLOOKUP(factura_c_mes9[[#This Row],[CUIT]],Lista_CUIT[#All],3,0)),"CUIT NO CARGADO")</f>
        <v>Honorarios Juridicos</v>
      </c>
      <c r="K192" s="354">
        <f>IFERROR(IF(factura_c_mes9[[#This Row],[CUIT]]="","-",VLOOKUP(factura_c_mes9[[#This Row],[CUIT]],Lista_CUIT[#All],4,0)),"CUIT NO CARGADO")</f>
        <v>0</v>
      </c>
    </row>
    <row r="193" spans="4:11" x14ac:dyDescent="0.3">
      <c r="D193" s="355">
        <v>44905</v>
      </c>
      <c r="E193" s="356">
        <v>2</v>
      </c>
      <c r="F193" s="357">
        <v>156</v>
      </c>
      <c r="G193" s="358">
        <v>30646718151</v>
      </c>
      <c r="H193" s="352" t="str">
        <f>IFERROR(IF(factura_c_mes9[[#This Row],[CUIT]]="","-",VLOOKUP(factura_c_mes9[[#This Row],[CUIT]],Lista_CUIT[#All],2,0)),"CUIT NO CARGADO")</f>
        <v>ASOCIACION ARGENTINA DE COSMETOLOGIA Y ESTETICA</v>
      </c>
      <c r="I193" s="353">
        <v>30000</v>
      </c>
      <c r="J193" s="354" t="str">
        <f>IFERROR(IF(factura_c_mes9[[#This Row],[CUIT]]="","-",VLOOKUP(factura_c_mes9[[#This Row],[CUIT]],Lista_CUIT[#All],3,0)),"CUIT NO CARGADO")</f>
        <v>Gastos Cursos</v>
      </c>
      <c r="K193" s="354">
        <f>IFERROR(IF(factura_c_mes9[[#This Row],[CUIT]]="","-",VLOOKUP(factura_c_mes9[[#This Row],[CUIT]],Lista_CUIT[#All],4,0)),"CUIT NO CARGADO")</f>
        <v>0</v>
      </c>
    </row>
    <row r="194" spans="4:11" x14ac:dyDescent="0.3">
      <c r="D194" s="355">
        <v>44909</v>
      </c>
      <c r="E194" s="356">
        <v>8</v>
      </c>
      <c r="F194" s="357">
        <v>93</v>
      </c>
      <c r="G194" s="358">
        <v>27409592487</v>
      </c>
      <c r="H194" s="352" t="str">
        <f>IFERROR(IF(factura_c_mes9[[#This Row],[CUIT]]="","-",VLOOKUP(factura_c_mes9[[#This Row],[CUIT]],Lista_CUIT[#All],2,0)),"CUIT NO CARGADO")</f>
        <v>BAUDONE ANTONELLA AGOSTINA</v>
      </c>
      <c r="I194" s="353">
        <v>10450</v>
      </c>
      <c r="J194" s="354" t="str">
        <f>IFERROR(IF(factura_c_mes9[[#This Row],[CUIT]]="","-",VLOOKUP(factura_c_mes9[[#This Row],[CUIT]],Lista_CUIT[#All],3,0)),"CUIT NO CARGADO")</f>
        <v>Gastos Cursos</v>
      </c>
      <c r="K194" s="354">
        <f>IFERROR(IF(factura_c_mes9[[#This Row],[CUIT]]="","-",VLOOKUP(factura_c_mes9[[#This Row],[CUIT]],Lista_CUIT[#All],4,0)),"CUIT NO CARGADO")</f>
        <v>0</v>
      </c>
    </row>
    <row r="195" spans="4:11" x14ac:dyDescent="0.3">
      <c r="D195" s="355">
        <v>44910</v>
      </c>
      <c r="E195" s="356">
        <v>1</v>
      </c>
      <c r="F195" s="357">
        <v>2</v>
      </c>
      <c r="G195" s="358">
        <v>20176922363</v>
      </c>
      <c r="H195" s="352" t="str">
        <f>IFERROR(IF(factura_c_mes9[[#This Row],[CUIT]]="","-",VLOOKUP(factura_c_mes9[[#This Row],[CUIT]],Lista_CUIT[#All],2,0)),"CUIT NO CARGADO")</f>
        <v>CASTILLO JUAN RAMON</v>
      </c>
      <c r="I195" s="353">
        <v>155000</v>
      </c>
      <c r="J195" s="354" t="str">
        <f>IFERROR(IF(factura_c_mes9[[#This Row],[CUIT]]="","-",VLOOKUP(factura_c_mes9[[#This Row],[CUIT]],Lista_CUIT[#All],3,0)),"CUIT NO CARGADO")</f>
        <v>Gastos Software-Sistemas</v>
      </c>
      <c r="K195" s="354">
        <f>IFERROR(IF(factura_c_mes9[[#This Row],[CUIT]]="","-",VLOOKUP(factura_c_mes9[[#This Row],[CUIT]],Lista_CUIT[#All],4,0)),"CUIT NO CARGADO")</f>
        <v>0</v>
      </c>
    </row>
    <row r="196" spans="4:11" x14ac:dyDescent="0.3">
      <c r="D196" s="355">
        <v>44910</v>
      </c>
      <c r="E196" s="356">
        <v>1</v>
      </c>
      <c r="F196" s="357">
        <v>3</v>
      </c>
      <c r="G196" s="358">
        <v>20176922363</v>
      </c>
      <c r="H196" s="352" t="str">
        <f>IFERROR(IF(factura_c_mes9[[#This Row],[CUIT]]="","-",VLOOKUP(factura_c_mes9[[#This Row],[CUIT]],Lista_CUIT[#All],2,0)),"CUIT NO CARGADO")</f>
        <v>CASTILLO JUAN RAMON</v>
      </c>
      <c r="I196" s="353">
        <v>155000</v>
      </c>
      <c r="J196" s="354" t="str">
        <f>IFERROR(IF(factura_c_mes9[[#This Row],[CUIT]]="","-",VLOOKUP(factura_c_mes9[[#This Row],[CUIT]],Lista_CUIT[#All],3,0)),"CUIT NO CARGADO")</f>
        <v>Gastos Software-Sistemas</v>
      </c>
      <c r="K196" s="354">
        <f>IFERROR(IF(factura_c_mes9[[#This Row],[CUIT]]="","-",VLOOKUP(factura_c_mes9[[#This Row],[CUIT]],Lista_CUIT[#All],4,0)),"CUIT NO CARGADO")</f>
        <v>0</v>
      </c>
    </row>
    <row r="197" spans="4:11" x14ac:dyDescent="0.3">
      <c r="D197" s="355">
        <v>44910</v>
      </c>
      <c r="E197" s="356">
        <v>1</v>
      </c>
      <c r="F197" s="357">
        <v>5</v>
      </c>
      <c r="G197" s="358">
        <v>20176922363</v>
      </c>
      <c r="H197" s="352" t="str">
        <f>IFERROR(IF(factura_c_mes9[[#This Row],[CUIT]]="","-",VLOOKUP(factura_c_mes9[[#This Row],[CUIT]],Lista_CUIT[#All],2,0)),"CUIT NO CARGADO")</f>
        <v>CASTILLO JUAN RAMON</v>
      </c>
      <c r="I197" s="353">
        <v>155000</v>
      </c>
      <c r="J197" s="354" t="str">
        <f>IFERROR(IF(factura_c_mes9[[#This Row],[CUIT]]="","-",VLOOKUP(factura_c_mes9[[#This Row],[CUIT]],Lista_CUIT[#All],3,0)),"CUIT NO CARGADO")</f>
        <v>Gastos Software-Sistemas</v>
      </c>
      <c r="K197" s="354">
        <f>IFERROR(IF(factura_c_mes9[[#This Row],[CUIT]]="","-",VLOOKUP(factura_c_mes9[[#This Row],[CUIT]],Lista_CUIT[#All],4,0)),"CUIT NO CARGADO")</f>
        <v>0</v>
      </c>
    </row>
    <row r="198" spans="4:11" x14ac:dyDescent="0.3">
      <c r="D198" s="355">
        <v>44910</v>
      </c>
      <c r="E198" s="356">
        <v>1</v>
      </c>
      <c r="F198" s="357">
        <v>1</v>
      </c>
      <c r="G198" s="358">
        <v>20176922363</v>
      </c>
      <c r="H198" s="352" t="str">
        <f>IFERROR(IF(factura_c_mes9[[#This Row],[CUIT]]="","-",VLOOKUP(factura_c_mes9[[#This Row],[CUIT]],Lista_CUIT[#All],2,0)),"CUIT NO CARGADO")</f>
        <v>CASTILLO JUAN RAMON</v>
      </c>
      <c r="I198" s="353">
        <v>155000</v>
      </c>
      <c r="J198" s="354" t="str">
        <f>IFERROR(IF(factura_c_mes9[[#This Row],[CUIT]]="","-",VLOOKUP(factura_c_mes9[[#This Row],[CUIT]],Lista_CUIT[#All],3,0)),"CUIT NO CARGADO")</f>
        <v>Gastos Software-Sistemas</v>
      </c>
      <c r="K198" s="354">
        <f>IFERROR(IF(factura_c_mes9[[#This Row],[CUIT]]="","-",VLOOKUP(factura_c_mes9[[#This Row],[CUIT]],Lista_CUIT[#All],4,0)),"CUIT NO CARGADO")</f>
        <v>0</v>
      </c>
    </row>
    <row r="199" spans="4:11" x14ac:dyDescent="0.3">
      <c r="D199" s="355">
        <v>44910</v>
      </c>
      <c r="E199" s="356">
        <v>1</v>
      </c>
      <c r="F199" s="357">
        <v>4</v>
      </c>
      <c r="G199" s="358">
        <v>20176922363</v>
      </c>
      <c r="H199" s="352" t="str">
        <f>IFERROR(IF(factura_c_mes9[[#This Row],[CUIT]]="","-",VLOOKUP(factura_c_mes9[[#This Row],[CUIT]],Lista_CUIT[#All],2,0)),"CUIT NO CARGADO")</f>
        <v>CASTILLO JUAN RAMON</v>
      </c>
      <c r="I199" s="353">
        <v>155000</v>
      </c>
      <c r="J199" s="354" t="str">
        <f>IFERROR(IF(factura_c_mes9[[#This Row],[CUIT]]="","-",VLOOKUP(factura_c_mes9[[#This Row],[CUIT]],Lista_CUIT[#All],3,0)),"CUIT NO CARGADO")</f>
        <v>Gastos Software-Sistemas</v>
      </c>
      <c r="K199" s="354">
        <f>IFERROR(IF(factura_c_mes9[[#This Row],[CUIT]]="","-",VLOOKUP(factura_c_mes9[[#This Row],[CUIT]],Lista_CUIT[#All],4,0)),"CUIT NO CARGADO")</f>
        <v>0</v>
      </c>
    </row>
    <row r="200" spans="4:11" x14ac:dyDescent="0.3">
      <c r="D200" s="355">
        <v>44911</v>
      </c>
      <c r="E200" s="356">
        <v>1</v>
      </c>
      <c r="F200" s="357">
        <v>6</v>
      </c>
      <c r="G200" s="358">
        <v>20176922363</v>
      </c>
      <c r="H200" s="352" t="str">
        <f>IFERROR(IF(factura_c_mes9[[#This Row],[CUIT]]="","-",VLOOKUP(factura_c_mes9[[#This Row],[CUIT]],Lista_CUIT[#All],2,0)),"CUIT NO CARGADO")</f>
        <v>CASTILLO JUAN RAMON</v>
      </c>
      <c r="I200" s="353">
        <v>168000</v>
      </c>
      <c r="J200" s="354" t="str">
        <f>IFERROR(IF(factura_c_mes9[[#This Row],[CUIT]]="","-",VLOOKUP(factura_c_mes9[[#This Row],[CUIT]],Lista_CUIT[#All],3,0)),"CUIT NO CARGADO")</f>
        <v>Gastos Software-Sistemas</v>
      </c>
      <c r="K200" s="354">
        <f>IFERROR(IF(factura_c_mes9[[#This Row],[CUIT]]="","-",VLOOKUP(factura_c_mes9[[#This Row],[CUIT]],Lista_CUIT[#All],4,0)),"CUIT NO CARGADO")</f>
        <v>0</v>
      </c>
    </row>
    <row r="201" spans="4:11" x14ac:dyDescent="0.3">
      <c r="D201" s="355">
        <v>44911</v>
      </c>
      <c r="E201" s="356">
        <v>1</v>
      </c>
      <c r="F201" s="357">
        <v>10</v>
      </c>
      <c r="G201" s="358">
        <v>20176922363</v>
      </c>
      <c r="H201" s="352" t="str">
        <f>IFERROR(IF(factura_c_mes9[[#This Row],[CUIT]]="","-",VLOOKUP(factura_c_mes9[[#This Row],[CUIT]],Lista_CUIT[#All],2,0)),"CUIT NO CARGADO")</f>
        <v>CASTILLO JUAN RAMON</v>
      </c>
      <c r="I201" s="353">
        <v>168000</v>
      </c>
      <c r="J201" s="354" t="str">
        <f>IFERROR(IF(factura_c_mes9[[#This Row],[CUIT]]="","-",VLOOKUP(factura_c_mes9[[#This Row],[CUIT]],Lista_CUIT[#All],3,0)),"CUIT NO CARGADO")</f>
        <v>Gastos Software-Sistemas</v>
      </c>
      <c r="K201" s="354">
        <f>IFERROR(IF(factura_c_mes9[[#This Row],[CUIT]]="","-",VLOOKUP(factura_c_mes9[[#This Row],[CUIT]],Lista_CUIT[#All],4,0)),"CUIT NO CARGADO")</f>
        <v>0</v>
      </c>
    </row>
    <row r="202" spans="4:11" x14ac:dyDescent="0.3">
      <c r="D202" s="355">
        <v>44911</v>
      </c>
      <c r="E202" s="356">
        <v>1</v>
      </c>
      <c r="F202" s="357">
        <v>8</v>
      </c>
      <c r="G202" s="358">
        <v>20176922363</v>
      </c>
      <c r="H202" s="352" t="str">
        <f>IFERROR(IF(factura_c_mes9[[#This Row],[CUIT]]="","-",VLOOKUP(factura_c_mes9[[#This Row],[CUIT]],Lista_CUIT[#All],2,0)),"CUIT NO CARGADO")</f>
        <v>CASTILLO JUAN RAMON</v>
      </c>
      <c r="I202" s="353">
        <v>168000</v>
      </c>
      <c r="J202" s="354" t="str">
        <f>IFERROR(IF(factura_c_mes9[[#This Row],[CUIT]]="","-",VLOOKUP(factura_c_mes9[[#This Row],[CUIT]],Lista_CUIT[#All],3,0)),"CUIT NO CARGADO")</f>
        <v>Gastos Software-Sistemas</v>
      </c>
      <c r="K202" s="354">
        <f>IFERROR(IF(factura_c_mes9[[#This Row],[CUIT]]="","-",VLOOKUP(factura_c_mes9[[#This Row],[CUIT]],Lista_CUIT[#All],4,0)),"CUIT NO CARGADO")</f>
        <v>0</v>
      </c>
    </row>
    <row r="203" spans="4:11" x14ac:dyDescent="0.3">
      <c r="D203" s="355">
        <v>44911</v>
      </c>
      <c r="E203" s="356">
        <v>1</v>
      </c>
      <c r="F203" s="357">
        <v>9</v>
      </c>
      <c r="G203" s="358">
        <v>20176922363</v>
      </c>
      <c r="H203" s="352" t="str">
        <f>IFERROR(IF(factura_c_mes9[[#This Row],[CUIT]]="","-",VLOOKUP(factura_c_mes9[[#This Row],[CUIT]],Lista_CUIT[#All],2,0)),"CUIT NO CARGADO")</f>
        <v>CASTILLO JUAN RAMON</v>
      </c>
      <c r="I203" s="353">
        <v>168000</v>
      </c>
      <c r="J203" s="354" t="str">
        <f>IFERROR(IF(factura_c_mes9[[#This Row],[CUIT]]="","-",VLOOKUP(factura_c_mes9[[#This Row],[CUIT]],Lista_CUIT[#All],3,0)),"CUIT NO CARGADO")</f>
        <v>Gastos Software-Sistemas</v>
      </c>
      <c r="K203" s="354">
        <f>IFERROR(IF(factura_c_mes9[[#This Row],[CUIT]]="","-",VLOOKUP(factura_c_mes9[[#This Row],[CUIT]],Lista_CUIT[#All],4,0)),"CUIT NO CARGADO")</f>
        <v>0</v>
      </c>
    </row>
    <row r="204" spans="4:11" x14ac:dyDescent="0.3">
      <c r="D204" s="355">
        <v>44911</v>
      </c>
      <c r="E204" s="356">
        <v>1</v>
      </c>
      <c r="F204" s="357">
        <v>12</v>
      </c>
      <c r="G204" s="358">
        <v>20176922363</v>
      </c>
      <c r="H204" s="352" t="str">
        <f>IFERROR(IF(factura_c_mes9[[#This Row],[CUIT]]="","-",VLOOKUP(factura_c_mes9[[#This Row],[CUIT]],Lista_CUIT[#All],2,0)),"CUIT NO CARGADO")</f>
        <v>CASTILLO JUAN RAMON</v>
      </c>
      <c r="I204" s="353">
        <v>173000</v>
      </c>
      <c r="J204" s="354" t="str">
        <f>IFERROR(IF(factura_c_mes9[[#This Row],[CUIT]]="","-",VLOOKUP(factura_c_mes9[[#This Row],[CUIT]],Lista_CUIT[#All],3,0)),"CUIT NO CARGADO")</f>
        <v>Gastos Software-Sistemas</v>
      </c>
      <c r="K204" s="354">
        <f>IFERROR(IF(factura_c_mes9[[#This Row],[CUIT]]="","-",VLOOKUP(factura_c_mes9[[#This Row],[CUIT]],Lista_CUIT[#All],4,0)),"CUIT NO CARGADO")</f>
        <v>0</v>
      </c>
    </row>
    <row r="205" spans="4:11" x14ac:dyDescent="0.3">
      <c r="D205" s="355">
        <v>44911</v>
      </c>
      <c r="E205" s="356">
        <v>1</v>
      </c>
      <c r="F205" s="357">
        <v>7</v>
      </c>
      <c r="G205" s="358">
        <v>20176922363</v>
      </c>
      <c r="H205" s="352" t="str">
        <f>IFERROR(IF(factura_c_mes9[[#This Row],[CUIT]]="","-",VLOOKUP(factura_c_mes9[[#This Row],[CUIT]],Lista_CUIT[#All],2,0)),"CUIT NO CARGADO")</f>
        <v>CASTILLO JUAN RAMON</v>
      </c>
      <c r="I205" s="353">
        <v>168000</v>
      </c>
      <c r="J205" s="354" t="str">
        <f>IFERROR(IF(factura_c_mes9[[#This Row],[CUIT]]="","-",VLOOKUP(factura_c_mes9[[#This Row],[CUIT]],Lista_CUIT[#All],3,0)),"CUIT NO CARGADO")</f>
        <v>Gastos Software-Sistemas</v>
      </c>
      <c r="K205" s="354">
        <f>IFERROR(IF(factura_c_mes9[[#This Row],[CUIT]]="","-",VLOOKUP(factura_c_mes9[[#This Row],[CUIT]],Lista_CUIT[#All],4,0)),"CUIT NO CARGADO")</f>
        <v>0</v>
      </c>
    </row>
    <row r="206" spans="4:11" x14ac:dyDescent="0.3">
      <c r="D206" s="355">
        <v>44911</v>
      </c>
      <c r="E206" s="356">
        <v>1</v>
      </c>
      <c r="F206" s="357">
        <v>11</v>
      </c>
      <c r="G206" s="358">
        <v>20176922363</v>
      </c>
      <c r="H206" s="49" t="str">
        <f>IFERROR(IF(factura_c_mes9[[#This Row],[CUIT]]="","-",VLOOKUP(factura_c_mes9[[#This Row],[CUIT]],Lista_CUIT[#All],2,0)),"CUIT NO CARGADO")</f>
        <v>CASTILLO JUAN RAMON</v>
      </c>
      <c r="I206" s="359">
        <v>173000</v>
      </c>
      <c r="J206" s="50" t="str">
        <f>IFERROR(IF(factura_c_mes9[[#This Row],[CUIT]]="","-",VLOOKUP(factura_c_mes9[[#This Row],[CUIT]],Lista_CUIT[#All],3,0)),"CUIT NO CARGADO")</f>
        <v>Gastos Software-Sistemas</v>
      </c>
      <c r="K206" s="50">
        <f>IFERROR(IF(factura_c_mes9[[#This Row],[CUIT]]="","-",VLOOKUP(factura_c_mes9[[#This Row],[CUIT]],Lista_CUIT[#All],4,0)),"CUIT NO CARGADO")</f>
        <v>0</v>
      </c>
    </row>
    <row r="207" spans="4:11" x14ac:dyDescent="0.3">
      <c r="D207" s="355">
        <v>44917</v>
      </c>
      <c r="E207" s="356">
        <v>2</v>
      </c>
      <c r="F207" s="357">
        <v>15</v>
      </c>
      <c r="G207" s="358">
        <v>20231009524</v>
      </c>
      <c r="H207" s="49" t="str">
        <f>IFERROR(IF(factura_c_mes9[[#This Row],[CUIT]]="","-",VLOOKUP(factura_c_mes9[[#This Row],[CUIT]],Lista_CUIT[#All],2,0)),"CUIT NO CARGADO")</f>
        <v>RAMOS PATRICIO SEBASTIAN</v>
      </c>
      <c r="I207" s="359">
        <v>90000</v>
      </c>
      <c r="J207" s="50" t="str">
        <f>IFERROR(IF(factura_c_mes9[[#This Row],[CUIT]]="","-",VLOOKUP(factura_c_mes9[[#This Row],[CUIT]],Lista_CUIT[#All],3,0)),"CUIT NO CARGADO")</f>
        <v>Mercaderia</v>
      </c>
      <c r="K207" s="50">
        <f>IFERROR(IF(factura_c_mes9[[#This Row],[CUIT]]="","-",VLOOKUP(factura_c_mes9[[#This Row],[CUIT]],Lista_CUIT[#All],4,0)),"CUIT NO CARGADO")</f>
        <v>0</v>
      </c>
    </row>
    <row r="208" spans="4:11" x14ac:dyDescent="0.3">
      <c r="D208" s="355">
        <v>44917</v>
      </c>
      <c r="E208" s="356">
        <v>1</v>
      </c>
      <c r="F208" s="357">
        <v>29</v>
      </c>
      <c r="G208" s="358">
        <v>20403969886</v>
      </c>
      <c r="H208" s="49" t="str">
        <f>IFERROR(IF(factura_c_mes9[[#This Row],[CUIT]]="","-",VLOOKUP(factura_c_mes9[[#This Row],[CUIT]],Lista_CUIT[#All],2,0)),"CUIT NO CARGADO")</f>
        <v>DEL GESSO FRANCO JESUS</v>
      </c>
      <c r="I208" s="359">
        <v>175500</v>
      </c>
      <c r="J208" s="50" t="str">
        <f>IFERROR(IF(factura_c_mes9[[#This Row],[CUIT]]="","-",VLOOKUP(factura_c_mes9[[#This Row],[CUIT]],Lista_CUIT[#All],3,0)),"CUIT NO CARGADO")</f>
        <v>Honorarios Administrativos</v>
      </c>
      <c r="K208" s="50">
        <f>IFERROR(IF(factura_c_mes9[[#This Row],[CUIT]]="","-",VLOOKUP(factura_c_mes9[[#This Row],[CUIT]],Lista_CUIT[#All],4,0)),"CUIT NO CARGADO")</f>
        <v>0</v>
      </c>
    </row>
    <row r="209" spans="2:18" x14ac:dyDescent="0.3">
      <c r="D209" s="46"/>
      <c r="E209" s="38"/>
      <c r="F209" s="39"/>
      <c r="G209" s="40"/>
      <c r="H209" s="49" t="str">
        <f>IFERROR(IF(factura_c_mes9[[#This Row],[CUIT]]="","-",VLOOKUP(factura_c_mes9[[#This Row],[CUIT]],Lista_CUIT[#All],2,0)),"CUIT NO CARGADO")</f>
        <v>-</v>
      </c>
      <c r="I209" s="77"/>
      <c r="J209" s="50" t="str">
        <f>IFERROR(IF(factura_c_mes9[[#This Row],[CUIT]]="","-",VLOOKUP(factura_c_mes9[[#This Row],[CUIT]],Lista_CUIT[#All],3,0)),"CUIT NO CARGADO")</f>
        <v>-</v>
      </c>
      <c r="K209" s="50" t="str">
        <f>IFERROR(IF(factura_c_mes9[[#This Row],[CUIT]]="","-",VLOOKUP(factura_c_mes9[[#This Row],[CUIT]],Lista_CUIT[#All],4,0)),"CUIT NO CARGADO")</f>
        <v>-</v>
      </c>
    </row>
    <row r="210" spans="2:18" s="52" customFormat="1" ht="18.600000000000001" customHeight="1" x14ac:dyDescent="0.3">
      <c r="B210"/>
      <c r="C210"/>
      <c r="D210" s="51" t="s">
        <v>83</v>
      </c>
      <c r="E210" s="51"/>
      <c r="F210" s="51"/>
      <c r="G210" s="51"/>
      <c r="H210" s="53"/>
      <c r="I210" s="54">
        <f>SUBTOTAL(109,factura_c_mes9[TOTAL])</f>
        <v>2459210</v>
      </c>
      <c r="J210" s="51"/>
      <c r="K210" s="51"/>
      <c r="L210"/>
      <c r="M210"/>
      <c r="N210"/>
      <c r="O210"/>
      <c r="P210"/>
      <c r="Q210"/>
      <c r="R210"/>
    </row>
    <row r="211" spans="2:18" x14ac:dyDescent="0.3">
      <c r="B211" s="52"/>
      <c r="C211" s="52"/>
      <c r="L211" s="52"/>
      <c r="M211" s="52"/>
      <c r="N211" s="52"/>
      <c r="O211" s="52"/>
      <c r="P211" s="52"/>
      <c r="Q211" s="52"/>
      <c r="R211" s="52"/>
    </row>
    <row r="216" spans="2:18" ht="25.8" x14ac:dyDescent="0.3">
      <c r="B216" s="456" t="s">
        <v>29</v>
      </c>
      <c r="C216" s="456"/>
      <c r="D216" s="456"/>
      <c r="E216" s="456"/>
      <c r="F216" s="456"/>
      <c r="G216" s="456"/>
      <c r="H216" s="456"/>
      <c r="I216" s="456"/>
      <c r="J216" s="456"/>
      <c r="K216" s="452">
        <f>N1</f>
        <v>44896</v>
      </c>
      <c r="L216" s="452"/>
      <c r="M216" s="452"/>
    </row>
    <row r="217" spans="2:18" ht="22.5" customHeight="1" x14ac:dyDescent="0.3"/>
    <row r="218" spans="2:18" ht="21" x14ac:dyDescent="0.3">
      <c r="B218" s="449" t="s">
        <v>30</v>
      </c>
      <c r="C218" s="449"/>
    </row>
    <row r="219" spans="2:18" ht="18" customHeight="1" x14ac:dyDescent="0.3">
      <c r="B219" s="56" t="s">
        <v>0</v>
      </c>
      <c r="C219" s="57" t="s">
        <v>1</v>
      </c>
      <c r="D219" s="57" t="s">
        <v>21</v>
      </c>
      <c r="E219" s="57" t="s">
        <v>22</v>
      </c>
      <c r="F219" s="57" t="s">
        <v>3</v>
      </c>
      <c r="G219" s="57" t="s">
        <v>4</v>
      </c>
      <c r="H219" s="57" t="s">
        <v>23</v>
      </c>
      <c r="I219" s="57" t="s">
        <v>17</v>
      </c>
      <c r="J219" s="57" t="s">
        <v>7</v>
      </c>
      <c r="K219" s="57" t="s">
        <v>24</v>
      </c>
      <c r="L219" s="57" t="s">
        <v>10</v>
      </c>
      <c r="M219" s="58" t="s">
        <v>38</v>
      </c>
    </row>
    <row r="220" spans="2:18" x14ac:dyDescent="0.3">
      <c r="B220" s="36">
        <v>44896</v>
      </c>
      <c r="C220" s="37">
        <v>1</v>
      </c>
      <c r="D220" s="38">
        <v>10</v>
      </c>
      <c r="E220" s="39">
        <v>9646</v>
      </c>
      <c r="F220" s="40">
        <v>27277172874</v>
      </c>
      <c r="G220" s="95" t="str">
        <f>IFERROR(IF(venta_a_mes9[[#This Row],[CUIT]]="","-",VLOOKUP(venta_a_mes9[[#This Row],[CUIT]],Lista_CUIT[#All],2,0)),"CUIT NO CARGADO")</f>
        <v>MARIN MARIA SOL</v>
      </c>
      <c r="H220" s="96">
        <v>45292.15</v>
      </c>
      <c r="I220" s="97">
        <f>venta_a_mes9[[#This Row],[IMPORTE NETO]]*0.21</f>
        <v>9511.3515000000007</v>
      </c>
      <c r="J220" s="61"/>
      <c r="K220" s="61"/>
      <c r="L220" s="61">
        <f>SUM(venta_a_mes9[[#This Row],[IMPORTE NETO]:[EXENTO]])</f>
        <v>54803.501499999998</v>
      </c>
      <c r="M220" s="55"/>
    </row>
    <row r="221" spans="2:18" x14ac:dyDescent="0.3">
      <c r="B221" s="36">
        <v>44896</v>
      </c>
      <c r="C221" s="37">
        <v>1</v>
      </c>
      <c r="D221" s="38">
        <v>10</v>
      </c>
      <c r="E221" s="39">
        <v>9647</v>
      </c>
      <c r="F221" s="40">
        <v>27277172874</v>
      </c>
      <c r="G221" s="95" t="str">
        <f>IFERROR(IF(venta_a_mes9[[#This Row],[CUIT]]="","-",VLOOKUP(venta_a_mes9[[#This Row],[CUIT]],Lista_CUIT[#All],2,0)),"CUIT NO CARGADO")</f>
        <v>MARIN MARIA SOL</v>
      </c>
      <c r="H221" s="96">
        <v>12033.06</v>
      </c>
      <c r="I221" s="97">
        <f>venta_a_mes9[[#This Row],[IMPORTE NETO]]*0.21</f>
        <v>2526.9425999999999</v>
      </c>
      <c r="J221" s="61"/>
      <c r="K221" s="61"/>
      <c r="L221" s="61">
        <f>SUM(venta_a_mes9[[#This Row],[IMPORTE NETO]:[EXENTO]])</f>
        <v>14560.0026</v>
      </c>
      <c r="M221" s="55"/>
    </row>
    <row r="222" spans="2:18" x14ac:dyDescent="0.3">
      <c r="B222" s="36">
        <v>44896</v>
      </c>
      <c r="C222" s="37">
        <v>1</v>
      </c>
      <c r="D222" s="38">
        <v>10</v>
      </c>
      <c r="E222" s="39">
        <v>9648</v>
      </c>
      <c r="F222" s="40">
        <v>30709163503</v>
      </c>
      <c r="G222" s="95" t="str">
        <f>IFERROR(IF(venta_a_mes9[[#This Row],[CUIT]]="","-",VLOOKUP(venta_a_mes9[[#This Row],[CUIT]],Lista_CUIT[#All],2,0)),"CUIT NO CARGADO")</f>
        <v>CANADEZ S.R.L.</v>
      </c>
      <c r="H222" s="96">
        <v>43735.54</v>
      </c>
      <c r="I222" s="97">
        <f>venta_a_mes9[[#This Row],[IMPORTE NETO]]*0.21</f>
        <v>9184.4634000000005</v>
      </c>
      <c r="J222" s="61"/>
      <c r="K222" s="61"/>
      <c r="L222" s="61">
        <f>SUM(venta_a_mes9[[#This Row],[IMPORTE NETO]:[EXENTO]])</f>
        <v>52920.003400000001</v>
      </c>
      <c r="M222" s="55"/>
    </row>
    <row r="223" spans="2:18" x14ac:dyDescent="0.3">
      <c r="B223" s="36">
        <v>44896</v>
      </c>
      <c r="C223" s="37">
        <v>1</v>
      </c>
      <c r="D223" s="38">
        <v>11</v>
      </c>
      <c r="E223" s="39">
        <v>1652</v>
      </c>
      <c r="F223" s="40">
        <v>30715219014</v>
      </c>
      <c r="G223" s="95" t="str">
        <f>IFERROR(IF(venta_a_mes9[[#This Row],[CUIT]]="","-",VLOOKUP(venta_a_mes9[[#This Row],[CUIT]],Lista_CUIT[#All],2,0)),"CUIT NO CARGADO")</f>
        <v>KNOWLEDGE OF SERVICES S.R.L.</v>
      </c>
      <c r="H223" s="96">
        <v>4509.91</v>
      </c>
      <c r="I223" s="97">
        <f>venta_a_mes9[[#This Row],[IMPORTE NETO]]*0.21</f>
        <v>947.08109999999988</v>
      </c>
      <c r="J223" s="61"/>
      <c r="K223" s="61"/>
      <c r="L223" s="61">
        <f>SUM(venta_a_mes9[[#This Row],[IMPORTE NETO]:[EXENTO]])</f>
        <v>5456.9910999999993</v>
      </c>
      <c r="M223" s="55"/>
    </row>
    <row r="224" spans="2:18" x14ac:dyDescent="0.3">
      <c r="B224" s="36">
        <v>44896</v>
      </c>
      <c r="C224" s="37">
        <v>1</v>
      </c>
      <c r="D224" s="38">
        <v>11</v>
      </c>
      <c r="E224" s="39">
        <v>1653</v>
      </c>
      <c r="F224" s="40">
        <v>30715219014</v>
      </c>
      <c r="G224" s="95" t="str">
        <f>IFERROR(IF(venta_a_mes9[[#This Row],[CUIT]]="","-",VLOOKUP(venta_a_mes9[[#This Row],[CUIT]],Lista_CUIT[#All],2,0)),"CUIT NO CARGADO")</f>
        <v>KNOWLEDGE OF SERVICES S.R.L.</v>
      </c>
      <c r="H224" s="96">
        <v>1115.7</v>
      </c>
      <c r="I224" s="97">
        <f>venta_a_mes9[[#This Row],[IMPORTE NETO]]*0.21</f>
        <v>234.297</v>
      </c>
      <c r="J224" s="61"/>
      <c r="K224" s="61"/>
      <c r="L224" s="61">
        <f>SUM(venta_a_mes9[[#This Row],[IMPORTE NETO]:[EXENTO]])</f>
        <v>1349.9970000000001</v>
      </c>
      <c r="M224" s="55"/>
    </row>
    <row r="225" spans="2:13" x14ac:dyDescent="0.3">
      <c r="B225" s="36">
        <v>44897</v>
      </c>
      <c r="C225" s="37">
        <v>1</v>
      </c>
      <c r="D225" s="38">
        <v>10</v>
      </c>
      <c r="E225" s="39">
        <v>9649</v>
      </c>
      <c r="F225" s="40">
        <v>20227648474</v>
      </c>
      <c r="G225" s="95" t="str">
        <f>IFERROR(IF(venta_a_mes9[[#This Row],[CUIT]]="","-",VLOOKUP(venta_a_mes9[[#This Row],[CUIT]],Lista_CUIT[#All],2,0)),"CUIT NO CARGADO")</f>
        <v>MARTINEZ JOSE BLAS</v>
      </c>
      <c r="H225" s="96">
        <v>27471.08</v>
      </c>
      <c r="I225" s="97">
        <f>venta_a_mes9[[#This Row],[IMPORTE NETO]]*0.21</f>
        <v>5768.9268000000002</v>
      </c>
      <c r="J225" s="61"/>
      <c r="K225" s="61"/>
      <c r="L225" s="61">
        <f>SUM(venta_a_mes9[[#This Row],[IMPORTE NETO]:[EXENTO]])</f>
        <v>33240.006800000003</v>
      </c>
      <c r="M225" s="55"/>
    </row>
    <row r="226" spans="2:13" x14ac:dyDescent="0.3">
      <c r="B226" s="36">
        <v>44897</v>
      </c>
      <c r="C226" s="37">
        <v>1</v>
      </c>
      <c r="D226" s="38">
        <v>10</v>
      </c>
      <c r="E226" s="39">
        <v>9650</v>
      </c>
      <c r="F226" s="40">
        <v>30647302803</v>
      </c>
      <c r="G226" s="95" t="str">
        <f>IFERROR(IF(venta_a_mes9[[#This Row],[CUIT]]="","-",VLOOKUP(venta_a_mes9[[#This Row],[CUIT]],Lista_CUIT[#All],2,0)),"CUIT NO CARGADO")</f>
        <v>PERFUCOR SOCIEDAD DE RESPONSABILIDAD    LIMITADA</v>
      </c>
      <c r="H226" s="96">
        <v>70696.69</v>
      </c>
      <c r="I226" s="97">
        <f>venta_a_mes9[[#This Row],[IMPORTE NETO]]*0.21</f>
        <v>14846.304899999999</v>
      </c>
      <c r="J226" s="61"/>
      <c r="K226" s="61"/>
      <c r="L226" s="61">
        <f>SUM(venta_a_mes9[[#This Row],[IMPORTE NETO]:[EXENTO]])</f>
        <v>85542.994900000005</v>
      </c>
      <c r="M226" s="59"/>
    </row>
    <row r="227" spans="2:13" x14ac:dyDescent="0.3">
      <c r="B227" s="98">
        <v>44897</v>
      </c>
      <c r="C227" s="99">
        <v>1</v>
      </c>
      <c r="D227" s="100">
        <v>10</v>
      </c>
      <c r="E227" s="101">
        <v>9651</v>
      </c>
      <c r="F227" s="102">
        <v>30647302803</v>
      </c>
      <c r="G227" s="95" t="str">
        <f>IFERROR(IF(venta_a_mes9[[#This Row],[CUIT]]="","-",VLOOKUP(venta_a_mes9[[#This Row],[CUIT]],Lista_CUIT[#All],2,0)),"CUIT NO CARGADO")</f>
        <v>PERFUCOR SOCIEDAD DE RESPONSABILIDAD    LIMITADA</v>
      </c>
      <c r="H227" s="103">
        <v>61976.03</v>
      </c>
      <c r="I227" s="104">
        <f>venta_a_mes9[[#This Row],[IMPORTE NETO]]*0.21</f>
        <v>13014.9663</v>
      </c>
      <c r="J227" s="68"/>
      <c r="K227" s="68"/>
      <c r="L227" s="68">
        <f>SUM(venta_a_mes9[[#This Row],[IMPORTE NETO]:[EXENTO]])</f>
        <v>74990.996299999999</v>
      </c>
      <c r="M227" s="59"/>
    </row>
    <row r="228" spans="2:13" x14ac:dyDescent="0.3">
      <c r="B228" s="105">
        <v>44897</v>
      </c>
      <c r="C228" s="106">
        <v>1</v>
      </c>
      <c r="D228" s="107">
        <v>10</v>
      </c>
      <c r="E228" s="108">
        <v>9652</v>
      </c>
      <c r="F228" s="109">
        <v>30647302803</v>
      </c>
      <c r="G228" s="95" t="str">
        <f>IFERROR(IF(venta_a_mes9[[#This Row],[CUIT]]="","-",VLOOKUP(venta_a_mes9[[#This Row],[CUIT]],Lista_CUIT[#All],2,0)),"CUIT NO CARGADO")</f>
        <v>PERFUCOR SOCIEDAD DE RESPONSABILIDAD    LIMITADA</v>
      </c>
      <c r="H228" s="96">
        <v>54805.79</v>
      </c>
      <c r="I228" s="97">
        <f>venta_a_mes9[[#This Row],[IMPORTE NETO]]*0.21</f>
        <v>11509.215899999999</v>
      </c>
      <c r="J228" s="61"/>
      <c r="K228" s="61"/>
      <c r="L228" s="61">
        <f>SUM(venta_a_mes9[[#This Row],[IMPORTE NETO]:[EXENTO]])</f>
        <v>66315.005900000004</v>
      </c>
      <c r="M228" s="55"/>
    </row>
    <row r="229" spans="2:13" x14ac:dyDescent="0.3">
      <c r="B229" s="98">
        <v>44897</v>
      </c>
      <c r="C229" s="99">
        <v>1</v>
      </c>
      <c r="D229" s="100">
        <v>10</v>
      </c>
      <c r="E229" s="101">
        <v>9653</v>
      </c>
      <c r="F229" s="102">
        <v>30647302803</v>
      </c>
      <c r="G229" s="222" t="str">
        <f>IFERROR(IF(venta_a_mes9[[#This Row],[CUIT]]="","-",VLOOKUP(venta_a_mes9[[#This Row],[CUIT]],Lista_CUIT[#All],2,0)),"CUIT NO CARGADO")</f>
        <v>PERFUCOR SOCIEDAD DE RESPONSABILIDAD    LIMITADA</v>
      </c>
      <c r="H229" s="103">
        <v>62539.67</v>
      </c>
      <c r="I229" s="104">
        <f>venta_a_mes9[[#This Row],[IMPORTE NETO]]*0.21</f>
        <v>13133.330699999999</v>
      </c>
      <c r="J229" s="68"/>
      <c r="K229" s="68"/>
      <c r="L229" s="68">
        <f>SUM(venta_a_mes9[[#This Row],[IMPORTE NETO]:[EXENTO]])</f>
        <v>75673.000700000004</v>
      </c>
      <c r="M229" s="59"/>
    </row>
    <row r="230" spans="2:13" x14ac:dyDescent="0.3">
      <c r="B230" s="98">
        <v>44897</v>
      </c>
      <c r="C230" s="99">
        <v>1</v>
      </c>
      <c r="D230" s="100">
        <v>10</v>
      </c>
      <c r="E230" s="101">
        <v>9654</v>
      </c>
      <c r="F230" s="102">
        <v>30647302803</v>
      </c>
      <c r="G230" s="222" t="str">
        <f>IFERROR(IF(venta_a_mes9[[#This Row],[CUIT]]="","-",VLOOKUP(venta_a_mes9[[#This Row],[CUIT]],Lista_CUIT[#All],2,0)),"CUIT NO CARGADO")</f>
        <v>PERFUCOR SOCIEDAD DE RESPONSABILIDAD    LIMITADA</v>
      </c>
      <c r="H230" s="103">
        <v>18649.59</v>
      </c>
      <c r="I230" s="104">
        <f>venta_a_mes9[[#This Row],[IMPORTE NETO]]*0.21</f>
        <v>3916.4139</v>
      </c>
      <c r="J230" s="68"/>
      <c r="K230" s="68"/>
      <c r="L230" s="68">
        <f>SUM(venta_a_mes9[[#This Row],[IMPORTE NETO]:[EXENTO]])</f>
        <v>22566.0039</v>
      </c>
      <c r="M230" s="59"/>
    </row>
    <row r="231" spans="2:13" ht="17.25" customHeight="1" x14ac:dyDescent="0.3">
      <c r="B231" s="105">
        <v>44897</v>
      </c>
      <c r="C231" s="106">
        <v>1</v>
      </c>
      <c r="D231" s="107">
        <v>10</v>
      </c>
      <c r="E231" s="108">
        <v>9655</v>
      </c>
      <c r="F231" s="109">
        <v>30647302803</v>
      </c>
      <c r="G231" s="95" t="str">
        <f>IFERROR(IF(venta_a_mes9[[#This Row],[CUIT]]="","-",VLOOKUP(venta_a_mes9[[#This Row],[CUIT]],Lista_CUIT[#All],2,0)),"CUIT NO CARGADO")</f>
        <v>PERFUCOR SOCIEDAD DE RESPONSABILIDAD    LIMITADA</v>
      </c>
      <c r="H231" s="96">
        <v>18812.39</v>
      </c>
      <c r="I231" s="97">
        <f>venta_a_mes9[[#This Row],[IMPORTE NETO]]*0.21</f>
        <v>3950.6018999999997</v>
      </c>
      <c r="J231" s="61"/>
      <c r="K231" s="61"/>
      <c r="L231" s="61">
        <f>SUM(venta_a_mes9[[#This Row],[IMPORTE NETO]:[EXENTO]])</f>
        <v>22762.991900000001</v>
      </c>
      <c r="M231" s="55"/>
    </row>
    <row r="232" spans="2:13" x14ac:dyDescent="0.3">
      <c r="B232" s="105">
        <v>44897</v>
      </c>
      <c r="C232" s="106">
        <v>1</v>
      </c>
      <c r="D232" s="107">
        <v>11</v>
      </c>
      <c r="E232" s="108">
        <v>1654</v>
      </c>
      <c r="F232" s="109">
        <v>27161298285</v>
      </c>
      <c r="G232" s="95" t="str">
        <f>IFERROR(IF(venta_a_mes9[[#This Row],[CUIT]]="","-",VLOOKUP(venta_a_mes9[[#This Row],[CUIT]],Lista_CUIT[#All],2,0)),"CUIT NO CARGADO")</f>
        <v>ROLDAN MARIA CLAUDIA</v>
      </c>
      <c r="H232" s="96">
        <v>3231.41</v>
      </c>
      <c r="I232" s="97">
        <f>venta_a_mes9[[#This Row],[IMPORTE NETO]]*0.21</f>
        <v>678.59609999999998</v>
      </c>
      <c r="J232" s="61"/>
      <c r="K232" s="61"/>
      <c r="L232" s="61">
        <f>SUM(venta_a_mes9[[#This Row],[IMPORTE NETO]:[EXENTO]])</f>
        <v>3910.0060999999996</v>
      </c>
      <c r="M232" s="55"/>
    </row>
    <row r="233" spans="2:13" x14ac:dyDescent="0.3">
      <c r="B233" s="105">
        <v>44897</v>
      </c>
      <c r="C233" s="106">
        <v>1</v>
      </c>
      <c r="D233" s="107">
        <v>11</v>
      </c>
      <c r="E233" s="108">
        <v>1655</v>
      </c>
      <c r="F233" s="109">
        <v>20137363551</v>
      </c>
      <c r="G233" s="95" t="str">
        <f>IFERROR(IF(venta_a_mes9[[#This Row],[CUIT]]="","-",VLOOKUP(venta_a_mes9[[#This Row],[CUIT]],Lista_CUIT[#All],2,0)),"CUIT NO CARGADO")</f>
        <v>ELIAS JORGE ALBERTO</v>
      </c>
      <c r="H233" s="96">
        <v>14535.81</v>
      </c>
      <c r="I233" s="97">
        <f>venta_a_mes9[[#This Row],[IMPORTE NETO]]*0.21</f>
        <v>3052.5200999999997</v>
      </c>
      <c r="J233" s="61"/>
      <c r="K233" s="61"/>
      <c r="L233" s="61">
        <f>SUM(venta_a_mes9[[#This Row],[IMPORTE NETO]:[EXENTO]])</f>
        <v>17588.330099999999</v>
      </c>
      <c r="M233" s="55"/>
    </row>
    <row r="234" spans="2:13" x14ac:dyDescent="0.3">
      <c r="B234" s="105">
        <v>44898</v>
      </c>
      <c r="C234" s="106">
        <v>1</v>
      </c>
      <c r="D234" s="107">
        <v>11</v>
      </c>
      <c r="E234" s="108">
        <v>1656</v>
      </c>
      <c r="F234" s="109">
        <v>27226500338</v>
      </c>
      <c r="G234" s="95" t="str">
        <f>IFERROR(IF(venta_a_mes9[[#This Row],[CUIT]]="","-",VLOOKUP(venta_a_mes9[[#This Row],[CUIT]],Lista_CUIT[#All],2,0)),"CUIT NO CARGADO")</f>
        <v>SINGER KARINA</v>
      </c>
      <c r="H234" s="96">
        <v>16066.09</v>
      </c>
      <c r="I234" s="97">
        <f>venta_a_mes9[[#This Row],[IMPORTE NETO]]*0.21</f>
        <v>3373.8788999999997</v>
      </c>
      <c r="J234" s="61"/>
      <c r="K234" s="61"/>
      <c r="L234" s="61">
        <f>SUM(venta_a_mes9[[#This Row],[IMPORTE NETO]:[EXENTO]])</f>
        <v>19439.9689</v>
      </c>
      <c r="M234" s="55"/>
    </row>
    <row r="235" spans="2:13" x14ac:dyDescent="0.3">
      <c r="B235" s="105">
        <v>44900</v>
      </c>
      <c r="C235" s="106">
        <v>1</v>
      </c>
      <c r="D235" s="107">
        <v>10</v>
      </c>
      <c r="E235" s="108">
        <v>9656</v>
      </c>
      <c r="F235" s="109">
        <v>27061737230</v>
      </c>
      <c r="G235" s="95" t="str">
        <f>IFERROR(IF(venta_a_mes9[[#This Row],[CUIT]]="","-",VLOOKUP(venta_a_mes9[[#This Row],[CUIT]],Lista_CUIT[#All],2,0)),"CUIT NO CARGADO")</f>
        <v>LO DUCA STELLA MARIS RAMONA</v>
      </c>
      <c r="H235" s="96">
        <v>38215.910000000003</v>
      </c>
      <c r="I235" s="97">
        <f>venta_a_mes9[[#This Row],[IMPORTE NETO]]*0.21</f>
        <v>8025.3411000000006</v>
      </c>
      <c r="J235" s="61"/>
      <c r="K235" s="61"/>
      <c r="L235" s="61">
        <f>SUM(venta_a_mes9[[#This Row],[IMPORTE NETO]:[EXENTO]])</f>
        <v>46241.251100000001</v>
      </c>
      <c r="M235" s="55"/>
    </row>
    <row r="236" spans="2:13" x14ac:dyDescent="0.3">
      <c r="B236" s="105">
        <v>44900</v>
      </c>
      <c r="C236" s="106">
        <v>1</v>
      </c>
      <c r="D236" s="107">
        <v>11</v>
      </c>
      <c r="E236" s="108">
        <v>1657</v>
      </c>
      <c r="F236" s="109">
        <v>27280796552</v>
      </c>
      <c r="G236" s="95" t="str">
        <f>IFERROR(IF(venta_a_mes9[[#This Row],[CUIT]]="","-",VLOOKUP(venta_a_mes9[[#This Row],[CUIT]],Lista_CUIT[#All],2,0)),"CUIT NO CARGADO")</f>
        <v>CARRERO DANIELA SOLANGE </v>
      </c>
      <c r="H236" s="96">
        <v>9669.42</v>
      </c>
      <c r="I236" s="97">
        <f>venta_a_mes9[[#This Row],[IMPORTE NETO]]*0.21</f>
        <v>2030.5781999999999</v>
      </c>
      <c r="J236" s="61"/>
      <c r="K236" s="61"/>
      <c r="L236" s="61">
        <f>SUM(venta_a_mes9[[#This Row],[IMPORTE NETO]:[EXENTO]])</f>
        <v>11699.9982</v>
      </c>
      <c r="M236" s="55"/>
    </row>
    <row r="237" spans="2:13" x14ac:dyDescent="0.3">
      <c r="B237" s="105">
        <v>44901</v>
      </c>
      <c r="C237" s="106">
        <v>1</v>
      </c>
      <c r="D237" s="107">
        <v>10</v>
      </c>
      <c r="E237" s="108">
        <v>9657</v>
      </c>
      <c r="F237" s="109">
        <v>27256969802</v>
      </c>
      <c r="G237" s="95" t="str">
        <f>IFERROR(IF(venta_a_mes9[[#This Row],[CUIT]]="","-",VLOOKUP(venta_a_mes9[[#This Row],[CUIT]],Lista_CUIT[#All],2,0)),"CUIT NO CARGADO")</f>
        <v>Alvarez Luisa Silvana</v>
      </c>
      <c r="H237" s="96">
        <v>38512.400000000001</v>
      </c>
      <c r="I237" s="97">
        <f>venta_a_mes9[[#This Row],[IMPORTE NETO]]*0.21</f>
        <v>8087.6040000000003</v>
      </c>
      <c r="J237" s="61"/>
      <c r="K237" s="61"/>
      <c r="L237" s="61">
        <f>SUM(venta_a_mes9[[#This Row],[IMPORTE NETO]:[EXENTO]])</f>
        <v>46600.004000000001</v>
      </c>
      <c r="M237" s="55"/>
    </row>
    <row r="238" spans="2:13" x14ac:dyDescent="0.3">
      <c r="B238" s="105">
        <v>44901</v>
      </c>
      <c r="C238" s="106">
        <v>1</v>
      </c>
      <c r="D238" s="107">
        <v>10</v>
      </c>
      <c r="E238" s="108">
        <v>9658</v>
      </c>
      <c r="F238" s="109">
        <v>30717072592</v>
      </c>
      <c r="G238" s="95" t="str">
        <f>IFERROR(IF(venta_a_mes9[[#This Row],[CUIT]]="","-",VLOOKUP(venta_a_mes9[[#This Row],[CUIT]],Lista_CUIT[#All],2,0)),"CUIT NO CARGADO")</f>
        <v>DERMOESTETIC SAS</v>
      </c>
      <c r="H238" s="96">
        <v>470909.09</v>
      </c>
      <c r="I238" s="97">
        <f>venta_a_mes9[[#This Row],[IMPORTE NETO]]*0.21</f>
        <v>98890.908899999995</v>
      </c>
      <c r="J238" s="61"/>
      <c r="K238" s="61"/>
      <c r="L238" s="61">
        <f>SUM(venta_a_mes9[[#This Row],[IMPORTE NETO]:[EXENTO]])</f>
        <v>569799.99890000001</v>
      </c>
      <c r="M238" s="55"/>
    </row>
    <row r="239" spans="2:13" x14ac:dyDescent="0.3">
      <c r="B239" s="105">
        <v>44901</v>
      </c>
      <c r="C239" s="106">
        <v>1</v>
      </c>
      <c r="D239" s="107">
        <v>10</v>
      </c>
      <c r="E239" s="108">
        <v>9659</v>
      </c>
      <c r="F239" s="109">
        <v>30715629336</v>
      </c>
      <c r="G239" s="95" t="str">
        <f>IFERROR(IF(venta_a_mes9[[#This Row],[CUIT]]="","-",VLOOKUP(venta_a_mes9[[#This Row],[CUIT]],Lista_CUIT[#All],2,0)),"CUIT NO CARGADO")</f>
        <v>IRSA - GALERIAS PACIFICO S.A. UT</v>
      </c>
      <c r="H239" s="96">
        <v>37954.550000000003</v>
      </c>
      <c r="I239" s="97">
        <f>venta_a_mes9[[#This Row],[IMPORTE NETO]]*0.21</f>
        <v>7970.4555</v>
      </c>
      <c r="J239" s="61"/>
      <c r="K239" s="61"/>
      <c r="L239" s="61">
        <f>SUM(venta_a_mes9[[#This Row],[IMPORTE NETO]:[EXENTO]])</f>
        <v>45925.005499999999</v>
      </c>
      <c r="M239" s="55"/>
    </row>
    <row r="240" spans="2:13" x14ac:dyDescent="0.3">
      <c r="B240" s="105">
        <v>44901</v>
      </c>
      <c r="C240" s="106">
        <v>1</v>
      </c>
      <c r="D240" s="107">
        <v>12</v>
      </c>
      <c r="E240" s="108">
        <v>1202</v>
      </c>
      <c r="F240" s="109">
        <v>30716045028</v>
      </c>
      <c r="G240" s="95" t="str">
        <f>IFERROR(IF(venta_a_mes9[[#This Row],[CUIT]]="","-",VLOOKUP(venta_a_mes9[[#This Row],[CUIT]],Lista_CUIT[#All],2,0)),"CUIT NO CARGADO")</f>
        <v>WELLNESS ENTER SAS</v>
      </c>
      <c r="H240" s="96">
        <v>6859.52</v>
      </c>
      <c r="I240" s="97">
        <f>venta_a_mes9[[#This Row],[IMPORTE NETO]]*0.21</f>
        <v>1440.4992</v>
      </c>
      <c r="J240" s="61"/>
      <c r="K240" s="61"/>
      <c r="L240" s="61">
        <f>SUM(venta_a_mes9[[#This Row],[IMPORTE NETO]:[EXENTO]])</f>
        <v>8300.0192000000006</v>
      </c>
      <c r="M240" s="55"/>
    </row>
    <row r="241" spans="2:13" x14ac:dyDescent="0.3">
      <c r="B241" s="105">
        <v>44902</v>
      </c>
      <c r="C241" s="106">
        <v>1</v>
      </c>
      <c r="D241" s="107">
        <v>10</v>
      </c>
      <c r="E241" s="108">
        <v>9660</v>
      </c>
      <c r="F241" s="109">
        <v>27242128252</v>
      </c>
      <c r="G241" s="95" t="str">
        <f>IFERROR(IF(venta_a_mes9[[#This Row],[CUIT]]="","-",VLOOKUP(venta_a_mes9[[#This Row],[CUIT]],Lista_CUIT[#All],2,0)),"CUIT NO CARGADO")</f>
        <v>ZALEWSKI MONICA ROXANA</v>
      </c>
      <c r="H241" s="96">
        <v>110574.38</v>
      </c>
      <c r="I241" s="97">
        <f>venta_a_mes9[[#This Row],[IMPORTE NETO]]*0.21</f>
        <v>23220.6198</v>
      </c>
      <c r="J241" s="61"/>
      <c r="K241" s="61"/>
      <c r="L241" s="61">
        <f>SUM(venta_a_mes9[[#This Row],[IMPORTE NETO]:[EXENTO]])</f>
        <v>133794.99979999999</v>
      </c>
      <c r="M241" s="55"/>
    </row>
    <row r="242" spans="2:13" ht="19.2" customHeight="1" x14ac:dyDescent="0.3">
      <c r="B242" s="105">
        <v>44902</v>
      </c>
      <c r="C242" s="106">
        <v>1</v>
      </c>
      <c r="D242" s="107">
        <v>10</v>
      </c>
      <c r="E242" s="108">
        <v>9661</v>
      </c>
      <c r="F242" s="109">
        <v>27242128252</v>
      </c>
      <c r="G242" s="95" t="str">
        <f>IFERROR(IF(venta_a_mes9[[#This Row],[CUIT]]="","-",VLOOKUP(venta_a_mes9[[#This Row],[CUIT]],Lista_CUIT[#All],2,0)),"CUIT NO CARGADO")</f>
        <v>ZALEWSKI MONICA ROXANA</v>
      </c>
      <c r="H242" s="96">
        <v>33553.72</v>
      </c>
      <c r="I242" s="97">
        <f>venta_a_mes9[[#This Row],[IMPORTE NETO]]*0.21</f>
        <v>7046.2812000000004</v>
      </c>
      <c r="J242" s="61"/>
      <c r="K242" s="61"/>
      <c r="L242" s="61">
        <f>SUM(venta_a_mes9[[#This Row],[IMPORTE NETO]:[EXENTO]])</f>
        <v>40600.001199999999</v>
      </c>
      <c r="M242" s="55"/>
    </row>
    <row r="243" spans="2:13" x14ac:dyDescent="0.3">
      <c r="B243" s="105">
        <v>44902</v>
      </c>
      <c r="C243" s="106">
        <v>1</v>
      </c>
      <c r="D243" s="107">
        <v>10</v>
      </c>
      <c r="E243" s="108">
        <v>9662</v>
      </c>
      <c r="F243" s="109">
        <v>30708994924</v>
      </c>
      <c r="G243" s="95" t="str">
        <f>IFERROR(IF(venta_a_mes9[[#This Row],[CUIT]]="","-",VLOOKUP(venta_a_mes9[[#This Row],[CUIT]],Lista_CUIT[#All],2,0)),"CUIT NO CARGADO")</f>
        <v>MILANO SA</v>
      </c>
      <c r="H243" s="96">
        <v>174638.68</v>
      </c>
      <c r="I243" s="97">
        <f>venta_a_mes9[[#This Row],[IMPORTE NETO]]*0.21</f>
        <v>36674.122799999997</v>
      </c>
      <c r="J243" s="61"/>
      <c r="K243" s="61"/>
      <c r="L243" s="61">
        <f>SUM(venta_a_mes9[[#This Row],[IMPORTE NETO]:[EXENTO]])</f>
        <v>211312.8028</v>
      </c>
      <c r="M243" s="55"/>
    </row>
    <row r="244" spans="2:13" x14ac:dyDescent="0.3">
      <c r="B244" s="105">
        <v>44902</v>
      </c>
      <c r="C244" s="106">
        <v>1</v>
      </c>
      <c r="D244" s="107">
        <v>10</v>
      </c>
      <c r="E244" s="108">
        <v>9663</v>
      </c>
      <c r="F244" s="109">
        <v>30708994924</v>
      </c>
      <c r="G244" s="95" t="str">
        <f>IFERROR(IF(venta_a_mes9[[#This Row],[CUIT]]="","-",VLOOKUP(venta_a_mes9[[#This Row],[CUIT]],Lista_CUIT[#All],2,0)),"CUIT NO CARGADO")</f>
        <v>MILANO SA</v>
      </c>
      <c r="H244" s="96">
        <v>134241.32</v>
      </c>
      <c r="I244" s="97">
        <f>venta_a_mes9[[#This Row],[IMPORTE NETO]]*0.21</f>
        <v>28190.677200000002</v>
      </c>
      <c r="J244" s="61"/>
      <c r="K244" s="61"/>
      <c r="L244" s="61">
        <f>SUM(venta_a_mes9[[#This Row],[IMPORTE NETO]:[EXENTO]])</f>
        <v>162431.99720000001</v>
      </c>
      <c r="M244" s="55"/>
    </row>
    <row r="245" spans="2:13" x14ac:dyDescent="0.3">
      <c r="B245" s="105">
        <v>44902</v>
      </c>
      <c r="C245" s="106">
        <v>1</v>
      </c>
      <c r="D245" s="107">
        <v>10</v>
      </c>
      <c r="E245" s="108">
        <v>9664</v>
      </c>
      <c r="F245" s="109">
        <v>30708994924</v>
      </c>
      <c r="G245" s="95" t="str">
        <f>IFERROR(IF(venta_a_mes9[[#This Row],[CUIT]]="","-",VLOOKUP(venta_a_mes9[[#This Row],[CUIT]],Lista_CUIT[#All],2,0)),"CUIT NO CARGADO")</f>
        <v>MILANO SA</v>
      </c>
      <c r="H245" s="96">
        <v>157929.92000000001</v>
      </c>
      <c r="I245" s="97">
        <f>venta_a_mes9[[#This Row],[IMPORTE NETO]]*0.21</f>
        <v>33165.283199999998</v>
      </c>
      <c r="J245" s="61"/>
      <c r="K245" s="61"/>
      <c r="L245" s="61">
        <f>SUM(venta_a_mes9[[#This Row],[IMPORTE NETO]:[EXENTO]])</f>
        <v>191095.20320000002</v>
      </c>
      <c r="M245" s="55"/>
    </row>
    <row r="246" spans="2:13" x14ac:dyDescent="0.3">
      <c r="B246" s="105">
        <v>44902</v>
      </c>
      <c r="C246" s="106">
        <v>1</v>
      </c>
      <c r="D246" s="107">
        <v>10</v>
      </c>
      <c r="E246" s="108">
        <v>9665</v>
      </c>
      <c r="F246" s="109">
        <v>30708994924</v>
      </c>
      <c r="G246" s="95" t="str">
        <f>IFERROR(IF(venta_a_mes9[[#This Row],[CUIT]]="","-",VLOOKUP(venta_a_mes9[[#This Row],[CUIT]],Lista_CUIT[#All],2,0)),"CUIT NO CARGADO")</f>
        <v>MILANO SA</v>
      </c>
      <c r="H246" s="96">
        <v>107025.72</v>
      </c>
      <c r="I246" s="97">
        <f>venta_a_mes9[[#This Row],[IMPORTE NETO]]*0.21</f>
        <v>22475.4012</v>
      </c>
      <c r="J246" s="61"/>
      <c r="K246" s="61"/>
      <c r="L246" s="61">
        <f>SUM(venta_a_mes9[[#This Row],[IMPORTE NETO]:[EXENTO]])</f>
        <v>129501.12119999999</v>
      </c>
      <c r="M246" s="55"/>
    </row>
    <row r="247" spans="2:13" x14ac:dyDescent="0.3">
      <c r="B247" s="105">
        <v>44902</v>
      </c>
      <c r="C247" s="106">
        <v>1</v>
      </c>
      <c r="D247" s="107">
        <v>10</v>
      </c>
      <c r="E247" s="108">
        <v>9666</v>
      </c>
      <c r="F247" s="109">
        <v>30708994924</v>
      </c>
      <c r="G247" s="95" t="str">
        <f>IFERROR(IF(venta_a_mes9[[#This Row],[CUIT]]="","-",VLOOKUP(venta_a_mes9[[#This Row],[CUIT]],Lista_CUIT[#All],2,0)),"CUIT NO CARGADO")</f>
        <v>MILANO SA</v>
      </c>
      <c r="H247" s="96">
        <v>162326.28</v>
      </c>
      <c r="I247" s="97">
        <f>venta_a_mes9[[#This Row],[IMPORTE NETO]]*0.21</f>
        <v>34088.518799999998</v>
      </c>
      <c r="J247" s="61"/>
      <c r="K247" s="61"/>
      <c r="L247" s="61">
        <f>SUM(venta_a_mes9[[#This Row],[IMPORTE NETO]:[EXENTO]])</f>
        <v>196414.79879999999</v>
      </c>
      <c r="M247" s="55"/>
    </row>
    <row r="248" spans="2:13" x14ac:dyDescent="0.3">
      <c r="B248" s="105">
        <v>44902</v>
      </c>
      <c r="C248" s="106">
        <v>1</v>
      </c>
      <c r="D248" s="107">
        <v>10</v>
      </c>
      <c r="E248" s="108">
        <v>9667</v>
      </c>
      <c r="F248" s="109">
        <v>30708994924</v>
      </c>
      <c r="G248" s="95" t="str">
        <f>IFERROR(IF(venta_a_mes9[[#This Row],[CUIT]]="","-",VLOOKUP(venta_a_mes9[[#This Row],[CUIT]],Lista_CUIT[#All],2,0)),"CUIT NO CARGADO")</f>
        <v>MILANO SA</v>
      </c>
      <c r="H248" s="96">
        <v>254082.64</v>
      </c>
      <c r="I248" s="97">
        <f>venta_a_mes9[[#This Row],[IMPORTE NETO]]*0.21</f>
        <v>53357.354400000004</v>
      </c>
      <c r="J248" s="61"/>
      <c r="K248" s="61"/>
      <c r="L248" s="61">
        <f>SUM(venta_a_mes9[[#This Row],[IMPORTE NETO]:[EXENTO]])</f>
        <v>307439.99440000003</v>
      </c>
      <c r="M248" s="55"/>
    </row>
    <row r="249" spans="2:13" x14ac:dyDescent="0.3">
      <c r="B249" s="105">
        <v>44902</v>
      </c>
      <c r="C249" s="106">
        <v>1</v>
      </c>
      <c r="D249" s="107">
        <v>10</v>
      </c>
      <c r="E249" s="108">
        <v>9668</v>
      </c>
      <c r="F249" s="109">
        <v>30715119443</v>
      </c>
      <c r="G249" s="95" t="str">
        <f>IFERROR(IF(venta_a_mes9[[#This Row],[CUIT]]="","-",VLOOKUP(venta_a_mes9[[#This Row],[CUIT]],Lista_CUIT[#All],2,0)),"CUIT NO CARGADO")</f>
        <v>MORALLI ISABEL,MORALLI RENEE, CHIESA LUIS HERNAN Y INGE SOMMER</v>
      </c>
      <c r="H249" s="96">
        <v>24608.14</v>
      </c>
      <c r="I249" s="97">
        <f>venta_a_mes9[[#This Row],[IMPORTE NETO]]*0.21</f>
        <v>5167.7093999999997</v>
      </c>
      <c r="J249" s="61"/>
      <c r="K249" s="61"/>
      <c r="L249" s="61">
        <f>SUM(venta_a_mes9[[#This Row],[IMPORTE NETO]:[EXENTO]])</f>
        <v>29775.849399999999</v>
      </c>
      <c r="M249" s="55"/>
    </row>
    <row r="250" spans="2:13" x14ac:dyDescent="0.3">
      <c r="B250" s="105">
        <v>44902</v>
      </c>
      <c r="C250" s="106">
        <v>1</v>
      </c>
      <c r="D250" s="107">
        <v>10</v>
      </c>
      <c r="E250" s="108">
        <v>9669</v>
      </c>
      <c r="F250" s="109">
        <v>30712104550</v>
      </c>
      <c r="G250" s="95" t="str">
        <f>IFERROR(IF(venta_a_mes9[[#This Row],[CUIT]]="","-",VLOOKUP(venta_a_mes9[[#This Row],[CUIT]],Lista_CUIT[#All],2,0)),"CUIT NO CARGADO")</f>
        <v>EUROCOSMETICA S.A.</v>
      </c>
      <c r="H250" s="96">
        <v>49458.879999999997</v>
      </c>
      <c r="I250" s="97">
        <f>venta_a_mes9[[#This Row],[IMPORTE NETO]]*0.21</f>
        <v>10386.364799999999</v>
      </c>
      <c r="J250" s="61"/>
      <c r="K250" s="61"/>
      <c r="L250" s="61">
        <f>SUM(venta_a_mes9[[#This Row],[IMPORTE NETO]:[EXENTO]])</f>
        <v>59845.2448</v>
      </c>
      <c r="M250" s="55"/>
    </row>
    <row r="251" spans="2:13" x14ac:dyDescent="0.3">
      <c r="B251" s="105">
        <v>44902</v>
      </c>
      <c r="C251" s="106">
        <v>1</v>
      </c>
      <c r="D251" s="107">
        <v>10</v>
      </c>
      <c r="E251" s="108">
        <v>9670</v>
      </c>
      <c r="F251" s="109">
        <v>30712104550</v>
      </c>
      <c r="G251" s="95" t="str">
        <f>IFERROR(IF(venta_a_mes9[[#This Row],[CUIT]]="","-",VLOOKUP(venta_a_mes9[[#This Row],[CUIT]],Lista_CUIT[#All],2,0)),"CUIT NO CARGADO")</f>
        <v>EUROCOSMETICA S.A.</v>
      </c>
      <c r="H251" s="96">
        <v>77719.42</v>
      </c>
      <c r="I251" s="97">
        <f>venta_a_mes9[[#This Row],[IMPORTE NETO]]*0.21</f>
        <v>16321.0782</v>
      </c>
      <c r="J251" s="61"/>
      <c r="K251" s="61"/>
      <c r="L251" s="61">
        <f>SUM(venta_a_mes9[[#This Row],[IMPORTE NETO]:[EXENTO]])</f>
        <v>94040.498200000002</v>
      </c>
      <c r="M251" s="55"/>
    </row>
    <row r="252" spans="2:13" x14ac:dyDescent="0.3">
      <c r="B252" s="105">
        <v>44902</v>
      </c>
      <c r="C252" s="106">
        <v>1</v>
      </c>
      <c r="D252" s="107">
        <v>10</v>
      </c>
      <c r="E252" s="108">
        <v>9671</v>
      </c>
      <c r="F252" s="109">
        <v>30712104550</v>
      </c>
      <c r="G252" s="95" t="str">
        <f>IFERROR(IF(venta_a_mes9[[#This Row],[CUIT]]="","-",VLOOKUP(venta_a_mes9[[#This Row],[CUIT]],Lista_CUIT[#All],2,0)),"CUIT NO CARGADO")</f>
        <v>EUROCOSMETICA S.A.</v>
      </c>
      <c r="H252" s="96">
        <v>39482.769999999997</v>
      </c>
      <c r="I252" s="97">
        <f>venta_a_mes9[[#This Row],[IMPORTE NETO]]*0.21</f>
        <v>8291.3816999999999</v>
      </c>
      <c r="J252" s="61"/>
      <c r="K252" s="61"/>
      <c r="L252" s="61">
        <f>SUM(venta_a_mes9[[#This Row],[IMPORTE NETO]:[EXENTO]])</f>
        <v>47774.151699999995</v>
      </c>
      <c r="M252" s="55"/>
    </row>
    <row r="253" spans="2:13" x14ac:dyDescent="0.3">
      <c r="B253" s="105">
        <v>44902</v>
      </c>
      <c r="C253" s="106">
        <v>1</v>
      </c>
      <c r="D253" s="107">
        <v>10</v>
      </c>
      <c r="E253" s="108">
        <v>9672</v>
      </c>
      <c r="F253" s="109">
        <v>30712104550</v>
      </c>
      <c r="G253" s="95" t="str">
        <f>IFERROR(IF(venta_a_mes9[[#This Row],[CUIT]]="","-",VLOOKUP(venta_a_mes9[[#This Row],[CUIT]],Lista_CUIT[#All],2,0)),"CUIT NO CARGADO")</f>
        <v>EUROCOSMETICA S.A.</v>
      </c>
      <c r="H253" s="96">
        <v>190561.98</v>
      </c>
      <c r="I253" s="97">
        <f>venta_a_mes9[[#This Row],[IMPORTE NETO]]*0.21</f>
        <v>40018.015800000001</v>
      </c>
      <c r="J253" s="61"/>
      <c r="K253" s="61"/>
      <c r="L253" s="61">
        <f>SUM(venta_a_mes9[[#This Row],[IMPORTE NETO]:[EXENTO]])</f>
        <v>230579.9958</v>
      </c>
      <c r="M253" s="55"/>
    </row>
    <row r="254" spans="2:13" x14ac:dyDescent="0.3">
      <c r="B254" s="105">
        <v>44902</v>
      </c>
      <c r="C254" s="106">
        <v>1</v>
      </c>
      <c r="D254" s="107">
        <v>10</v>
      </c>
      <c r="E254" s="108">
        <v>9673</v>
      </c>
      <c r="F254" s="109">
        <v>30712104550</v>
      </c>
      <c r="G254" s="95" t="str">
        <f>IFERROR(IF(venta_a_mes9[[#This Row],[CUIT]]="","-",VLOOKUP(venta_a_mes9[[#This Row],[CUIT]],Lista_CUIT[#All],2,0)),"CUIT NO CARGADO")</f>
        <v>EUROCOSMETICA S.A.</v>
      </c>
      <c r="H254" s="96">
        <v>22862.82</v>
      </c>
      <c r="I254" s="97">
        <f>venta_a_mes9[[#This Row],[IMPORTE NETO]]*0.21</f>
        <v>4801.1921999999995</v>
      </c>
      <c r="J254" s="61"/>
      <c r="K254" s="61"/>
      <c r="L254" s="61">
        <f>SUM(venta_a_mes9[[#This Row],[IMPORTE NETO]:[EXENTO]])</f>
        <v>27664.012199999997</v>
      </c>
      <c r="M254" s="55"/>
    </row>
    <row r="255" spans="2:13" x14ac:dyDescent="0.3">
      <c r="B255" s="105">
        <v>44902</v>
      </c>
      <c r="C255" s="106">
        <v>1</v>
      </c>
      <c r="D255" s="107">
        <v>11</v>
      </c>
      <c r="E255" s="108">
        <v>1658</v>
      </c>
      <c r="F255" s="109">
        <v>20132857432</v>
      </c>
      <c r="G255" s="95" t="str">
        <f>IFERROR(IF(venta_a_mes9[[#This Row],[CUIT]]="","-",VLOOKUP(venta_a_mes9[[#This Row],[CUIT]],Lista_CUIT[#All],2,0)),"CUIT NO CARGADO")</f>
        <v>MELELLA ERNESTO LUIS EDUARDO</v>
      </c>
      <c r="H255" s="96">
        <v>12727.28</v>
      </c>
      <c r="I255" s="97">
        <f>venta_a_mes9[[#This Row],[IMPORTE NETO]]*0.21</f>
        <v>2672.7287999999999</v>
      </c>
      <c r="J255" s="61"/>
      <c r="K255" s="61"/>
      <c r="L255" s="61">
        <f>SUM(venta_a_mes9[[#This Row],[IMPORTE NETO]:[EXENTO]])</f>
        <v>15400.0088</v>
      </c>
      <c r="M255" s="55"/>
    </row>
    <row r="256" spans="2:13" x14ac:dyDescent="0.3">
      <c r="B256" s="105">
        <v>44902</v>
      </c>
      <c r="C256" s="106">
        <v>1</v>
      </c>
      <c r="D256" s="107">
        <v>11</v>
      </c>
      <c r="E256" s="108">
        <v>1659</v>
      </c>
      <c r="F256" s="109">
        <v>20132857432</v>
      </c>
      <c r="G256" s="95" t="str">
        <f>IFERROR(IF(venta_a_mes9[[#This Row],[CUIT]]="","-",VLOOKUP(venta_a_mes9[[#This Row],[CUIT]],Lista_CUIT[#All],2,0)),"CUIT NO CARGADO")</f>
        <v>MELELLA ERNESTO LUIS EDUARDO</v>
      </c>
      <c r="H256" s="96">
        <v>1231.4000000000001</v>
      </c>
      <c r="I256" s="97">
        <f>venta_a_mes9[[#This Row],[IMPORTE NETO]]*0.21</f>
        <v>258.59399999999999</v>
      </c>
      <c r="J256" s="61"/>
      <c r="K256" s="61"/>
      <c r="L256" s="61">
        <f>SUM(venta_a_mes9[[#This Row],[IMPORTE NETO]:[EXENTO]])</f>
        <v>1489.9940000000001</v>
      </c>
      <c r="M256" s="55"/>
    </row>
    <row r="257" spans="2:13" x14ac:dyDescent="0.3">
      <c r="B257" s="105">
        <v>44902</v>
      </c>
      <c r="C257" s="106">
        <v>1</v>
      </c>
      <c r="D257" s="107">
        <v>11</v>
      </c>
      <c r="E257" s="108">
        <v>1660</v>
      </c>
      <c r="F257" s="109">
        <v>20132857432</v>
      </c>
      <c r="G257" s="95" t="str">
        <f>IFERROR(IF(venta_a_mes9[[#This Row],[CUIT]]="","-",VLOOKUP(venta_a_mes9[[#This Row],[CUIT]],Lista_CUIT[#All],2,0)),"CUIT NO CARGADO")</f>
        <v>MELELLA ERNESTO LUIS EDUARDO</v>
      </c>
      <c r="H257" s="96">
        <v>1740.49</v>
      </c>
      <c r="I257" s="97">
        <f>venta_a_mes9[[#This Row],[IMPORTE NETO]]*0.21</f>
        <v>365.50290000000001</v>
      </c>
      <c r="J257" s="61"/>
      <c r="K257" s="61"/>
      <c r="L257" s="61">
        <f>SUM(venta_a_mes9[[#This Row],[IMPORTE NETO]:[EXENTO]])</f>
        <v>2105.9929000000002</v>
      </c>
      <c r="M257" s="55"/>
    </row>
    <row r="258" spans="2:13" x14ac:dyDescent="0.3">
      <c r="B258" s="105">
        <v>44902</v>
      </c>
      <c r="C258" s="106">
        <v>1</v>
      </c>
      <c r="D258" s="107">
        <v>12</v>
      </c>
      <c r="E258" s="108">
        <v>1203</v>
      </c>
      <c r="F258" s="109">
        <v>27394920423</v>
      </c>
      <c r="G258" s="95" t="str">
        <f>IFERROR(IF(venta_a_mes9[[#This Row],[CUIT]]="","-",VLOOKUP(venta_a_mes9[[#This Row],[CUIT]],Lista_CUIT[#All],2,0)),"CUIT NO CARGADO")</f>
        <v>CASADIO AGOSTINA</v>
      </c>
      <c r="H258" s="96">
        <v>14876.02</v>
      </c>
      <c r="I258" s="97">
        <f>venta_a_mes9[[#This Row],[IMPORTE NETO]]*0.21</f>
        <v>3123.9641999999999</v>
      </c>
      <c r="J258" s="61"/>
      <c r="K258" s="61"/>
      <c r="L258" s="61">
        <f>SUM(venta_a_mes9[[#This Row],[IMPORTE NETO]:[EXENTO]])</f>
        <v>17999.984199999999</v>
      </c>
      <c r="M258" s="55"/>
    </row>
    <row r="259" spans="2:13" x14ac:dyDescent="0.3">
      <c r="B259" s="105">
        <v>44907</v>
      </c>
      <c r="C259" s="106">
        <v>1</v>
      </c>
      <c r="D259" s="107">
        <v>10</v>
      </c>
      <c r="E259" s="108">
        <v>9674</v>
      </c>
      <c r="F259" s="109">
        <v>30711720169</v>
      </c>
      <c r="G259" s="95" t="str">
        <f>IFERROR(IF(venta_a_mes9[[#This Row],[CUIT]]="","-",VLOOKUP(venta_a_mes9[[#This Row],[CUIT]],Lista_CUIT[#All],2,0)),"CUIT NO CARGADO")</f>
        <v>KINE ESTETIC SRL</v>
      </c>
      <c r="H259" s="96">
        <v>41791.74</v>
      </c>
      <c r="I259" s="97">
        <f>venta_a_mes9[[#This Row],[IMPORTE NETO]]*0.21</f>
        <v>8776.2653999999984</v>
      </c>
      <c r="J259" s="61"/>
      <c r="K259" s="61"/>
      <c r="L259" s="61">
        <f>SUM(venta_a_mes9[[#This Row],[IMPORTE NETO]:[EXENTO]])</f>
        <v>50568.005399999995</v>
      </c>
      <c r="M259" s="55"/>
    </row>
    <row r="260" spans="2:13" x14ac:dyDescent="0.3">
      <c r="B260" s="105">
        <v>44907</v>
      </c>
      <c r="C260" s="106">
        <v>1</v>
      </c>
      <c r="D260" s="107">
        <v>10</v>
      </c>
      <c r="E260" s="108">
        <v>9675</v>
      </c>
      <c r="F260" s="109">
        <v>27141689296</v>
      </c>
      <c r="G260" s="95" t="str">
        <f>IFERROR(IF(venta_a_mes9[[#This Row],[CUIT]]="","-",VLOOKUP(venta_a_mes9[[#This Row],[CUIT]],Lista_CUIT[#All],2,0)),"CUIT NO CARGADO")</f>
        <v>FLEYTAS MONICA LILIANA</v>
      </c>
      <c r="H260" s="96">
        <v>6892.56</v>
      </c>
      <c r="I260" s="97">
        <f>venta_a_mes9[[#This Row],[IMPORTE NETO]]*0.21</f>
        <v>1447.4376</v>
      </c>
      <c r="J260" s="61"/>
      <c r="K260" s="61"/>
      <c r="L260" s="61">
        <f>SUM(venta_a_mes9[[#This Row],[IMPORTE NETO]:[EXENTO]])</f>
        <v>8339.9976000000006</v>
      </c>
      <c r="M260" s="55"/>
    </row>
    <row r="261" spans="2:13" x14ac:dyDescent="0.3">
      <c r="B261" s="105">
        <v>44908</v>
      </c>
      <c r="C261" s="106">
        <v>1</v>
      </c>
      <c r="D261" s="107">
        <v>10</v>
      </c>
      <c r="E261" s="108">
        <v>9676</v>
      </c>
      <c r="F261" s="109">
        <v>20936447113</v>
      </c>
      <c r="G261" s="95" t="str">
        <f>IFERROR(IF(venta_a_mes9[[#This Row],[CUIT]]="","-",VLOOKUP(venta_a_mes9[[#This Row],[CUIT]],Lista_CUIT[#All],2,0)),"CUIT NO CARGADO")</f>
        <v>FALCON MEIS RAMON</v>
      </c>
      <c r="H261" s="96">
        <v>27314.05</v>
      </c>
      <c r="I261" s="97">
        <f>venta_a_mes9[[#This Row],[IMPORTE NETO]]*0.21</f>
        <v>5735.9504999999999</v>
      </c>
      <c r="J261" s="61"/>
      <c r="K261" s="61"/>
      <c r="L261" s="61">
        <f>SUM(venta_a_mes9[[#This Row],[IMPORTE NETO]:[EXENTO]])</f>
        <v>33050.000500000002</v>
      </c>
      <c r="M261" s="55"/>
    </row>
    <row r="262" spans="2:13" x14ac:dyDescent="0.3">
      <c r="B262" s="105">
        <v>44908</v>
      </c>
      <c r="C262" s="106">
        <v>1</v>
      </c>
      <c r="D262" s="107">
        <v>10</v>
      </c>
      <c r="E262" s="108">
        <v>9677</v>
      </c>
      <c r="F262" s="109">
        <v>20936447113</v>
      </c>
      <c r="G262" s="95" t="str">
        <f>IFERROR(IF(venta_a_mes9[[#This Row],[CUIT]]="","-",VLOOKUP(venta_a_mes9[[#This Row],[CUIT]],Lista_CUIT[#All],2,0)),"CUIT NO CARGADO")</f>
        <v>FALCON MEIS RAMON</v>
      </c>
      <c r="H262" s="96">
        <v>475.21</v>
      </c>
      <c r="I262" s="97">
        <f>venta_a_mes9[[#This Row],[IMPORTE NETO]]*0.21</f>
        <v>99.794099999999986</v>
      </c>
      <c r="J262" s="61"/>
      <c r="K262" s="61"/>
      <c r="L262" s="61">
        <f>SUM(venta_a_mes9[[#This Row],[IMPORTE NETO]:[EXENTO]])</f>
        <v>575.00409999999999</v>
      </c>
      <c r="M262" s="55"/>
    </row>
    <row r="263" spans="2:13" x14ac:dyDescent="0.3">
      <c r="B263" s="105">
        <v>44909</v>
      </c>
      <c r="C263" s="106">
        <v>1</v>
      </c>
      <c r="D263" s="107">
        <v>10</v>
      </c>
      <c r="E263" s="108">
        <v>9678</v>
      </c>
      <c r="F263" s="109">
        <v>23269528214</v>
      </c>
      <c r="G263" s="95" t="str">
        <f>IFERROR(IF(venta_a_mes9[[#This Row],[CUIT]]="","-",VLOOKUP(venta_a_mes9[[#This Row],[CUIT]],Lista_CUIT[#All],2,0)),"CUIT NO CARGADO")</f>
        <v>VANINA ANABELLA ECHENIQUE</v>
      </c>
      <c r="H263" s="96">
        <v>42283.040000000001</v>
      </c>
      <c r="I263" s="97">
        <f>venta_a_mes9[[#This Row],[IMPORTE NETO]]*0.21</f>
        <v>8879.4383999999991</v>
      </c>
      <c r="J263" s="61"/>
      <c r="K263" s="61"/>
      <c r="L263" s="61">
        <f>SUM(venta_a_mes9[[#This Row],[IMPORTE NETO]:[EXENTO]])</f>
        <v>51162.4784</v>
      </c>
      <c r="M263" s="55"/>
    </row>
    <row r="264" spans="2:13" x14ac:dyDescent="0.3">
      <c r="B264" s="105">
        <v>44909</v>
      </c>
      <c r="C264" s="106">
        <v>1</v>
      </c>
      <c r="D264" s="107">
        <v>10</v>
      </c>
      <c r="E264" s="108">
        <v>9679</v>
      </c>
      <c r="F264" s="109">
        <v>20243351309</v>
      </c>
      <c r="G264" s="95" t="str">
        <f>IFERROR(IF(venta_a_mes9[[#This Row],[CUIT]]="","-",VLOOKUP(venta_a_mes9[[#This Row],[CUIT]],Lista_CUIT[#All],2,0)),"CUIT NO CARGADO")</f>
        <v>Silvio Jorge Giostra</v>
      </c>
      <c r="H264" s="96">
        <v>34433.85</v>
      </c>
      <c r="I264" s="97">
        <f>venta_a_mes9[[#This Row],[IMPORTE NETO]]*0.21</f>
        <v>7231.1084999999994</v>
      </c>
      <c r="J264" s="61"/>
      <c r="K264" s="61"/>
      <c r="L264" s="61">
        <f>SUM(venta_a_mes9[[#This Row],[IMPORTE NETO]:[EXENTO]])</f>
        <v>41664.958500000001</v>
      </c>
      <c r="M264" s="55"/>
    </row>
    <row r="265" spans="2:13" x14ac:dyDescent="0.3">
      <c r="B265" s="105">
        <v>44909</v>
      </c>
      <c r="C265" s="106">
        <v>1</v>
      </c>
      <c r="D265" s="107">
        <v>10</v>
      </c>
      <c r="E265" s="108">
        <v>9680</v>
      </c>
      <c r="F265" s="109">
        <v>20243351309</v>
      </c>
      <c r="G265" s="95" t="str">
        <f>IFERROR(IF(venta_a_mes9[[#This Row],[CUIT]]="","-",VLOOKUP(venta_a_mes9[[#This Row],[CUIT]],Lista_CUIT[#All],2,0)),"CUIT NO CARGADO")</f>
        <v>Silvio Jorge Giostra</v>
      </c>
      <c r="H265" s="96">
        <v>34433.85</v>
      </c>
      <c r="I265" s="97">
        <f>venta_a_mes9[[#This Row],[IMPORTE NETO]]*0.21</f>
        <v>7231.1084999999994</v>
      </c>
      <c r="J265" s="61"/>
      <c r="K265" s="61"/>
      <c r="L265" s="61">
        <f>SUM(venta_a_mes9[[#This Row],[IMPORTE NETO]:[EXENTO]])</f>
        <v>41664.958500000001</v>
      </c>
      <c r="M265" s="55"/>
    </row>
    <row r="266" spans="2:13" x14ac:dyDescent="0.3">
      <c r="B266" s="105">
        <v>44909</v>
      </c>
      <c r="C266" s="106">
        <v>1</v>
      </c>
      <c r="D266" s="107">
        <v>10</v>
      </c>
      <c r="E266" s="108">
        <v>9681</v>
      </c>
      <c r="F266" s="109">
        <v>20243351309</v>
      </c>
      <c r="G266" s="95" t="str">
        <f>IFERROR(IF(venta_a_mes9[[#This Row],[CUIT]]="","-",VLOOKUP(venta_a_mes9[[#This Row],[CUIT]],Lista_CUIT[#All],2,0)),"CUIT NO CARGADO")</f>
        <v>Silvio Jorge Giostra</v>
      </c>
      <c r="H266" s="96">
        <v>41586.78</v>
      </c>
      <c r="I266" s="97">
        <f>venta_a_mes9[[#This Row],[IMPORTE NETO]]*0.21</f>
        <v>8733.2237999999998</v>
      </c>
      <c r="J266" s="61"/>
      <c r="K266" s="61"/>
      <c r="L266" s="61">
        <f>SUM(venta_a_mes9[[#This Row],[IMPORTE NETO]:[EXENTO]])</f>
        <v>50320.003799999999</v>
      </c>
      <c r="M266" s="55"/>
    </row>
    <row r="267" spans="2:13" x14ac:dyDescent="0.3">
      <c r="B267" s="105">
        <v>44909</v>
      </c>
      <c r="C267" s="106">
        <v>1</v>
      </c>
      <c r="D267" s="107">
        <v>12</v>
      </c>
      <c r="E267" s="108">
        <v>1204</v>
      </c>
      <c r="F267" s="109">
        <v>20206005042</v>
      </c>
      <c r="G267" s="95" t="str">
        <f>IFERROR(IF(venta_a_mes9[[#This Row],[CUIT]]="","-",VLOOKUP(venta_a_mes9[[#This Row],[CUIT]],Lista_CUIT[#All],2,0)),"CUIT NO CARGADO")</f>
        <v>Damia Omar Pablo Alejandro </v>
      </c>
      <c r="H267" s="96">
        <v>1395.37</v>
      </c>
      <c r="I267" s="97">
        <f>venta_a_mes9[[#This Row],[IMPORTE NETO]]*0.21</f>
        <v>293.02769999999998</v>
      </c>
      <c r="J267" s="61"/>
      <c r="K267" s="61"/>
      <c r="L267" s="61">
        <f>SUM(venta_a_mes9[[#This Row],[IMPORTE NETO]:[EXENTO]])</f>
        <v>1688.3977</v>
      </c>
      <c r="M267" s="55"/>
    </row>
    <row r="268" spans="2:13" x14ac:dyDescent="0.3">
      <c r="B268" s="105">
        <v>44909</v>
      </c>
      <c r="C268" s="106">
        <v>1</v>
      </c>
      <c r="D268" s="107">
        <v>12</v>
      </c>
      <c r="E268" s="108">
        <v>1205</v>
      </c>
      <c r="F268" s="109">
        <v>20206005042</v>
      </c>
      <c r="G268" s="95" t="str">
        <f>IFERROR(IF(venta_a_mes9[[#This Row],[CUIT]]="","-",VLOOKUP(venta_a_mes9[[#This Row],[CUIT]],Lista_CUIT[#All],2,0)),"CUIT NO CARGADO")</f>
        <v>Damia Omar Pablo Alejandro </v>
      </c>
      <c r="H268" s="96">
        <v>28198.34</v>
      </c>
      <c r="I268" s="97">
        <f>venta_a_mes9[[#This Row],[IMPORTE NETO]]*0.21</f>
        <v>5921.6513999999997</v>
      </c>
      <c r="J268" s="61"/>
      <c r="K268" s="61"/>
      <c r="L268" s="61">
        <f>SUM(venta_a_mes9[[#This Row],[IMPORTE NETO]:[EXENTO]])</f>
        <v>34119.991399999999</v>
      </c>
      <c r="M268" s="55"/>
    </row>
    <row r="269" spans="2:13" x14ac:dyDescent="0.3">
      <c r="B269" s="105">
        <v>44910</v>
      </c>
      <c r="C269" s="106">
        <v>1</v>
      </c>
      <c r="D269" s="107">
        <v>10</v>
      </c>
      <c r="E269" s="108">
        <v>9682</v>
      </c>
      <c r="F269" s="109">
        <v>20223632719</v>
      </c>
      <c r="G269" s="95" t="str">
        <f>IFERROR(IF(venta_a_mes9[[#This Row],[CUIT]]="","-",VLOOKUP(venta_a_mes9[[#This Row],[CUIT]],Lista_CUIT[#All],2,0)),"CUIT NO CARGADO")</f>
        <v>ROMAN GABINO</v>
      </c>
      <c r="H269" s="96">
        <v>6611.57</v>
      </c>
      <c r="I269" s="97">
        <f>venta_a_mes9[[#This Row],[IMPORTE NETO]]*0.21</f>
        <v>1388.4296999999999</v>
      </c>
      <c r="J269" s="61"/>
      <c r="K269" s="61"/>
      <c r="L269" s="61">
        <f>SUM(venta_a_mes9[[#This Row],[IMPORTE NETO]:[EXENTO]])</f>
        <v>7999.9996999999994</v>
      </c>
      <c r="M269" s="55"/>
    </row>
    <row r="270" spans="2:13" x14ac:dyDescent="0.3">
      <c r="B270" s="105">
        <v>44910</v>
      </c>
      <c r="C270" s="106">
        <v>1</v>
      </c>
      <c r="D270" s="107">
        <v>10</v>
      </c>
      <c r="E270" s="108">
        <v>9683</v>
      </c>
      <c r="F270" s="109">
        <v>30717390942</v>
      </c>
      <c r="G270" s="95" t="str">
        <f>IFERROR(IF(venta_a_mes9[[#This Row],[CUIT]]="","-",VLOOKUP(venta_a_mes9[[#This Row],[CUIT]],Lista_CUIT[#All],2,0)),"CUIT NO CARGADO")</f>
        <v>CYN BELLEZA CON ESTILO S.A.</v>
      </c>
      <c r="H270" s="96">
        <v>44112.4</v>
      </c>
      <c r="I270" s="97">
        <f>venta_a_mes9[[#This Row],[IMPORTE NETO]]*0.21</f>
        <v>9263.6039999999994</v>
      </c>
      <c r="J270" s="61"/>
      <c r="K270" s="61"/>
      <c r="L270" s="61">
        <f>SUM(venta_a_mes9[[#This Row],[IMPORTE NETO]:[EXENTO]])</f>
        <v>53376.004000000001</v>
      </c>
      <c r="M270" s="55"/>
    </row>
    <row r="271" spans="2:13" x14ac:dyDescent="0.3">
      <c r="B271" s="105">
        <v>44910</v>
      </c>
      <c r="C271" s="106">
        <v>1</v>
      </c>
      <c r="D271" s="107">
        <v>10</v>
      </c>
      <c r="E271" s="108">
        <v>9684</v>
      </c>
      <c r="F271" s="109">
        <v>30715877569</v>
      </c>
      <c r="G271" s="95" t="str">
        <f>IFERROR(IF(venta_a_mes9[[#This Row],[CUIT]]="","-",VLOOKUP(venta_a_mes9[[#This Row],[CUIT]],Lista_CUIT[#All],2,0)),"CUIT NO CARGADO")</f>
        <v>PSIQUE BEAUTY S.R.L.</v>
      </c>
      <c r="H271" s="96">
        <v>23623.14</v>
      </c>
      <c r="I271" s="97">
        <f>venta_a_mes9[[#This Row],[IMPORTE NETO]]*0.21</f>
        <v>4960.8593999999994</v>
      </c>
      <c r="J271" s="61"/>
      <c r="K271" s="61"/>
      <c r="L271" s="61">
        <f>SUM(venta_a_mes9[[#This Row],[IMPORTE NETO]:[EXENTO]])</f>
        <v>28583.999400000001</v>
      </c>
      <c r="M271" s="55"/>
    </row>
    <row r="272" spans="2:13" x14ac:dyDescent="0.3">
      <c r="B272" s="105">
        <v>44910</v>
      </c>
      <c r="C272" s="106">
        <v>1</v>
      </c>
      <c r="D272" s="107">
        <v>11</v>
      </c>
      <c r="E272" s="108">
        <v>1661</v>
      </c>
      <c r="F272" s="109">
        <v>27280796552</v>
      </c>
      <c r="G272" s="95" t="str">
        <f>IFERROR(IF(venta_a_mes9[[#This Row],[CUIT]]="","-",VLOOKUP(venta_a_mes9[[#This Row],[CUIT]],Lista_CUIT[#All],2,0)),"CUIT NO CARGADO")</f>
        <v>CARRERO DANIELA SOLANGE </v>
      </c>
      <c r="H272" s="96">
        <v>29107.51</v>
      </c>
      <c r="I272" s="97">
        <f>venta_a_mes9[[#This Row],[IMPORTE NETO]]*0.21</f>
        <v>6112.5770999999995</v>
      </c>
      <c r="J272" s="61"/>
      <c r="K272" s="61"/>
      <c r="L272" s="61">
        <f>SUM(venta_a_mes9[[#This Row],[IMPORTE NETO]:[EXENTO]])</f>
        <v>35220.087099999997</v>
      </c>
      <c r="M272" s="55"/>
    </row>
    <row r="273" spans="2:13" x14ac:dyDescent="0.3">
      <c r="B273" s="105">
        <v>44911</v>
      </c>
      <c r="C273" s="106">
        <v>1</v>
      </c>
      <c r="D273" s="107">
        <v>10</v>
      </c>
      <c r="E273" s="108">
        <v>9685</v>
      </c>
      <c r="F273" s="109">
        <v>20181612410</v>
      </c>
      <c r="G273" s="95" t="str">
        <f>IFERROR(IF(venta_a_mes9[[#This Row],[CUIT]]="","-",VLOOKUP(venta_a_mes9[[#This Row],[CUIT]],Lista_CUIT[#All],2,0)),"CUIT NO CARGADO")</f>
        <v>PACCOR ANGEL LUIS</v>
      </c>
      <c r="H273" s="96">
        <v>63054.55</v>
      </c>
      <c r="I273" s="97">
        <f>venta_a_mes9[[#This Row],[IMPORTE NETO]]*0.21</f>
        <v>13241.4555</v>
      </c>
      <c r="J273" s="61"/>
      <c r="K273" s="61"/>
      <c r="L273" s="61">
        <f>SUM(venta_a_mes9[[#This Row],[IMPORTE NETO]:[EXENTO]])</f>
        <v>76296.005499999999</v>
      </c>
      <c r="M273" s="55"/>
    </row>
    <row r="274" spans="2:13" x14ac:dyDescent="0.3">
      <c r="B274" s="105">
        <v>44911</v>
      </c>
      <c r="C274" s="106">
        <v>1</v>
      </c>
      <c r="D274" s="107">
        <v>10</v>
      </c>
      <c r="E274" s="108">
        <v>9686</v>
      </c>
      <c r="F274" s="109">
        <v>30709163503</v>
      </c>
      <c r="G274" s="95" t="str">
        <f>IFERROR(IF(venta_a_mes9[[#This Row],[CUIT]]="","-",VLOOKUP(venta_a_mes9[[#This Row],[CUIT]],Lista_CUIT[#All],2,0)),"CUIT NO CARGADO")</f>
        <v>CANADEZ S.R.L.</v>
      </c>
      <c r="H274" s="96">
        <v>220590.07999999999</v>
      </c>
      <c r="I274" s="97">
        <f>venta_a_mes9[[#This Row],[IMPORTE NETO]]*0.21</f>
        <v>46323.916799999999</v>
      </c>
      <c r="J274" s="61"/>
      <c r="K274" s="61"/>
      <c r="L274" s="61">
        <f>SUM(venta_a_mes9[[#This Row],[IMPORTE NETO]:[EXENTO]])</f>
        <v>266913.99679999996</v>
      </c>
      <c r="M274" s="55"/>
    </row>
    <row r="275" spans="2:13" x14ac:dyDescent="0.3">
      <c r="B275" s="105">
        <v>44911</v>
      </c>
      <c r="C275" s="106">
        <v>1</v>
      </c>
      <c r="D275" s="107">
        <v>10</v>
      </c>
      <c r="E275" s="108">
        <v>9687</v>
      </c>
      <c r="F275" s="109">
        <v>30709163503</v>
      </c>
      <c r="G275" s="95" t="str">
        <f>IFERROR(IF(venta_a_mes9[[#This Row],[CUIT]]="","-",VLOOKUP(venta_a_mes9[[#This Row],[CUIT]],Lista_CUIT[#All],2,0)),"CUIT NO CARGADO")</f>
        <v>CANADEZ S.R.L.</v>
      </c>
      <c r="H275" s="96">
        <v>206670.58</v>
      </c>
      <c r="I275" s="97">
        <f>venta_a_mes9[[#This Row],[IMPORTE NETO]]*0.21</f>
        <v>43400.821799999998</v>
      </c>
      <c r="J275" s="61"/>
      <c r="K275" s="61"/>
      <c r="L275" s="61">
        <f>SUM(venta_a_mes9[[#This Row],[IMPORTE NETO]:[EXENTO]])</f>
        <v>250071.40179999999</v>
      </c>
      <c r="M275" s="55"/>
    </row>
    <row r="276" spans="2:13" x14ac:dyDescent="0.3">
      <c r="B276" s="105">
        <v>44911</v>
      </c>
      <c r="C276" s="106">
        <v>1</v>
      </c>
      <c r="D276" s="107">
        <v>10</v>
      </c>
      <c r="E276" s="108">
        <v>9688</v>
      </c>
      <c r="F276" s="109">
        <v>30707950990</v>
      </c>
      <c r="G276" s="95" t="str">
        <f>IFERROR(IF(venta_a_mes9[[#This Row],[CUIT]]="","-",VLOOKUP(venta_a_mes9[[#This Row],[CUIT]],Lista_CUIT[#All],2,0)),"CUIT NO CARGADO")</f>
        <v>PHARMAPROJECTS SA</v>
      </c>
      <c r="H276" s="96">
        <v>6748.76</v>
      </c>
      <c r="I276" s="97">
        <f>venta_a_mes9[[#This Row],[IMPORTE NETO]]*0.21</f>
        <v>1417.2395999999999</v>
      </c>
      <c r="J276" s="61"/>
      <c r="K276" s="61"/>
      <c r="L276" s="61">
        <f>SUM(venta_a_mes9[[#This Row],[IMPORTE NETO]:[EXENTO]])</f>
        <v>8165.9996000000001</v>
      </c>
      <c r="M276" s="55"/>
    </row>
    <row r="277" spans="2:13" x14ac:dyDescent="0.3">
      <c r="B277" s="105">
        <v>44911</v>
      </c>
      <c r="C277" s="106">
        <v>1</v>
      </c>
      <c r="D277" s="107">
        <v>11</v>
      </c>
      <c r="E277" s="108">
        <v>1662</v>
      </c>
      <c r="F277" s="109">
        <v>27226500338</v>
      </c>
      <c r="G277" s="95" t="str">
        <f>IFERROR(IF(venta_a_mes9[[#This Row],[CUIT]]="","-",VLOOKUP(venta_a_mes9[[#This Row],[CUIT]],Lista_CUIT[#All],2,0)),"CUIT NO CARGADO")</f>
        <v>SINGER KARINA</v>
      </c>
      <c r="H277" s="96">
        <v>33892.559999999998</v>
      </c>
      <c r="I277" s="97">
        <f>venta_a_mes9[[#This Row],[IMPORTE NETO]]*0.21</f>
        <v>7117.4375999999993</v>
      </c>
      <c r="J277" s="61"/>
      <c r="K277" s="61"/>
      <c r="L277" s="61">
        <f>SUM(venta_a_mes9[[#This Row],[IMPORTE NETO]:[EXENTO]])</f>
        <v>41009.997599999995</v>
      </c>
      <c r="M277" s="55"/>
    </row>
    <row r="278" spans="2:13" x14ac:dyDescent="0.3">
      <c r="B278" s="105">
        <v>44911</v>
      </c>
      <c r="C278" s="106">
        <v>1</v>
      </c>
      <c r="D278" s="107">
        <v>11</v>
      </c>
      <c r="E278" s="108">
        <v>1663</v>
      </c>
      <c r="F278" s="109">
        <v>27226500338</v>
      </c>
      <c r="G278" s="95" t="str">
        <f>IFERROR(IF(venta_a_mes9[[#This Row],[CUIT]]="","-",VLOOKUP(venta_a_mes9[[#This Row],[CUIT]],Lista_CUIT[#All],2,0)),"CUIT NO CARGADO")</f>
        <v>SINGER KARINA</v>
      </c>
      <c r="H278" s="96">
        <v>15024.82</v>
      </c>
      <c r="I278" s="97">
        <f>venta_a_mes9[[#This Row],[IMPORTE NETO]]*0.21</f>
        <v>3155.2121999999999</v>
      </c>
      <c r="J278" s="61"/>
      <c r="K278" s="61"/>
      <c r="L278" s="61">
        <f>SUM(venta_a_mes9[[#This Row],[IMPORTE NETO]:[EXENTO]])</f>
        <v>18180.032200000001</v>
      </c>
      <c r="M278" s="55"/>
    </row>
    <row r="279" spans="2:13" x14ac:dyDescent="0.3">
      <c r="B279" s="105">
        <v>44912</v>
      </c>
      <c r="C279" s="106">
        <v>1</v>
      </c>
      <c r="D279" s="107">
        <v>10</v>
      </c>
      <c r="E279" s="108">
        <v>9689</v>
      </c>
      <c r="F279" s="109">
        <v>27327364567</v>
      </c>
      <c r="G279" s="95" t="str">
        <f>IFERROR(IF(venta_a_mes9[[#This Row],[CUIT]]="","-",VLOOKUP(venta_a_mes9[[#This Row],[CUIT]],Lista_CUIT[#All],2,0)),"CUIT NO CARGADO")</f>
        <v>CENTURION, Maria</v>
      </c>
      <c r="H279" s="96">
        <v>5206.6099999999997</v>
      </c>
      <c r="I279" s="97">
        <f>venta_a_mes9[[#This Row],[IMPORTE NETO]]*0.21</f>
        <v>1093.3880999999999</v>
      </c>
      <c r="J279" s="61"/>
      <c r="K279" s="61"/>
      <c r="L279" s="61">
        <f>SUM(venta_a_mes9[[#This Row],[IMPORTE NETO]:[EXENTO]])</f>
        <v>6299.9980999999998</v>
      </c>
      <c r="M279" s="55"/>
    </row>
    <row r="280" spans="2:13" x14ac:dyDescent="0.3">
      <c r="B280" s="105">
        <v>44912</v>
      </c>
      <c r="C280" s="106">
        <v>1</v>
      </c>
      <c r="D280" s="107">
        <v>10</v>
      </c>
      <c r="E280" s="108">
        <v>9690</v>
      </c>
      <c r="F280" s="109">
        <v>27327364567</v>
      </c>
      <c r="G280" s="95" t="str">
        <f>IFERROR(IF(venta_a_mes9[[#This Row],[CUIT]]="","-",VLOOKUP(venta_a_mes9[[#This Row],[CUIT]],Lista_CUIT[#All],2,0)),"CUIT NO CARGADO")</f>
        <v>CENTURION, Maria</v>
      </c>
      <c r="H280" s="96">
        <v>9818.18</v>
      </c>
      <c r="I280" s="97">
        <f>venta_a_mes9[[#This Row],[IMPORTE NETO]]*0.21</f>
        <v>2061.8177999999998</v>
      </c>
      <c r="J280" s="61"/>
      <c r="K280" s="61"/>
      <c r="L280" s="61">
        <f>SUM(venta_a_mes9[[#This Row],[IMPORTE NETO]:[EXENTO]])</f>
        <v>11879.997800000001</v>
      </c>
      <c r="M280" s="55"/>
    </row>
    <row r="281" spans="2:13" x14ac:dyDescent="0.3">
      <c r="B281" s="105">
        <v>44912</v>
      </c>
      <c r="C281" s="106">
        <v>1</v>
      </c>
      <c r="D281" s="107">
        <v>13</v>
      </c>
      <c r="E281" s="108">
        <v>1092</v>
      </c>
      <c r="F281" s="109">
        <v>27059572666</v>
      </c>
      <c r="G281" s="95" t="str">
        <f>IFERROR(IF(venta_a_mes9[[#This Row],[CUIT]]="","-",VLOOKUP(venta_a_mes9[[#This Row],[CUIT]],Lista_CUIT[#All],2,0)),"CUIT NO CARGADO")</f>
        <v>ALEVATTO STELLA MARIS </v>
      </c>
      <c r="H281" s="96">
        <v>6148.76</v>
      </c>
      <c r="I281" s="97">
        <f>venta_a_mes9[[#This Row],[IMPORTE NETO]]*0.21</f>
        <v>1291.2396000000001</v>
      </c>
      <c r="J281" s="61"/>
      <c r="K281" s="61"/>
      <c r="L281" s="61">
        <f>SUM(venta_a_mes9[[#This Row],[IMPORTE NETO]:[EXENTO]])</f>
        <v>7439.9996000000001</v>
      </c>
      <c r="M281" s="55"/>
    </row>
    <row r="282" spans="2:13" x14ac:dyDescent="0.3">
      <c r="B282" s="105">
        <v>44914</v>
      </c>
      <c r="C282" s="106">
        <v>1</v>
      </c>
      <c r="D282" s="107">
        <v>10</v>
      </c>
      <c r="E282" s="108">
        <v>9691</v>
      </c>
      <c r="F282" s="109">
        <v>27263243116</v>
      </c>
      <c r="G282" s="95" t="str">
        <f>IFERROR(IF(venta_a_mes9[[#This Row],[CUIT]]="","-",VLOOKUP(venta_a_mes9[[#This Row],[CUIT]],Lista_CUIT[#All],2,0)),"CUIT NO CARGADO")</f>
        <v>VERA CARINA ALEJANDRA</v>
      </c>
      <c r="H282" s="96">
        <v>53613.22</v>
      </c>
      <c r="I282" s="97">
        <f>venta_a_mes9[[#This Row],[IMPORTE NETO]]*0.21</f>
        <v>11258.7762</v>
      </c>
      <c r="J282" s="61"/>
      <c r="K282" s="61"/>
      <c r="L282" s="61">
        <f>SUM(venta_a_mes9[[#This Row],[IMPORTE NETO]:[EXENTO]])</f>
        <v>64871.996200000001</v>
      </c>
      <c r="M282" s="55"/>
    </row>
    <row r="283" spans="2:13" x14ac:dyDescent="0.3">
      <c r="B283" s="105">
        <v>44914</v>
      </c>
      <c r="C283" s="106">
        <v>1</v>
      </c>
      <c r="D283" s="107">
        <v>10</v>
      </c>
      <c r="E283" s="108">
        <v>9692</v>
      </c>
      <c r="F283" s="109">
        <v>27327364567</v>
      </c>
      <c r="G283" s="95" t="str">
        <f>IFERROR(IF(venta_a_mes9[[#This Row],[CUIT]]="","-",VLOOKUP(venta_a_mes9[[#This Row],[CUIT]],Lista_CUIT[#All],2,0)),"CUIT NO CARGADO")</f>
        <v>CENTURION, Maria</v>
      </c>
      <c r="H283" s="96">
        <v>67239.67</v>
      </c>
      <c r="I283" s="97">
        <f>venta_a_mes9[[#This Row],[IMPORTE NETO]]*0.21</f>
        <v>14120.330699999999</v>
      </c>
      <c r="J283" s="61"/>
      <c r="K283" s="61"/>
      <c r="L283" s="61">
        <f>SUM(venta_a_mes9[[#This Row],[IMPORTE NETO]:[EXENTO]])</f>
        <v>81360.000700000004</v>
      </c>
      <c r="M283" s="55"/>
    </row>
    <row r="284" spans="2:13" x14ac:dyDescent="0.3">
      <c r="B284" s="105">
        <v>44914</v>
      </c>
      <c r="C284" s="106">
        <v>1</v>
      </c>
      <c r="D284" s="107">
        <v>13</v>
      </c>
      <c r="E284" s="108">
        <v>1093</v>
      </c>
      <c r="F284" s="109">
        <v>30710144830</v>
      </c>
      <c r="G284" s="95" t="str">
        <f>IFERROR(IF(venta_a_mes9[[#This Row],[CUIT]]="","-",VLOOKUP(venta_a_mes9[[#This Row],[CUIT]],Lista_CUIT[#All],2,0)),"CUIT NO CARGADO")</f>
        <v>SEGURA HARO OMAR Y JARA FERNANDEZ MIRYAM S.H.</v>
      </c>
      <c r="H284" s="96">
        <v>2148.7600000000002</v>
      </c>
      <c r="I284" s="97">
        <f>venta_a_mes9[[#This Row],[IMPORTE NETO]]*0.21</f>
        <v>451.23960000000005</v>
      </c>
      <c r="J284" s="61"/>
      <c r="K284" s="61"/>
      <c r="L284" s="61">
        <f>SUM(venta_a_mes9[[#This Row],[IMPORTE NETO]:[EXENTO]])</f>
        <v>2599.9996000000001</v>
      </c>
      <c r="M284" s="55"/>
    </row>
    <row r="285" spans="2:13" x14ac:dyDescent="0.3">
      <c r="B285" s="105">
        <v>44915</v>
      </c>
      <c r="C285" s="106">
        <v>1</v>
      </c>
      <c r="D285" s="107">
        <v>10</v>
      </c>
      <c r="E285" s="108">
        <v>9693</v>
      </c>
      <c r="F285" s="109">
        <v>23269528214</v>
      </c>
      <c r="G285" s="95" t="str">
        <f>IFERROR(IF(venta_a_mes9[[#This Row],[CUIT]]="","-",VLOOKUP(venta_a_mes9[[#This Row],[CUIT]],Lista_CUIT[#All],2,0)),"CUIT NO CARGADO")</f>
        <v>VANINA ANABELLA ECHENIQUE</v>
      </c>
      <c r="H285" s="96">
        <v>54126.53</v>
      </c>
      <c r="I285" s="97">
        <f>venta_a_mes9[[#This Row],[IMPORTE NETO]]*0.21</f>
        <v>11366.5713</v>
      </c>
      <c r="J285" s="61"/>
      <c r="K285" s="61"/>
      <c r="L285" s="61">
        <f>SUM(venta_a_mes9[[#This Row],[IMPORTE NETO]:[EXENTO]])</f>
        <v>65493.101299999995</v>
      </c>
      <c r="M285" s="55"/>
    </row>
    <row r="286" spans="2:13" x14ac:dyDescent="0.3">
      <c r="B286" s="105">
        <v>44915</v>
      </c>
      <c r="C286" s="106">
        <v>1</v>
      </c>
      <c r="D286" s="107">
        <v>10</v>
      </c>
      <c r="E286" s="108">
        <v>9694</v>
      </c>
      <c r="F286" s="109">
        <v>27944761859</v>
      </c>
      <c r="G286" s="95" t="str">
        <f>IFERROR(IF(venta_a_mes9[[#This Row],[CUIT]]="","-",VLOOKUP(venta_a_mes9[[#This Row],[CUIT]],Lista_CUIT[#All],2,0)),"CUIT NO CARGADO")</f>
        <v>ORTIZ MENDEZ LUZ MARINA</v>
      </c>
      <c r="H286" s="96">
        <v>10677.69</v>
      </c>
      <c r="I286" s="97">
        <f>venta_a_mes9[[#This Row],[IMPORTE NETO]]*0.21</f>
        <v>2242.3148999999999</v>
      </c>
      <c r="J286" s="61"/>
      <c r="K286" s="61"/>
      <c r="L286" s="61">
        <f>SUM(venta_a_mes9[[#This Row],[IMPORTE NETO]:[EXENTO]])</f>
        <v>12920.0049</v>
      </c>
      <c r="M286" s="55"/>
    </row>
    <row r="287" spans="2:13" x14ac:dyDescent="0.3">
      <c r="B287" s="105">
        <v>44915</v>
      </c>
      <c r="C287" s="106">
        <v>1</v>
      </c>
      <c r="D287" s="107">
        <v>10</v>
      </c>
      <c r="E287" s="108">
        <v>9695</v>
      </c>
      <c r="F287" s="109">
        <v>20223632719</v>
      </c>
      <c r="G287" s="95" t="str">
        <f>IFERROR(IF(venta_a_mes9[[#This Row],[CUIT]]="","-",VLOOKUP(venta_a_mes9[[#This Row],[CUIT]],Lista_CUIT[#All],2,0)),"CUIT NO CARGADO")</f>
        <v>ROMAN GABINO</v>
      </c>
      <c r="H287" s="96">
        <v>4899.17</v>
      </c>
      <c r="I287" s="97">
        <f>venta_a_mes9[[#This Row],[IMPORTE NETO]]*0.21</f>
        <v>1028.8256999999999</v>
      </c>
      <c r="J287" s="61"/>
      <c r="K287" s="61"/>
      <c r="L287" s="61">
        <f>SUM(venta_a_mes9[[#This Row],[IMPORTE NETO]:[EXENTO]])</f>
        <v>5927.9956999999995</v>
      </c>
      <c r="M287" s="55"/>
    </row>
    <row r="288" spans="2:13" x14ac:dyDescent="0.3">
      <c r="B288" s="105">
        <v>44916</v>
      </c>
      <c r="C288" s="106">
        <v>1</v>
      </c>
      <c r="D288" s="107">
        <v>10</v>
      </c>
      <c r="E288" s="108">
        <v>9696</v>
      </c>
      <c r="F288" s="109">
        <v>30712104550</v>
      </c>
      <c r="G288" s="95" t="str">
        <f>IFERROR(IF(venta_a_mes9[[#This Row],[CUIT]]="","-",VLOOKUP(venta_a_mes9[[#This Row],[CUIT]],Lista_CUIT[#All],2,0)),"CUIT NO CARGADO")</f>
        <v>EUROCOSMETICA S.A.</v>
      </c>
      <c r="H288" s="96">
        <v>178997.85</v>
      </c>
      <c r="I288" s="97">
        <f>venta_a_mes9[[#This Row],[IMPORTE NETO]]*0.21</f>
        <v>37589.548499999997</v>
      </c>
      <c r="J288" s="61"/>
      <c r="K288" s="61"/>
      <c r="L288" s="61">
        <f>SUM(venta_a_mes9[[#This Row],[IMPORTE NETO]:[EXENTO]])</f>
        <v>216587.39850000001</v>
      </c>
      <c r="M288" s="55"/>
    </row>
    <row r="289" spans="2:13" x14ac:dyDescent="0.3">
      <c r="B289" s="105">
        <v>44916</v>
      </c>
      <c r="C289" s="106">
        <v>1</v>
      </c>
      <c r="D289" s="107">
        <v>10</v>
      </c>
      <c r="E289" s="108">
        <v>9697</v>
      </c>
      <c r="F289" s="109">
        <v>30712104550</v>
      </c>
      <c r="G289" s="95" t="str">
        <f>IFERROR(IF(venta_a_mes9[[#This Row],[CUIT]]="","-",VLOOKUP(venta_a_mes9[[#This Row],[CUIT]],Lista_CUIT[#All],2,0)),"CUIT NO CARGADO")</f>
        <v>EUROCOSMETICA S.A.</v>
      </c>
      <c r="H289" s="96">
        <v>21221.5</v>
      </c>
      <c r="I289" s="97">
        <f>venta_a_mes9[[#This Row],[IMPORTE NETO]]*0.21</f>
        <v>4456.5149999999994</v>
      </c>
      <c r="J289" s="61"/>
      <c r="K289" s="61"/>
      <c r="L289" s="61">
        <f>SUM(venta_a_mes9[[#This Row],[IMPORTE NETO]:[EXENTO]])</f>
        <v>25678.014999999999</v>
      </c>
      <c r="M289" s="55"/>
    </row>
    <row r="290" spans="2:13" x14ac:dyDescent="0.3">
      <c r="B290" s="105">
        <v>44916</v>
      </c>
      <c r="C290" s="106">
        <v>1</v>
      </c>
      <c r="D290" s="107">
        <v>10</v>
      </c>
      <c r="E290" s="108">
        <v>9698</v>
      </c>
      <c r="F290" s="109">
        <v>30711428514</v>
      </c>
      <c r="G290" s="95" t="str">
        <f>IFERROR(IF(venta_a_mes9[[#This Row],[CUIT]]="","-",VLOOKUP(venta_a_mes9[[#This Row],[CUIT]],Lista_CUIT[#All],2,0)),"CUIT NO CARGADO")</f>
        <v>JABONES Y FRAGANCIAS S.A</v>
      </c>
      <c r="H290" s="96">
        <v>10200</v>
      </c>
      <c r="I290" s="97">
        <f>venta_a_mes9[[#This Row],[IMPORTE NETO]]*0.21</f>
        <v>2142</v>
      </c>
      <c r="J290" s="61"/>
      <c r="K290" s="61"/>
      <c r="L290" s="61">
        <f>SUM(venta_a_mes9[[#This Row],[IMPORTE NETO]:[EXENTO]])</f>
        <v>12342</v>
      </c>
      <c r="M290" s="55"/>
    </row>
    <row r="291" spans="2:13" x14ac:dyDescent="0.3">
      <c r="B291" s="105">
        <v>44916</v>
      </c>
      <c r="C291" s="106">
        <v>1</v>
      </c>
      <c r="D291" s="107">
        <v>12</v>
      </c>
      <c r="E291" s="108">
        <v>1206</v>
      </c>
      <c r="F291" s="109">
        <v>30716087588</v>
      </c>
      <c r="G291" s="95" t="str">
        <f>IFERROR(IF(venta_a_mes9[[#This Row],[CUIT]]="","-",VLOOKUP(venta_a_mes9[[#This Row],[CUIT]],Lista_CUIT[#All],2,0)),"CUIT NO CARGADO")</f>
        <v>THE BEAUTY PLACE S.A.S.</v>
      </c>
      <c r="H291" s="96">
        <v>9314.8799999999992</v>
      </c>
      <c r="I291" s="97">
        <f>venta_a_mes9[[#This Row],[IMPORTE NETO]]*0.21</f>
        <v>1956.1247999999998</v>
      </c>
      <c r="J291" s="61"/>
      <c r="K291" s="61"/>
      <c r="L291" s="61">
        <f>SUM(venta_a_mes9[[#This Row],[IMPORTE NETO]:[EXENTO]])</f>
        <v>11271.004799999999</v>
      </c>
      <c r="M291" s="55"/>
    </row>
    <row r="292" spans="2:13" x14ac:dyDescent="0.3">
      <c r="B292" s="105">
        <v>44916</v>
      </c>
      <c r="C292" s="106">
        <v>1</v>
      </c>
      <c r="D292" s="107">
        <v>13</v>
      </c>
      <c r="E292" s="108">
        <v>1094</v>
      </c>
      <c r="F292" s="109">
        <v>20311934873</v>
      </c>
      <c r="G292" s="95" t="str">
        <f>IFERROR(IF(venta_a_mes9[[#This Row],[CUIT]]="","-",VLOOKUP(venta_a_mes9[[#This Row],[CUIT]],Lista_CUIT[#All],2,0)),"CUIT NO CARGADO")</f>
        <v>ANNA JOSE ELIAS</v>
      </c>
      <c r="H292" s="96">
        <v>6471.1</v>
      </c>
      <c r="I292" s="97">
        <f>venta_a_mes9[[#This Row],[IMPORTE NETO]]*0.21</f>
        <v>1358.931</v>
      </c>
      <c r="J292" s="61"/>
      <c r="K292" s="61"/>
      <c r="L292" s="61">
        <f>SUM(venta_a_mes9[[#This Row],[IMPORTE NETO]:[EXENTO]])</f>
        <v>7830.0310000000009</v>
      </c>
      <c r="M292" s="55"/>
    </row>
    <row r="293" spans="2:13" x14ac:dyDescent="0.3">
      <c r="B293" s="105">
        <v>44917</v>
      </c>
      <c r="C293" s="106">
        <v>1</v>
      </c>
      <c r="D293" s="107">
        <v>10</v>
      </c>
      <c r="E293" s="108">
        <v>9699</v>
      </c>
      <c r="F293" s="109">
        <v>20223632719</v>
      </c>
      <c r="G293" s="95" t="str">
        <f>IFERROR(IF(venta_a_mes9[[#This Row],[CUIT]]="","-",VLOOKUP(venta_a_mes9[[#This Row],[CUIT]],Lista_CUIT[#All],2,0)),"CUIT NO CARGADO")</f>
        <v>ROMAN GABINO</v>
      </c>
      <c r="H293" s="96">
        <v>8893.39</v>
      </c>
      <c r="I293" s="97">
        <f>venta_a_mes9[[#This Row],[IMPORTE NETO]]*0.21</f>
        <v>1867.6118999999999</v>
      </c>
      <c r="J293" s="61"/>
      <c r="K293" s="61"/>
      <c r="L293" s="61">
        <f>SUM(venta_a_mes9[[#This Row],[IMPORTE NETO]:[EXENTO]])</f>
        <v>10761.001899999999</v>
      </c>
      <c r="M293" s="55"/>
    </row>
    <row r="294" spans="2:13" x14ac:dyDescent="0.3">
      <c r="B294" s="105">
        <v>44917</v>
      </c>
      <c r="C294" s="106">
        <v>1</v>
      </c>
      <c r="D294" s="107">
        <v>10</v>
      </c>
      <c r="E294" s="108">
        <v>9700</v>
      </c>
      <c r="F294" s="109">
        <v>27234905924</v>
      </c>
      <c r="G294" s="95" t="str">
        <f>IFERROR(IF(venta_a_mes9[[#This Row],[CUIT]]="","-",VLOOKUP(venta_a_mes9[[#This Row],[CUIT]],Lista_CUIT[#All],2,0)),"CUIT NO CARGADO")</f>
        <v>SANTORELLI CARLA</v>
      </c>
      <c r="H294" s="96">
        <v>68793.31</v>
      </c>
      <c r="I294" s="97">
        <f>venta_a_mes9[[#This Row],[IMPORTE NETO]]*0.21</f>
        <v>14446.595099999999</v>
      </c>
      <c r="J294" s="61"/>
      <c r="K294" s="61"/>
      <c r="L294" s="61">
        <f>SUM(venta_a_mes9[[#This Row],[IMPORTE NETO]:[EXENTO]])</f>
        <v>83239.905100000004</v>
      </c>
      <c r="M294" s="55"/>
    </row>
    <row r="295" spans="2:13" x14ac:dyDescent="0.3">
      <c r="B295" s="105">
        <v>44917</v>
      </c>
      <c r="C295" s="106">
        <v>1</v>
      </c>
      <c r="D295" s="107">
        <v>12</v>
      </c>
      <c r="E295" s="108">
        <v>1207</v>
      </c>
      <c r="F295" s="109">
        <v>27175380146</v>
      </c>
      <c r="G295" s="95" t="str">
        <f>IFERROR(IF(venta_a_mes9[[#This Row],[CUIT]]="","-",VLOOKUP(venta_a_mes9[[#This Row],[CUIT]],Lista_CUIT[#All],2,0)),"CUIT NO CARGADO")</f>
        <v>CALICCHIO MARIA ANDREA</v>
      </c>
      <c r="H295" s="96">
        <v>19401.689999999999</v>
      </c>
      <c r="I295" s="97">
        <f>venta_a_mes9[[#This Row],[IMPORTE NETO]]*0.21</f>
        <v>4074.3548999999994</v>
      </c>
      <c r="J295" s="61"/>
      <c r="K295" s="61"/>
      <c r="L295" s="61">
        <f>SUM(venta_a_mes9[[#This Row],[IMPORTE NETO]:[EXENTO]])</f>
        <v>23476.044899999997</v>
      </c>
      <c r="M295" s="55"/>
    </row>
    <row r="296" spans="2:13" x14ac:dyDescent="0.3">
      <c r="B296" s="105">
        <v>44918</v>
      </c>
      <c r="C296" s="106">
        <v>1</v>
      </c>
      <c r="D296" s="107">
        <v>10</v>
      </c>
      <c r="E296" s="108">
        <v>9701</v>
      </c>
      <c r="F296" s="109">
        <v>20218363807</v>
      </c>
      <c r="G296" s="95" t="str">
        <f>IFERROR(IF(venta_a_mes9[[#This Row],[CUIT]]="","-",VLOOKUP(venta_a_mes9[[#This Row],[CUIT]],Lista_CUIT[#All],2,0)),"CUIT NO CARGADO")</f>
        <v>BEIGBEDER LUIS PABLO</v>
      </c>
      <c r="H296" s="96">
        <v>2578.5100000000002</v>
      </c>
      <c r="I296" s="97">
        <f>venta_a_mes9[[#This Row],[IMPORTE NETO]]*0.21</f>
        <v>541.48710000000005</v>
      </c>
      <c r="J296" s="61"/>
      <c r="K296" s="61"/>
      <c r="L296" s="61">
        <f>SUM(venta_a_mes9[[#This Row],[IMPORTE NETO]:[EXENTO]])</f>
        <v>3119.9971000000005</v>
      </c>
      <c r="M296" s="55"/>
    </row>
    <row r="297" spans="2:13" x14ac:dyDescent="0.3">
      <c r="B297" s="105">
        <v>44918</v>
      </c>
      <c r="C297" s="106">
        <v>1</v>
      </c>
      <c r="D297" s="107">
        <v>10</v>
      </c>
      <c r="E297" s="108">
        <v>9702</v>
      </c>
      <c r="F297" s="109">
        <v>27141689296</v>
      </c>
      <c r="G297" s="95" t="str">
        <f>IFERROR(IF(venta_a_mes9[[#This Row],[CUIT]]="","-",VLOOKUP(venta_a_mes9[[#This Row],[CUIT]],Lista_CUIT[#All],2,0)),"CUIT NO CARGADO")</f>
        <v>FLEYTAS MONICA LILIANA</v>
      </c>
      <c r="H297" s="96">
        <v>7140.5</v>
      </c>
      <c r="I297" s="97">
        <f>venta_a_mes9[[#This Row],[IMPORTE NETO]]*0.21</f>
        <v>1499.5049999999999</v>
      </c>
      <c r="J297" s="61"/>
      <c r="K297" s="61"/>
      <c r="L297" s="61">
        <f>SUM(venta_a_mes9[[#This Row],[IMPORTE NETO]:[EXENTO]])</f>
        <v>8640.0049999999992</v>
      </c>
      <c r="M297" s="55"/>
    </row>
    <row r="298" spans="2:13" x14ac:dyDescent="0.3">
      <c r="B298" s="105">
        <v>44918</v>
      </c>
      <c r="C298" s="106">
        <v>1</v>
      </c>
      <c r="D298" s="107">
        <v>10</v>
      </c>
      <c r="E298" s="108">
        <v>9703</v>
      </c>
      <c r="F298" s="109">
        <v>20223632719</v>
      </c>
      <c r="G298" s="95" t="str">
        <f>IFERROR(IF(venta_a_mes9[[#This Row],[CUIT]]="","-",VLOOKUP(venta_a_mes9[[#This Row],[CUIT]],Lista_CUIT[#All],2,0)),"CUIT NO CARGADO")</f>
        <v>ROMAN GABINO</v>
      </c>
      <c r="H298" s="96">
        <v>7165.29</v>
      </c>
      <c r="I298" s="97">
        <f>venta_a_mes9[[#This Row],[IMPORTE NETO]]*0.21</f>
        <v>1504.7109</v>
      </c>
      <c r="J298" s="61"/>
      <c r="K298" s="61"/>
      <c r="L298" s="61">
        <f>SUM(venta_a_mes9[[#This Row],[IMPORTE NETO]:[EXENTO]])</f>
        <v>8670.0008999999991</v>
      </c>
      <c r="M298" s="55"/>
    </row>
    <row r="299" spans="2:13" x14ac:dyDescent="0.3">
      <c r="B299" s="105">
        <v>44918</v>
      </c>
      <c r="C299" s="106">
        <v>1</v>
      </c>
      <c r="D299" s="107">
        <v>12</v>
      </c>
      <c r="E299" s="108">
        <v>1208</v>
      </c>
      <c r="F299" s="109">
        <v>30715705946</v>
      </c>
      <c r="G299" s="95" t="str">
        <f>IFERROR(IF(venta_a_mes9[[#This Row],[CUIT]]="","-",VLOOKUP(venta_a_mes9[[#This Row],[CUIT]],Lista_CUIT[#All],2,0)),"CUIT NO CARGADO")</f>
        <v>MEDICINA Y ARTE S.R.L.</v>
      </c>
      <c r="H299" s="96">
        <v>10942.17</v>
      </c>
      <c r="I299" s="97">
        <f>venta_a_mes9[[#This Row],[IMPORTE NETO]]*0.21</f>
        <v>2297.8557000000001</v>
      </c>
      <c r="J299" s="61"/>
      <c r="K299" s="61"/>
      <c r="L299" s="61">
        <f>SUM(venta_a_mes9[[#This Row],[IMPORTE NETO]:[EXENTO]])</f>
        <v>13240.0257</v>
      </c>
      <c r="M299" s="55"/>
    </row>
    <row r="300" spans="2:13" x14ac:dyDescent="0.3">
      <c r="B300" s="105">
        <v>44918</v>
      </c>
      <c r="C300" s="106">
        <v>1</v>
      </c>
      <c r="D300" s="107">
        <v>13</v>
      </c>
      <c r="E300" s="108">
        <v>1095</v>
      </c>
      <c r="F300" s="109">
        <v>30714893056</v>
      </c>
      <c r="G300" s="95" t="str">
        <f>IFERROR(IF(venta_a_mes9[[#This Row],[CUIT]]="","-",VLOOKUP(venta_a_mes9[[#This Row],[CUIT]],Lista_CUIT[#All],2,0)),"CUIT NO CARGADO")</f>
        <v>LA RODZINA SRL</v>
      </c>
      <c r="H300" s="96">
        <v>18882.64</v>
      </c>
      <c r="I300" s="97">
        <f>venta_a_mes9[[#This Row],[IMPORTE NETO]]*0.21</f>
        <v>3965.3543999999997</v>
      </c>
      <c r="J300" s="61"/>
      <c r="K300" s="61"/>
      <c r="L300" s="61">
        <f>SUM(venta_a_mes9[[#This Row],[IMPORTE NETO]:[EXENTO]])</f>
        <v>22847.9944</v>
      </c>
      <c r="M300" s="55"/>
    </row>
    <row r="301" spans="2:13" x14ac:dyDescent="0.3">
      <c r="B301" s="105">
        <v>44921</v>
      </c>
      <c r="C301" s="106">
        <v>1</v>
      </c>
      <c r="D301" s="107">
        <v>10</v>
      </c>
      <c r="E301" s="108">
        <v>9704</v>
      </c>
      <c r="F301" s="109">
        <v>30711720169</v>
      </c>
      <c r="G301" s="95" t="str">
        <f>IFERROR(IF(venta_a_mes9[[#This Row],[CUIT]]="","-",VLOOKUP(venta_a_mes9[[#This Row],[CUIT]],Lista_CUIT[#All],2,0)),"CUIT NO CARGADO")</f>
        <v>KINE ESTETIC SRL</v>
      </c>
      <c r="H301" s="96">
        <v>32567.73</v>
      </c>
      <c r="I301" s="97">
        <f>venta_a_mes9[[#This Row],[IMPORTE NETO]]*0.21</f>
        <v>6839.2232999999997</v>
      </c>
      <c r="J301" s="61"/>
      <c r="K301" s="61"/>
      <c r="L301" s="61">
        <f>SUM(venta_a_mes9[[#This Row],[IMPORTE NETO]:[EXENTO]])</f>
        <v>39406.953300000001</v>
      </c>
      <c r="M301" s="55"/>
    </row>
    <row r="302" spans="2:13" x14ac:dyDescent="0.3">
      <c r="B302" s="105">
        <v>44921</v>
      </c>
      <c r="C302" s="106">
        <v>1</v>
      </c>
      <c r="D302" s="107">
        <v>12</v>
      </c>
      <c r="E302" s="108">
        <v>1209</v>
      </c>
      <c r="F302" s="109">
        <v>30541213860</v>
      </c>
      <c r="G302" s="95" t="str">
        <f>IFERROR(IF(venta_a_mes9[[#This Row],[CUIT]]="","-",VLOOKUP(venta_a_mes9[[#This Row],[CUIT]],Lista_CUIT[#All],2,0)),"CUIT NO CARGADO")</f>
        <v>CENTRO DE EMPLEADOS DE COMERCIO ZONA NORTE</v>
      </c>
      <c r="H302" s="96">
        <v>5404.97</v>
      </c>
      <c r="I302" s="97">
        <f>venta_a_mes9[[#This Row],[IMPORTE NETO]]*0.21</f>
        <v>1135.0436999999999</v>
      </c>
      <c r="J302" s="61"/>
      <c r="K302" s="61"/>
      <c r="L302" s="61">
        <f>SUM(venta_a_mes9[[#This Row],[IMPORTE NETO]:[EXENTO]])</f>
        <v>6540.0137000000004</v>
      </c>
      <c r="M302" s="55"/>
    </row>
    <row r="303" spans="2:13" x14ac:dyDescent="0.3">
      <c r="B303" s="105">
        <v>44921</v>
      </c>
      <c r="C303" s="106">
        <v>1</v>
      </c>
      <c r="D303" s="107">
        <v>12</v>
      </c>
      <c r="E303" s="108">
        <v>1210</v>
      </c>
      <c r="F303" s="109">
        <v>30541213860</v>
      </c>
      <c r="G303" s="95" t="str">
        <f>IFERROR(IF(venta_a_mes9[[#This Row],[CUIT]]="","-",VLOOKUP(venta_a_mes9[[#This Row],[CUIT]],Lista_CUIT[#All],2,0)),"CUIT NO CARGADO")</f>
        <v>CENTRO DE EMPLEADOS DE COMERCIO ZONA NORTE</v>
      </c>
      <c r="H303" s="96">
        <v>2173.5500000000002</v>
      </c>
      <c r="I303" s="97">
        <f>venta_a_mes9[[#This Row],[IMPORTE NETO]]*0.21</f>
        <v>456.44550000000004</v>
      </c>
      <c r="J303" s="61"/>
      <c r="K303" s="61"/>
      <c r="L303" s="61">
        <f>SUM(venta_a_mes9[[#This Row],[IMPORTE NETO]:[EXENTO]])</f>
        <v>2629.9955</v>
      </c>
      <c r="M303" s="55"/>
    </row>
    <row r="304" spans="2:13" x14ac:dyDescent="0.3">
      <c r="B304" s="105">
        <v>44922</v>
      </c>
      <c r="C304" s="106">
        <v>1</v>
      </c>
      <c r="D304" s="107">
        <v>10</v>
      </c>
      <c r="E304" s="108">
        <v>9705</v>
      </c>
      <c r="F304" s="109">
        <v>30712104550</v>
      </c>
      <c r="G304" s="95" t="str">
        <f>IFERROR(IF(venta_a_mes9[[#This Row],[CUIT]]="","-",VLOOKUP(venta_a_mes9[[#This Row],[CUIT]],Lista_CUIT[#All],2,0)),"CUIT NO CARGADO")</f>
        <v>EUROCOSMETICA S.A.</v>
      </c>
      <c r="H304" s="96">
        <v>130164.63</v>
      </c>
      <c r="I304" s="97">
        <f>venta_a_mes9[[#This Row],[IMPORTE NETO]]*0.21</f>
        <v>27334.5723</v>
      </c>
      <c r="J304" s="61"/>
      <c r="K304" s="61"/>
      <c r="L304" s="61">
        <f>SUM(venta_a_mes9[[#This Row],[IMPORTE NETO]:[EXENTO]])</f>
        <v>157499.2023</v>
      </c>
      <c r="M304" s="55"/>
    </row>
    <row r="305" spans="2:13" x14ac:dyDescent="0.3">
      <c r="B305" s="105">
        <v>44922</v>
      </c>
      <c r="C305" s="106">
        <v>1</v>
      </c>
      <c r="D305" s="107">
        <v>10</v>
      </c>
      <c r="E305" s="108">
        <v>9706</v>
      </c>
      <c r="F305" s="109">
        <v>30712104550</v>
      </c>
      <c r="G305" s="95" t="str">
        <f>IFERROR(IF(venta_a_mes9[[#This Row],[CUIT]]="","-",VLOOKUP(venta_a_mes9[[#This Row],[CUIT]],Lista_CUIT[#All],2,0)),"CUIT NO CARGADO")</f>
        <v>EUROCOSMETICA S.A.</v>
      </c>
      <c r="H305" s="96">
        <v>91555.7</v>
      </c>
      <c r="I305" s="97">
        <f>venta_a_mes9[[#This Row],[IMPORTE NETO]]*0.21</f>
        <v>19226.697</v>
      </c>
      <c r="J305" s="61"/>
      <c r="K305" s="61"/>
      <c r="L305" s="61">
        <f>SUM(venta_a_mes9[[#This Row],[IMPORTE NETO]:[EXENTO]])</f>
        <v>110782.397</v>
      </c>
      <c r="M305" s="55"/>
    </row>
    <row r="306" spans="2:13" x14ac:dyDescent="0.3">
      <c r="B306" s="105">
        <v>44922</v>
      </c>
      <c r="C306" s="106">
        <v>1</v>
      </c>
      <c r="D306" s="107">
        <v>10</v>
      </c>
      <c r="E306" s="108">
        <v>9707</v>
      </c>
      <c r="F306" s="109">
        <v>30712104550</v>
      </c>
      <c r="G306" s="95" t="str">
        <f>IFERROR(IF(venta_a_mes9[[#This Row],[CUIT]]="","-",VLOOKUP(venta_a_mes9[[#This Row],[CUIT]],Lista_CUIT[#All],2,0)),"CUIT NO CARGADO")</f>
        <v>EUROCOSMETICA S.A.</v>
      </c>
      <c r="H306" s="96">
        <v>67534.55</v>
      </c>
      <c r="I306" s="97">
        <f>venta_a_mes9[[#This Row],[IMPORTE NETO]]*0.21</f>
        <v>14182.255499999999</v>
      </c>
      <c r="J306" s="61"/>
      <c r="K306" s="61"/>
      <c r="L306" s="61">
        <f>SUM(venta_a_mes9[[#This Row],[IMPORTE NETO]:[EXENTO]])</f>
        <v>81716.805500000002</v>
      </c>
      <c r="M306" s="55"/>
    </row>
    <row r="307" spans="2:13" x14ac:dyDescent="0.3">
      <c r="B307" s="105">
        <v>44922</v>
      </c>
      <c r="C307" s="106">
        <v>1</v>
      </c>
      <c r="D307" s="107">
        <v>10</v>
      </c>
      <c r="E307" s="108">
        <v>9708</v>
      </c>
      <c r="F307" s="109">
        <v>30712104550</v>
      </c>
      <c r="G307" s="95" t="str">
        <f>IFERROR(IF(venta_a_mes9[[#This Row],[CUIT]]="","-",VLOOKUP(venta_a_mes9[[#This Row],[CUIT]],Lista_CUIT[#All],2,0)),"CUIT NO CARGADO")</f>
        <v>EUROCOSMETICA S.A.</v>
      </c>
      <c r="H307" s="96">
        <v>8044.96</v>
      </c>
      <c r="I307" s="97">
        <f>venta_a_mes9[[#This Row],[IMPORTE NETO]]*0.21</f>
        <v>1689.4415999999999</v>
      </c>
      <c r="J307" s="61"/>
      <c r="K307" s="61"/>
      <c r="L307" s="61">
        <f>SUM(venta_a_mes9[[#This Row],[IMPORTE NETO]:[EXENTO]])</f>
        <v>9734.4015999999992</v>
      </c>
      <c r="M307" s="55"/>
    </row>
    <row r="308" spans="2:13" x14ac:dyDescent="0.3">
      <c r="B308" s="105">
        <v>44922</v>
      </c>
      <c r="C308" s="106">
        <v>1</v>
      </c>
      <c r="D308" s="107">
        <v>10</v>
      </c>
      <c r="E308" s="108">
        <v>9709</v>
      </c>
      <c r="F308" s="109">
        <v>27061737230</v>
      </c>
      <c r="G308" s="95" t="str">
        <f>IFERROR(IF(venta_a_mes9[[#This Row],[CUIT]]="","-",VLOOKUP(venta_a_mes9[[#This Row],[CUIT]],Lista_CUIT[#All],2,0)),"CUIT NO CARGADO")</f>
        <v>LO DUCA STELLA MARIS RAMONA</v>
      </c>
      <c r="H308" s="96">
        <v>21917.360000000001</v>
      </c>
      <c r="I308" s="97">
        <f>venta_a_mes9[[#This Row],[IMPORTE NETO]]*0.21</f>
        <v>4602.6455999999998</v>
      </c>
      <c r="J308" s="61"/>
      <c r="K308" s="61"/>
      <c r="L308" s="61">
        <f>SUM(venta_a_mes9[[#This Row],[IMPORTE NETO]:[EXENTO]])</f>
        <v>26520.0056</v>
      </c>
      <c r="M308" s="55"/>
    </row>
    <row r="309" spans="2:13" x14ac:dyDescent="0.3">
      <c r="B309" s="105">
        <v>44922</v>
      </c>
      <c r="C309" s="106">
        <v>1</v>
      </c>
      <c r="D309" s="107">
        <v>11</v>
      </c>
      <c r="E309" s="108">
        <v>1664</v>
      </c>
      <c r="F309" s="109">
        <v>27280796552</v>
      </c>
      <c r="G309" s="95" t="str">
        <f>IFERROR(IF(venta_a_mes9[[#This Row],[CUIT]]="","-",VLOOKUP(venta_a_mes9[[#This Row],[CUIT]],Lista_CUIT[#All],2,0)),"CUIT NO CARGADO")</f>
        <v>CARRERO DANIELA SOLANGE </v>
      </c>
      <c r="H309" s="96">
        <v>38876.06</v>
      </c>
      <c r="I309" s="97">
        <f>venta_a_mes9[[#This Row],[IMPORTE NETO]]*0.21</f>
        <v>8163.9725999999991</v>
      </c>
      <c r="J309" s="61"/>
      <c r="K309" s="61"/>
      <c r="L309" s="61">
        <f>SUM(venta_a_mes9[[#This Row],[IMPORTE NETO]:[EXENTO]])</f>
        <v>47040.032599999999</v>
      </c>
      <c r="M309" s="55"/>
    </row>
    <row r="310" spans="2:13" x14ac:dyDescent="0.3">
      <c r="B310" s="105">
        <v>44922</v>
      </c>
      <c r="C310" s="106">
        <v>1</v>
      </c>
      <c r="D310" s="107">
        <v>11</v>
      </c>
      <c r="E310" s="108">
        <v>1665</v>
      </c>
      <c r="F310" s="109">
        <v>27280796552</v>
      </c>
      <c r="G310" s="95" t="str">
        <f>IFERROR(IF(venta_a_mes9[[#This Row],[CUIT]]="","-",VLOOKUP(venta_a_mes9[[#This Row],[CUIT]],Lista_CUIT[#All],2,0)),"CUIT NO CARGADO")</f>
        <v>CARRERO DANIELA SOLANGE </v>
      </c>
      <c r="H310" s="96">
        <v>8033.03</v>
      </c>
      <c r="I310" s="97">
        <f>venta_a_mes9[[#This Row],[IMPORTE NETO]]*0.21</f>
        <v>1686.9362999999998</v>
      </c>
      <c r="J310" s="61"/>
      <c r="K310" s="61"/>
      <c r="L310" s="61">
        <f>SUM(venta_a_mes9[[#This Row],[IMPORTE NETO]:[EXENTO]])</f>
        <v>9719.9663</v>
      </c>
      <c r="M310" s="55"/>
    </row>
    <row r="311" spans="2:13" x14ac:dyDescent="0.3">
      <c r="B311" s="105">
        <v>44922</v>
      </c>
      <c r="C311" s="106">
        <v>1</v>
      </c>
      <c r="D311" s="107">
        <v>13</v>
      </c>
      <c r="E311" s="108">
        <v>1096</v>
      </c>
      <c r="F311" s="109">
        <v>30716138018</v>
      </c>
      <c r="G311" s="95" t="str">
        <f>IFERROR(IF(venta_a_mes9[[#This Row],[CUIT]]="","-",VLOOKUP(venta_a_mes9[[#This Row],[CUIT]],Lista_CUIT[#All],2,0)),"CUIT NO CARGADO")</f>
        <v>DOM CENTRO DE REUMATOLOGIA S.A.S.</v>
      </c>
      <c r="H311" s="96">
        <v>15376.86</v>
      </c>
      <c r="I311" s="97">
        <f>venta_a_mes9[[#This Row],[IMPORTE NETO]]*0.21</f>
        <v>3229.1406000000002</v>
      </c>
      <c r="J311" s="61"/>
      <c r="K311" s="61"/>
      <c r="L311" s="61">
        <f>SUM(venta_a_mes9[[#This Row],[IMPORTE NETO]:[EXENTO]])</f>
        <v>18606.000599999999</v>
      </c>
      <c r="M311" s="55"/>
    </row>
    <row r="312" spans="2:13" x14ac:dyDescent="0.3">
      <c r="B312" s="105">
        <v>44923</v>
      </c>
      <c r="C312" s="106">
        <v>1</v>
      </c>
      <c r="D312" s="107">
        <v>10</v>
      </c>
      <c r="E312" s="108">
        <v>9710</v>
      </c>
      <c r="F312" s="109">
        <v>27277172874</v>
      </c>
      <c r="G312" s="95" t="str">
        <f>IFERROR(IF(venta_a_mes9[[#This Row],[CUIT]]="","-",VLOOKUP(venta_a_mes9[[#This Row],[CUIT]],Lista_CUIT[#All],2,0)),"CUIT NO CARGADO")</f>
        <v>MARIN MARIA SOL</v>
      </c>
      <c r="H312" s="96">
        <v>21848.14</v>
      </c>
      <c r="I312" s="97">
        <f>venta_a_mes9[[#This Row],[IMPORTE NETO]]*0.21</f>
        <v>4588.1093999999994</v>
      </c>
      <c r="J312" s="61"/>
      <c r="K312" s="61"/>
      <c r="L312" s="61">
        <f>SUM(venta_a_mes9[[#This Row],[IMPORTE NETO]:[EXENTO]])</f>
        <v>26436.249400000001</v>
      </c>
      <c r="M312" s="55"/>
    </row>
    <row r="313" spans="2:13" x14ac:dyDescent="0.3">
      <c r="B313" s="105">
        <v>44923</v>
      </c>
      <c r="C313" s="106">
        <v>1</v>
      </c>
      <c r="D313" s="107">
        <v>10</v>
      </c>
      <c r="E313" s="108">
        <v>9711</v>
      </c>
      <c r="F313" s="109">
        <v>30715119443</v>
      </c>
      <c r="G313" s="95" t="str">
        <f>IFERROR(IF(venta_a_mes9[[#This Row],[CUIT]]="","-",VLOOKUP(venta_a_mes9[[#This Row],[CUIT]],Lista_CUIT[#All],2,0)),"CUIT NO CARGADO")</f>
        <v>MORALLI ISABEL,MORALLI RENEE, CHIESA LUIS HERNAN Y INGE SOMMER</v>
      </c>
      <c r="H313" s="96">
        <v>22608.26</v>
      </c>
      <c r="I313" s="97">
        <f>venta_a_mes9[[#This Row],[IMPORTE NETO]]*0.21</f>
        <v>4747.7345999999998</v>
      </c>
      <c r="J313" s="61"/>
      <c r="K313" s="61"/>
      <c r="L313" s="61">
        <f>SUM(venta_a_mes9[[#This Row],[IMPORTE NETO]:[EXENTO]])</f>
        <v>27355.994599999998</v>
      </c>
      <c r="M313" s="55"/>
    </row>
    <row r="314" spans="2:13" x14ac:dyDescent="0.3">
      <c r="B314" s="105">
        <v>44923</v>
      </c>
      <c r="C314" s="106">
        <v>1</v>
      </c>
      <c r="D314" s="107">
        <v>12</v>
      </c>
      <c r="E314" s="108">
        <v>1211</v>
      </c>
      <c r="F314" s="109">
        <v>27172834189</v>
      </c>
      <c r="G314" s="95" t="str">
        <f>IFERROR(IF(venta_a_mes9[[#This Row],[CUIT]]="","-",VLOOKUP(venta_a_mes9[[#This Row],[CUIT]],Lista_CUIT[#All],2,0)),"CUIT NO CARGADO")</f>
        <v>BESSONE ADRIANA</v>
      </c>
      <c r="H314" s="96">
        <v>9957.02</v>
      </c>
      <c r="I314" s="97">
        <f>venta_a_mes9[[#This Row],[IMPORTE NETO]]*0.21</f>
        <v>2090.9742000000001</v>
      </c>
      <c r="J314" s="61"/>
      <c r="K314" s="61"/>
      <c r="L314" s="61">
        <f>SUM(venta_a_mes9[[#This Row],[IMPORTE NETO]:[EXENTO]])</f>
        <v>12047.994200000001</v>
      </c>
      <c r="M314" s="55"/>
    </row>
    <row r="315" spans="2:13" x14ac:dyDescent="0.3">
      <c r="B315" s="105">
        <v>44924</v>
      </c>
      <c r="C315" s="106">
        <v>1</v>
      </c>
      <c r="D315" s="107">
        <v>10</v>
      </c>
      <c r="E315" s="108">
        <v>9712</v>
      </c>
      <c r="F315" s="109">
        <v>30709163503</v>
      </c>
      <c r="G315" s="95" t="str">
        <f>IFERROR(IF(venta_a_mes9[[#This Row],[CUIT]]="","-",VLOOKUP(venta_a_mes9[[#This Row],[CUIT]],Lista_CUIT[#All],2,0)),"CUIT NO CARGADO")</f>
        <v>CANADEZ S.R.L.</v>
      </c>
      <c r="H315" s="96">
        <v>208948.27</v>
      </c>
      <c r="I315" s="97">
        <f>venta_a_mes9[[#This Row],[IMPORTE NETO]]*0.21</f>
        <v>43879.136699999995</v>
      </c>
      <c r="J315" s="61"/>
      <c r="K315" s="61"/>
      <c r="L315" s="61">
        <f>SUM(venta_a_mes9[[#This Row],[IMPORTE NETO]:[EXENTO]])</f>
        <v>252827.40669999999</v>
      </c>
      <c r="M315" s="55"/>
    </row>
    <row r="316" spans="2:13" x14ac:dyDescent="0.3">
      <c r="B316" s="105">
        <v>44924</v>
      </c>
      <c r="C316" s="106">
        <v>1</v>
      </c>
      <c r="D316" s="107">
        <v>10</v>
      </c>
      <c r="E316" s="108">
        <v>9713</v>
      </c>
      <c r="F316" s="109">
        <v>30709163503</v>
      </c>
      <c r="G316" s="95" t="str">
        <f>IFERROR(IF(venta_a_mes9[[#This Row],[CUIT]]="","-",VLOOKUP(venta_a_mes9[[#This Row],[CUIT]],Lista_CUIT[#All],2,0)),"CUIT NO CARGADO")</f>
        <v>CANADEZ S.R.L.</v>
      </c>
      <c r="H316" s="96">
        <v>196320.5</v>
      </c>
      <c r="I316" s="97">
        <f>venta_a_mes9[[#This Row],[IMPORTE NETO]]*0.21</f>
        <v>41227.305</v>
      </c>
      <c r="J316" s="61"/>
      <c r="K316" s="61"/>
      <c r="L316" s="61">
        <f>SUM(venta_a_mes9[[#This Row],[IMPORTE NETO]:[EXENTO]])</f>
        <v>237547.80499999999</v>
      </c>
      <c r="M316" s="55"/>
    </row>
    <row r="317" spans="2:13" x14ac:dyDescent="0.3">
      <c r="B317" s="105">
        <v>44924</v>
      </c>
      <c r="C317" s="106">
        <v>1</v>
      </c>
      <c r="D317" s="107">
        <v>10</v>
      </c>
      <c r="E317" s="108">
        <v>9714</v>
      </c>
      <c r="F317" s="109">
        <v>30709163503</v>
      </c>
      <c r="G317" s="95" t="str">
        <f>IFERROR(IF(venta_a_mes9[[#This Row],[CUIT]]="","-",VLOOKUP(venta_a_mes9[[#This Row],[CUIT]],Lista_CUIT[#All],2,0)),"CUIT NO CARGADO")</f>
        <v>CANADEZ S.R.L.</v>
      </c>
      <c r="H317" s="96">
        <v>21901.87</v>
      </c>
      <c r="I317" s="97">
        <f>venta_a_mes9[[#This Row],[IMPORTE NETO]]*0.21</f>
        <v>4599.3926999999994</v>
      </c>
      <c r="J317" s="61"/>
      <c r="K317" s="61"/>
      <c r="L317" s="61">
        <f>SUM(venta_a_mes9[[#This Row],[IMPORTE NETO]:[EXENTO]])</f>
        <v>26501.262699999999</v>
      </c>
      <c r="M317" s="55"/>
    </row>
    <row r="318" spans="2:13" x14ac:dyDescent="0.3">
      <c r="B318" s="105">
        <v>44924</v>
      </c>
      <c r="C318" s="106">
        <v>1</v>
      </c>
      <c r="D318" s="107">
        <v>10</v>
      </c>
      <c r="E318" s="108">
        <v>9715</v>
      </c>
      <c r="F318" s="109">
        <v>30709163503</v>
      </c>
      <c r="G318" s="95" t="str">
        <f>IFERROR(IF(venta_a_mes9[[#This Row],[CUIT]]="","-",VLOOKUP(venta_a_mes9[[#This Row],[CUIT]],Lista_CUIT[#All],2,0)),"CUIT NO CARGADO")</f>
        <v>CANADEZ S.R.L.</v>
      </c>
      <c r="H318" s="96">
        <v>174386.28</v>
      </c>
      <c r="I318" s="97">
        <f>venta_a_mes9[[#This Row],[IMPORTE NETO]]*0.21</f>
        <v>36621.118799999997</v>
      </c>
      <c r="J318" s="61"/>
      <c r="K318" s="61"/>
      <c r="L318" s="61">
        <f>SUM(venta_a_mes9[[#This Row],[IMPORTE NETO]:[EXENTO]])</f>
        <v>211007.3988</v>
      </c>
      <c r="M318" s="55"/>
    </row>
    <row r="319" spans="2:13" x14ac:dyDescent="0.3">
      <c r="B319" s="105">
        <v>44924</v>
      </c>
      <c r="C319" s="106">
        <v>1</v>
      </c>
      <c r="D319" s="107">
        <v>10</v>
      </c>
      <c r="E319" s="108">
        <v>9716</v>
      </c>
      <c r="F319" s="109">
        <v>30709163503</v>
      </c>
      <c r="G319" s="95" t="str">
        <f>IFERROR(IF(venta_a_mes9[[#This Row],[CUIT]]="","-",VLOOKUP(venta_a_mes9[[#This Row],[CUIT]],Lista_CUIT[#All],2,0)),"CUIT NO CARGADO")</f>
        <v>CANADEZ S.R.L.</v>
      </c>
      <c r="H319" s="96">
        <v>25926.61</v>
      </c>
      <c r="I319" s="97">
        <f>venta_a_mes9[[#This Row],[IMPORTE NETO]]*0.21</f>
        <v>5444.5880999999999</v>
      </c>
      <c r="J319" s="61"/>
      <c r="K319" s="61"/>
      <c r="L319" s="61">
        <f>SUM(venta_a_mes9[[#This Row],[IMPORTE NETO]:[EXENTO]])</f>
        <v>31371.198100000001</v>
      </c>
      <c r="M319" s="55"/>
    </row>
    <row r="320" spans="2:13" x14ac:dyDescent="0.3">
      <c r="B320" s="105">
        <v>44924</v>
      </c>
      <c r="C320" s="106">
        <v>1</v>
      </c>
      <c r="D320" s="107">
        <v>11</v>
      </c>
      <c r="E320" s="108">
        <v>1666</v>
      </c>
      <c r="F320" s="109">
        <v>30715219014</v>
      </c>
      <c r="G320" s="95" t="str">
        <f>IFERROR(IF(venta_a_mes9[[#This Row],[CUIT]]="","-",VLOOKUP(venta_a_mes9[[#This Row],[CUIT]],Lista_CUIT[#All],2,0)),"CUIT NO CARGADO")</f>
        <v>KNOWLEDGE OF SERVICES S.R.L.</v>
      </c>
      <c r="H320" s="96">
        <v>5900.83</v>
      </c>
      <c r="I320" s="97">
        <f>venta_a_mes9[[#This Row],[IMPORTE NETO]]*0.21</f>
        <v>1239.1742999999999</v>
      </c>
      <c r="J320" s="61"/>
      <c r="K320" s="61"/>
      <c r="L320" s="61">
        <f>SUM(venta_a_mes9[[#This Row],[IMPORTE NETO]:[EXENTO]])</f>
        <v>7140.0042999999996</v>
      </c>
      <c r="M320" s="55"/>
    </row>
    <row r="321" spans="2:13" x14ac:dyDescent="0.3">
      <c r="B321" s="105">
        <v>44924</v>
      </c>
      <c r="C321" s="106">
        <v>1</v>
      </c>
      <c r="D321" s="107">
        <v>12</v>
      </c>
      <c r="E321" s="108">
        <v>1212</v>
      </c>
      <c r="F321" s="109">
        <v>27175380146</v>
      </c>
      <c r="G321" s="95" t="str">
        <f>IFERROR(IF(venta_a_mes9[[#This Row],[CUIT]]="","-",VLOOKUP(venta_a_mes9[[#This Row],[CUIT]],Lista_CUIT[#All],2,0)),"CUIT NO CARGADO")</f>
        <v>CALICCHIO MARIA ANDREA</v>
      </c>
      <c r="H321" s="96">
        <v>8696.7199999999993</v>
      </c>
      <c r="I321" s="97">
        <f>venta_a_mes9[[#This Row],[IMPORTE NETO]]*0.21</f>
        <v>1826.3111999999999</v>
      </c>
      <c r="J321" s="61"/>
      <c r="K321" s="61"/>
      <c r="L321" s="61">
        <f>SUM(venta_a_mes9[[#This Row],[IMPORTE NETO]:[EXENTO]])</f>
        <v>10523.031199999999</v>
      </c>
      <c r="M321" s="55"/>
    </row>
    <row r="322" spans="2:13" x14ac:dyDescent="0.3">
      <c r="B322" s="105">
        <v>44924</v>
      </c>
      <c r="C322" s="106">
        <v>1</v>
      </c>
      <c r="D322" s="107">
        <v>12</v>
      </c>
      <c r="E322" s="108">
        <v>1213</v>
      </c>
      <c r="F322" s="109">
        <v>27175380146</v>
      </c>
      <c r="G322" s="95" t="str">
        <f>IFERROR(IF(venta_a_mes9[[#This Row],[CUIT]]="","-",VLOOKUP(venta_a_mes9[[#This Row],[CUIT]],Lista_CUIT[#All],2,0)),"CUIT NO CARGADO")</f>
        <v>CALICCHIO MARIA ANDREA</v>
      </c>
      <c r="H322" s="96">
        <v>3887.6</v>
      </c>
      <c r="I322" s="97">
        <f>venta_a_mes9[[#This Row],[IMPORTE NETO]]*0.21</f>
        <v>816.39599999999996</v>
      </c>
      <c r="J322" s="61"/>
      <c r="K322" s="61"/>
      <c r="L322" s="61">
        <f>SUM(venta_a_mes9[[#This Row],[IMPORTE NETO]:[EXENTO]])</f>
        <v>4703.9960000000001</v>
      </c>
      <c r="M322" s="55"/>
    </row>
    <row r="323" spans="2:13" x14ac:dyDescent="0.3">
      <c r="B323" s="105">
        <v>44924</v>
      </c>
      <c r="C323" s="106">
        <v>1</v>
      </c>
      <c r="D323" s="107">
        <v>12</v>
      </c>
      <c r="E323" s="108">
        <v>1214</v>
      </c>
      <c r="F323" s="109">
        <v>20206659379</v>
      </c>
      <c r="G323" s="95" t="str">
        <f>IFERROR(IF(venta_a_mes9[[#This Row],[CUIT]]="","-",VLOOKUP(venta_a_mes9[[#This Row],[CUIT]],Lista_CUIT[#All],2,0)),"CUIT NO CARGADO")</f>
        <v>VELASCO ALBERTO </v>
      </c>
      <c r="H323" s="96">
        <v>1309.0899999999999</v>
      </c>
      <c r="I323" s="97">
        <f>venta_a_mes9[[#This Row],[IMPORTE NETO]]*0.21</f>
        <v>274.90889999999996</v>
      </c>
      <c r="J323" s="61"/>
      <c r="K323" s="61"/>
      <c r="L323" s="61">
        <f>SUM(venta_a_mes9[[#This Row],[IMPORTE NETO]:[EXENTO]])</f>
        <v>1583.9988999999998</v>
      </c>
      <c r="M323" s="55"/>
    </row>
    <row r="324" spans="2:13" x14ac:dyDescent="0.3">
      <c r="B324" s="105">
        <v>44925</v>
      </c>
      <c r="C324" s="106">
        <v>1</v>
      </c>
      <c r="D324" s="107">
        <v>10</v>
      </c>
      <c r="E324" s="108">
        <v>9717</v>
      </c>
      <c r="F324" s="109">
        <v>23269528214</v>
      </c>
      <c r="G324" s="95" t="str">
        <f>IFERROR(IF(venta_a_mes9[[#This Row],[CUIT]]="","-",VLOOKUP(venta_a_mes9[[#This Row],[CUIT]],Lista_CUIT[#All],2,0)),"CUIT NO CARGADO")</f>
        <v>VANINA ANABELLA ECHENIQUE</v>
      </c>
      <c r="H324" s="96">
        <v>62195.48</v>
      </c>
      <c r="I324" s="97">
        <f>venta_a_mes9[[#This Row],[IMPORTE NETO]]*0.21</f>
        <v>13061.050800000001</v>
      </c>
      <c r="J324" s="61"/>
      <c r="K324" s="61"/>
      <c r="L324" s="61">
        <f>SUM(venta_a_mes9[[#This Row],[IMPORTE NETO]:[EXENTO]])</f>
        <v>75256.530800000008</v>
      </c>
      <c r="M324" s="55"/>
    </row>
    <row r="325" spans="2:13" x14ac:dyDescent="0.3">
      <c r="B325" s="105">
        <v>44925</v>
      </c>
      <c r="C325" s="106">
        <v>1</v>
      </c>
      <c r="D325" s="107">
        <v>10</v>
      </c>
      <c r="E325" s="108">
        <v>9718</v>
      </c>
      <c r="F325" s="109">
        <v>23269528214</v>
      </c>
      <c r="G325" s="95" t="str">
        <f>IFERROR(IF(venta_a_mes9[[#This Row],[CUIT]]="","-",VLOOKUP(venta_a_mes9[[#This Row],[CUIT]],Lista_CUIT[#All],2,0)),"CUIT NO CARGADO")</f>
        <v>VANINA ANABELLA ECHENIQUE</v>
      </c>
      <c r="H325" s="96">
        <v>110341.04</v>
      </c>
      <c r="I325" s="97">
        <f>venta_a_mes9[[#This Row],[IMPORTE NETO]]*0.21</f>
        <v>23171.618399999999</v>
      </c>
      <c r="J325" s="61"/>
      <c r="K325" s="61"/>
      <c r="L325" s="61">
        <f>SUM(venta_a_mes9[[#This Row],[IMPORTE NETO]:[EXENTO]])</f>
        <v>133512.65839999999</v>
      </c>
      <c r="M325" s="55"/>
    </row>
    <row r="326" spans="2:13" x14ac:dyDescent="0.3">
      <c r="B326" s="105">
        <v>44925</v>
      </c>
      <c r="C326" s="106">
        <v>1</v>
      </c>
      <c r="D326" s="107">
        <v>10</v>
      </c>
      <c r="E326" s="108">
        <v>9719</v>
      </c>
      <c r="F326" s="109">
        <v>23269528214</v>
      </c>
      <c r="G326" s="95" t="str">
        <f>IFERROR(IF(venta_a_mes9[[#This Row],[CUIT]]="","-",VLOOKUP(venta_a_mes9[[#This Row],[CUIT]],Lista_CUIT[#All],2,0)),"CUIT NO CARGADO")</f>
        <v>VANINA ANABELLA ECHENIQUE</v>
      </c>
      <c r="H326" s="96">
        <v>83801.45</v>
      </c>
      <c r="I326" s="97">
        <f>venta_a_mes9[[#This Row],[IMPORTE NETO]]*0.21</f>
        <v>17598.304499999998</v>
      </c>
      <c r="J326" s="61"/>
      <c r="K326" s="61"/>
      <c r="L326" s="61">
        <f>SUM(venta_a_mes9[[#This Row],[IMPORTE NETO]:[EXENTO]])</f>
        <v>101399.7545</v>
      </c>
      <c r="M326" s="55"/>
    </row>
    <row r="327" spans="2:13" x14ac:dyDescent="0.3">
      <c r="B327" s="105">
        <v>44925</v>
      </c>
      <c r="C327" s="106">
        <v>1</v>
      </c>
      <c r="D327" s="107">
        <v>10</v>
      </c>
      <c r="E327" s="108">
        <v>9720</v>
      </c>
      <c r="F327" s="109">
        <v>27061737230</v>
      </c>
      <c r="G327" s="95" t="str">
        <f>IFERROR(IF(venta_a_mes9[[#This Row],[CUIT]]="","-",VLOOKUP(venta_a_mes9[[#This Row],[CUIT]],Lista_CUIT[#All],2,0)),"CUIT NO CARGADO")</f>
        <v>LO DUCA STELLA MARIS RAMONA</v>
      </c>
      <c r="H327" s="96">
        <v>8323.9699999999993</v>
      </c>
      <c r="I327" s="97">
        <f>venta_a_mes9[[#This Row],[IMPORTE NETO]]*0.21</f>
        <v>1748.0336999999997</v>
      </c>
      <c r="J327" s="61"/>
      <c r="K327" s="61"/>
      <c r="L327" s="61">
        <f>SUM(venta_a_mes9[[#This Row],[IMPORTE NETO]:[EXENTO]])</f>
        <v>10072.003699999999</v>
      </c>
      <c r="M327" s="55"/>
    </row>
    <row r="328" spans="2:13" x14ac:dyDescent="0.3">
      <c r="B328" s="105">
        <v>44925</v>
      </c>
      <c r="C328" s="106">
        <v>1</v>
      </c>
      <c r="D328" s="107">
        <v>10</v>
      </c>
      <c r="E328" s="108">
        <v>9721</v>
      </c>
      <c r="F328" s="109">
        <v>30712104550</v>
      </c>
      <c r="G328" s="95" t="str">
        <f>IFERROR(IF(venta_a_mes9[[#This Row],[CUIT]]="","-",VLOOKUP(venta_a_mes9[[#This Row],[CUIT]],Lista_CUIT[#All],2,0)),"CUIT NO CARGADO")</f>
        <v>EUROCOSMETICA S.A.</v>
      </c>
      <c r="H328" s="96">
        <v>76022.48</v>
      </c>
      <c r="I328" s="97">
        <f>venta_a_mes9[[#This Row],[IMPORTE NETO]]*0.21</f>
        <v>15964.720799999999</v>
      </c>
      <c r="J328" s="61"/>
      <c r="K328" s="61"/>
      <c r="L328" s="61">
        <f>SUM(venta_a_mes9[[#This Row],[IMPORTE NETO]:[EXENTO]])</f>
        <v>91987.200799999991</v>
      </c>
      <c r="M328" s="55"/>
    </row>
    <row r="329" spans="2:13" x14ac:dyDescent="0.3">
      <c r="B329" s="105">
        <v>44925</v>
      </c>
      <c r="C329" s="106">
        <v>1</v>
      </c>
      <c r="D329" s="107">
        <v>10</v>
      </c>
      <c r="E329" s="108">
        <v>9722</v>
      </c>
      <c r="F329" s="109">
        <v>30712104550</v>
      </c>
      <c r="G329" s="95" t="str">
        <f>IFERROR(IF(venta_a_mes9[[#This Row],[CUIT]]="","-",VLOOKUP(venta_a_mes9[[#This Row],[CUIT]],Lista_CUIT[#All],2,0)),"CUIT NO CARGADO")</f>
        <v>EUROCOSMETICA S.A.</v>
      </c>
      <c r="H329" s="96">
        <v>94831.74</v>
      </c>
      <c r="I329" s="97">
        <f>venta_a_mes9[[#This Row],[IMPORTE NETO]]*0.21</f>
        <v>19914.665400000002</v>
      </c>
      <c r="J329" s="61"/>
      <c r="K329" s="61"/>
      <c r="L329" s="61">
        <f>SUM(venta_a_mes9[[#This Row],[IMPORTE NETO]:[EXENTO]])</f>
        <v>114746.4054</v>
      </c>
      <c r="M329" s="55"/>
    </row>
    <row r="330" spans="2:13" x14ac:dyDescent="0.3">
      <c r="B330" s="105">
        <v>44925</v>
      </c>
      <c r="C330" s="106">
        <v>1</v>
      </c>
      <c r="D330" s="107">
        <v>10</v>
      </c>
      <c r="E330" s="108">
        <v>9723</v>
      </c>
      <c r="F330" s="109">
        <v>30712104550</v>
      </c>
      <c r="G330" s="95" t="str">
        <f>IFERROR(IF(venta_a_mes9[[#This Row],[CUIT]]="","-",VLOOKUP(venta_a_mes9[[#This Row],[CUIT]],Lista_CUIT[#All],2,0)),"CUIT NO CARGADO")</f>
        <v>EUROCOSMETICA S.A.</v>
      </c>
      <c r="H330" s="96">
        <v>18067.599999999999</v>
      </c>
      <c r="I330" s="97">
        <f>venta_a_mes9[[#This Row],[IMPORTE NETO]]*0.21</f>
        <v>3794.1959999999995</v>
      </c>
      <c r="J330" s="61"/>
      <c r="K330" s="61"/>
      <c r="L330" s="61">
        <f>SUM(venta_a_mes9[[#This Row],[IMPORTE NETO]:[EXENTO]])</f>
        <v>21861.795999999998</v>
      </c>
      <c r="M330" s="55"/>
    </row>
    <row r="331" spans="2:13" x14ac:dyDescent="0.3">
      <c r="B331" s="105">
        <v>44925</v>
      </c>
      <c r="C331" s="106">
        <v>1</v>
      </c>
      <c r="D331" s="107">
        <v>10</v>
      </c>
      <c r="E331" s="108">
        <v>9724</v>
      </c>
      <c r="F331" s="109">
        <v>30712104550</v>
      </c>
      <c r="G331" s="95" t="str">
        <f>IFERROR(IF(venta_a_mes9[[#This Row],[CUIT]]="","-",VLOOKUP(venta_a_mes9[[#This Row],[CUIT]],Lista_CUIT[#All],2,0)),"CUIT NO CARGADO")</f>
        <v>EUROCOSMETICA S.A.</v>
      </c>
      <c r="H331" s="96">
        <v>22077.69</v>
      </c>
      <c r="I331" s="97">
        <f>venta_a_mes9[[#This Row],[IMPORTE NETO]]*0.21</f>
        <v>4636.3148999999994</v>
      </c>
      <c r="J331" s="61"/>
      <c r="K331" s="61"/>
      <c r="L331" s="61">
        <f>SUM(venta_a_mes9[[#This Row],[IMPORTE NETO]:[EXENTO]])</f>
        <v>26714.0049</v>
      </c>
      <c r="M331" s="55"/>
    </row>
    <row r="332" spans="2:13" x14ac:dyDescent="0.3">
      <c r="B332" s="105">
        <v>44925</v>
      </c>
      <c r="C332" s="106">
        <v>1</v>
      </c>
      <c r="D332" s="107">
        <v>12</v>
      </c>
      <c r="E332" s="108">
        <v>1215</v>
      </c>
      <c r="F332" s="109">
        <v>20206005042</v>
      </c>
      <c r="G332" s="95" t="str">
        <f>IFERROR(IF(venta_a_mes9[[#This Row],[CUIT]]="","-",VLOOKUP(venta_a_mes9[[#This Row],[CUIT]],Lista_CUIT[#All],2,0)),"CUIT NO CARGADO")</f>
        <v>Damia Omar Pablo Alejandro </v>
      </c>
      <c r="H332" s="96">
        <v>9580.17</v>
      </c>
      <c r="I332" s="97">
        <f>venta_a_mes9[[#This Row],[IMPORTE NETO]]*0.21</f>
        <v>2011.8356999999999</v>
      </c>
      <c r="J332" s="61"/>
      <c r="K332" s="61"/>
      <c r="L332" s="61">
        <f>SUM(venta_a_mes9[[#This Row],[IMPORTE NETO]:[EXENTO]])</f>
        <v>11592.0057</v>
      </c>
      <c r="M332" s="55"/>
    </row>
    <row r="333" spans="2:13" x14ac:dyDescent="0.3">
      <c r="B333" s="105">
        <v>44896</v>
      </c>
      <c r="C333" s="106">
        <v>3</v>
      </c>
      <c r="D333" s="107">
        <v>10</v>
      </c>
      <c r="E333" s="108">
        <v>644</v>
      </c>
      <c r="F333" s="109">
        <v>30709163503</v>
      </c>
      <c r="G333" s="95" t="str">
        <f>IFERROR(IF(venta_a_mes9[[#This Row],[CUIT]]="","-",VLOOKUP(venta_a_mes9[[#This Row],[CUIT]],Lista_CUIT[#All],2,0)),"CUIT NO CARGADO")</f>
        <v>CANADEZ S.R.L.</v>
      </c>
      <c r="H333" s="96">
        <v>-43735.54</v>
      </c>
      <c r="I333" s="97">
        <f>venta_a_mes9[[#This Row],[IMPORTE NETO]]*0.21</f>
        <v>-9184.4634000000005</v>
      </c>
      <c r="J333" s="61"/>
      <c r="K333" s="61"/>
      <c r="L333" s="61">
        <f>SUM(venta_a_mes9[[#This Row],[IMPORTE NETO]:[EXENTO]])</f>
        <v>-52920.003400000001</v>
      </c>
      <c r="M333" s="55"/>
    </row>
    <row r="334" spans="2:13" x14ac:dyDescent="0.3">
      <c r="B334" s="105">
        <v>44909</v>
      </c>
      <c r="C334" s="106">
        <v>3</v>
      </c>
      <c r="D334" s="107">
        <v>10</v>
      </c>
      <c r="E334" s="108">
        <v>645</v>
      </c>
      <c r="F334" s="109">
        <v>20243351309</v>
      </c>
      <c r="G334" s="95" t="str">
        <f>IFERROR(IF(venta_a_mes9[[#This Row],[CUIT]]="","-",VLOOKUP(venta_a_mes9[[#This Row],[CUIT]],Lista_CUIT[#All],2,0)),"CUIT NO CARGADO")</f>
        <v>Silvio Jorge Giostra</v>
      </c>
      <c r="H334" s="96">
        <v>-34433.85</v>
      </c>
      <c r="I334" s="97">
        <f>venta_a_mes9[[#This Row],[IMPORTE NETO]]*0.21</f>
        <v>-7231.1084999999994</v>
      </c>
      <c r="J334" s="61"/>
      <c r="K334" s="61"/>
      <c r="L334" s="61">
        <f>SUM(venta_a_mes9[[#This Row],[IMPORTE NETO]:[EXENTO]])</f>
        <v>-41664.958500000001</v>
      </c>
      <c r="M334" s="55"/>
    </row>
    <row r="335" spans="2:13" x14ac:dyDescent="0.3">
      <c r="B335" s="105">
        <v>44909</v>
      </c>
      <c r="C335" s="106">
        <v>3</v>
      </c>
      <c r="D335" s="107">
        <v>10</v>
      </c>
      <c r="E335" s="108">
        <v>646</v>
      </c>
      <c r="F335" s="109">
        <v>20243351309</v>
      </c>
      <c r="G335" s="95" t="str">
        <f>IFERROR(IF(venta_a_mes9[[#This Row],[CUIT]]="","-",VLOOKUP(venta_a_mes9[[#This Row],[CUIT]],Lista_CUIT[#All],2,0)),"CUIT NO CARGADO")</f>
        <v>Silvio Jorge Giostra</v>
      </c>
      <c r="H335" s="96">
        <v>-34433.85</v>
      </c>
      <c r="I335" s="97">
        <f>venta_a_mes9[[#This Row],[IMPORTE NETO]]*0.21</f>
        <v>-7231.1084999999994</v>
      </c>
      <c r="J335" s="61"/>
      <c r="K335" s="61"/>
      <c r="L335" s="61">
        <f>SUM(venta_a_mes9[[#This Row],[IMPORTE NETO]:[EXENTO]])</f>
        <v>-41664.958500000001</v>
      </c>
      <c r="M335" s="55"/>
    </row>
    <row r="336" spans="2:13" x14ac:dyDescent="0.3">
      <c r="B336" s="105">
        <v>44910</v>
      </c>
      <c r="C336" s="106">
        <v>3</v>
      </c>
      <c r="D336" s="107">
        <v>11</v>
      </c>
      <c r="E336" s="108">
        <v>91</v>
      </c>
      <c r="F336" s="109">
        <v>27280796552</v>
      </c>
      <c r="G336" s="95" t="str">
        <f>IFERROR(IF(venta_a_mes9[[#This Row],[CUIT]]="","-",VLOOKUP(venta_a_mes9[[#This Row],[CUIT]],Lista_CUIT[#All],2,0)),"CUIT NO CARGADO")</f>
        <v>CARRERO DANIELA SOLANGE </v>
      </c>
      <c r="H336" s="96">
        <v>-7314.05</v>
      </c>
      <c r="I336" s="97">
        <f>venta_a_mes9[[#This Row],[IMPORTE NETO]]*0.21</f>
        <v>-1535.9504999999999</v>
      </c>
      <c r="J336" s="61"/>
      <c r="K336" s="61"/>
      <c r="L336" s="61">
        <f>SUM(venta_a_mes9[[#This Row],[IMPORTE NETO]:[EXENTO]])</f>
        <v>-8850.0005000000001</v>
      </c>
      <c r="M336" s="55"/>
    </row>
    <row r="337" spans="2:13" x14ac:dyDescent="0.3">
      <c r="B337" s="105">
        <v>44911</v>
      </c>
      <c r="C337" s="106">
        <v>3</v>
      </c>
      <c r="D337" s="107">
        <v>10</v>
      </c>
      <c r="E337" s="108">
        <v>647</v>
      </c>
      <c r="F337" s="109">
        <v>30709163503</v>
      </c>
      <c r="G337" s="95" t="str">
        <f>IFERROR(IF(venta_a_mes9[[#This Row],[CUIT]]="","-",VLOOKUP(venta_a_mes9[[#This Row],[CUIT]],Lista_CUIT[#All],2,0)),"CUIT NO CARGADO")</f>
        <v>CANADEZ S.R.L.</v>
      </c>
      <c r="H337" s="96">
        <v>-220590.07999999999</v>
      </c>
      <c r="I337" s="97">
        <f>venta_a_mes9[[#This Row],[IMPORTE NETO]]*0.21</f>
        <v>-46323.916799999999</v>
      </c>
      <c r="J337" s="61"/>
      <c r="K337" s="61"/>
      <c r="L337" s="61">
        <f>SUM(venta_a_mes9[[#This Row],[IMPORTE NETO]:[EXENTO]])</f>
        <v>-266913.99679999996</v>
      </c>
      <c r="M337" s="55"/>
    </row>
    <row r="338" spans="2:13" x14ac:dyDescent="0.3">
      <c r="B338" s="105">
        <v>44915</v>
      </c>
      <c r="C338" s="106">
        <v>3</v>
      </c>
      <c r="D338" s="107">
        <v>10</v>
      </c>
      <c r="E338" s="108">
        <v>648</v>
      </c>
      <c r="F338" s="109">
        <v>30709163503</v>
      </c>
      <c r="G338" s="95" t="str">
        <f>IFERROR(IF(venta_a_mes9[[#This Row],[CUIT]]="","-",VLOOKUP(venta_a_mes9[[#This Row],[CUIT]],Lista_CUIT[#All],2,0)),"CUIT NO CARGADO")</f>
        <v>CANADEZ S.R.L.</v>
      </c>
      <c r="H338" s="96">
        <v>-2080.9899999999998</v>
      </c>
      <c r="I338" s="97">
        <f>venta_a_mes9[[#This Row],[IMPORTE NETO]]*0.21</f>
        <v>-437.00789999999995</v>
      </c>
      <c r="J338" s="61"/>
      <c r="K338" s="61"/>
      <c r="L338" s="61">
        <f>SUM(venta_a_mes9[[#This Row],[IMPORTE NETO]:[EXENTO]])</f>
        <v>-2517.9978999999998</v>
      </c>
      <c r="M338" s="55"/>
    </row>
    <row r="339" spans="2:13" x14ac:dyDescent="0.3">
      <c r="B339" s="105">
        <v>44924</v>
      </c>
      <c r="C339" s="106">
        <v>3</v>
      </c>
      <c r="D339" s="107">
        <v>10</v>
      </c>
      <c r="E339" s="108">
        <v>649</v>
      </c>
      <c r="F339" s="109">
        <v>30715119443</v>
      </c>
      <c r="G339" s="95" t="str">
        <f>IFERROR(IF(venta_a_mes9[[#This Row],[CUIT]]="","-",VLOOKUP(venta_a_mes9[[#This Row],[CUIT]],Lista_CUIT[#All],2,0)),"CUIT NO CARGADO")</f>
        <v>MORALLI ISABEL,MORALLI RENEE, CHIESA LUIS HERNAN Y INGE SOMMER</v>
      </c>
      <c r="H339" s="96">
        <v>-22608.26</v>
      </c>
      <c r="I339" s="97">
        <f>venta_a_mes9[[#This Row],[IMPORTE NETO]]*0.21</f>
        <v>-4747.7345999999998</v>
      </c>
      <c r="J339" s="61"/>
      <c r="K339" s="61"/>
      <c r="L339" s="61">
        <f>SUM(venta_a_mes9[[#This Row],[IMPORTE NETO]:[EXENTO]])</f>
        <v>-27355.994599999998</v>
      </c>
      <c r="M339" s="55"/>
    </row>
    <row r="340" spans="2:13" x14ac:dyDescent="0.3">
      <c r="B340" s="105">
        <v>44924</v>
      </c>
      <c r="C340" s="106">
        <v>3</v>
      </c>
      <c r="D340" s="107">
        <v>10</v>
      </c>
      <c r="E340" s="108">
        <v>650</v>
      </c>
      <c r="F340" s="109">
        <v>30709163503</v>
      </c>
      <c r="G340" s="95" t="str">
        <f>IFERROR(IF(venta_a_mes9[[#This Row],[CUIT]]="","-",VLOOKUP(venta_a_mes9[[#This Row],[CUIT]],Lista_CUIT[#All],2,0)),"CUIT NO CARGADO")</f>
        <v>CANADEZ S.R.L.</v>
      </c>
      <c r="H340" s="96">
        <v>-196320.5</v>
      </c>
      <c r="I340" s="97">
        <f>venta_a_mes9[[#This Row],[IMPORTE NETO]]*0.21</f>
        <v>-41227.305</v>
      </c>
      <c r="J340" s="61"/>
      <c r="K340" s="61"/>
      <c r="L340" s="61">
        <f>SUM(venta_a_mes9[[#This Row],[IMPORTE NETO]:[EXENTO]])</f>
        <v>-237547.80499999999</v>
      </c>
      <c r="M340" s="55"/>
    </row>
    <row r="341" spans="2:13" x14ac:dyDescent="0.3">
      <c r="B341" s="62" t="s">
        <v>83</v>
      </c>
      <c r="C341" s="63"/>
      <c r="D341" s="63"/>
      <c r="E341" s="63"/>
      <c r="F341" s="63"/>
      <c r="G341" s="63"/>
      <c r="H341" s="65">
        <f>SUBTOTAL(109,venta_a_mes9[IMPORTE NETO])</f>
        <v>5166420.93</v>
      </c>
      <c r="I341" s="66">
        <f>SUBTOTAL(109,venta_a_mes9[IVA 21%])</f>
        <v>1084948.3953000002</v>
      </c>
      <c r="J341" s="67">
        <f>SUBTOTAL(109,venta_a_mes9[IVA 10,5%])</f>
        <v>0</v>
      </c>
      <c r="K341" s="67">
        <f>SUBTOTAL(109,venta_a_mes9[EXENTO])</f>
        <v>0</v>
      </c>
      <c r="L341" s="67">
        <f>SUBTOTAL(109,venta_a_mes9[TOTAL])</f>
        <v>6251369.3253000015</v>
      </c>
      <c r="M341" s="64">
        <f>SUBTOTAL(103,venta_a_mes9[Provincia])</f>
        <v>0</v>
      </c>
    </row>
    <row r="342" spans="2:13" x14ac:dyDescent="0.3">
      <c r="B342" s="238"/>
      <c r="C342" s="238"/>
      <c r="D342" s="238"/>
      <c r="E342" s="238"/>
      <c r="F342" s="238"/>
      <c r="G342" s="238"/>
      <c r="H342" s="240"/>
      <c r="I342" s="241"/>
      <c r="J342" s="242"/>
      <c r="K342" s="242"/>
      <c r="L342" s="242"/>
      <c r="M342" s="239"/>
    </row>
    <row r="343" spans="2:13" x14ac:dyDescent="0.3">
      <c r="B343" s="238"/>
      <c r="C343" s="238"/>
      <c r="D343" s="238"/>
      <c r="E343" s="238"/>
      <c r="F343" s="238"/>
      <c r="G343" s="238"/>
      <c r="H343" s="240"/>
      <c r="I343" s="241"/>
      <c r="J343" s="242"/>
      <c r="K343" s="242"/>
      <c r="L343" s="242"/>
      <c r="M343" s="239"/>
    </row>
    <row r="344" spans="2:13" ht="21" x14ac:dyDescent="0.3">
      <c r="B344" s="449" t="s">
        <v>31</v>
      </c>
      <c r="C344" s="449"/>
    </row>
    <row r="345" spans="2:13" ht="15.6" x14ac:dyDescent="0.3">
      <c r="B345" s="56" t="s">
        <v>0</v>
      </c>
      <c r="C345" s="57" t="s">
        <v>1</v>
      </c>
      <c r="D345" s="57" t="s">
        <v>21</v>
      </c>
      <c r="E345" s="57" t="s">
        <v>22</v>
      </c>
      <c r="F345" s="57" t="s">
        <v>3</v>
      </c>
      <c r="G345" s="57" t="s">
        <v>4</v>
      </c>
      <c r="H345" s="57" t="s">
        <v>23</v>
      </c>
      <c r="I345" s="57" t="s">
        <v>17</v>
      </c>
      <c r="J345" s="57" t="s">
        <v>7</v>
      </c>
      <c r="K345" s="57" t="s">
        <v>24</v>
      </c>
      <c r="L345" s="57" t="s">
        <v>10</v>
      </c>
      <c r="M345" s="58" t="s">
        <v>38</v>
      </c>
    </row>
    <row r="346" spans="2:13" x14ac:dyDescent="0.3">
      <c r="B346" s="223">
        <v>44896</v>
      </c>
      <c r="C346" s="224">
        <v>6</v>
      </c>
      <c r="D346" s="225">
        <v>15</v>
      </c>
      <c r="E346" s="226">
        <v>7382</v>
      </c>
      <c r="F346" s="227"/>
      <c r="G346" s="1" t="str">
        <f>IFERROR(IF(ventas_b_mes9[[#This Row],[CUIT]]="","-",VLOOKUP(ventas_b_mes9[[#This Row],[CUIT]],Lista_CUIT[#All],2,0)),"CUIT NO CARGADO")</f>
        <v>-</v>
      </c>
      <c r="H346" s="60">
        <f>ventas_b_mes9[[#This Row],[TOTAL]]/1.21</f>
        <v>4190.08</v>
      </c>
      <c r="I346" s="228">
        <f>ventas_b_mes9[[#This Row],[IMPORTE NETO]]*0.21</f>
        <v>879.91679999999997</v>
      </c>
      <c r="J346" s="229"/>
      <c r="K346" s="229"/>
      <c r="L346" s="229">
        <v>5069.9967999999999</v>
      </c>
      <c r="M346" s="55"/>
    </row>
    <row r="347" spans="2:13" x14ac:dyDescent="0.3">
      <c r="B347" s="223">
        <v>44896</v>
      </c>
      <c r="C347" s="224">
        <v>6</v>
      </c>
      <c r="D347" s="225">
        <v>15</v>
      </c>
      <c r="E347" s="226">
        <v>7383</v>
      </c>
      <c r="F347" s="227"/>
      <c r="G347" s="1" t="str">
        <f>IFERROR(IF(ventas_b_mes9[[#This Row],[CUIT]]="","-",VLOOKUP(ventas_b_mes9[[#This Row],[CUIT]],Lista_CUIT[#All],2,0)),"CUIT NO CARGADO")</f>
        <v>-</v>
      </c>
      <c r="H347" s="60">
        <f>ventas_b_mes9[[#This Row],[TOTAL]]/1.21</f>
        <v>11735.54</v>
      </c>
      <c r="I347" s="228">
        <f>ventas_b_mes9[[#This Row],[IMPORTE NETO]]*0.21</f>
        <v>2464.4634000000001</v>
      </c>
      <c r="J347" s="229"/>
      <c r="K347" s="229"/>
      <c r="L347" s="229">
        <v>14200.003400000001</v>
      </c>
      <c r="M347" s="55"/>
    </row>
    <row r="348" spans="2:13" x14ac:dyDescent="0.3">
      <c r="B348" s="223">
        <v>44896</v>
      </c>
      <c r="C348" s="224">
        <v>6</v>
      </c>
      <c r="D348" s="225">
        <v>10</v>
      </c>
      <c r="E348" s="226">
        <v>44252</v>
      </c>
      <c r="F348" s="227"/>
      <c r="G348" s="1" t="str">
        <f>IFERROR(IF(ventas_b_mes9[[#This Row],[CUIT]]="","-",VLOOKUP(ventas_b_mes9[[#This Row],[CUIT]],Lista_CUIT[#All],2,0)),"CUIT NO CARGADO")</f>
        <v>-</v>
      </c>
      <c r="H348" s="60">
        <f>ventas_b_mes9[[#This Row],[TOTAL]]/1.21</f>
        <v>14132.23</v>
      </c>
      <c r="I348" s="228">
        <f>ventas_b_mes9[[#This Row],[IMPORTE NETO]]*0.21</f>
        <v>2967.7682999999997</v>
      </c>
      <c r="J348" s="229"/>
      <c r="K348" s="229"/>
      <c r="L348" s="229">
        <v>17099.998299999999</v>
      </c>
      <c r="M348" s="55"/>
    </row>
    <row r="349" spans="2:13" x14ac:dyDescent="0.3">
      <c r="B349" s="223">
        <v>44896</v>
      </c>
      <c r="C349" s="224">
        <v>6</v>
      </c>
      <c r="D349" s="225">
        <v>10</v>
      </c>
      <c r="E349" s="226">
        <v>44253</v>
      </c>
      <c r="F349" s="227"/>
      <c r="G349" s="1" t="str">
        <f>IFERROR(IF(ventas_b_mes9[[#This Row],[CUIT]]="","-",VLOOKUP(ventas_b_mes9[[#This Row],[CUIT]],Lista_CUIT[#All],2,0)),"CUIT NO CARGADO")</f>
        <v>-</v>
      </c>
      <c r="H349" s="60">
        <f>ventas_b_mes9[[#This Row],[TOTAL]]/1.21</f>
        <v>7338.84</v>
      </c>
      <c r="I349" s="228">
        <f>ventas_b_mes9[[#This Row],[IMPORTE NETO]]*0.21</f>
        <v>1541.1564000000001</v>
      </c>
      <c r="J349" s="229"/>
      <c r="K349" s="229"/>
      <c r="L349" s="229">
        <v>8879.9964</v>
      </c>
      <c r="M349" s="55"/>
    </row>
    <row r="350" spans="2:13" x14ac:dyDescent="0.3">
      <c r="B350" s="223">
        <v>44896</v>
      </c>
      <c r="C350" s="224">
        <v>6</v>
      </c>
      <c r="D350" s="225">
        <v>10</v>
      </c>
      <c r="E350" s="226">
        <v>44254</v>
      </c>
      <c r="F350" s="227"/>
      <c r="G350" s="1" t="str">
        <f>IFERROR(IF(ventas_b_mes9[[#This Row],[CUIT]]="","-",VLOOKUP(ventas_b_mes9[[#This Row],[CUIT]],Lista_CUIT[#All],2,0)),"CUIT NO CARGADO")</f>
        <v>-</v>
      </c>
      <c r="H350" s="60">
        <f>ventas_b_mes9[[#This Row],[TOTAL]]/1.21</f>
        <v>3570.25</v>
      </c>
      <c r="I350" s="228">
        <f>ventas_b_mes9[[#This Row],[IMPORTE NETO]]*0.21</f>
        <v>749.75249999999994</v>
      </c>
      <c r="J350" s="229"/>
      <c r="K350" s="229"/>
      <c r="L350" s="229">
        <v>4320.0024999999996</v>
      </c>
      <c r="M350" s="55"/>
    </row>
    <row r="351" spans="2:13" x14ac:dyDescent="0.3">
      <c r="B351" s="223">
        <v>44896</v>
      </c>
      <c r="C351" s="224">
        <v>6</v>
      </c>
      <c r="D351" s="225">
        <v>10</v>
      </c>
      <c r="E351" s="226">
        <v>44255</v>
      </c>
      <c r="F351" s="227"/>
      <c r="G351" s="1" t="str">
        <f>IFERROR(IF(ventas_b_mes9[[#This Row],[CUIT]]="","-",VLOOKUP(ventas_b_mes9[[#This Row],[CUIT]],Lista_CUIT[#All],2,0)),"CUIT NO CARGADO")</f>
        <v>-</v>
      </c>
      <c r="H351" s="60">
        <f>ventas_b_mes9[[#This Row],[TOTAL]]/1.21</f>
        <v>2148.7600000000002</v>
      </c>
      <c r="I351" s="228">
        <f>ventas_b_mes9[[#This Row],[IMPORTE NETO]]*0.21</f>
        <v>451.23960000000005</v>
      </c>
      <c r="J351" s="229"/>
      <c r="K351" s="229"/>
      <c r="L351" s="229">
        <v>2599.9996000000001</v>
      </c>
      <c r="M351" s="55"/>
    </row>
    <row r="352" spans="2:13" x14ac:dyDescent="0.3">
      <c r="B352" s="223">
        <v>44896</v>
      </c>
      <c r="C352" s="224">
        <v>6</v>
      </c>
      <c r="D352" s="225">
        <v>10</v>
      </c>
      <c r="E352" s="226">
        <v>44256</v>
      </c>
      <c r="F352" s="227"/>
      <c r="G352" s="1" t="str">
        <f>IFERROR(IF(ventas_b_mes9[[#This Row],[CUIT]]="","-",VLOOKUP(ventas_b_mes9[[#This Row],[CUIT]],Lista_CUIT[#All],2,0)),"CUIT NO CARGADO")</f>
        <v>-</v>
      </c>
      <c r="H352" s="60">
        <f>ventas_b_mes9[[#This Row],[TOTAL]]/1.21</f>
        <v>1776.86</v>
      </c>
      <c r="I352" s="228">
        <f>ventas_b_mes9[[#This Row],[IMPORTE NETO]]*0.21</f>
        <v>373.14059999999995</v>
      </c>
      <c r="J352" s="229"/>
      <c r="K352" s="229"/>
      <c r="L352" s="229">
        <v>2150.0005999999998</v>
      </c>
      <c r="M352" s="55"/>
    </row>
    <row r="353" spans="2:13" x14ac:dyDescent="0.3">
      <c r="B353" s="223">
        <v>44896</v>
      </c>
      <c r="C353" s="224">
        <v>6</v>
      </c>
      <c r="D353" s="225">
        <v>10</v>
      </c>
      <c r="E353" s="226">
        <v>44257</v>
      </c>
      <c r="F353" s="227"/>
      <c r="G353" s="1" t="str">
        <f>IFERROR(IF(ventas_b_mes9[[#This Row],[CUIT]]="","-",VLOOKUP(ventas_b_mes9[[#This Row],[CUIT]],Lista_CUIT[#All],2,0)),"CUIT NO CARGADO")</f>
        <v>-</v>
      </c>
      <c r="H353" s="60">
        <f>ventas_b_mes9[[#This Row],[TOTAL]]/1.21</f>
        <v>10257.64</v>
      </c>
      <c r="I353" s="228">
        <f>ventas_b_mes9[[#This Row],[IMPORTE NETO]]*0.21</f>
        <v>2154.1043999999997</v>
      </c>
      <c r="J353" s="229"/>
      <c r="K353" s="229"/>
      <c r="L353" s="229">
        <v>12411.7444</v>
      </c>
      <c r="M353" s="55"/>
    </row>
    <row r="354" spans="2:13" x14ac:dyDescent="0.3">
      <c r="B354" s="223">
        <v>44896</v>
      </c>
      <c r="C354" s="224">
        <v>6</v>
      </c>
      <c r="D354" s="225">
        <v>10</v>
      </c>
      <c r="E354" s="226">
        <v>44258</v>
      </c>
      <c r="F354" s="227"/>
      <c r="G354" s="1" t="str">
        <f>IFERROR(IF(ventas_b_mes9[[#This Row],[CUIT]]="","-",VLOOKUP(ventas_b_mes9[[#This Row],[CUIT]],Lista_CUIT[#All],2,0)),"CUIT NO CARGADO")</f>
        <v>-</v>
      </c>
      <c r="H354" s="60">
        <f>ventas_b_mes9[[#This Row],[TOTAL]]/1.21</f>
        <v>6942.1499999999987</v>
      </c>
      <c r="I354" s="228">
        <f>ventas_b_mes9[[#This Row],[IMPORTE NETO]]*0.21</f>
        <v>1457.8514999999998</v>
      </c>
      <c r="J354" s="229"/>
      <c r="K354" s="229"/>
      <c r="L354" s="229">
        <v>8400.0014999999985</v>
      </c>
      <c r="M354" s="55"/>
    </row>
    <row r="355" spans="2:13" x14ac:dyDescent="0.3">
      <c r="B355" s="223">
        <v>44896</v>
      </c>
      <c r="C355" s="224">
        <v>6</v>
      </c>
      <c r="D355" s="225">
        <v>10</v>
      </c>
      <c r="E355" s="226">
        <v>44259</v>
      </c>
      <c r="F355" s="227"/>
      <c r="G355" s="1" t="str">
        <f>IFERROR(IF(ventas_b_mes9[[#This Row],[CUIT]]="","-",VLOOKUP(ventas_b_mes9[[#This Row],[CUIT]],Lista_CUIT[#All],2,0)),"CUIT NO CARGADO")</f>
        <v>-</v>
      </c>
      <c r="H355" s="60">
        <f>ventas_b_mes9[[#This Row],[TOTAL]]/1.21</f>
        <v>2148.7600000000002</v>
      </c>
      <c r="I355" s="228">
        <f>ventas_b_mes9[[#This Row],[IMPORTE NETO]]*0.21</f>
        <v>451.23960000000005</v>
      </c>
      <c r="J355" s="229"/>
      <c r="K355" s="229"/>
      <c r="L355" s="229">
        <v>2599.9996000000001</v>
      </c>
      <c r="M355" s="55"/>
    </row>
    <row r="356" spans="2:13" x14ac:dyDescent="0.3">
      <c r="B356" s="223">
        <v>44896</v>
      </c>
      <c r="C356" s="224">
        <v>6</v>
      </c>
      <c r="D356" s="225">
        <v>10</v>
      </c>
      <c r="E356" s="226">
        <v>44260</v>
      </c>
      <c r="F356" s="227"/>
      <c r="G356" s="1" t="str">
        <f>IFERROR(IF(ventas_b_mes9[[#This Row],[CUIT]]="","-",VLOOKUP(ventas_b_mes9[[#This Row],[CUIT]],Lista_CUIT[#All],2,0)),"CUIT NO CARGADO")</f>
        <v>-</v>
      </c>
      <c r="H356" s="60">
        <f>ventas_b_mes9[[#This Row],[TOTAL]]/1.21</f>
        <v>54710.73000000001</v>
      </c>
      <c r="I356" s="228">
        <f>ventas_b_mes9[[#This Row],[IMPORTE NETO]]*0.21</f>
        <v>11489.253300000002</v>
      </c>
      <c r="J356" s="229"/>
      <c r="K356" s="229"/>
      <c r="L356" s="229">
        <v>66199.983300000007</v>
      </c>
      <c r="M356" s="55"/>
    </row>
    <row r="357" spans="2:13" x14ac:dyDescent="0.3">
      <c r="B357" s="223">
        <v>44896</v>
      </c>
      <c r="C357" s="224">
        <v>6</v>
      </c>
      <c r="D357" s="225">
        <v>10</v>
      </c>
      <c r="E357" s="226">
        <v>44261</v>
      </c>
      <c r="F357" s="227"/>
      <c r="G357" s="1" t="str">
        <f>IFERROR(IF(ventas_b_mes9[[#This Row],[CUIT]]="","-",VLOOKUP(ventas_b_mes9[[#This Row],[CUIT]],Lista_CUIT[#All],2,0)),"CUIT NO CARGADO")</f>
        <v>-</v>
      </c>
      <c r="H357" s="60">
        <f>ventas_b_mes9[[#This Row],[TOTAL]]/1.21</f>
        <v>8578.51</v>
      </c>
      <c r="I357" s="228">
        <f>ventas_b_mes9[[#This Row],[IMPORTE NETO]]*0.21</f>
        <v>1801.4871000000001</v>
      </c>
      <c r="J357" s="229"/>
      <c r="K357" s="229"/>
      <c r="L357" s="229">
        <v>10379.997100000001</v>
      </c>
      <c r="M357" s="55"/>
    </row>
    <row r="358" spans="2:13" x14ac:dyDescent="0.3">
      <c r="B358" s="223">
        <v>44896</v>
      </c>
      <c r="C358" s="224">
        <v>6</v>
      </c>
      <c r="D358" s="225">
        <v>10</v>
      </c>
      <c r="E358" s="226">
        <v>44262</v>
      </c>
      <c r="F358" s="227"/>
      <c r="G358" s="1" t="str">
        <f>IFERROR(IF(ventas_b_mes9[[#This Row],[CUIT]]="","-",VLOOKUP(ventas_b_mes9[[#This Row],[CUIT]],Lista_CUIT[#All],2,0)),"CUIT NO CARGADO")</f>
        <v>-</v>
      </c>
      <c r="H358" s="60">
        <f>ventas_b_mes9[[#This Row],[TOTAL]]/1.21</f>
        <v>4545.45</v>
      </c>
      <c r="I358" s="228">
        <f>ventas_b_mes9[[#This Row],[IMPORTE NETO]]*0.21</f>
        <v>954.54449999999997</v>
      </c>
      <c r="J358" s="229"/>
      <c r="K358" s="229"/>
      <c r="L358" s="229">
        <v>5499.9944999999998</v>
      </c>
      <c r="M358" s="55"/>
    </row>
    <row r="359" spans="2:13" x14ac:dyDescent="0.3">
      <c r="B359" s="223">
        <v>44896</v>
      </c>
      <c r="C359" s="224">
        <v>6</v>
      </c>
      <c r="D359" s="225">
        <v>12</v>
      </c>
      <c r="E359" s="226">
        <v>22876</v>
      </c>
      <c r="F359" s="227"/>
      <c r="G359" s="1" t="str">
        <f>IFERROR(IF(ventas_b_mes9[[#This Row],[CUIT]]="","-",VLOOKUP(ventas_b_mes9[[#This Row],[CUIT]],Lista_CUIT[#All],2,0)),"CUIT NO CARGADO")</f>
        <v>-</v>
      </c>
      <c r="H359" s="60">
        <f>ventas_b_mes9[[#This Row],[TOTAL]]/1.21</f>
        <v>10462.81</v>
      </c>
      <c r="I359" s="228">
        <f>ventas_b_mes9[[#This Row],[IMPORTE NETO]]*0.21</f>
        <v>2197.1900999999998</v>
      </c>
      <c r="J359" s="229"/>
      <c r="K359" s="229"/>
      <c r="L359" s="229">
        <v>12660.000099999999</v>
      </c>
      <c r="M359" s="55"/>
    </row>
    <row r="360" spans="2:13" x14ac:dyDescent="0.3">
      <c r="B360" s="223">
        <v>44896</v>
      </c>
      <c r="C360" s="224">
        <v>6</v>
      </c>
      <c r="D360" s="225">
        <v>12</v>
      </c>
      <c r="E360" s="226">
        <v>22877</v>
      </c>
      <c r="F360" s="227"/>
      <c r="G360" s="1" t="str">
        <f>IFERROR(IF(ventas_b_mes9[[#This Row],[CUIT]]="","-",VLOOKUP(ventas_b_mes9[[#This Row],[CUIT]],Lista_CUIT[#All],2,0)),"CUIT NO CARGADO")</f>
        <v>-</v>
      </c>
      <c r="H360" s="60">
        <f>ventas_b_mes9[[#This Row],[TOTAL]]/1.21</f>
        <v>3560.34</v>
      </c>
      <c r="I360" s="228">
        <f>ventas_b_mes9[[#This Row],[IMPORTE NETO]]*0.21</f>
        <v>747.67139999999995</v>
      </c>
      <c r="J360" s="229"/>
      <c r="K360" s="229"/>
      <c r="L360" s="229">
        <v>4308.0114000000003</v>
      </c>
      <c r="M360" s="55"/>
    </row>
    <row r="361" spans="2:13" x14ac:dyDescent="0.3">
      <c r="B361" s="223">
        <v>44896</v>
      </c>
      <c r="C361" s="224">
        <v>6</v>
      </c>
      <c r="D361" s="225">
        <v>12</v>
      </c>
      <c r="E361" s="226">
        <v>22878</v>
      </c>
      <c r="F361" s="227"/>
      <c r="G361" s="1" t="str">
        <f>IFERROR(IF(ventas_b_mes9[[#This Row],[CUIT]]="","-",VLOOKUP(ventas_b_mes9[[#This Row],[CUIT]],Lista_CUIT[#All],2,0)),"CUIT NO CARGADO")</f>
        <v>-</v>
      </c>
      <c r="H361" s="60">
        <f>ventas_b_mes9[[#This Row],[TOTAL]]/1.21</f>
        <v>4596.7</v>
      </c>
      <c r="I361" s="228">
        <f>ventas_b_mes9[[#This Row],[IMPORTE NETO]]*0.21</f>
        <v>965.3069999999999</v>
      </c>
      <c r="J361" s="229"/>
      <c r="K361" s="229"/>
      <c r="L361" s="229">
        <v>5562.0069999999996</v>
      </c>
      <c r="M361" s="55"/>
    </row>
    <row r="362" spans="2:13" x14ac:dyDescent="0.3">
      <c r="B362" s="223">
        <v>44896</v>
      </c>
      <c r="C362" s="224">
        <v>6</v>
      </c>
      <c r="D362" s="225">
        <v>12</v>
      </c>
      <c r="E362" s="226">
        <v>22879</v>
      </c>
      <c r="F362" s="227"/>
      <c r="G362" s="1" t="str">
        <f>IFERROR(IF(ventas_b_mes9[[#This Row],[CUIT]]="","-",VLOOKUP(ventas_b_mes9[[#This Row],[CUIT]],Lista_CUIT[#All],2,0)),"CUIT NO CARGADO")</f>
        <v>-</v>
      </c>
      <c r="H362" s="60">
        <f>ventas_b_mes9[[#This Row],[TOTAL]]/1.21</f>
        <v>10264.459999999999</v>
      </c>
      <c r="I362" s="228">
        <f>ventas_b_mes9[[#This Row],[IMPORTE NETO]]*0.21</f>
        <v>2155.5365999999999</v>
      </c>
      <c r="J362" s="229"/>
      <c r="K362" s="229"/>
      <c r="L362" s="229">
        <v>12419.996599999999</v>
      </c>
      <c r="M362" s="55"/>
    </row>
    <row r="363" spans="2:13" x14ac:dyDescent="0.3">
      <c r="B363" s="223">
        <v>44896</v>
      </c>
      <c r="C363" s="224">
        <v>6</v>
      </c>
      <c r="D363" s="225">
        <v>12</v>
      </c>
      <c r="E363" s="226">
        <v>22880</v>
      </c>
      <c r="F363" s="227"/>
      <c r="G363" s="1" t="str">
        <f>IFERROR(IF(ventas_b_mes9[[#This Row],[CUIT]]="","-",VLOOKUP(ventas_b_mes9[[#This Row],[CUIT]],Lista_CUIT[#All],2,0)),"CUIT NO CARGADO")</f>
        <v>-</v>
      </c>
      <c r="H363" s="60">
        <f>ventas_b_mes9[[#This Row],[TOTAL]]/1.21</f>
        <v>3046.28</v>
      </c>
      <c r="I363" s="228">
        <f>ventas_b_mes9[[#This Row],[IMPORTE NETO]]*0.21</f>
        <v>639.71879999999999</v>
      </c>
      <c r="J363" s="229"/>
      <c r="K363" s="229"/>
      <c r="L363" s="229">
        <v>3685.9988000000003</v>
      </c>
      <c r="M363" s="55"/>
    </row>
    <row r="364" spans="2:13" x14ac:dyDescent="0.3">
      <c r="B364" s="223">
        <v>44896</v>
      </c>
      <c r="C364" s="224">
        <v>6</v>
      </c>
      <c r="D364" s="225">
        <v>12</v>
      </c>
      <c r="E364" s="226">
        <v>22881</v>
      </c>
      <c r="F364" s="227"/>
      <c r="G364" s="1" t="str">
        <f>IFERROR(IF(ventas_b_mes9[[#This Row],[CUIT]]="","-",VLOOKUP(ventas_b_mes9[[#This Row],[CUIT]],Lista_CUIT[#All],2,0)),"CUIT NO CARGADO")</f>
        <v>-</v>
      </c>
      <c r="H364" s="60">
        <f>ventas_b_mes9[[#This Row],[TOTAL]]/1.21</f>
        <v>991.74</v>
      </c>
      <c r="I364" s="228">
        <f>ventas_b_mes9[[#This Row],[IMPORTE NETO]]*0.21</f>
        <v>208.2654</v>
      </c>
      <c r="J364" s="229"/>
      <c r="K364" s="229"/>
      <c r="L364" s="229">
        <v>1200.0054</v>
      </c>
      <c r="M364" s="55"/>
    </row>
    <row r="365" spans="2:13" x14ac:dyDescent="0.3">
      <c r="B365" s="223">
        <v>44896</v>
      </c>
      <c r="C365" s="224">
        <v>6</v>
      </c>
      <c r="D365" s="225">
        <v>12</v>
      </c>
      <c r="E365" s="226">
        <v>22882</v>
      </c>
      <c r="F365" s="227"/>
      <c r="G365" s="1" t="str">
        <f>IFERROR(IF(ventas_b_mes9[[#This Row],[CUIT]]="","-",VLOOKUP(ventas_b_mes9[[#This Row],[CUIT]],Lista_CUIT[#All],2,0)),"CUIT NO CARGADO")</f>
        <v>-</v>
      </c>
      <c r="H365" s="60">
        <f>ventas_b_mes9[[#This Row],[TOTAL]]/1.21</f>
        <v>5061.99</v>
      </c>
      <c r="I365" s="228">
        <f>ventas_b_mes9[[#This Row],[IMPORTE NETO]]*0.21</f>
        <v>1063.0178999999998</v>
      </c>
      <c r="J365" s="229"/>
      <c r="K365" s="229"/>
      <c r="L365" s="229">
        <v>6125.0078999999996</v>
      </c>
      <c r="M365" s="55"/>
    </row>
    <row r="366" spans="2:13" x14ac:dyDescent="0.3">
      <c r="B366" s="223">
        <v>44896</v>
      </c>
      <c r="C366" s="224">
        <v>6</v>
      </c>
      <c r="D366" s="225">
        <v>12</v>
      </c>
      <c r="E366" s="226">
        <v>22883</v>
      </c>
      <c r="F366" s="227"/>
      <c r="G366" s="1" t="str">
        <f>IFERROR(IF(ventas_b_mes9[[#This Row],[CUIT]]="","-",VLOOKUP(ventas_b_mes9[[#This Row],[CUIT]],Lista_CUIT[#All],2,0)),"CUIT NO CARGADO")</f>
        <v>-</v>
      </c>
      <c r="H366" s="60">
        <f>ventas_b_mes9[[#This Row],[TOTAL]]/1.21</f>
        <v>6917.3600000000006</v>
      </c>
      <c r="I366" s="228">
        <f>ventas_b_mes9[[#This Row],[IMPORTE NETO]]*0.21</f>
        <v>1452.6456000000001</v>
      </c>
      <c r="J366" s="229"/>
      <c r="K366" s="229"/>
      <c r="L366" s="229">
        <v>8370.0056000000004</v>
      </c>
      <c r="M366" s="55"/>
    </row>
    <row r="367" spans="2:13" x14ac:dyDescent="0.3">
      <c r="B367" s="223">
        <v>44896</v>
      </c>
      <c r="C367" s="224">
        <v>6</v>
      </c>
      <c r="D367" s="225">
        <v>12</v>
      </c>
      <c r="E367" s="226">
        <v>22884</v>
      </c>
      <c r="F367" s="227"/>
      <c r="G367" s="1" t="str">
        <f>IFERROR(IF(ventas_b_mes9[[#This Row],[CUIT]]="","-",VLOOKUP(ventas_b_mes9[[#This Row],[CUIT]],Lista_CUIT[#All],2,0)),"CUIT NO CARGADO")</f>
        <v>-</v>
      </c>
      <c r="H367" s="60">
        <f>ventas_b_mes9[[#This Row],[TOTAL]]/1.21</f>
        <v>6074.38</v>
      </c>
      <c r="I367" s="228">
        <f>ventas_b_mes9[[#This Row],[IMPORTE NETO]]*0.21</f>
        <v>1275.6197999999999</v>
      </c>
      <c r="J367" s="229"/>
      <c r="K367" s="229"/>
      <c r="L367" s="229">
        <v>7349.9997999999996</v>
      </c>
      <c r="M367" s="55"/>
    </row>
    <row r="368" spans="2:13" x14ac:dyDescent="0.3">
      <c r="B368" s="223">
        <v>44896</v>
      </c>
      <c r="C368" s="224">
        <v>6</v>
      </c>
      <c r="D368" s="225">
        <v>12</v>
      </c>
      <c r="E368" s="226">
        <v>22885</v>
      </c>
      <c r="F368" s="227"/>
      <c r="G368" s="1" t="str">
        <f>IFERROR(IF(ventas_b_mes9[[#This Row],[CUIT]]="","-",VLOOKUP(ventas_b_mes9[[#This Row],[CUIT]],Lista_CUIT[#All],2,0)),"CUIT NO CARGADO")</f>
        <v>-</v>
      </c>
      <c r="H368" s="60">
        <f>ventas_b_mes9[[#This Row],[TOTAL]]/1.21</f>
        <v>4752.07</v>
      </c>
      <c r="I368" s="228">
        <f>ventas_b_mes9[[#This Row],[IMPORTE NETO]]*0.21</f>
        <v>997.93469999999991</v>
      </c>
      <c r="J368" s="229"/>
      <c r="K368" s="229"/>
      <c r="L368" s="229">
        <v>5750.0046999999995</v>
      </c>
      <c r="M368" s="55"/>
    </row>
    <row r="369" spans="2:13" x14ac:dyDescent="0.3">
      <c r="B369" s="223">
        <v>44896</v>
      </c>
      <c r="C369" s="224">
        <v>6</v>
      </c>
      <c r="D369" s="225">
        <v>12</v>
      </c>
      <c r="E369" s="226">
        <v>22886</v>
      </c>
      <c r="F369" s="227"/>
      <c r="G369" s="1" t="str">
        <f>IFERROR(IF(ventas_b_mes9[[#This Row],[CUIT]]="","-",VLOOKUP(ventas_b_mes9[[#This Row],[CUIT]],Lista_CUIT[#All],2,0)),"CUIT NO CARGADO")</f>
        <v>-</v>
      </c>
      <c r="H369" s="60">
        <f>ventas_b_mes9[[#This Row],[TOTAL]]/1.21</f>
        <v>5123.9799999999996</v>
      </c>
      <c r="I369" s="228">
        <f>ventas_b_mes9[[#This Row],[IMPORTE NETO]]*0.21</f>
        <v>1076.0357999999999</v>
      </c>
      <c r="J369" s="229"/>
      <c r="K369" s="229"/>
      <c r="L369" s="229">
        <v>6200.0157999999992</v>
      </c>
      <c r="M369" s="55"/>
    </row>
    <row r="370" spans="2:13" x14ac:dyDescent="0.3">
      <c r="B370" s="223">
        <v>44896</v>
      </c>
      <c r="C370" s="224">
        <v>6</v>
      </c>
      <c r="D370" s="225">
        <v>12</v>
      </c>
      <c r="E370" s="226">
        <v>22887</v>
      </c>
      <c r="F370" s="227"/>
      <c r="G370" s="1" t="str">
        <f>IFERROR(IF(ventas_b_mes9[[#This Row],[CUIT]]="","-",VLOOKUP(ventas_b_mes9[[#This Row],[CUIT]],Lista_CUIT[#All],2,0)),"CUIT NO CARGADO")</f>
        <v>-</v>
      </c>
      <c r="H370" s="60">
        <f>ventas_b_mes9[[#This Row],[TOTAL]]/1.21</f>
        <v>8181.82</v>
      </c>
      <c r="I370" s="228">
        <f>ventas_b_mes9[[#This Row],[IMPORTE NETO]]*0.21</f>
        <v>1718.1822</v>
      </c>
      <c r="J370" s="229"/>
      <c r="K370" s="229"/>
      <c r="L370" s="229">
        <v>9900.002199999999</v>
      </c>
      <c r="M370" s="55"/>
    </row>
    <row r="371" spans="2:13" x14ac:dyDescent="0.3">
      <c r="B371" s="223">
        <v>44896</v>
      </c>
      <c r="C371" s="224">
        <v>6</v>
      </c>
      <c r="D371" s="225">
        <v>12</v>
      </c>
      <c r="E371" s="226">
        <v>22888</v>
      </c>
      <c r="F371" s="227"/>
      <c r="G371" s="1" t="str">
        <f>IFERROR(IF(ventas_b_mes9[[#This Row],[CUIT]]="","-",VLOOKUP(ventas_b_mes9[[#This Row],[CUIT]],Lista_CUIT[#All],2,0)),"CUIT NO CARGADO")</f>
        <v>-</v>
      </c>
      <c r="H371" s="60">
        <f>ventas_b_mes9[[#This Row],[TOTAL]]/1.21</f>
        <v>2578.5100000000007</v>
      </c>
      <c r="I371" s="228">
        <f>ventas_b_mes9[[#This Row],[IMPORTE NETO]]*0.21</f>
        <v>541.48710000000017</v>
      </c>
      <c r="J371" s="229"/>
      <c r="K371" s="229"/>
      <c r="L371" s="229">
        <v>3119.9971000000005</v>
      </c>
      <c r="M371" s="55"/>
    </row>
    <row r="372" spans="2:13" x14ac:dyDescent="0.3">
      <c r="B372" s="223">
        <v>44896</v>
      </c>
      <c r="C372" s="224">
        <v>6</v>
      </c>
      <c r="D372" s="225">
        <v>12</v>
      </c>
      <c r="E372" s="226">
        <v>22889</v>
      </c>
      <c r="F372" s="227"/>
      <c r="G372" s="1" t="str">
        <f>IFERROR(IF(ventas_b_mes9[[#This Row],[CUIT]]="","-",VLOOKUP(ventas_b_mes9[[#This Row],[CUIT]],Lista_CUIT[#All],2,0)),"CUIT NO CARGADO")</f>
        <v>-</v>
      </c>
      <c r="H372" s="60">
        <f>ventas_b_mes9[[#This Row],[TOTAL]]/1.21</f>
        <v>330.58</v>
      </c>
      <c r="I372" s="228">
        <f>ventas_b_mes9[[#This Row],[IMPORTE NETO]]*0.21</f>
        <v>69.42179999999999</v>
      </c>
      <c r="J372" s="229"/>
      <c r="K372" s="229"/>
      <c r="L372" s="229">
        <v>400.0018</v>
      </c>
      <c r="M372" s="55"/>
    </row>
    <row r="373" spans="2:13" x14ac:dyDescent="0.3">
      <c r="B373" s="223">
        <v>44896</v>
      </c>
      <c r="C373" s="224">
        <v>6</v>
      </c>
      <c r="D373" s="225">
        <v>12</v>
      </c>
      <c r="E373" s="226">
        <v>22890</v>
      </c>
      <c r="F373" s="227"/>
      <c r="G373" s="1" t="str">
        <f>IFERROR(IF(ventas_b_mes9[[#This Row],[CUIT]]="","-",VLOOKUP(ventas_b_mes9[[#This Row],[CUIT]],Lista_CUIT[#All],2,0)),"CUIT NO CARGADO")</f>
        <v>-</v>
      </c>
      <c r="H373" s="60">
        <f>ventas_b_mes9[[#This Row],[TOTAL]]/1.21</f>
        <v>5661.16</v>
      </c>
      <c r="I373" s="228">
        <f>ventas_b_mes9[[#This Row],[IMPORTE NETO]]*0.21</f>
        <v>1188.8435999999999</v>
      </c>
      <c r="J373" s="229"/>
      <c r="K373" s="229"/>
      <c r="L373" s="229">
        <v>6850.0036</v>
      </c>
      <c r="M373" s="55"/>
    </row>
    <row r="374" spans="2:13" x14ac:dyDescent="0.3">
      <c r="B374" s="223">
        <v>44896</v>
      </c>
      <c r="C374" s="224">
        <v>6</v>
      </c>
      <c r="D374" s="225">
        <v>12</v>
      </c>
      <c r="E374" s="226">
        <v>22891</v>
      </c>
      <c r="F374" s="227"/>
      <c r="G374" s="1" t="str">
        <f>IFERROR(IF(ventas_b_mes9[[#This Row],[CUIT]]="","-",VLOOKUP(ventas_b_mes9[[#This Row],[CUIT]],Lista_CUIT[#All],2,0)),"CUIT NO CARGADO")</f>
        <v>-</v>
      </c>
      <c r="H374" s="60">
        <f>ventas_b_mes9[[#This Row],[TOTAL]]/1.21</f>
        <v>12099.18</v>
      </c>
      <c r="I374" s="228">
        <f>ventas_b_mes9[[#This Row],[IMPORTE NETO]]*0.21</f>
        <v>2540.8278</v>
      </c>
      <c r="J374" s="229"/>
      <c r="K374" s="229"/>
      <c r="L374" s="229">
        <v>14640.007799999999</v>
      </c>
      <c r="M374" s="55"/>
    </row>
    <row r="375" spans="2:13" x14ac:dyDescent="0.3">
      <c r="B375" s="223">
        <v>44896</v>
      </c>
      <c r="C375" s="224">
        <v>6</v>
      </c>
      <c r="D375" s="225">
        <v>12</v>
      </c>
      <c r="E375" s="226">
        <v>22892</v>
      </c>
      <c r="F375" s="227"/>
      <c r="G375" s="1" t="str">
        <f>IFERROR(IF(ventas_b_mes9[[#This Row],[CUIT]]="","-",VLOOKUP(ventas_b_mes9[[#This Row],[CUIT]],Lista_CUIT[#All],2,0)),"CUIT NO CARGADO")</f>
        <v>-</v>
      </c>
      <c r="H375" s="60">
        <f>ventas_b_mes9[[#This Row],[TOTAL]]/1.21</f>
        <v>10000</v>
      </c>
      <c r="I375" s="228">
        <f>ventas_b_mes9[[#This Row],[IMPORTE NETO]]*0.21</f>
        <v>2100</v>
      </c>
      <c r="J375" s="229"/>
      <c r="K375" s="229"/>
      <c r="L375" s="229">
        <v>12100</v>
      </c>
      <c r="M375" s="55"/>
    </row>
    <row r="376" spans="2:13" x14ac:dyDescent="0.3">
      <c r="B376" s="223">
        <v>44896</v>
      </c>
      <c r="C376" s="224">
        <v>6</v>
      </c>
      <c r="D376" s="225">
        <v>12</v>
      </c>
      <c r="E376" s="226">
        <v>22893</v>
      </c>
      <c r="F376" s="227"/>
      <c r="G376" s="1" t="str">
        <f>IFERROR(IF(ventas_b_mes9[[#This Row],[CUIT]]="","-",VLOOKUP(ventas_b_mes9[[#This Row],[CUIT]],Lista_CUIT[#All],2,0)),"CUIT NO CARGADO")</f>
        <v>-</v>
      </c>
      <c r="H376" s="60">
        <f>ventas_b_mes9[[#This Row],[TOTAL]]/1.21</f>
        <v>702.48</v>
      </c>
      <c r="I376" s="228">
        <f>ventas_b_mes9[[#This Row],[IMPORTE NETO]]*0.21</f>
        <v>147.52080000000001</v>
      </c>
      <c r="J376" s="229"/>
      <c r="K376" s="229"/>
      <c r="L376" s="229">
        <v>850.00080000000003</v>
      </c>
      <c r="M376" s="55"/>
    </row>
    <row r="377" spans="2:13" x14ac:dyDescent="0.3">
      <c r="B377" s="223">
        <v>44896</v>
      </c>
      <c r="C377" s="224">
        <v>6</v>
      </c>
      <c r="D377" s="225">
        <v>12</v>
      </c>
      <c r="E377" s="226">
        <v>22894</v>
      </c>
      <c r="F377" s="227"/>
      <c r="G377" s="1" t="str">
        <f>IFERROR(IF(ventas_b_mes9[[#This Row],[CUIT]]="","-",VLOOKUP(ventas_b_mes9[[#This Row],[CUIT]],Lista_CUIT[#All],2,0)),"CUIT NO CARGADO")</f>
        <v>-</v>
      </c>
      <c r="H377" s="60">
        <f>ventas_b_mes9[[#This Row],[TOTAL]]/1.21</f>
        <v>3581.0000000000005</v>
      </c>
      <c r="I377" s="228">
        <f>ventas_b_mes9[[#This Row],[IMPORTE NETO]]*0.21</f>
        <v>752.0100000000001</v>
      </c>
      <c r="J377" s="229"/>
      <c r="K377" s="229"/>
      <c r="L377" s="229">
        <v>4333.01</v>
      </c>
      <c r="M377" s="55"/>
    </row>
    <row r="378" spans="2:13" x14ac:dyDescent="0.3">
      <c r="B378" s="223">
        <v>44896</v>
      </c>
      <c r="C378" s="224">
        <v>6</v>
      </c>
      <c r="D378" s="225">
        <v>12</v>
      </c>
      <c r="E378" s="226">
        <v>22895</v>
      </c>
      <c r="F378" s="227"/>
      <c r="G378" s="1" t="str">
        <f>IFERROR(IF(ventas_b_mes9[[#This Row],[CUIT]]="","-",VLOOKUP(ventas_b_mes9[[#This Row],[CUIT]],Lista_CUIT[#All],2,0)),"CUIT NO CARGADO")</f>
        <v>-</v>
      </c>
      <c r="H378" s="60">
        <f>ventas_b_mes9[[#This Row],[TOTAL]]/1.21</f>
        <v>3264.47</v>
      </c>
      <c r="I378" s="228">
        <f>ventas_b_mes9[[#This Row],[IMPORTE NETO]]*0.21</f>
        <v>685.53869999999995</v>
      </c>
      <c r="J378" s="229"/>
      <c r="K378" s="229"/>
      <c r="L378" s="229">
        <v>3950.0086999999999</v>
      </c>
      <c r="M378" s="55"/>
    </row>
    <row r="379" spans="2:13" x14ac:dyDescent="0.3">
      <c r="B379" s="223">
        <v>44896</v>
      </c>
      <c r="C379" s="224">
        <v>6</v>
      </c>
      <c r="D379" s="225">
        <v>12</v>
      </c>
      <c r="E379" s="226">
        <v>22896</v>
      </c>
      <c r="F379" s="227"/>
      <c r="G379" s="1" t="str">
        <f>IFERROR(IF(ventas_b_mes9[[#This Row],[CUIT]]="","-",VLOOKUP(ventas_b_mes9[[#This Row],[CUIT]],Lista_CUIT[#All],2,0)),"CUIT NO CARGADO")</f>
        <v>-</v>
      </c>
      <c r="H379" s="60">
        <f>ventas_b_mes9[[#This Row],[TOTAL]]/1.21</f>
        <v>1714.88</v>
      </c>
      <c r="I379" s="228">
        <f>ventas_b_mes9[[#This Row],[IMPORTE NETO]]*0.21</f>
        <v>360.12479999999999</v>
      </c>
      <c r="J379" s="229"/>
      <c r="K379" s="229"/>
      <c r="L379" s="229">
        <v>2075.0048000000002</v>
      </c>
      <c r="M379" s="55"/>
    </row>
    <row r="380" spans="2:13" x14ac:dyDescent="0.3">
      <c r="B380" s="223">
        <v>44896</v>
      </c>
      <c r="C380" s="224">
        <v>6</v>
      </c>
      <c r="D380" s="225">
        <v>11</v>
      </c>
      <c r="E380" s="226">
        <v>30365</v>
      </c>
      <c r="F380" s="227"/>
      <c r="G380" s="1" t="str">
        <f>IFERROR(IF(ventas_b_mes9[[#This Row],[CUIT]]="","-",VLOOKUP(ventas_b_mes9[[#This Row],[CUIT]],Lista_CUIT[#All],2,0)),"CUIT NO CARGADO")</f>
        <v>-</v>
      </c>
      <c r="H380" s="60">
        <f>ventas_b_mes9[[#This Row],[TOTAL]]/1.21</f>
        <v>4545.45</v>
      </c>
      <c r="I380" s="228">
        <f>ventas_b_mes9[[#This Row],[IMPORTE NETO]]*0.21</f>
        <v>954.54449999999997</v>
      </c>
      <c r="J380" s="229"/>
      <c r="K380" s="229"/>
      <c r="L380" s="229">
        <v>5499.9944999999998</v>
      </c>
      <c r="M380" s="55"/>
    </row>
    <row r="381" spans="2:13" x14ac:dyDescent="0.3">
      <c r="B381" s="223">
        <v>44896</v>
      </c>
      <c r="C381" s="224">
        <v>6</v>
      </c>
      <c r="D381" s="225">
        <v>11</v>
      </c>
      <c r="E381" s="226">
        <v>30366</v>
      </c>
      <c r="F381" s="227"/>
      <c r="G381" s="1" t="str">
        <f>IFERROR(IF(ventas_b_mes9[[#This Row],[CUIT]]="","-",VLOOKUP(ventas_b_mes9[[#This Row],[CUIT]],Lista_CUIT[#All],2,0)),"CUIT NO CARGADO")</f>
        <v>-</v>
      </c>
      <c r="H381" s="60">
        <f>ventas_b_mes9[[#This Row],[TOTAL]]/1.21</f>
        <v>4545.45</v>
      </c>
      <c r="I381" s="228">
        <f>ventas_b_mes9[[#This Row],[IMPORTE NETO]]*0.21</f>
        <v>954.54449999999997</v>
      </c>
      <c r="J381" s="229"/>
      <c r="K381" s="229"/>
      <c r="L381" s="229">
        <v>5499.9944999999998</v>
      </c>
      <c r="M381" s="55"/>
    </row>
    <row r="382" spans="2:13" x14ac:dyDescent="0.3">
      <c r="B382" s="223">
        <v>44896</v>
      </c>
      <c r="C382" s="224">
        <v>6</v>
      </c>
      <c r="D382" s="225">
        <v>11</v>
      </c>
      <c r="E382" s="226">
        <v>30367</v>
      </c>
      <c r="F382" s="227"/>
      <c r="G382" s="1" t="str">
        <f>IFERROR(IF(ventas_b_mes9[[#This Row],[CUIT]]="","-",VLOOKUP(ventas_b_mes9[[#This Row],[CUIT]],Lista_CUIT[#All],2,0)),"CUIT NO CARGADO")</f>
        <v>-</v>
      </c>
      <c r="H382" s="60">
        <f>ventas_b_mes9[[#This Row],[TOTAL]]/1.21</f>
        <v>4256.2</v>
      </c>
      <c r="I382" s="228">
        <f>ventas_b_mes9[[#This Row],[IMPORTE NETO]]*0.21</f>
        <v>893.80199999999991</v>
      </c>
      <c r="J382" s="229"/>
      <c r="K382" s="229"/>
      <c r="L382" s="229">
        <v>5150.0019999999995</v>
      </c>
      <c r="M382" s="55"/>
    </row>
    <row r="383" spans="2:13" x14ac:dyDescent="0.3">
      <c r="B383" s="223">
        <v>44896</v>
      </c>
      <c r="C383" s="224">
        <v>6</v>
      </c>
      <c r="D383" s="225">
        <v>11</v>
      </c>
      <c r="E383" s="226">
        <v>30368</v>
      </c>
      <c r="F383" s="227"/>
      <c r="G383" s="1" t="str">
        <f>IFERROR(IF(ventas_b_mes9[[#This Row],[CUIT]]="","-",VLOOKUP(ventas_b_mes9[[#This Row],[CUIT]],Lista_CUIT[#All],2,0)),"CUIT NO CARGADO")</f>
        <v>-</v>
      </c>
      <c r="H383" s="60">
        <f>ventas_b_mes9[[#This Row],[TOTAL]]/1.21</f>
        <v>1404.96</v>
      </c>
      <c r="I383" s="228">
        <f>ventas_b_mes9[[#This Row],[IMPORTE NETO]]*0.21</f>
        <v>295.04160000000002</v>
      </c>
      <c r="J383" s="229"/>
      <c r="K383" s="229"/>
      <c r="L383" s="229">
        <v>1700.0016000000001</v>
      </c>
      <c r="M383" s="55"/>
    </row>
    <row r="384" spans="2:13" x14ac:dyDescent="0.3">
      <c r="B384" s="223">
        <v>44896</v>
      </c>
      <c r="C384" s="224">
        <v>6</v>
      </c>
      <c r="D384" s="225">
        <v>11</v>
      </c>
      <c r="E384" s="226">
        <v>30369</v>
      </c>
      <c r="F384" s="227"/>
      <c r="G384" s="1" t="str">
        <f>IFERROR(IF(ventas_b_mes9[[#This Row],[CUIT]]="","-",VLOOKUP(ventas_b_mes9[[#This Row],[CUIT]],Lista_CUIT[#All],2,0)),"CUIT NO CARGADO")</f>
        <v>-</v>
      </c>
      <c r="H384" s="60">
        <f>ventas_b_mes9[[#This Row],[TOTAL]]/1.21</f>
        <v>9090.91</v>
      </c>
      <c r="I384" s="228">
        <f>ventas_b_mes9[[#This Row],[IMPORTE NETO]]*0.21</f>
        <v>1909.0910999999999</v>
      </c>
      <c r="J384" s="229"/>
      <c r="K384" s="229"/>
      <c r="L384" s="229">
        <v>11000.001099999999</v>
      </c>
      <c r="M384" s="55"/>
    </row>
    <row r="385" spans="2:13" x14ac:dyDescent="0.3">
      <c r="B385" s="223">
        <v>44896</v>
      </c>
      <c r="C385" s="224">
        <v>6</v>
      </c>
      <c r="D385" s="225">
        <v>11</v>
      </c>
      <c r="E385" s="226">
        <v>30370</v>
      </c>
      <c r="F385" s="227"/>
      <c r="G385" s="1" t="str">
        <f>IFERROR(IF(ventas_b_mes9[[#This Row],[CUIT]]="","-",VLOOKUP(ventas_b_mes9[[#This Row],[CUIT]],Lista_CUIT[#All],2,0)),"CUIT NO CARGADO")</f>
        <v>-</v>
      </c>
      <c r="H385" s="60">
        <f>ventas_b_mes9[[#This Row],[TOTAL]]/1.21</f>
        <v>213.91</v>
      </c>
      <c r="I385" s="228">
        <f>ventas_b_mes9[[#This Row],[IMPORTE NETO]]*0.21</f>
        <v>44.921099999999996</v>
      </c>
      <c r="J385" s="229"/>
      <c r="K385" s="229"/>
      <c r="L385" s="229">
        <v>258.83109999999999</v>
      </c>
      <c r="M385" s="55"/>
    </row>
    <row r="386" spans="2:13" x14ac:dyDescent="0.3">
      <c r="B386" s="223">
        <v>44896</v>
      </c>
      <c r="C386" s="224">
        <v>6</v>
      </c>
      <c r="D386" s="225">
        <v>11</v>
      </c>
      <c r="E386" s="226">
        <v>30371</v>
      </c>
      <c r="F386" s="227"/>
      <c r="G386" s="1" t="str">
        <f>IFERROR(IF(ventas_b_mes9[[#This Row],[CUIT]]="","-",VLOOKUP(ventas_b_mes9[[#This Row],[CUIT]],Lista_CUIT[#All],2,0)),"CUIT NO CARGADO")</f>
        <v>-</v>
      </c>
      <c r="H386" s="60">
        <f>ventas_b_mes9[[#This Row],[TOTAL]]/1.21</f>
        <v>3055.79</v>
      </c>
      <c r="I386" s="228">
        <f>ventas_b_mes9[[#This Row],[IMPORTE NETO]]*0.21</f>
        <v>641.71589999999992</v>
      </c>
      <c r="J386" s="229"/>
      <c r="K386" s="229"/>
      <c r="L386" s="229">
        <v>3697.5059000000001</v>
      </c>
      <c r="M386" s="55"/>
    </row>
    <row r="387" spans="2:13" x14ac:dyDescent="0.3">
      <c r="B387" s="223">
        <v>44896</v>
      </c>
      <c r="C387" s="224">
        <v>6</v>
      </c>
      <c r="D387" s="225">
        <v>11</v>
      </c>
      <c r="E387" s="226">
        <v>30372</v>
      </c>
      <c r="F387" s="227"/>
      <c r="G387" s="1" t="str">
        <f>IFERROR(IF(ventas_b_mes9[[#This Row],[CUIT]]="","-",VLOOKUP(ventas_b_mes9[[#This Row],[CUIT]],Lista_CUIT[#All],2,0)),"CUIT NO CARGADO")</f>
        <v>-</v>
      </c>
      <c r="H387" s="60">
        <f>ventas_b_mes9[[#This Row],[TOTAL]]/1.21</f>
        <v>2247.9299999999998</v>
      </c>
      <c r="I387" s="228">
        <f>ventas_b_mes9[[#This Row],[IMPORTE NETO]]*0.21</f>
        <v>472.06529999999992</v>
      </c>
      <c r="J387" s="229"/>
      <c r="K387" s="229"/>
      <c r="L387" s="229">
        <v>2719.9952999999996</v>
      </c>
      <c r="M387" s="55"/>
    </row>
    <row r="388" spans="2:13" x14ac:dyDescent="0.3">
      <c r="B388" s="223">
        <v>44896</v>
      </c>
      <c r="C388" s="224">
        <v>6</v>
      </c>
      <c r="D388" s="225">
        <v>11</v>
      </c>
      <c r="E388" s="226">
        <v>30373</v>
      </c>
      <c r="F388" s="227"/>
      <c r="G388" s="1" t="str">
        <f>IFERROR(IF(ventas_b_mes9[[#This Row],[CUIT]]="","-",VLOOKUP(ventas_b_mes9[[#This Row],[CUIT]],Lista_CUIT[#All],2,0)),"CUIT NO CARGADO")</f>
        <v>-</v>
      </c>
      <c r="H388" s="60">
        <f>ventas_b_mes9[[#This Row],[TOTAL]]/1.21</f>
        <v>2826.4500000000003</v>
      </c>
      <c r="I388" s="228">
        <f>ventas_b_mes9[[#This Row],[IMPORTE NETO]]*0.21</f>
        <v>593.55450000000008</v>
      </c>
      <c r="J388" s="229"/>
      <c r="K388" s="229"/>
      <c r="L388" s="229">
        <v>3420.0045</v>
      </c>
      <c r="M388" s="55"/>
    </row>
    <row r="389" spans="2:13" x14ac:dyDescent="0.3">
      <c r="B389" s="223">
        <v>44896</v>
      </c>
      <c r="C389" s="224">
        <v>6</v>
      </c>
      <c r="D389" s="225">
        <v>11</v>
      </c>
      <c r="E389" s="226">
        <v>30374</v>
      </c>
      <c r="F389" s="227"/>
      <c r="G389" s="1" t="str">
        <f>IFERROR(IF(ventas_b_mes9[[#This Row],[CUIT]]="","-",VLOOKUP(ventas_b_mes9[[#This Row],[CUIT]],Lista_CUIT[#All],2,0)),"CUIT NO CARGADO")</f>
        <v>-</v>
      </c>
      <c r="H389" s="60">
        <f>ventas_b_mes9[[#This Row],[TOTAL]]/1.21</f>
        <v>1363.64</v>
      </c>
      <c r="I389" s="228">
        <f>ventas_b_mes9[[#This Row],[IMPORTE NETO]]*0.21</f>
        <v>286.36439999999999</v>
      </c>
      <c r="J389" s="229"/>
      <c r="K389" s="229"/>
      <c r="L389" s="229">
        <v>1650.0044</v>
      </c>
      <c r="M389" s="55"/>
    </row>
    <row r="390" spans="2:13" x14ac:dyDescent="0.3">
      <c r="B390" s="223">
        <v>44896</v>
      </c>
      <c r="C390" s="224">
        <v>6</v>
      </c>
      <c r="D390" s="225">
        <v>11</v>
      </c>
      <c r="E390" s="226">
        <v>30375</v>
      </c>
      <c r="F390" s="227"/>
      <c r="G390" s="1" t="str">
        <f>IFERROR(IF(ventas_b_mes9[[#This Row],[CUIT]]="","-",VLOOKUP(ventas_b_mes9[[#This Row],[CUIT]],Lista_CUIT[#All],2,0)),"CUIT NO CARGADO")</f>
        <v>-</v>
      </c>
      <c r="H390" s="60">
        <f>ventas_b_mes9[[#This Row],[TOTAL]]/1.21</f>
        <v>5867.77</v>
      </c>
      <c r="I390" s="228">
        <f>ventas_b_mes9[[#This Row],[IMPORTE NETO]]*0.21</f>
        <v>1232.2317</v>
      </c>
      <c r="J390" s="229"/>
      <c r="K390" s="229"/>
      <c r="L390" s="229">
        <v>7100.0017000000007</v>
      </c>
      <c r="M390" s="55"/>
    </row>
    <row r="391" spans="2:13" x14ac:dyDescent="0.3">
      <c r="B391" s="223">
        <v>44896</v>
      </c>
      <c r="C391" s="224">
        <v>6</v>
      </c>
      <c r="D391" s="225">
        <v>11</v>
      </c>
      <c r="E391" s="226">
        <v>30376</v>
      </c>
      <c r="F391" s="227"/>
      <c r="G391" s="1" t="str">
        <f>IFERROR(IF(ventas_b_mes9[[#This Row],[CUIT]]="","-",VLOOKUP(ventas_b_mes9[[#This Row],[CUIT]],Lista_CUIT[#All],2,0)),"CUIT NO CARGADO")</f>
        <v>-</v>
      </c>
      <c r="H391" s="60">
        <f>ventas_b_mes9[[#This Row],[TOTAL]]/1.21</f>
        <v>6776.86</v>
      </c>
      <c r="I391" s="228">
        <f>ventas_b_mes9[[#This Row],[IMPORTE NETO]]*0.21</f>
        <v>1423.1405999999999</v>
      </c>
      <c r="J391" s="229"/>
      <c r="K391" s="229"/>
      <c r="L391" s="229">
        <v>8200.0005999999994</v>
      </c>
      <c r="M391" s="55"/>
    </row>
    <row r="392" spans="2:13" x14ac:dyDescent="0.3">
      <c r="B392" s="223">
        <v>44896</v>
      </c>
      <c r="C392" s="224">
        <v>6</v>
      </c>
      <c r="D392" s="225">
        <v>11</v>
      </c>
      <c r="E392" s="226">
        <v>30377</v>
      </c>
      <c r="F392" s="227"/>
      <c r="G392" s="1" t="str">
        <f>IFERROR(IF(ventas_b_mes9[[#This Row],[CUIT]]="","-",VLOOKUP(ventas_b_mes9[[#This Row],[CUIT]],Lista_CUIT[#All],2,0)),"CUIT NO CARGADO")</f>
        <v>-</v>
      </c>
      <c r="H392" s="60">
        <f>ventas_b_mes9[[#This Row],[TOTAL]]/1.21</f>
        <v>3231.4</v>
      </c>
      <c r="I392" s="228">
        <f>ventas_b_mes9[[#This Row],[IMPORTE NETO]]*0.21</f>
        <v>678.59399999999994</v>
      </c>
      <c r="J392" s="229"/>
      <c r="K392" s="229"/>
      <c r="L392" s="229">
        <v>3909.9940000000001</v>
      </c>
      <c r="M392" s="55"/>
    </row>
    <row r="393" spans="2:13" x14ac:dyDescent="0.3">
      <c r="B393" s="223">
        <v>44896</v>
      </c>
      <c r="C393" s="224">
        <v>6</v>
      </c>
      <c r="D393" s="225">
        <v>11</v>
      </c>
      <c r="E393" s="226">
        <v>30378</v>
      </c>
      <c r="F393" s="227"/>
      <c r="G393" s="1" t="str">
        <f>IFERROR(IF(ventas_b_mes9[[#This Row],[CUIT]]="","-",VLOOKUP(ventas_b_mes9[[#This Row],[CUIT]],Lista_CUIT[#All],2,0)),"CUIT NO CARGADO")</f>
        <v>-</v>
      </c>
      <c r="H393" s="60">
        <f>ventas_b_mes9[[#This Row],[TOTAL]]/1.21</f>
        <v>1446.28</v>
      </c>
      <c r="I393" s="228">
        <f>ventas_b_mes9[[#This Row],[IMPORTE NETO]]*0.21</f>
        <v>303.71879999999999</v>
      </c>
      <c r="J393" s="229"/>
      <c r="K393" s="229"/>
      <c r="L393" s="229">
        <v>1749.9987999999998</v>
      </c>
      <c r="M393" s="55"/>
    </row>
    <row r="394" spans="2:13" x14ac:dyDescent="0.3">
      <c r="B394" s="223">
        <v>44896</v>
      </c>
      <c r="C394" s="224">
        <v>6</v>
      </c>
      <c r="D394" s="225">
        <v>11</v>
      </c>
      <c r="E394" s="226">
        <v>30379</v>
      </c>
      <c r="F394" s="227"/>
      <c r="G394" s="1" t="str">
        <f>IFERROR(IF(ventas_b_mes9[[#This Row],[CUIT]]="","-",VLOOKUP(ventas_b_mes9[[#This Row],[CUIT]],Lista_CUIT[#All],2,0)),"CUIT NO CARGADO")</f>
        <v>-</v>
      </c>
      <c r="H394" s="60">
        <f>ventas_b_mes9[[#This Row],[TOTAL]]/1.21</f>
        <v>50165.29</v>
      </c>
      <c r="I394" s="228">
        <f>ventas_b_mes9[[#This Row],[IMPORTE NETO]]*0.21</f>
        <v>10534.7109</v>
      </c>
      <c r="J394" s="229"/>
      <c r="K394" s="229"/>
      <c r="L394" s="229">
        <v>60700.000899999999</v>
      </c>
      <c r="M394" s="55"/>
    </row>
    <row r="395" spans="2:13" x14ac:dyDescent="0.3">
      <c r="B395" s="223">
        <v>44896</v>
      </c>
      <c r="C395" s="224">
        <v>6</v>
      </c>
      <c r="D395" s="225">
        <v>11</v>
      </c>
      <c r="E395" s="226">
        <v>30380</v>
      </c>
      <c r="F395" s="227"/>
      <c r="G395" s="1" t="str">
        <f>IFERROR(IF(ventas_b_mes9[[#This Row],[CUIT]]="","-",VLOOKUP(ventas_b_mes9[[#This Row],[CUIT]],Lista_CUIT[#All],2,0)),"CUIT NO CARGADO")</f>
        <v>-</v>
      </c>
      <c r="H395" s="60">
        <f>ventas_b_mes9[[#This Row],[TOTAL]]/1.21</f>
        <v>1198.3499999999999</v>
      </c>
      <c r="I395" s="228">
        <f>ventas_b_mes9[[#This Row],[IMPORTE NETO]]*0.21</f>
        <v>251.65349999999998</v>
      </c>
      <c r="J395" s="229"/>
      <c r="K395" s="229"/>
      <c r="L395" s="229">
        <v>1450.0034999999998</v>
      </c>
      <c r="M395" s="55"/>
    </row>
    <row r="396" spans="2:13" x14ac:dyDescent="0.3">
      <c r="B396" s="223">
        <v>44896</v>
      </c>
      <c r="C396" s="224">
        <v>6</v>
      </c>
      <c r="D396" s="225">
        <v>11</v>
      </c>
      <c r="E396" s="226">
        <v>30381</v>
      </c>
      <c r="F396" s="227"/>
      <c r="G396" s="1" t="str">
        <f>IFERROR(IF(ventas_b_mes9[[#This Row],[CUIT]]="","-",VLOOKUP(ventas_b_mes9[[#This Row],[CUIT]],Lista_CUIT[#All],2,0)),"CUIT NO CARGADO")</f>
        <v>-</v>
      </c>
      <c r="H396" s="60">
        <f>ventas_b_mes9[[#This Row],[TOTAL]]/1.21</f>
        <v>2247.9299999999998</v>
      </c>
      <c r="I396" s="228">
        <f>ventas_b_mes9[[#This Row],[IMPORTE NETO]]*0.21</f>
        <v>472.06529999999992</v>
      </c>
      <c r="J396" s="229"/>
      <c r="K396" s="229"/>
      <c r="L396" s="229">
        <v>2719.9952999999996</v>
      </c>
      <c r="M396" s="55"/>
    </row>
    <row r="397" spans="2:13" x14ac:dyDescent="0.3">
      <c r="B397" s="223">
        <v>44896</v>
      </c>
      <c r="C397" s="224">
        <v>6</v>
      </c>
      <c r="D397" s="225">
        <v>11</v>
      </c>
      <c r="E397" s="226">
        <v>30382</v>
      </c>
      <c r="F397" s="227"/>
      <c r="G397" s="1" t="str">
        <f>IFERROR(IF(ventas_b_mes9[[#This Row],[CUIT]]="","-",VLOOKUP(ventas_b_mes9[[#This Row],[CUIT]],Lista_CUIT[#All],2,0)),"CUIT NO CARGADO")</f>
        <v>-</v>
      </c>
      <c r="H397" s="60">
        <f>ventas_b_mes9[[#This Row],[TOTAL]]/1.21</f>
        <v>17231.400000000001</v>
      </c>
      <c r="I397" s="228">
        <f>ventas_b_mes9[[#This Row],[IMPORTE NETO]]*0.21</f>
        <v>3618.5940000000001</v>
      </c>
      <c r="J397" s="229"/>
      <c r="K397" s="229"/>
      <c r="L397" s="229">
        <v>20849.994000000002</v>
      </c>
      <c r="M397" s="55"/>
    </row>
    <row r="398" spans="2:13" x14ac:dyDescent="0.3">
      <c r="B398" s="223">
        <v>44896</v>
      </c>
      <c r="C398" s="224">
        <v>6</v>
      </c>
      <c r="D398" s="225">
        <v>11</v>
      </c>
      <c r="E398" s="226">
        <v>30383</v>
      </c>
      <c r="F398" s="227"/>
      <c r="G398" s="1" t="str">
        <f>IFERROR(IF(ventas_b_mes9[[#This Row],[CUIT]]="","-",VLOOKUP(ventas_b_mes9[[#This Row],[CUIT]],Lista_CUIT[#All],2,0)),"CUIT NO CARGADO")</f>
        <v>-</v>
      </c>
      <c r="H398" s="60">
        <f>ventas_b_mes9[[#This Row],[TOTAL]]/1.21</f>
        <v>2975.21</v>
      </c>
      <c r="I398" s="228">
        <f>ventas_b_mes9[[#This Row],[IMPORTE NETO]]*0.21</f>
        <v>624.79409999999996</v>
      </c>
      <c r="J398" s="229"/>
      <c r="K398" s="229"/>
      <c r="L398" s="229">
        <v>3600.0041000000001</v>
      </c>
      <c r="M398" s="55"/>
    </row>
    <row r="399" spans="2:13" x14ac:dyDescent="0.3">
      <c r="B399" s="223">
        <v>44896</v>
      </c>
      <c r="C399" s="224">
        <v>6</v>
      </c>
      <c r="D399" s="225">
        <v>11</v>
      </c>
      <c r="E399" s="226">
        <v>30384</v>
      </c>
      <c r="F399" s="227"/>
      <c r="G399" s="1" t="str">
        <f>IFERROR(IF(ventas_b_mes9[[#This Row],[CUIT]]="","-",VLOOKUP(ventas_b_mes9[[#This Row],[CUIT]],Lista_CUIT[#All],2,0)),"CUIT NO CARGADO")</f>
        <v>-</v>
      </c>
      <c r="H399" s="60">
        <f>ventas_b_mes9[[#This Row],[TOTAL]]/1.21</f>
        <v>12859.5</v>
      </c>
      <c r="I399" s="228">
        <f>ventas_b_mes9[[#This Row],[IMPORTE NETO]]*0.21</f>
        <v>2700.4949999999999</v>
      </c>
      <c r="J399" s="229"/>
      <c r="K399" s="229"/>
      <c r="L399" s="229">
        <v>15559.994999999999</v>
      </c>
      <c r="M399" s="55"/>
    </row>
    <row r="400" spans="2:13" x14ac:dyDescent="0.3">
      <c r="B400" s="223">
        <v>44896</v>
      </c>
      <c r="C400" s="224">
        <v>6</v>
      </c>
      <c r="D400" s="225">
        <v>11</v>
      </c>
      <c r="E400" s="226">
        <v>30385</v>
      </c>
      <c r="F400" s="227"/>
      <c r="G400" s="1" t="str">
        <f>IFERROR(IF(ventas_b_mes9[[#This Row],[CUIT]]="","-",VLOOKUP(ventas_b_mes9[[#This Row],[CUIT]],Lista_CUIT[#All],2,0)),"CUIT NO CARGADO")</f>
        <v>-</v>
      </c>
      <c r="H400" s="60">
        <f>ventas_b_mes9[[#This Row],[TOTAL]]/1.21</f>
        <v>1586.78</v>
      </c>
      <c r="I400" s="228">
        <f>ventas_b_mes9[[#This Row],[IMPORTE NETO]]*0.21</f>
        <v>333.22379999999998</v>
      </c>
      <c r="J400" s="229"/>
      <c r="K400" s="229"/>
      <c r="L400" s="229">
        <v>1920.0038</v>
      </c>
      <c r="M400" s="55"/>
    </row>
    <row r="401" spans="2:13" x14ac:dyDescent="0.3">
      <c r="B401" s="223">
        <v>44896</v>
      </c>
      <c r="C401" s="224">
        <v>6</v>
      </c>
      <c r="D401" s="225">
        <v>11</v>
      </c>
      <c r="E401" s="226">
        <v>30386</v>
      </c>
      <c r="F401" s="227"/>
      <c r="G401" s="1" t="str">
        <f>IFERROR(IF(ventas_b_mes9[[#This Row],[CUIT]]="","-",VLOOKUP(ventas_b_mes9[[#This Row],[CUIT]],Lista_CUIT[#All],2,0)),"CUIT NO CARGADO")</f>
        <v>-</v>
      </c>
      <c r="H401" s="60">
        <f>ventas_b_mes9[[#This Row],[TOTAL]]/1.21</f>
        <v>4958.68</v>
      </c>
      <c r="I401" s="228">
        <f>ventas_b_mes9[[#This Row],[IMPORTE NETO]]*0.21</f>
        <v>1041.3227999999999</v>
      </c>
      <c r="J401" s="229"/>
      <c r="K401" s="229"/>
      <c r="L401" s="229">
        <v>6000.0028000000002</v>
      </c>
      <c r="M401" s="55"/>
    </row>
    <row r="402" spans="2:13" x14ac:dyDescent="0.3">
      <c r="B402" s="223">
        <v>44896</v>
      </c>
      <c r="C402" s="224">
        <v>6</v>
      </c>
      <c r="D402" s="225">
        <v>13</v>
      </c>
      <c r="E402" s="226">
        <v>26990</v>
      </c>
      <c r="F402" s="227"/>
      <c r="G402" s="1" t="str">
        <f>IFERROR(IF(ventas_b_mes9[[#This Row],[CUIT]]="","-",VLOOKUP(ventas_b_mes9[[#This Row],[CUIT]],Lista_CUIT[#All],2,0)),"CUIT NO CARGADO")</f>
        <v>-</v>
      </c>
      <c r="H402" s="60">
        <f>ventas_b_mes9[[#This Row],[TOTAL]]/1.21</f>
        <v>44747.08</v>
      </c>
      <c r="I402" s="228">
        <f>ventas_b_mes9[[#This Row],[IMPORTE NETO]]*0.21</f>
        <v>9396.8868000000002</v>
      </c>
      <c r="J402" s="229"/>
      <c r="K402" s="229"/>
      <c r="L402" s="229">
        <v>54143.966800000002</v>
      </c>
      <c r="M402" s="55"/>
    </row>
    <row r="403" spans="2:13" x14ac:dyDescent="0.3">
      <c r="B403" s="223">
        <v>44896</v>
      </c>
      <c r="C403" s="224">
        <v>6</v>
      </c>
      <c r="D403" s="225">
        <v>13</v>
      </c>
      <c r="E403" s="226">
        <v>26991</v>
      </c>
      <c r="F403" s="227"/>
      <c r="G403" s="1" t="str">
        <f>IFERROR(IF(ventas_b_mes9[[#This Row],[CUIT]]="","-",VLOOKUP(ventas_b_mes9[[#This Row],[CUIT]],Lista_CUIT[#All],2,0)),"CUIT NO CARGADO")</f>
        <v>-</v>
      </c>
      <c r="H403" s="60">
        <f>ventas_b_mes9[[#This Row],[TOTAL]]/1.21</f>
        <v>3719.0100000000007</v>
      </c>
      <c r="I403" s="228">
        <f>ventas_b_mes9[[#This Row],[IMPORTE NETO]]*0.21</f>
        <v>780.99210000000016</v>
      </c>
      <c r="J403" s="229"/>
      <c r="K403" s="229"/>
      <c r="L403" s="229">
        <v>4500.0021000000006</v>
      </c>
      <c r="M403" s="55"/>
    </row>
    <row r="404" spans="2:13" x14ac:dyDescent="0.3">
      <c r="B404" s="223">
        <v>44896</v>
      </c>
      <c r="C404" s="224">
        <v>6</v>
      </c>
      <c r="D404" s="225">
        <v>13</v>
      </c>
      <c r="E404" s="226">
        <v>26992</v>
      </c>
      <c r="F404" s="227"/>
      <c r="G404" s="1" t="str">
        <f>IFERROR(IF(ventas_b_mes9[[#This Row],[CUIT]]="","-",VLOOKUP(ventas_b_mes9[[#This Row],[CUIT]],Lista_CUIT[#All],2,0)),"CUIT NO CARGADO")</f>
        <v>-</v>
      </c>
      <c r="H404" s="60">
        <f>ventas_b_mes9[[#This Row],[TOTAL]]/1.21</f>
        <v>2082.65</v>
      </c>
      <c r="I404" s="228">
        <f>ventas_b_mes9[[#This Row],[IMPORTE NETO]]*0.21</f>
        <v>437.35649999999998</v>
      </c>
      <c r="J404" s="229"/>
      <c r="K404" s="229"/>
      <c r="L404" s="229">
        <v>2520.0065</v>
      </c>
      <c r="M404" s="55"/>
    </row>
    <row r="405" spans="2:13" x14ac:dyDescent="0.3">
      <c r="B405" s="223">
        <v>44896</v>
      </c>
      <c r="C405" s="224">
        <v>6</v>
      </c>
      <c r="D405" s="225">
        <v>13</v>
      </c>
      <c r="E405" s="226">
        <v>26993</v>
      </c>
      <c r="F405" s="227"/>
      <c r="G405" s="1" t="str">
        <f>IFERROR(IF(ventas_b_mes9[[#This Row],[CUIT]]="","-",VLOOKUP(ventas_b_mes9[[#This Row],[CUIT]],Lista_CUIT[#All],2,0)),"CUIT NO CARGADO")</f>
        <v>-</v>
      </c>
      <c r="H405" s="60">
        <f>ventas_b_mes9[[#This Row],[TOTAL]]/1.21</f>
        <v>863.6400000000001</v>
      </c>
      <c r="I405" s="228">
        <f>ventas_b_mes9[[#This Row],[IMPORTE NETO]]*0.21</f>
        <v>181.36440000000002</v>
      </c>
      <c r="J405" s="229"/>
      <c r="K405" s="229"/>
      <c r="L405" s="229">
        <v>1045.0044</v>
      </c>
      <c r="M405" s="55"/>
    </row>
    <row r="406" spans="2:13" x14ac:dyDescent="0.3">
      <c r="B406" s="223">
        <v>44896</v>
      </c>
      <c r="C406" s="224">
        <v>6</v>
      </c>
      <c r="D406" s="225">
        <v>13</v>
      </c>
      <c r="E406" s="226">
        <v>26994</v>
      </c>
      <c r="F406" s="227"/>
      <c r="G406" s="1" t="str">
        <f>IFERROR(IF(ventas_b_mes9[[#This Row],[CUIT]]="","-",VLOOKUP(ventas_b_mes9[[#This Row],[CUIT]],Lista_CUIT[#All],2,0)),"CUIT NO CARGADO")</f>
        <v>-</v>
      </c>
      <c r="H406" s="60">
        <f>ventas_b_mes9[[#This Row],[TOTAL]]/1.21</f>
        <v>1636.36</v>
      </c>
      <c r="I406" s="228">
        <f>ventas_b_mes9[[#This Row],[IMPORTE NETO]]*0.21</f>
        <v>343.63559999999995</v>
      </c>
      <c r="J406" s="229"/>
      <c r="K406" s="229"/>
      <c r="L406" s="229">
        <v>1979.9955999999997</v>
      </c>
      <c r="M406" s="55"/>
    </row>
    <row r="407" spans="2:13" x14ac:dyDescent="0.3">
      <c r="B407" s="223">
        <v>44896</v>
      </c>
      <c r="C407" s="224">
        <v>6</v>
      </c>
      <c r="D407" s="225">
        <v>13</v>
      </c>
      <c r="E407" s="226">
        <v>26995</v>
      </c>
      <c r="F407" s="227"/>
      <c r="G407" s="1" t="str">
        <f>IFERROR(IF(ventas_b_mes9[[#This Row],[CUIT]]="","-",VLOOKUP(ventas_b_mes9[[#This Row],[CUIT]],Lista_CUIT[#All],2,0)),"CUIT NO CARGADO")</f>
        <v>-</v>
      </c>
      <c r="H407" s="60">
        <f>ventas_b_mes9[[#This Row],[TOTAL]]/1.21</f>
        <v>1636.36</v>
      </c>
      <c r="I407" s="228">
        <f>ventas_b_mes9[[#This Row],[IMPORTE NETO]]*0.21</f>
        <v>343.63559999999995</v>
      </c>
      <c r="J407" s="229"/>
      <c r="K407" s="229"/>
      <c r="L407" s="229">
        <v>1979.9955999999997</v>
      </c>
      <c r="M407" s="55"/>
    </row>
    <row r="408" spans="2:13" x14ac:dyDescent="0.3">
      <c r="B408" s="223">
        <v>44896</v>
      </c>
      <c r="C408" s="224">
        <v>6</v>
      </c>
      <c r="D408" s="225">
        <v>13</v>
      </c>
      <c r="E408" s="226">
        <v>26996</v>
      </c>
      <c r="F408" s="227"/>
      <c r="G408" s="1" t="str">
        <f>IFERROR(IF(ventas_b_mes9[[#This Row],[CUIT]]="","-",VLOOKUP(ventas_b_mes9[[#This Row],[CUIT]],Lista_CUIT[#All],2,0)),"CUIT NO CARGADO")</f>
        <v>-</v>
      </c>
      <c r="H408" s="60">
        <f>ventas_b_mes9[[#This Row],[TOTAL]]/1.21</f>
        <v>16826.46</v>
      </c>
      <c r="I408" s="228">
        <f>ventas_b_mes9[[#This Row],[IMPORTE NETO]]*0.21</f>
        <v>3533.5565999999999</v>
      </c>
      <c r="J408" s="229"/>
      <c r="K408" s="229"/>
      <c r="L408" s="229">
        <v>20360.016599999999</v>
      </c>
      <c r="M408" s="55"/>
    </row>
    <row r="409" spans="2:13" x14ac:dyDescent="0.3">
      <c r="B409" s="223">
        <v>44896</v>
      </c>
      <c r="C409" s="224">
        <v>6</v>
      </c>
      <c r="D409" s="225">
        <v>13</v>
      </c>
      <c r="E409" s="226">
        <v>26997</v>
      </c>
      <c r="F409" s="227"/>
      <c r="G409" s="1" t="str">
        <f>IFERROR(IF(ventas_b_mes9[[#This Row],[CUIT]]="","-",VLOOKUP(ventas_b_mes9[[#This Row],[CUIT]],Lista_CUIT[#All],2,0)),"CUIT NO CARGADO")</f>
        <v>-</v>
      </c>
      <c r="H409" s="60">
        <f>ventas_b_mes9[[#This Row],[TOTAL]]/1.21</f>
        <v>1338.8400000000001</v>
      </c>
      <c r="I409" s="228">
        <f>ventas_b_mes9[[#This Row],[IMPORTE NETO]]*0.21</f>
        <v>281.15640000000002</v>
      </c>
      <c r="J409" s="229"/>
      <c r="K409" s="229"/>
      <c r="L409" s="229">
        <v>1619.9964</v>
      </c>
      <c r="M409" s="55"/>
    </row>
    <row r="410" spans="2:13" x14ac:dyDescent="0.3">
      <c r="B410" s="223">
        <v>44896</v>
      </c>
      <c r="C410" s="224">
        <v>6</v>
      </c>
      <c r="D410" s="225">
        <v>13</v>
      </c>
      <c r="E410" s="226">
        <v>26998</v>
      </c>
      <c r="F410" s="227"/>
      <c r="G410" s="1" t="str">
        <f>IFERROR(IF(ventas_b_mes9[[#This Row],[CUIT]]="","-",VLOOKUP(ventas_b_mes9[[#This Row],[CUIT]],Lista_CUIT[#All],2,0)),"CUIT NO CARGADO")</f>
        <v>-</v>
      </c>
      <c r="H410" s="60">
        <f>ventas_b_mes9[[#This Row],[TOTAL]]/1.21</f>
        <v>1033.06</v>
      </c>
      <c r="I410" s="228">
        <f>ventas_b_mes9[[#This Row],[IMPORTE NETO]]*0.21</f>
        <v>216.94259999999997</v>
      </c>
      <c r="J410" s="229"/>
      <c r="K410" s="229"/>
      <c r="L410" s="229">
        <v>1250.0025999999998</v>
      </c>
      <c r="M410" s="55"/>
    </row>
    <row r="411" spans="2:13" x14ac:dyDescent="0.3">
      <c r="B411" s="223">
        <v>44896</v>
      </c>
      <c r="C411" s="224">
        <v>6</v>
      </c>
      <c r="D411" s="225">
        <v>13</v>
      </c>
      <c r="E411" s="226">
        <v>26999</v>
      </c>
      <c r="F411" s="227"/>
      <c r="G411" s="1" t="str">
        <f>IFERROR(IF(ventas_b_mes9[[#This Row],[CUIT]]="","-",VLOOKUP(ventas_b_mes9[[#This Row],[CUIT]],Lista_CUIT[#All],2,0)),"CUIT NO CARGADO")</f>
        <v>-</v>
      </c>
      <c r="H411" s="60">
        <f>ventas_b_mes9[[#This Row],[TOTAL]]/1.21</f>
        <v>3289.26</v>
      </c>
      <c r="I411" s="228">
        <f>ventas_b_mes9[[#This Row],[IMPORTE NETO]]*0.21</f>
        <v>690.74459999999999</v>
      </c>
      <c r="J411" s="229"/>
      <c r="K411" s="229"/>
      <c r="L411" s="229">
        <v>3980.0046000000002</v>
      </c>
      <c r="M411" s="55"/>
    </row>
    <row r="412" spans="2:13" x14ac:dyDescent="0.3">
      <c r="B412" s="223">
        <v>44896</v>
      </c>
      <c r="C412" s="224">
        <v>6</v>
      </c>
      <c r="D412" s="225">
        <v>13</v>
      </c>
      <c r="E412" s="226">
        <v>27000</v>
      </c>
      <c r="F412" s="227"/>
      <c r="G412" s="1" t="str">
        <f>IFERROR(IF(ventas_b_mes9[[#This Row],[CUIT]]="","-",VLOOKUP(ventas_b_mes9[[#This Row],[CUIT]],Lista_CUIT[#All],2,0)),"CUIT NO CARGADO")</f>
        <v>-</v>
      </c>
      <c r="H412" s="60">
        <f>ventas_b_mes9[[#This Row],[TOTAL]]/1.21</f>
        <v>10330.58</v>
      </c>
      <c r="I412" s="228">
        <f>ventas_b_mes9[[#This Row],[IMPORTE NETO]]*0.21</f>
        <v>2169.4218000000001</v>
      </c>
      <c r="J412" s="229"/>
      <c r="K412" s="229"/>
      <c r="L412" s="229">
        <v>12500.0018</v>
      </c>
      <c r="M412" s="55"/>
    </row>
    <row r="413" spans="2:13" x14ac:dyDescent="0.3">
      <c r="B413" s="223">
        <v>44896</v>
      </c>
      <c r="C413" s="224">
        <v>6</v>
      </c>
      <c r="D413" s="225">
        <v>13</v>
      </c>
      <c r="E413" s="226">
        <v>27001</v>
      </c>
      <c r="F413" s="227"/>
      <c r="G413" s="1" t="str">
        <f>IFERROR(IF(ventas_b_mes9[[#This Row],[CUIT]]="","-",VLOOKUP(ventas_b_mes9[[#This Row],[CUIT]],Lista_CUIT[#All],2,0)),"CUIT NO CARGADO")</f>
        <v>-</v>
      </c>
      <c r="H413" s="60">
        <f>ventas_b_mes9[[#This Row],[TOTAL]]/1.21</f>
        <v>2231.41</v>
      </c>
      <c r="I413" s="228">
        <f>ventas_b_mes9[[#This Row],[IMPORTE NETO]]*0.21</f>
        <v>468.59609999999998</v>
      </c>
      <c r="J413" s="229"/>
      <c r="K413" s="229"/>
      <c r="L413" s="229">
        <v>2700.0060999999996</v>
      </c>
      <c r="M413" s="55"/>
    </row>
    <row r="414" spans="2:13" x14ac:dyDescent="0.3">
      <c r="B414" s="223">
        <v>44896</v>
      </c>
      <c r="C414" s="224">
        <v>6</v>
      </c>
      <c r="D414" s="225">
        <v>13</v>
      </c>
      <c r="E414" s="226">
        <v>27002</v>
      </c>
      <c r="F414" s="227"/>
      <c r="G414" s="1" t="str">
        <f>IFERROR(IF(ventas_b_mes9[[#This Row],[CUIT]]="","-",VLOOKUP(ventas_b_mes9[[#This Row],[CUIT]],Lista_CUIT[#All],2,0)),"CUIT NO CARGADO")</f>
        <v>-</v>
      </c>
      <c r="H414" s="60">
        <f>ventas_b_mes9[[#This Row],[TOTAL]]/1.21</f>
        <v>1636.36</v>
      </c>
      <c r="I414" s="228">
        <f>ventas_b_mes9[[#This Row],[IMPORTE NETO]]*0.21</f>
        <v>343.63559999999995</v>
      </c>
      <c r="J414" s="229"/>
      <c r="K414" s="229"/>
      <c r="L414" s="229">
        <v>1979.9955999999997</v>
      </c>
      <c r="M414" s="55"/>
    </row>
    <row r="415" spans="2:13" x14ac:dyDescent="0.3">
      <c r="B415" s="223">
        <v>44896</v>
      </c>
      <c r="C415" s="224">
        <v>6</v>
      </c>
      <c r="D415" s="225">
        <v>13</v>
      </c>
      <c r="E415" s="226">
        <v>27003</v>
      </c>
      <c r="F415" s="227"/>
      <c r="G415" s="1" t="str">
        <f>IFERROR(IF(ventas_b_mes9[[#This Row],[CUIT]]="","-",VLOOKUP(ventas_b_mes9[[#This Row],[CUIT]],Lista_CUIT[#All],2,0)),"CUIT NO CARGADO")</f>
        <v>-</v>
      </c>
      <c r="H415" s="60">
        <f>ventas_b_mes9[[#This Row],[TOTAL]]/1.21</f>
        <v>1636.36</v>
      </c>
      <c r="I415" s="228">
        <f>ventas_b_mes9[[#This Row],[IMPORTE NETO]]*0.21</f>
        <v>343.63559999999995</v>
      </c>
      <c r="J415" s="229"/>
      <c r="K415" s="229"/>
      <c r="L415" s="229">
        <v>1979.9955999999997</v>
      </c>
      <c r="M415" s="55"/>
    </row>
    <row r="416" spans="2:13" x14ac:dyDescent="0.3">
      <c r="B416" s="223">
        <v>44896</v>
      </c>
      <c r="C416" s="224">
        <v>6</v>
      </c>
      <c r="D416" s="225">
        <v>13</v>
      </c>
      <c r="E416" s="226">
        <v>27004</v>
      </c>
      <c r="F416" s="227"/>
      <c r="G416" s="1" t="str">
        <f>IFERROR(IF(ventas_b_mes9[[#This Row],[CUIT]]="","-",VLOOKUP(ventas_b_mes9[[#This Row],[CUIT]],Lista_CUIT[#All],2,0)),"CUIT NO CARGADO")</f>
        <v>-</v>
      </c>
      <c r="H416" s="60">
        <f>ventas_b_mes9[[#This Row],[TOTAL]]/1.21</f>
        <v>1636.36</v>
      </c>
      <c r="I416" s="228">
        <f>ventas_b_mes9[[#This Row],[IMPORTE NETO]]*0.21</f>
        <v>343.63559999999995</v>
      </c>
      <c r="J416" s="229"/>
      <c r="K416" s="229"/>
      <c r="L416" s="229">
        <v>1979.9955999999997</v>
      </c>
      <c r="M416" s="55"/>
    </row>
    <row r="417" spans="2:13" x14ac:dyDescent="0.3">
      <c r="B417" s="223">
        <v>44896</v>
      </c>
      <c r="C417" s="224">
        <v>6</v>
      </c>
      <c r="D417" s="225">
        <v>13</v>
      </c>
      <c r="E417" s="226">
        <v>27005</v>
      </c>
      <c r="F417" s="227"/>
      <c r="G417" s="1" t="str">
        <f>IFERROR(IF(ventas_b_mes9[[#This Row],[CUIT]]="","-",VLOOKUP(ventas_b_mes9[[#This Row],[CUIT]],Lista_CUIT[#All],2,0)),"CUIT NO CARGADO")</f>
        <v>-</v>
      </c>
      <c r="H417" s="60">
        <f>ventas_b_mes9[[#This Row],[TOTAL]]/1.21</f>
        <v>10000</v>
      </c>
      <c r="I417" s="228">
        <f>ventas_b_mes9[[#This Row],[IMPORTE NETO]]*0.21</f>
        <v>2100</v>
      </c>
      <c r="J417" s="229"/>
      <c r="K417" s="229"/>
      <c r="L417" s="229">
        <v>12100</v>
      </c>
      <c r="M417" s="55"/>
    </row>
    <row r="418" spans="2:13" x14ac:dyDescent="0.3">
      <c r="B418" s="223">
        <v>44896</v>
      </c>
      <c r="C418" s="224">
        <v>6</v>
      </c>
      <c r="D418" s="225">
        <v>13</v>
      </c>
      <c r="E418" s="226">
        <v>27006</v>
      </c>
      <c r="F418" s="227"/>
      <c r="G418" s="1" t="str">
        <f>IFERROR(IF(ventas_b_mes9[[#This Row],[CUIT]]="","-",VLOOKUP(ventas_b_mes9[[#This Row],[CUIT]],Lista_CUIT[#All],2,0)),"CUIT NO CARGADO")</f>
        <v>-</v>
      </c>
      <c r="H418" s="60">
        <f>ventas_b_mes9[[#This Row],[TOTAL]]/1.21</f>
        <v>19719.04</v>
      </c>
      <c r="I418" s="228">
        <f>ventas_b_mes9[[#This Row],[IMPORTE NETO]]*0.21</f>
        <v>4140.9984000000004</v>
      </c>
      <c r="J418" s="229"/>
      <c r="K418" s="229"/>
      <c r="L418" s="229">
        <v>23860.038400000001</v>
      </c>
      <c r="M418" s="55"/>
    </row>
    <row r="419" spans="2:13" x14ac:dyDescent="0.3">
      <c r="B419" s="223">
        <v>44897</v>
      </c>
      <c r="C419" s="224">
        <v>6</v>
      </c>
      <c r="D419" s="225">
        <v>13</v>
      </c>
      <c r="E419" s="226">
        <v>27008</v>
      </c>
      <c r="F419" s="227"/>
      <c r="G419" s="1" t="str">
        <f>IFERROR(IF(ventas_b_mes9[[#This Row],[CUIT]]="","-",VLOOKUP(ventas_b_mes9[[#This Row],[CUIT]],Lista_CUIT[#All],2,0)),"CUIT NO CARGADO")</f>
        <v>-</v>
      </c>
      <c r="H419" s="60">
        <f>ventas_b_mes9[[#This Row],[TOTAL]]/1.21</f>
        <v>9272.7300000000014</v>
      </c>
      <c r="I419" s="228">
        <f>ventas_b_mes9[[#This Row],[IMPORTE NETO]]*0.21</f>
        <v>1947.2733000000003</v>
      </c>
      <c r="J419" s="229"/>
      <c r="K419" s="229"/>
      <c r="L419" s="229">
        <v>11220.0033</v>
      </c>
      <c r="M419" s="55"/>
    </row>
    <row r="420" spans="2:13" x14ac:dyDescent="0.3">
      <c r="B420" s="223">
        <v>44897</v>
      </c>
      <c r="C420" s="224">
        <v>6</v>
      </c>
      <c r="D420" s="225">
        <v>13</v>
      </c>
      <c r="E420" s="226">
        <v>27009</v>
      </c>
      <c r="F420" s="227"/>
      <c r="G420" s="1" t="str">
        <f>IFERROR(IF(ventas_b_mes9[[#This Row],[CUIT]]="","-",VLOOKUP(ventas_b_mes9[[#This Row],[CUIT]],Lista_CUIT[#All],2,0)),"CUIT NO CARGADO")</f>
        <v>-</v>
      </c>
      <c r="H420" s="60">
        <f>ventas_b_mes9[[#This Row],[TOTAL]]/1.21</f>
        <v>4958.68</v>
      </c>
      <c r="I420" s="228">
        <f>ventas_b_mes9[[#This Row],[IMPORTE NETO]]*0.21</f>
        <v>1041.3227999999999</v>
      </c>
      <c r="J420" s="229"/>
      <c r="K420" s="229"/>
      <c r="L420" s="229">
        <v>6000.0028000000002</v>
      </c>
      <c r="M420" s="55"/>
    </row>
    <row r="421" spans="2:13" x14ac:dyDescent="0.3">
      <c r="B421" s="223">
        <v>44897</v>
      </c>
      <c r="C421" s="224">
        <v>6</v>
      </c>
      <c r="D421" s="225">
        <v>13</v>
      </c>
      <c r="E421" s="226">
        <v>27010</v>
      </c>
      <c r="F421" s="227"/>
      <c r="G421" s="1" t="str">
        <f>IFERROR(IF(ventas_b_mes9[[#This Row],[CUIT]]="","-",VLOOKUP(ventas_b_mes9[[#This Row],[CUIT]],Lista_CUIT[#All],2,0)),"CUIT NO CARGADO")</f>
        <v>-</v>
      </c>
      <c r="H421" s="60">
        <f>ventas_b_mes9[[#This Row],[TOTAL]]/1.21</f>
        <v>1319.01</v>
      </c>
      <c r="I421" s="228">
        <f>ventas_b_mes9[[#This Row],[IMPORTE NETO]]*0.21</f>
        <v>276.99209999999999</v>
      </c>
      <c r="J421" s="229"/>
      <c r="K421" s="229"/>
      <c r="L421" s="229">
        <v>1596.0020999999999</v>
      </c>
      <c r="M421" s="55"/>
    </row>
    <row r="422" spans="2:13" x14ac:dyDescent="0.3">
      <c r="B422" s="223">
        <v>44897</v>
      </c>
      <c r="C422" s="224">
        <v>6</v>
      </c>
      <c r="D422" s="225">
        <v>13</v>
      </c>
      <c r="E422" s="226">
        <v>27011</v>
      </c>
      <c r="F422" s="227"/>
      <c r="G422" s="1" t="str">
        <f>IFERROR(IF(ventas_b_mes9[[#This Row],[CUIT]]="","-",VLOOKUP(ventas_b_mes9[[#This Row],[CUIT]],Lista_CUIT[#All],2,0)),"CUIT NO CARGADO")</f>
        <v>-</v>
      </c>
      <c r="H422" s="60">
        <f>ventas_b_mes9[[#This Row],[TOTAL]]/1.21</f>
        <v>8052.89</v>
      </c>
      <c r="I422" s="228">
        <f>ventas_b_mes9[[#This Row],[IMPORTE NETO]]*0.21</f>
        <v>1691.1069</v>
      </c>
      <c r="J422" s="229"/>
      <c r="K422" s="229"/>
      <c r="L422" s="229">
        <v>9743.9969000000001</v>
      </c>
      <c r="M422" s="55"/>
    </row>
    <row r="423" spans="2:13" x14ac:dyDescent="0.3">
      <c r="B423" s="223">
        <v>44897</v>
      </c>
      <c r="C423" s="224">
        <v>6</v>
      </c>
      <c r="D423" s="225">
        <v>13</v>
      </c>
      <c r="E423" s="226">
        <v>27012</v>
      </c>
      <c r="F423" s="227"/>
      <c r="G423" s="1" t="str">
        <f>IFERROR(IF(ventas_b_mes9[[#This Row],[CUIT]]="","-",VLOOKUP(ventas_b_mes9[[#This Row],[CUIT]],Lista_CUIT[#All],2,0)),"CUIT NO CARGADO")</f>
        <v>-</v>
      </c>
      <c r="H423" s="60">
        <f>ventas_b_mes9[[#This Row],[TOTAL]]/1.21</f>
        <v>6289.26</v>
      </c>
      <c r="I423" s="228">
        <f>ventas_b_mes9[[#This Row],[IMPORTE NETO]]*0.21</f>
        <v>1320.7446</v>
      </c>
      <c r="J423" s="229"/>
      <c r="K423" s="229"/>
      <c r="L423" s="229">
        <v>7610.0046000000002</v>
      </c>
      <c r="M423" s="55"/>
    </row>
    <row r="424" spans="2:13" x14ac:dyDescent="0.3">
      <c r="B424" s="223">
        <v>44897</v>
      </c>
      <c r="C424" s="224">
        <v>6</v>
      </c>
      <c r="D424" s="225">
        <v>13</v>
      </c>
      <c r="E424" s="226">
        <v>27013</v>
      </c>
      <c r="F424" s="227"/>
      <c r="G424" s="1" t="str">
        <f>IFERROR(IF(ventas_b_mes9[[#This Row],[CUIT]]="","-",VLOOKUP(ventas_b_mes9[[#This Row],[CUIT]],Lista_CUIT[#All],2,0)),"CUIT NO CARGADO")</f>
        <v>-</v>
      </c>
      <c r="H424" s="60">
        <f>ventas_b_mes9[[#This Row],[TOTAL]]/1.21</f>
        <v>22366.13</v>
      </c>
      <c r="I424" s="228">
        <f>ventas_b_mes9[[#This Row],[IMPORTE NETO]]*0.21</f>
        <v>4696.8873000000003</v>
      </c>
      <c r="J424" s="229"/>
      <c r="K424" s="229"/>
      <c r="L424" s="229">
        <v>27063.0173</v>
      </c>
      <c r="M424" s="55"/>
    </row>
    <row r="425" spans="2:13" x14ac:dyDescent="0.3">
      <c r="B425" s="223">
        <v>44897</v>
      </c>
      <c r="C425" s="224">
        <v>6</v>
      </c>
      <c r="D425" s="225">
        <v>13</v>
      </c>
      <c r="E425" s="226">
        <v>27014</v>
      </c>
      <c r="F425" s="227"/>
      <c r="G425" s="1" t="str">
        <f>IFERROR(IF(ventas_b_mes9[[#This Row],[CUIT]]="","-",VLOOKUP(ventas_b_mes9[[#This Row],[CUIT]],Lista_CUIT[#All],2,0)),"CUIT NO CARGADO")</f>
        <v>-</v>
      </c>
      <c r="H425" s="60">
        <f>ventas_b_mes9[[#This Row],[TOTAL]]/1.21</f>
        <v>1322.31</v>
      </c>
      <c r="I425" s="228">
        <f>ventas_b_mes9[[#This Row],[IMPORTE NETO]]*0.21</f>
        <v>277.68509999999998</v>
      </c>
      <c r="J425" s="229"/>
      <c r="K425" s="229"/>
      <c r="L425" s="229">
        <v>1599.9950999999999</v>
      </c>
      <c r="M425" s="55"/>
    </row>
    <row r="426" spans="2:13" x14ac:dyDescent="0.3">
      <c r="B426" s="223">
        <v>44897</v>
      </c>
      <c r="C426" s="224">
        <v>6</v>
      </c>
      <c r="D426" s="225">
        <v>13</v>
      </c>
      <c r="E426" s="226">
        <v>27015</v>
      </c>
      <c r="F426" s="227"/>
      <c r="G426" s="1" t="str">
        <f>IFERROR(IF(ventas_b_mes9[[#This Row],[CUIT]]="","-",VLOOKUP(ventas_b_mes9[[#This Row],[CUIT]],Lista_CUIT[#All],2,0)),"CUIT NO CARGADO")</f>
        <v>-</v>
      </c>
      <c r="H426" s="60">
        <f>ventas_b_mes9[[#This Row],[TOTAL]]/1.21</f>
        <v>5041.32</v>
      </c>
      <c r="I426" s="228">
        <f>ventas_b_mes9[[#This Row],[IMPORTE NETO]]*0.21</f>
        <v>1058.6771999999999</v>
      </c>
      <c r="J426" s="229"/>
      <c r="K426" s="229"/>
      <c r="L426" s="229">
        <v>6099.9971999999998</v>
      </c>
      <c r="M426" s="55"/>
    </row>
    <row r="427" spans="2:13" x14ac:dyDescent="0.3">
      <c r="B427" s="223">
        <v>44897</v>
      </c>
      <c r="C427" s="224">
        <v>6</v>
      </c>
      <c r="D427" s="225">
        <v>13</v>
      </c>
      <c r="E427" s="226">
        <v>27016</v>
      </c>
      <c r="F427" s="227"/>
      <c r="G427" s="1" t="str">
        <f>IFERROR(IF(ventas_b_mes9[[#This Row],[CUIT]]="","-",VLOOKUP(ventas_b_mes9[[#This Row],[CUIT]],Lista_CUIT[#All],2,0)),"CUIT NO CARGADO")</f>
        <v>-</v>
      </c>
      <c r="H427" s="60">
        <f>ventas_b_mes9[[#This Row],[TOTAL]]/1.21</f>
        <v>834.71</v>
      </c>
      <c r="I427" s="228">
        <f>ventas_b_mes9[[#This Row],[IMPORTE NETO]]*0.21</f>
        <v>175.28909999999999</v>
      </c>
      <c r="J427" s="229"/>
      <c r="K427" s="229"/>
      <c r="L427" s="229">
        <v>1009.9991</v>
      </c>
      <c r="M427" s="55"/>
    </row>
    <row r="428" spans="2:13" x14ac:dyDescent="0.3">
      <c r="B428" s="223">
        <v>44897</v>
      </c>
      <c r="C428" s="224">
        <v>6</v>
      </c>
      <c r="D428" s="225">
        <v>13</v>
      </c>
      <c r="E428" s="226">
        <v>27017</v>
      </c>
      <c r="F428" s="227"/>
      <c r="G428" s="1" t="str">
        <f>IFERROR(IF(ventas_b_mes9[[#This Row],[CUIT]]="","-",VLOOKUP(ventas_b_mes9[[#This Row],[CUIT]],Lista_CUIT[#All],2,0)),"CUIT NO CARGADO")</f>
        <v>-</v>
      </c>
      <c r="H428" s="60">
        <f>ventas_b_mes9[[#This Row],[TOTAL]]/1.21</f>
        <v>2148.7600000000002</v>
      </c>
      <c r="I428" s="228">
        <f>ventas_b_mes9[[#This Row],[IMPORTE NETO]]*0.21</f>
        <v>451.23960000000005</v>
      </c>
      <c r="J428" s="229"/>
      <c r="K428" s="229"/>
      <c r="L428" s="229">
        <v>2599.9996000000001</v>
      </c>
      <c r="M428" s="55"/>
    </row>
    <row r="429" spans="2:13" x14ac:dyDescent="0.3">
      <c r="B429" s="223">
        <v>44897</v>
      </c>
      <c r="C429" s="224">
        <v>6</v>
      </c>
      <c r="D429" s="225">
        <v>15</v>
      </c>
      <c r="E429" s="226">
        <v>7384</v>
      </c>
      <c r="F429" s="227"/>
      <c r="G429" s="1" t="str">
        <f>IFERROR(IF(ventas_b_mes9[[#This Row],[CUIT]]="","-",VLOOKUP(ventas_b_mes9[[#This Row],[CUIT]],Lista_CUIT[#All],2,0)),"CUIT NO CARGADO")</f>
        <v>-</v>
      </c>
      <c r="H429" s="60">
        <f>ventas_b_mes9[[#This Row],[TOTAL]]/1.21</f>
        <v>3471.07</v>
      </c>
      <c r="I429" s="228">
        <f>ventas_b_mes9[[#This Row],[IMPORTE NETO]]*0.21</f>
        <v>728.92470000000003</v>
      </c>
      <c r="J429" s="229"/>
      <c r="K429" s="229"/>
      <c r="L429" s="229">
        <v>4199.9947000000002</v>
      </c>
      <c r="M429" s="55"/>
    </row>
    <row r="430" spans="2:13" x14ac:dyDescent="0.3">
      <c r="B430" s="223">
        <v>44897</v>
      </c>
      <c r="C430" s="224">
        <v>6</v>
      </c>
      <c r="D430" s="225">
        <v>15</v>
      </c>
      <c r="E430" s="226">
        <v>7385</v>
      </c>
      <c r="F430" s="227"/>
      <c r="G430" s="1" t="str">
        <f>IFERROR(IF(ventas_b_mes9[[#This Row],[CUIT]]="","-",VLOOKUP(ventas_b_mes9[[#This Row],[CUIT]],Lista_CUIT[#All],2,0)),"CUIT NO CARGADO")</f>
        <v>-</v>
      </c>
      <c r="H430" s="60">
        <f>ventas_b_mes9[[#This Row],[TOTAL]]/1.21</f>
        <v>1884.2999999999997</v>
      </c>
      <c r="I430" s="228">
        <f>ventas_b_mes9[[#This Row],[IMPORTE NETO]]*0.21</f>
        <v>395.70299999999992</v>
      </c>
      <c r="J430" s="229"/>
      <c r="K430" s="229"/>
      <c r="L430" s="229">
        <v>2280.0029999999997</v>
      </c>
      <c r="M430" s="55"/>
    </row>
    <row r="431" spans="2:13" x14ac:dyDescent="0.3">
      <c r="B431" s="223">
        <v>44897</v>
      </c>
      <c r="C431" s="224">
        <v>6</v>
      </c>
      <c r="D431" s="225">
        <v>15</v>
      </c>
      <c r="E431" s="226">
        <v>7386</v>
      </c>
      <c r="F431" s="227"/>
      <c r="G431" s="1" t="str">
        <f>IFERROR(IF(ventas_b_mes9[[#This Row],[CUIT]]="","-",VLOOKUP(ventas_b_mes9[[#This Row],[CUIT]],Lista_CUIT[#All],2,0)),"CUIT NO CARGADO")</f>
        <v>-</v>
      </c>
      <c r="H431" s="60">
        <f>ventas_b_mes9[[#This Row],[TOTAL]]/1.21</f>
        <v>6247.94</v>
      </c>
      <c r="I431" s="228">
        <f>ventas_b_mes9[[#This Row],[IMPORTE NETO]]*0.21</f>
        <v>1312.0673999999999</v>
      </c>
      <c r="J431" s="229"/>
      <c r="K431" s="229"/>
      <c r="L431" s="229">
        <v>7560.0073999999995</v>
      </c>
      <c r="M431" s="55"/>
    </row>
    <row r="432" spans="2:13" x14ac:dyDescent="0.3">
      <c r="B432" s="223">
        <v>44897</v>
      </c>
      <c r="C432" s="224">
        <v>6</v>
      </c>
      <c r="D432" s="225">
        <v>15</v>
      </c>
      <c r="E432" s="226">
        <v>7387</v>
      </c>
      <c r="F432" s="227"/>
      <c r="G432" s="1" t="str">
        <f>IFERROR(IF(ventas_b_mes9[[#This Row],[CUIT]]="","-",VLOOKUP(ventas_b_mes9[[#This Row],[CUIT]],Lista_CUIT[#All],2,0)),"CUIT NO CARGADO")</f>
        <v>-</v>
      </c>
      <c r="H432" s="60">
        <f>ventas_b_mes9[[#This Row],[TOTAL]]/1.21</f>
        <v>1694.21</v>
      </c>
      <c r="I432" s="228">
        <f>ventas_b_mes9[[#This Row],[IMPORTE NETO]]*0.21</f>
        <v>355.78409999999997</v>
      </c>
      <c r="J432" s="229"/>
      <c r="K432" s="229"/>
      <c r="L432" s="229">
        <v>2049.9940999999999</v>
      </c>
      <c r="M432" s="55"/>
    </row>
    <row r="433" spans="2:13" x14ac:dyDescent="0.3">
      <c r="B433" s="223">
        <v>44897</v>
      </c>
      <c r="C433" s="224">
        <v>6</v>
      </c>
      <c r="D433" s="225">
        <v>15</v>
      </c>
      <c r="E433" s="226">
        <v>7388</v>
      </c>
      <c r="F433" s="227"/>
      <c r="G433" s="1" t="str">
        <f>IFERROR(IF(ventas_b_mes9[[#This Row],[CUIT]]="","-",VLOOKUP(ventas_b_mes9[[#This Row],[CUIT]],Lista_CUIT[#All],2,0)),"CUIT NO CARGADO")</f>
        <v>-</v>
      </c>
      <c r="H433" s="60">
        <f>ventas_b_mes9[[#This Row],[TOTAL]]/1.21</f>
        <v>1338.8400000000001</v>
      </c>
      <c r="I433" s="228">
        <f>ventas_b_mes9[[#This Row],[IMPORTE NETO]]*0.21</f>
        <v>281.15640000000002</v>
      </c>
      <c r="J433" s="229"/>
      <c r="K433" s="229"/>
      <c r="L433" s="229">
        <v>1619.9964</v>
      </c>
      <c r="M433" s="55"/>
    </row>
    <row r="434" spans="2:13" x14ac:dyDescent="0.3">
      <c r="B434" s="223">
        <v>44897</v>
      </c>
      <c r="C434" s="224">
        <v>6</v>
      </c>
      <c r="D434" s="225">
        <v>15</v>
      </c>
      <c r="E434" s="226">
        <v>7389</v>
      </c>
      <c r="F434" s="227"/>
      <c r="G434" s="1" t="str">
        <f>IFERROR(IF(ventas_b_mes9[[#This Row],[CUIT]]="","-",VLOOKUP(ventas_b_mes9[[#This Row],[CUIT]],Lista_CUIT[#All],2,0)),"CUIT NO CARGADO")</f>
        <v>-</v>
      </c>
      <c r="H434" s="60">
        <f>ventas_b_mes9[[#This Row],[TOTAL]]/1.21</f>
        <v>2132.23</v>
      </c>
      <c r="I434" s="228">
        <f>ventas_b_mes9[[#This Row],[IMPORTE NETO]]*0.21</f>
        <v>447.76830000000001</v>
      </c>
      <c r="J434" s="229"/>
      <c r="K434" s="229"/>
      <c r="L434" s="229">
        <v>2579.9983000000002</v>
      </c>
      <c r="M434" s="55"/>
    </row>
    <row r="435" spans="2:13" x14ac:dyDescent="0.3">
      <c r="B435" s="223">
        <v>44897</v>
      </c>
      <c r="C435" s="224">
        <v>6</v>
      </c>
      <c r="D435" s="225">
        <v>15</v>
      </c>
      <c r="E435" s="226">
        <v>7390</v>
      </c>
      <c r="F435" s="227"/>
      <c r="G435" s="1" t="str">
        <f>IFERROR(IF(ventas_b_mes9[[#This Row],[CUIT]]="","-",VLOOKUP(ventas_b_mes9[[#This Row],[CUIT]],Lista_CUIT[#All],2,0)),"CUIT NO CARGADO")</f>
        <v>-</v>
      </c>
      <c r="H435" s="60">
        <f>ventas_b_mes9[[#This Row],[TOTAL]]/1.21</f>
        <v>13801.68</v>
      </c>
      <c r="I435" s="228">
        <f>ventas_b_mes9[[#This Row],[IMPORTE NETO]]*0.21</f>
        <v>2898.3528000000001</v>
      </c>
      <c r="J435" s="229"/>
      <c r="K435" s="229"/>
      <c r="L435" s="229">
        <v>16700.032800000001</v>
      </c>
      <c r="M435" s="55"/>
    </row>
    <row r="436" spans="2:13" x14ac:dyDescent="0.3">
      <c r="B436" s="223">
        <v>44897</v>
      </c>
      <c r="C436" s="224">
        <v>6</v>
      </c>
      <c r="D436" s="225">
        <v>15</v>
      </c>
      <c r="E436" s="226">
        <v>7391</v>
      </c>
      <c r="F436" s="227"/>
      <c r="G436" s="1" t="str">
        <f>IFERROR(IF(ventas_b_mes9[[#This Row],[CUIT]]="","-",VLOOKUP(ventas_b_mes9[[#This Row],[CUIT]],Lista_CUIT[#All],2,0)),"CUIT NO CARGADO")</f>
        <v>-</v>
      </c>
      <c r="H436" s="60">
        <f>ventas_b_mes9[[#This Row],[TOTAL]]/1.21</f>
        <v>2578.5100000000007</v>
      </c>
      <c r="I436" s="228">
        <f>ventas_b_mes9[[#This Row],[IMPORTE NETO]]*0.21</f>
        <v>541.48710000000017</v>
      </c>
      <c r="J436" s="229"/>
      <c r="K436" s="229"/>
      <c r="L436" s="229">
        <v>3119.9971000000005</v>
      </c>
      <c r="M436" s="55"/>
    </row>
    <row r="437" spans="2:13" x14ac:dyDescent="0.3">
      <c r="B437" s="223">
        <v>44897</v>
      </c>
      <c r="C437" s="224">
        <v>6</v>
      </c>
      <c r="D437" s="225">
        <v>15</v>
      </c>
      <c r="E437" s="226">
        <v>7392</v>
      </c>
      <c r="F437" s="227"/>
      <c r="G437" s="1" t="str">
        <f>IFERROR(IF(ventas_b_mes9[[#This Row],[CUIT]]="","-",VLOOKUP(ventas_b_mes9[[#This Row],[CUIT]],Lista_CUIT[#All],2,0)),"CUIT NO CARGADO")</f>
        <v>-</v>
      </c>
      <c r="H437" s="60">
        <f>ventas_b_mes9[[#This Row],[TOTAL]]/1.21</f>
        <v>702.48</v>
      </c>
      <c r="I437" s="228">
        <f>ventas_b_mes9[[#This Row],[IMPORTE NETO]]*0.21</f>
        <v>147.52080000000001</v>
      </c>
      <c r="J437" s="229"/>
      <c r="K437" s="229"/>
      <c r="L437" s="229">
        <v>850.00080000000003</v>
      </c>
      <c r="M437" s="55"/>
    </row>
    <row r="438" spans="2:13" x14ac:dyDescent="0.3">
      <c r="B438" s="223">
        <v>44897</v>
      </c>
      <c r="C438" s="224">
        <v>6</v>
      </c>
      <c r="D438" s="225">
        <v>15</v>
      </c>
      <c r="E438" s="226">
        <v>7393</v>
      </c>
      <c r="F438" s="227"/>
      <c r="G438" s="1" t="str">
        <f>IFERROR(IF(ventas_b_mes9[[#This Row],[CUIT]]="","-",VLOOKUP(ventas_b_mes9[[#This Row],[CUIT]],Lista_CUIT[#All],2,0)),"CUIT NO CARGADO")</f>
        <v>-</v>
      </c>
      <c r="H438" s="60">
        <f>ventas_b_mes9[[#This Row],[TOTAL]]/1.21</f>
        <v>30234.400000000005</v>
      </c>
      <c r="I438" s="228">
        <f>ventas_b_mes9[[#This Row],[IMPORTE NETO]]*0.21</f>
        <v>6349.2240000000011</v>
      </c>
      <c r="J438" s="229"/>
      <c r="K438" s="229"/>
      <c r="L438" s="229">
        <v>36583.624000000003</v>
      </c>
      <c r="M438" s="55"/>
    </row>
    <row r="439" spans="2:13" x14ac:dyDescent="0.3">
      <c r="B439" s="223">
        <v>44897</v>
      </c>
      <c r="C439" s="224">
        <v>6</v>
      </c>
      <c r="D439" s="225">
        <v>10</v>
      </c>
      <c r="E439" s="226">
        <v>44263</v>
      </c>
      <c r="F439" s="227"/>
      <c r="G439" s="1" t="str">
        <f>IFERROR(IF(ventas_b_mes9[[#This Row],[CUIT]]="","-",VLOOKUP(ventas_b_mes9[[#This Row],[CUIT]],Lista_CUIT[#All],2,0)),"CUIT NO CARGADO")</f>
        <v>-</v>
      </c>
      <c r="H439" s="60">
        <f>ventas_b_mes9[[#This Row],[TOTAL]]/1.21</f>
        <v>29082.639999999996</v>
      </c>
      <c r="I439" s="228">
        <f>ventas_b_mes9[[#This Row],[IMPORTE NETO]]*0.21</f>
        <v>6107.3543999999993</v>
      </c>
      <c r="J439" s="229"/>
      <c r="K439" s="229"/>
      <c r="L439" s="229">
        <v>35189.994399999996</v>
      </c>
      <c r="M439" s="55"/>
    </row>
    <row r="440" spans="2:13" x14ac:dyDescent="0.3">
      <c r="B440" s="223">
        <v>44897</v>
      </c>
      <c r="C440" s="224">
        <v>6</v>
      </c>
      <c r="D440" s="225">
        <v>10</v>
      </c>
      <c r="E440" s="226">
        <v>44264</v>
      </c>
      <c r="F440" s="227"/>
      <c r="G440" s="1" t="str">
        <f>IFERROR(IF(ventas_b_mes9[[#This Row],[CUIT]]="","-",VLOOKUP(ventas_b_mes9[[#This Row],[CUIT]],Lista_CUIT[#All],2,0)),"CUIT NO CARGADO")</f>
        <v>-</v>
      </c>
      <c r="H440" s="60">
        <f>ventas_b_mes9[[#This Row],[TOTAL]]/1.21</f>
        <v>2148.7600000000002</v>
      </c>
      <c r="I440" s="228">
        <f>ventas_b_mes9[[#This Row],[IMPORTE NETO]]*0.21</f>
        <v>451.23960000000005</v>
      </c>
      <c r="J440" s="229"/>
      <c r="K440" s="229"/>
      <c r="L440" s="229">
        <v>2599.9996000000001</v>
      </c>
      <c r="M440" s="55"/>
    </row>
    <row r="441" spans="2:13" x14ac:dyDescent="0.3">
      <c r="B441" s="223">
        <v>44897</v>
      </c>
      <c r="C441" s="224">
        <v>6</v>
      </c>
      <c r="D441" s="225">
        <v>10</v>
      </c>
      <c r="E441" s="226">
        <v>44265</v>
      </c>
      <c r="F441" s="227"/>
      <c r="G441" s="1" t="str">
        <f>IFERROR(IF(ventas_b_mes9[[#This Row],[CUIT]]="","-",VLOOKUP(ventas_b_mes9[[#This Row],[CUIT]],Lista_CUIT[#All],2,0)),"CUIT NO CARGADO")</f>
        <v>-</v>
      </c>
      <c r="H441" s="60">
        <f>ventas_b_mes9[[#This Row],[TOTAL]]/1.21</f>
        <v>2247.9299999999998</v>
      </c>
      <c r="I441" s="228">
        <f>ventas_b_mes9[[#This Row],[IMPORTE NETO]]*0.21</f>
        <v>472.06529999999992</v>
      </c>
      <c r="J441" s="229"/>
      <c r="K441" s="229"/>
      <c r="L441" s="229">
        <v>2719.9952999999996</v>
      </c>
      <c r="M441" s="55"/>
    </row>
    <row r="442" spans="2:13" x14ac:dyDescent="0.3">
      <c r="B442" s="223">
        <v>44897</v>
      </c>
      <c r="C442" s="224">
        <v>6</v>
      </c>
      <c r="D442" s="225">
        <v>10</v>
      </c>
      <c r="E442" s="226">
        <v>44266</v>
      </c>
      <c r="F442" s="227"/>
      <c r="G442" s="1" t="str">
        <f>IFERROR(IF(ventas_b_mes9[[#This Row],[CUIT]]="","-",VLOOKUP(ventas_b_mes9[[#This Row],[CUIT]],Lista_CUIT[#All],2,0)),"CUIT NO CARGADO")</f>
        <v>-</v>
      </c>
      <c r="H442" s="60">
        <f>ventas_b_mes9[[#This Row],[TOTAL]]/1.21</f>
        <v>5987.6</v>
      </c>
      <c r="I442" s="228">
        <f>ventas_b_mes9[[#This Row],[IMPORTE NETO]]*0.21</f>
        <v>1257.396</v>
      </c>
      <c r="J442" s="229"/>
      <c r="K442" s="229"/>
      <c r="L442" s="229">
        <v>7244.9960000000001</v>
      </c>
      <c r="M442" s="55"/>
    </row>
    <row r="443" spans="2:13" x14ac:dyDescent="0.3">
      <c r="B443" s="223">
        <v>44897</v>
      </c>
      <c r="C443" s="224">
        <v>6</v>
      </c>
      <c r="D443" s="225">
        <v>10</v>
      </c>
      <c r="E443" s="226">
        <v>44267</v>
      </c>
      <c r="F443" s="227"/>
      <c r="G443" s="1" t="str">
        <f>IFERROR(IF(ventas_b_mes9[[#This Row],[CUIT]]="","-",VLOOKUP(ventas_b_mes9[[#This Row],[CUIT]],Lista_CUIT[#All],2,0)),"CUIT NO CARGADO")</f>
        <v>-</v>
      </c>
      <c r="H443" s="60">
        <f>ventas_b_mes9[[#This Row],[TOTAL]]/1.21</f>
        <v>1909.0900000000001</v>
      </c>
      <c r="I443" s="228">
        <f>ventas_b_mes9[[#This Row],[IMPORTE NETO]]*0.21</f>
        <v>400.90890000000002</v>
      </c>
      <c r="J443" s="229"/>
      <c r="K443" s="229"/>
      <c r="L443" s="229">
        <v>2309.9989</v>
      </c>
      <c r="M443" s="55"/>
    </row>
    <row r="444" spans="2:13" x14ac:dyDescent="0.3">
      <c r="B444" s="223">
        <v>44897</v>
      </c>
      <c r="C444" s="224">
        <v>6</v>
      </c>
      <c r="D444" s="225">
        <v>10</v>
      </c>
      <c r="E444" s="226">
        <v>44268</v>
      </c>
      <c r="F444" s="227"/>
      <c r="G444" s="1" t="str">
        <f>IFERROR(IF(ventas_b_mes9[[#This Row],[CUIT]]="","-",VLOOKUP(ventas_b_mes9[[#This Row],[CUIT]],Lista_CUIT[#All],2,0)),"CUIT NO CARGADO")</f>
        <v>-</v>
      </c>
      <c r="H444" s="60">
        <f>ventas_b_mes9[[#This Row],[TOTAL]]/1.21</f>
        <v>7665.2899999999991</v>
      </c>
      <c r="I444" s="228">
        <f>ventas_b_mes9[[#This Row],[IMPORTE NETO]]*0.21</f>
        <v>1609.7108999999998</v>
      </c>
      <c r="J444" s="229"/>
      <c r="K444" s="229"/>
      <c r="L444" s="229">
        <v>9275.0008999999991</v>
      </c>
      <c r="M444" s="55"/>
    </row>
    <row r="445" spans="2:13" x14ac:dyDescent="0.3">
      <c r="B445" s="223">
        <v>44897</v>
      </c>
      <c r="C445" s="224">
        <v>6</v>
      </c>
      <c r="D445" s="225">
        <v>10</v>
      </c>
      <c r="E445" s="226">
        <v>44269</v>
      </c>
      <c r="F445" s="227"/>
      <c r="G445" s="1" t="str">
        <f>IFERROR(IF(ventas_b_mes9[[#This Row],[CUIT]]="","-",VLOOKUP(ventas_b_mes9[[#This Row],[CUIT]],Lista_CUIT[#All],2,0)),"CUIT NO CARGADO")</f>
        <v>-</v>
      </c>
      <c r="H445" s="60">
        <f>ventas_b_mes9[[#This Row],[TOTAL]]/1.21</f>
        <v>1239.67</v>
      </c>
      <c r="I445" s="228">
        <f>ventas_b_mes9[[#This Row],[IMPORTE NETO]]*0.21</f>
        <v>260.33069999999998</v>
      </c>
      <c r="J445" s="229"/>
      <c r="K445" s="229"/>
      <c r="L445" s="229">
        <v>1500.0007000000001</v>
      </c>
      <c r="M445" s="55"/>
    </row>
    <row r="446" spans="2:13" x14ac:dyDescent="0.3">
      <c r="B446" s="223">
        <v>44897</v>
      </c>
      <c r="C446" s="224">
        <v>6</v>
      </c>
      <c r="D446" s="225">
        <v>10</v>
      </c>
      <c r="E446" s="226">
        <v>44270</v>
      </c>
      <c r="F446" s="227"/>
      <c r="G446" s="1" t="str">
        <f>IFERROR(IF(ventas_b_mes9[[#This Row],[CUIT]]="","-",VLOOKUP(ventas_b_mes9[[#This Row],[CUIT]],Lista_CUIT[#All],2,0)),"CUIT NO CARGADO")</f>
        <v>-</v>
      </c>
      <c r="H446" s="60">
        <f>ventas_b_mes9[[#This Row],[TOTAL]]/1.21</f>
        <v>3223.14</v>
      </c>
      <c r="I446" s="228">
        <f>ventas_b_mes9[[#This Row],[IMPORTE NETO]]*0.21</f>
        <v>676.85939999999994</v>
      </c>
      <c r="J446" s="229"/>
      <c r="K446" s="229"/>
      <c r="L446" s="229">
        <v>3899.9993999999997</v>
      </c>
      <c r="M446" s="55"/>
    </row>
    <row r="447" spans="2:13" x14ac:dyDescent="0.3">
      <c r="B447" s="223">
        <v>44897</v>
      </c>
      <c r="C447" s="224">
        <v>6</v>
      </c>
      <c r="D447" s="225">
        <v>10</v>
      </c>
      <c r="E447" s="226">
        <v>44271</v>
      </c>
      <c r="F447" s="227"/>
      <c r="G447" s="1" t="str">
        <f>IFERROR(IF(ventas_b_mes9[[#This Row],[CUIT]]="","-",VLOOKUP(ventas_b_mes9[[#This Row],[CUIT]],Lista_CUIT[#All],2,0)),"CUIT NO CARGADO")</f>
        <v>-</v>
      </c>
      <c r="H447" s="60">
        <f>ventas_b_mes9[[#This Row],[TOTAL]]/1.21</f>
        <v>1487.6</v>
      </c>
      <c r="I447" s="228">
        <f>ventas_b_mes9[[#This Row],[IMPORTE NETO]]*0.21</f>
        <v>312.39599999999996</v>
      </c>
      <c r="J447" s="229"/>
      <c r="K447" s="229"/>
      <c r="L447" s="229">
        <v>1799.9959999999999</v>
      </c>
      <c r="M447" s="55"/>
    </row>
    <row r="448" spans="2:13" x14ac:dyDescent="0.3">
      <c r="B448" s="223">
        <v>44897</v>
      </c>
      <c r="C448" s="224">
        <v>6</v>
      </c>
      <c r="D448" s="225">
        <v>10</v>
      </c>
      <c r="E448" s="226">
        <v>44272</v>
      </c>
      <c r="F448" s="227"/>
      <c r="G448" s="1" t="str">
        <f>IFERROR(IF(ventas_b_mes9[[#This Row],[CUIT]]="","-",VLOOKUP(ventas_b_mes9[[#This Row],[CUIT]],Lista_CUIT[#All],2,0)),"CUIT NO CARGADO")</f>
        <v>-</v>
      </c>
      <c r="H448" s="60">
        <f>ventas_b_mes9[[#This Row],[TOTAL]]/1.21</f>
        <v>13710.74</v>
      </c>
      <c r="I448" s="228">
        <f>ventas_b_mes9[[#This Row],[IMPORTE NETO]]*0.21</f>
        <v>2879.2554</v>
      </c>
      <c r="J448" s="229"/>
      <c r="K448" s="229"/>
      <c r="L448" s="229">
        <v>16589.9954</v>
      </c>
      <c r="M448" s="55"/>
    </row>
    <row r="449" spans="2:13" x14ac:dyDescent="0.3">
      <c r="B449" s="223">
        <v>44897</v>
      </c>
      <c r="C449" s="224">
        <v>6</v>
      </c>
      <c r="D449" s="225">
        <v>10</v>
      </c>
      <c r="E449" s="226">
        <v>44273</v>
      </c>
      <c r="F449" s="227"/>
      <c r="G449" s="1" t="str">
        <f>IFERROR(IF(ventas_b_mes9[[#This Row],[CUIT]]="","-",VLOOKUP(ventas_b_mes9[[#This Row],[CUIT]],Lista_CUIT[#All],2,0)),"CUIT NO CARGADO")</f>
        <v>-</v>
      </c>
      <c r="H449" s="60">
        <f>ventas_b_mes9[[#This Row],[TOTAL]]/1.21</f>
        <v>10330.58</v>
      </c>
      <c r="I449" s="228">
        <f>ventas_b_mes9[[#This Row],[IMPORTE NETO]]*0.21</f>
        <v>2169.4218000000001</v>
      </c>
      <c r="J449" s="229"/>
      <c r="K449" s="229"/>
      <c r="L449" s="229">
        <v>12500.0018</v>
      </c>
      <c r="M449" s="55"/>
    </row>
    <row r="450" spans="2:13" x14ac:dyDescent="0.3">
      <c r="B450" s="223">
        <v>44897</v>
      </c>
      <c r="C450" s="224">
        <v>6</v>
      </c>
      <c r="D450" s="225">
        <v>10</v>
      </c>
      <c r="E450" s="226">
        <v>44274</v>
      </c>
      <c r="F450" s="227"/>
      <c r="G450" s="1" t="str">
        <f>IFERROR(IF(ventas_b_mes9[[#This Row],[CUIT]]="","-",VLOOKUP(ventas_b_mes9[[#This Row],[CUIT]],Lista_CUIT[#All],2,0)),"CUIT NO CARGADO")</f>
        <v>-</v>
      </c>
      <c r="H450" s="60">
        <f>ventas_b_mes9[[#This Row],[TOTAL]]/1.21</f>
        <v>8264.4599999999991</v>
      </c>
      <c r="I450" s="228">
        <f>ventas_b_mes9[[#This Row],[IMPORTE NETO]]*0.21</f>
        <v>1735.5365999999997</v>
      </c>
      <c r="J450" s="229"/>
      <c r="K450" s="229"/>
      <c r="L450" s="229">
        <v>9999.9965999999986</v>
      </c>
      <c r="M450" s="55"/>
    </row>
    <row r="451" spans="2:13" x14ac:dyDescent="0.3">
      <c r="B451" s="223">
        <v>44897</v>
      </c>
      <c r="C451" s="224">
        <v>6</v>
      </c>
      <c r="D451" s="225">
        <v>10</v>
      </c>
      <c r="E451" s="226">
        <v>44275</v>
      </c>
      <c r="F451" s="227"/>
      <c r="G451" s="1" t="str">
        <f>IFERROR(IF(ventas_b_mes9[[#This Row],[CUIT]]="","-",VLOOKUP(ventas_b_mes9[[#This Row],[CUIT]],Lista_CUIT[#All],2,0)),"CUIT NO CARGADO")</f>
        <v>-</v>
      </c>
      <c r="H451" s="60">
        <f>ventas_b_mes9[[#This Row],[TOTAL]]/1.21</f>
        <v>11103.31</v>
      </c>
      <c r="I451" s="228">
        <f>ventas_b_mes9[[#This Row],[IMPORTE NETO]]*0.21</f>
        <v>2331.6950999999999</v>
      </c>
      <c r="J451" s="229"/>
      <c r="K451" s="229"/>
      <c r="L451" s="229">
        <v>13435.005099999998</v>
      </c>
      <c r="M451" s="55"/>
    </row>
    <row r="452" spans="2:13" x14ac:dyDescent="0.3">
      <c r="B452" s="223">
        <v>44897</v>
      </c>
      <c r="C452" s="224">
        <v>6</v>
      </c>
      <c r="D452" s="225">
        <v>10</v>
      </c>
      <c r="E452" s="226">
        <v>44276</v>
      </c>
      <c r="F452" s="227"/>
      <c r="G452" s="1" t="str">
        <f>IFERROR(IF(ventas_b_mes9[[#This Row],[CUIT]]="","-",VLOOKUP(ventas_b_mes9[[#This Row],[CUIT]],Lista_CUIT[#All],2,0)),"CUIT NO CARGADO")</f>
        <v>-</v>
      </c>
      <c r="H452" s="60">
        <f>ventas_b_mes9[[#This Row],[TOTAL]]/1.21</f>
        <v>7785.12</v>
      </c>
      <c r="I452" s="228">
        <f>ventas_b_mes9[[#This Row],[IMPORTE NETO]]*0.21</f>
        <v>1634.8751999999999</v>
      </c>
      <c r="J452" s="229"/>
      <c r="K452" s="229"/>
      <c r="L452" s="229">
        <v>9419.9951999999994</v>
      </c>
      <c r="M452" s="55"/>
    </row>
    <row r="453" spans="2:13" x14ac:dyDescent="0.3">
      <c r="B453" s="223">
        <v>44897</v>
      </c>
      <c r="C453" s="224">
        <v>6</v>
      </c>
      <c r="D453" s="225">
        <v>12</v>
      </c>
      <c r="E453" s="226">
        <v>22897</v>
      </c>
      <c r="F453" s="227"/>
      <c r="G453" s="1" t="str">
        <f>IFERROR(IF(ventas_b_mes9[[#This Row],[CUIT]]="","-",VLOOKUP(ventas_b_mes9[[#This Row],[CUIT]],Lista_CUIT[#All],2,0)),"CUIT NO CARGADO")</f>
        <v>-</v>
      </c>
      <c r="H453" s="60">
        <f>ventas_b_mes9[[#This Row],[TOTAL]]/1.21</f>
        <v>6404.96</v>
      </c>
      <c r="I453" s="228">
        <f>ventas_b_mes9[[#This Row],[IMPORTE NETO]]*0.21</f>
        <v>1345.0416</v>
      </c>
      <c r="J453" s="229"/>
      <c r="K453" s="229"/>
      <c r="L453" s="229">
        <v>7750.0015999999996</v>
      </c>
      <c r="M453" s="55"/>
    </row>
    <row r="454" spans="2:13" x14ac:dyDescent="0.3">
      <c r="B454" s="223">
        <v>44897</v>
      </c>
      <c r="C454" s="224">
        <v>6</v>
      </c>
      <c r="D454" s="225">
        <v>12</v>
      </c>
      <c r="E454" s="226">
        <v>22898</v>
      </c>
      <c r="F454" s="227"/>
      <c r="G454" s="1" t="str">
        <f>IFERROR(IF(ventas_b_mes9[[#This Row],[CUIT]]="","-",VLOOKUP(ventas_b_mes9[[#This Row],[CUIT]],Lista_CUIT[#All],2,0)),"CUIT NO CARGADO")</f>
        <v>-</v>
      </c>
      <c r="H454" s="60">
        <f>ventas_b_mes9[[#This Row],[TOTAL]]/1.21</f>
        <v>991.74</v>
      </c>
      <c r="I454" s="228">
        <f>ventas_b_mes9[[#This Row],[IMPORTE NETO]]*0.21</f>
        <v>208.2654</v>
      </c>
      <c r="J454" s="229"/>
      <c r="K454" s="229"/>
      <c r="L454" s="229">
        <v>1200.0054</v>
      </c>
      <c r="M454" s="55"/>
    </row>
    <row r="455" spans="2:13" x14ac:dyDescent="0.3">
      <c r="B455" s="223">
        <v>44897</v>
      </c>
      <c r="C455" s="224">
        <v>6</v>
      </c>
      <c r="D455" s="225">
        <v>12</v>
      </c>
      <c r="E455" s="226">
        <v>22899</v>
      </c>
      <c r="F455" s="227"/>
      <c r="G455" s="1" t="str">
        <f>IFERROR(IF(ventas_b_mes9[[#This Row],[CUIT]]="","-",VLOOKUP(ventas_b_mes9[[#This Row],[CUIT]],Lista_CUIT[#All],2,0)),"CUIT NO CARGADO")</f>
        <v>-</v>
      </c>
      <c r="H455" s="60">
        <f>ventas_b_mes9[[#This Row],[TOTAL]]/1.21</f>
        <v>10115.73</v>
      </c>
      <c r="I455" s="228">
        <f>ventas_b_mes9[[#This Row],[IMPORTE NETO]]*0.21</f>
        <v>2124.3033</v>
      </c>
      <c r="J455" s="229"/>
      <c r="K455" s="229"/>
      <c r="L455" s="229">
        <v>12240.033299999999</v>
      </c>
      <c r="M455" s="55"/>
    </row>
    <row r="456" spans="2:13" x14ac:dyDescent="0.3">
      <c r="B456" s="223">
        <v>44897</v>
      </c>
      <c r="C456" s="224">
        <v>6</v>
      </c>
      <c r="D456" s="225">
        <v>12</v>
      </c>
      <c r="E456" s="226">
        <v>22900</v>
      </c>
      <c r="F456" s="227"/>
      <c r="G456" s="1" t="str">
        <f>IFERROR(IF(ventas_b_mes9[[#This Row],[CUIT]]="","-",VLOOKUP(ventas_b_mes9[[#This Row],[CUIT]],Lista_CUIT[#All],2,0)),"CUIT NO CARGADO")</f>
        <v>-</v>
      </c>
      <c r="H456" s="60">
        <f>ventas_b_mes9[[#This Row],[TOTAL]]/1.21</f>
        <v>2247.9299999999998</v>
      </c>
      <c r="I456" s="228">
        <f>ventas_b_mes9[[#This Row],[IMPORTE NETO]]*0.21</f>
        <v>472.06529999999992</v>
      </c>
      <c r="J456" s="229"/>
      <c r="K456" s="229"/>
      <c r="L456" s="229">
        <v>2719.9952999999996</v>
      </c>
      <c r="M456" s="55"/>
    </row>
    <row r="457" spans="2:13" x14ac:dyDescent="0.3">
      <c r="B457" s="223">
        <v>44897</v>
      </c>
      <c r="C457" s="224">
        <v>6</v>
      </c>
      <c r="D457" s="225">
        <v>12</v>
      </c>
      <c r="E457" s="226">
        <v>22901</v>
      </c>
      <c r="F457" s="227"/>
      <c r="G457" s="1" t="str">
        <f>IFERROR(IF(ventas_b_mes9[[#This Row],[CUIT]]="","-",VLOOKUP(ventas_b_mes9[[#This Row],[CUIT]],Lista_CUIT[#All],2,0)),"CUIT NO CARGADO")</f>
        <v>-</v>
      </c>
      <c r="H457" s="60">
        <f>ventas_b_mes9[[#This Row],[TOTAL]]/1.21</f>
        <v>7966.96</v>
      </c>
      <c r="I457" s="228">
        <f>ventas_b_mes9[[#This Row],[IMPORTE NETO]]*0.21</f>
        <v>1673.0616</v>
      </c>
      <c r="J457" s="229"/>
      <c r="K457" s="229"/>
      <c r="L457" s="229">
        <v>9640.0216</v>
      </c>
      <c r="M457" s="55"/>
    </row>
    <row r="458" spans="2:13" x14ac:dyDescent="0.3">
      <c r="B458" s="223">
        <v>44897</v>
      </c>
      <c r="C458" s="224">
        <v>6</v>
      </c>
      <c r="D458" s="225">
        <v>12</v>
      </c>
      <c r="E458" s="226">
        <v>22902</v>
      </c>
      <c r="F458" s="227"/>
      <c r="G458" s="1" t="str">
        <f>IFERROR(IF(ventas_b_mes9[[#This Row],[CUIT]]="","-",VLOOKUP(ventas_b_mes9[[#This Row],[CUIT]],Lista_CUIT[#All],2,0)),"CUIT NO CARGADO")</f>
        <v>-</v>
      </c>
      <c r="H458" s="60">
        <f>ventas_b_mes9[[#This Row],[TOTAL]]/1.21</f>
        <v>10330.58</v>
      </c>
      <c r="I458" s="228">
        <f>ventas_b_mes9[[#This Row],[IMPORTE NETO]]*0.21</f>
        <v>2169.4218000000001</v>
      </c>
      <c r="J458" s="229"/>
      <c r="K458" s="229"/>
      <c r="L458" s="229">
        <v>12500.0018</v>
      </c>
      <c r="M458" s="55"/>
    </row>
    <row r="459" spans="2:13" x14ac:dyDescent="0.3">
      <c r="B459" s="223">
        <v>44897</v>
      </c>
      <c r="C459" s="224">
        <v>6</v>
      </c>
      <c r="D459" s="225">
        <v>12</v>
      </c>
      <c r="E459" s="226">
        <v>22903</v>
      </c>
      <c r="F459" s="227"/>
      <c r="G459" s="1" t="str">
        <f>IFERROR(IF(ventas_b_mes9[[#This Row],[CUIT]]="","-",VLOOKUP(ventas_b_mes9[[#This Row],[CUIT]],Lista_CUIT[#All],2,0)),"CUIT NO CARGADO")</f>
        <v>-</v>
      </c>
      <c r="H459" s="60">
        <f>ventas_b_mes9[[#This Row],[TOTAL]]/1.21</f>
        <v>5950.42</v>
      </c>
      <c r="I459" s="228">
        <f>ventas_b_mes9[[#This Row],[IMPORTE NETO]]*0.21</f>
        <v>1249.5881999999999</v>
      </c>
      <c r="J459" s="229"/>
      <c r="K459" s="229"/>
      <c r="L459" s="229">
        <v>7200.0082000000002</v>
      </c>
      <c r="M459" s="55"/>
    </row>
    <row r="460" spans="2:13" x14ac:dyDescent="0.3">
      <c r="B460" s="223">
        <v>44897</v>
      </c>
      <c r="C460" s="224">
        <v>6</v>
      </c>
      <c r="D460" s="225">
        <v>12</v>
      </c>
      <c r="E460" s="226">
        <v>22904</v>
      </c>
      <c r="F460" s="227"/>
      <c r="G460" s="1" t="str">
        <f>IFERROR(IF(ventas_b_mes9[[#This Row],[CUIT]]="","-",VLOOKUP(ventas_b_mes9[[#This Row],[CUIT]],Lista_CUIT[#All],2,0)),"CUIT NO CARGADO")</f>
        <v>-</v>
      </c>
      <c r="H460" s="60">
        <f>ventas_b_mes9[[#This Row],[TOTAL]]/1.21</f>
        <v>1363.64</v>
      </c>
      <c r="I460" s="228">
        <f>ventas_b_mes9[[#This Row],[IMPORTE NETO]]*0.21</f>
        <v>286.36439999999999</v>
      </c>
      <c r="J460" s="229"/>
      <c r="K460" s="229"/>
      <c r="L460" s="229">
        <v>1650.0044</v>
      </c>
      <c r="M460" s="55"/>
    </row>
    <row r="461" spans="2:13" x14ac:dyDescent="0.3">
      <c r="B461" s="223">
        <v>44897</v>
      </c>
      <c r="C461" s="224">
        <v>6</v>
      </c>
      <c r="D461" s="225">
        <v>12</v>
      </c>
      <c r="E461" s="226">
        <v>22905</v>
      </c>
      <c r="F461" s="227"/>
      <c r="G461" s="1" t="str">
        <f>IFERROR(IF(ventas_b_mes9[[#This Row],[CUIT]]="","-",VLOOKUP(ventas_b_mes9[[#This Row],[CUIT]],Lista_CUIT[#All],2,0)),"CUIT NO CARGADO")</f>
        <v>-</v>
      </c>
      <c r="H461" s="60">
        <f>ventas_b_mes9[[#This Row],[TOTAL]]/1.21</f>
        <v>3595.05</v>
      </c>
      <c r="I461" s="228">
        <f>ventas_b_mes9[[#This Row],[IMPORTE NETO]]*0.21</f>
        <v>754.96050000000002</v>
      </c>
      <c r="J461" s="229"/>
      <c r="K461" s="229"/>
      <c r="L461" s="229">
        <v>4350.0105000000003</v>
      </c>
      <c r="M461" s="55"/>
    </row>
    <row r="462" spans="2:13" x14ac:dyDescent="0.3">
      <c r="B462" s="223">
        <v>44897</v>
      </c>
      <c r="C462" s="224">
        <v>6</v>
      </c>
      <c r="D462" s="225">
        <v>12</v>
      </c>
      <c r="E462" s="226">
        <v>22906</v>
      </c>
      <c r="F462" s="227"/>
      <c r="G462" s="1" t="str">
        <f>IFERROR(IF(ventas_b_mes9[[#This Row],[CUIT]]="","-",VLOOKUP(ventas_b_mes9[[#This Row],[CUIT]],Lista_CUIT[#All],2,0)),"CUIT NO CARGADO")</f>
        <v>-</v>
      </c>
      <c r="H462" s="60">
        <f>ventas_b_mes9[[#This Row],[TOTAL]]/1.21</f>
        <v>1735.5400000000002</v>
      </c>
      <c r="I462" s="228">
        <f>ventas_b_mes9[[#This Row],[IMPORTE NETO]]*0.21</f>
        <v>364.46340000000004</v>
      </c>
      <c r="J462" s="229"/>
      <c r="K462" s="229"/>
      <c r="L462" s="229">
        <v>2100.0034000000001</v>
      </c>
      <c r="M462" s="55"/>
    </row>
    <row r="463" spans="2:13" x14ac:dyDescent="0.3">
      <c r="B463" s="223">
        <v>44897</v>
      </c>
      <c r="C463" s="224">
        <v>6</v>
      </c>
      <c r="D463" s="225">
        <v>12</v>
      </c>
      <c r="E463" s="226">
        <v>22907</v>
      </c>
      <c r="F463" s="227"/>
      <c r="G463" s="1" t="str">
        <f>IFERROR(IF(ventas_b_mes9[[#This Row],[CUIT]]="","-",VLOOKUP(ventas_b_mes9[[#This Row],[CUIT]],Lista_CUIT[#All],2,0)),"CUIT NO CARGADO")</f>
        <v>-</v>
      </c>
      <c r="H463" s="60">
        <f>ventas_b_mes9[[#This Row],[TOTAL]]/1.21</f>
        <v>1028.93</v>
      </c>
      <c r="I463" s="228">
        <f>ventas_b_mes9[[#This Row],[IMPORTE NETO]]*0.21</f>
        <v>216.0753</v>
      </c>
      <c r="J463" s="229"/>
      <c r="K463" s="229"/>
      <c r="L463" s="229">
        <v>1245.0053</v>
      </c>
      <c r="M463" s="55"/>
    </row>
    <row r="464" spans="2:13" x14ac:dyDescent="0.3">
      <c r="B464" s="223">
        <v>44897</v>
      </c>
      <c r="C464" s="224">
        <v>6</v>
      </c>
      <c r="D464" s="225">
        <v>12</v>
      </c>
      <c r="E464" s="226">
        <v>22908</v>
      </c>
      <c r="F464" s="227"/>
      <c r="G464" s="1" t="str">
        <f>IFERROR(IF(ventas_b_mes9[[#This Row],[CUIT]]="","-",VLOOKUP(ventas_b_mes9[[#This Row],[CUIT]],Lista_CUIT[#All],2,0)),"CUIT NO CARGADO")</f>
        <v>-</v>
      </c>
      <c r="H464" s="60">
        <f>ventas_b_mes9[[#This Row],[TOTAL]]/1.21</f>
        <v>4958.68</v>
      </c>
      <c r="I464" s="228">
        <f>ventas_b_mes9[[#This Row],[IMPORTE NETO]]*0.21</f>
        <v>1041.3227999999999</v>
      </c>
      <c r="J464" s="229"/>
      <c r="K464" s="229"/>
      <c r="L464" s="229">
        <v>6000.0028000000002</v>
      </c>
      <c r="M464" s="55"/>
    </row>
    <row r="465" spans="2:13" x14ac:dyDescent="0.3">
      <c r="B465" s="223">
        <v>44897</v>
      </c>
      <c r="C465" s="224">
        <v>6</v>
      </c>
      <c r="D465" s="225">
        <v>12</v>
      </c>
      <c r="E465" s="226">
        <v>22909</v>
      </c>
      <c r="F465" s="227"/>
      <c r="G465" s="1" t="str">
        <f>IFERROR(IF(ventas_b_mes9[[#This Row],[CUIT]]="","-",VLOOKUP(ventas_b_mes9[[#This Row],[CUIT]],Lista_CUIT[#All],2,0)),"CUIT NO CARGADO")</f>
        <v>-</v>
      </c>
      <c r="H465" s="60">
        <f>ventas_b_mes9[[#This Row],[TOTAL]]/1.21</f>
        <v>1446.28</v>
      </c>
      <c r="I465" s="228">
        <f>ventas_b_mes9[[#This Row],[IMPORTE NETO]]*0.21</f>
        <v>303.71879999999999</v>
      </c>
      <c r="J465" s="229"/>
      <c r="K465" s="229"/>
      <c r="L465" s="229">
        <v>1749.9987999999998</v>
      </c>
      <c r="M465" s="55"/>
    </row>
    <row r="466" spans="2:13" x14ac:dyDescent="0.3">
      <c r="B466" s="223">
        <v>44897</v>
      </c>
      <c r="C466" s="224">
        <v>6</v>
      </c>
      <c r="D466" s="225">
        <v>12</v>
      </c>
      <c r="E466" s="226">
        <v>22910</v>
      </c>
      <c r="F466" s="227"/>
      <c r="G466" s="1" t="str">
        <f>IFERROR(IF(ventas_b_mes9[[#This Row],[CUIT]]="","-",VLOOKUP(ventas_b_mes9[[#This Row],[CUIT]],Lista_CUIT[#All],2,0)),"CUIT NO CARGADO")</f>
        <v>-</v>
      </c>
      <c r="H466" s="60">
        <f>ventas_b_mes9[[#This Row],[TOTAL]]/1.21</f>
        <v>2479.34</v>
      </c>
      <c r="I466" s="228">
        <f>ventas_b_mes9[[#This Row],[IMPORTE NETO]]*0.21</f>
        <v>520.66139999999996</v>
      </c>
      <c r="J466" s="229"/>
      <c r="K466" s="229"/>
      <c r="L466" s="229">
        <v>3000.0014000000001</v>
      </c>
      <c r="M466" s="55"/>
    </row>
    <row r="467" spans="2:13" x14ac:dyDescent="0.3">
      <c r="B467" s="223">
        <v>44897</v>
      </c>
      <c r="C467" s="224">
        <v>6</v>
      </c>
      <c r="D467" s="225">
        <v>12</v>
      </c>
      <c r="E467" s="226">
        <v>22911</v>
      </c>
      <c r="F467" s="227"/>
      <c r="G467" s="1" t="str">
        <f>IFERROR(IF(ventas_b_mes9[[#This Row],[CUIT]]="","-",VLOOKUP(ventas_b_mes9[[#This Row],[CUIT]],Lista_CUIT[#All],2,0)),"CUIT NO CARGADO")</f>
        <v>-</v>
      </c>
      <c r="H467" s="60">
        <f>ventas_b_mes9[[#This Row],[TOTAL]]/1.21</f>
        <v>1537.19</v>
      </c>
      <c r="I467" s="228">
        <f>ventas_b_mes9[[#This Row],[IMPORTE NETO]]*0.21</f>
        <v>322.80990000000003</v>
      </c>
      <c r="J467" s="229"/>
      <c r="K467" s="229"/>
      <c r="L467" s="229">
        <v>1859.9999</v>
      </c>
      <c r="M467" s="55"/>
    </row>
    <row r="468" spans="2:13" x14ac:dyDescent="0.3">
      <c r="B468" s="223">
        <v>44897</v>
      </c>
      <c r="C468" s="224">
        <v>6</v>
      </c>
      <c r="D468" s="225">
        <v>12</v>
      </c>
      <c r="E468" s="226">
        <v>22912</v>
      </c>
      <c r="F468" s="227"/>
      <c r="G468" s="1" t="str">
        <f>IFERROR(IF(ventas_b_mes9[[#This Row],[CUIT]]="","-",VLOOKUP(ventas_b_mes9[[#This Row],[CUIT]],Lista_CUIT[#All],2,0)),"CUIT NO CARGADO")</f>
        <v>-</v>
      </c>
      <c r="H468" s="60">
        <f>ventas_b_mes9[[#This Row],[TOTAL]]/1.21</f>
        <v>7578.51</v>
      </c>
      <c r="I468" s="228">
        <f>ventas_b_mes9[[#This Row],[IMPORTE NETO]]*0.21</f>
        <v>1591.4871000000001</v>
      </c>
      <c r="J468" s="229"/>
      <c r="K468" s="229"/>
      <c r="L468" s="229">
        <v>9169.9971000000005</v>
      </c>
      <c r="M468" s="55"/>
    </row>
    <row r="469" spans="2:13" x14ac:dyDescent="0.3">
      <c r="B469" s="223">
        <v>44897</v>
      </c>
      <c r="C469" s="224">
        <v>6</v>
      </c>
      <c r="D469" s="225">
        <v>11</v>
      </c>
      <c r="E469" s="226">
        <v>30387</v>
      </c>
      <c r="F469" s="227"/>
      <c r="G469" s="1" t="str">
        <f>IFERROR(IF(ventas_b_mes9[[#This Row],[CUIT]]="","-",VLOOKUP(ventas_b_mes9[[#This Row],[CUIT]],Lista_CUIT[#All],2,0)),"CUIT NO CARGADO")</f>
        <v>-</v>
      </c>
      <c r="H469" s="60">
        <f>ventas_b_mes9[[#This Row],[TOTAL]]/1.21</f>
        <v>10297.530000000001</v>
      </c>
      <c r="I469" s="228">
        <f>ventas_b_mes9[[#This Row],[IMPORTE NETO]]*0.21</f>
        <v>2162.4812999999999</v>
      </c>
      <c r="J469" s="229"/>
      <c r="K469" s="229"/>
      <c r="L469" s="229">
        <v>12460.0113</v>
      </c>
      <c r="M469" s="55"/>
    </row>
    <row r="470" spans="2:13" x14ac:dyDescent="0.3">
      <c r="B470" s="223">
        <v>44897</v>
      </c>
      <c r="C470" s="224">
        <v>6</v>
      </c>
      <c r="D470" s="225">
        <v>11</v>
      </c>
      <c r="E470" s="226">
        <v>30388</v>
      </c>
      <c r="F470" s="227"/>
      <c r="G470" s="1" t="str">
        <f>IFERROR(IF(ventas_b_mes9[[#This Row],[CUIT]]="","-",VLOOKUP(ventas_b_mes9[[#This Row],[CUIT]],Lista_CUIT[#All],2,0)),"CUIT NO CARGADO")</f>
        <v>-</v>
      </c>
      <c r="H470" s="60">
        <f>ventas_b_mes9[[#This Row],[TOTAL]]/1.21</f>
        <v>2826.4500000000003</v>
      </c>
      <c r="I470" s="228">
        <f>ventas_b_mes9[[#This Row],[IMPORTE NETO]]*0.21</f>
        <v>593.55450000000008</v>
      </c>
      <c r="J470" s="229"/>
      <c r="K470" s="229"/>
      <c r="L470" s="229">
        <v>3420.0045</v>
      </c>
      <c r="M470" s="55"/>
    </row>
    <row r="471" spans="2:13" x14ac:dyDescent="0.3">
      <c r="B471" s="223">
        <v>44897</v>
      </c>
      <c r="C471" s="224">
        <v>6</v>
      </c>
      <c r="D471" s="225">
        <v>11</v>
      </c>
      <c r="E471" s="226">
        <v>30389</v>
      </c>
      <c r="F471" s="227"/>
      <c r="G471" s="1" t="str">
        <f>IFERROR(IF(ventas_b_mes9[[#This Row],[CUIT]]="","-",VLOOKUP(ventas_b_mes9[[#This Row],[CUIT]],Lista_CUIT[#All],2,0)),"CUIT NO CARGADO")</f>
        <v>-</v>
      </c>
      <c r="H471" s="60">
        <f>ventas_b_mes9[[#This Row],[TOTAL]]/1.21</f>
        <v>2785.12</v>
      </c>
      <c r="I471" s="228">
        <f>ventas_b_mes9[[#This Row],[IMPORTE NETO]]*0.21</f>
        <v>584.87519999999995</v>
      </c>
      <c r="J471" s="229"/>
      <c r="K471" s="229"/>
      <c r="L471" s="229">
        <v>3369.9951999999998</v>
      </c>
      <c r="M471" s="55"/>
    </row>
    <row r="472" spans="2:13" x14ac:dyDescent="0.3">
      <c r="B472" s="223">
        <v>44897</v>
      </c>
      <c r="C472" s="224">
        <v>6</v>
      </c>
      <c r="D472" s="225">
        <v>11</v>
      </c>
      <c r="E472" s="226">
        <v>30390</v>
      </c>
      <c r="F472" s="227"/>
      <c r="G472" s="1" t="str">
        <f>IFERROR(IF(ventas_b_mes9[[#This Row],[CUIT]]="","-",VLOOKUP(ventas_b_mes9[[#This Row],[CUIT]],Lista_CUIT[#All],2,0)),"CUIT NO CARGADO")</f>
        <v>-</v>
      </c>
      <c r="H472" s="60">
        <f>ventas_b_mes9[[#This Row],[TOTAL]]/1.21</f>
        <v>4638.0200000000004</v>
      </c>
      <c r="I472" s="228">
        <f>ventas_b_mes9[[#This Row],[IMPORTE NETO]]*0.21</f>
        <v>973.9842000000001</v>
      </c>
      <c r="J472" s="229"/>
      <c r="K472" s="229"/>
      <c r="L472" s="229">
        <v>5612.0042000000003</v>
      </c>
      <c r="M472" s="55"/>
    </row>
    <row r="473" spans="2:13" x14ac:dyDescent="0.3">
      <c r="B473" s="223">
        <v>44897</v>
      </c>
      <c r="C473" s="224">
        <v>6</v>
      </c>
      <c r="D473" s="225">
        <v>11</v>
      </c>
      <c r="E473" s="226">
        <v>30391</v>
      </c>
      <c r="F473" s="227"/>
      <c r="G473" s="1" t="str">
        <f>IFERROR(IF(ventas_b_mes9[[#This Row],[CUIT]]="","-",VLOOKUP(ventas_b_mes9[[#This Row],[CUIT]],Lista_CUIT[#All],2,0)),"CUIT NO CARGADO")</f>
        <v>-</v>
      </c>
      <c r="H473" s="60">
        <f>ventas_b_mes9[[#This Row],[TOTAL]]/1.21</f>
        <v>2138.02</v>
      </c>
      <c r="I473" s="228">
        <f>ventas_b_mes9[[#This Row],[IMPORTE NETO]]*0.21</f>
        <v>448.98419999999999</v>
      </c>
      <c r="J473" s="229"/>
      <c r="K473" s="229"/>
      <c r="L473" s="229">
        <v>2587.0041999999999</v>
      </c>
      <c r="M473" s="55"/>
    </row>
    <row r="474" spans="2:13" x14ac:dyDescent="0.3">
      <c r="B474" s="223">
        <v>44897</v>
      </c>
      <c r="C474" s="224">
        <v>6</v>
      </c>
      <c r="D474" s="225">
        <v>11</v>
      </c>
      <c r="E474" s="226">
        <v>30392</v>
      </c>
      <c r="F474" s="227"/>
      <c r="G474" s="1" t="str">
        <f>IFERROR(IF(ventas_b_mes9[[#This Row],[CUIT]]="","-",VLOOKUP(ventas_b_mes9[[#This Row],[CUIT]],Lista_CUIT[#All],2,0)),"CUIT NO CARGADO")</f>
        <v>-</v>
      </c>
      <c r="H474" s="60">
        <f>ventas_b_mes9[[#This Row],[TOTAL]]/1.21</f>
        <v>7359.4999999999991</v>
      </c>
      <c r="I474" s="228">
        <f>ventas_b_mes9[[#This Row],[IMPORTE NETO]]*0.21</f>
        <v>1545.4949999999997</v>
      </c>
      <c r="J474" s="229"/>
      <c r="K474" s="229"/>
      <c r="L474" s="229">
        <v>8904.994999999999</v>
      </c>
      <c r="M474" s="55"/>
    </row>
    <row r="475" spans="2:13" x14ac:dyDescent="0.3">
      <c r="B475" s="223">
        <v>44897</v>
      </c>
      <c r="C475" s="224">
        <v>6</v>
      </c>
      <c r="D475" s="225">
        <v>11</v>
      </c>
      <c r="E475" s="226">
        <v>30393</v>
      </c>
      <c r="F475" s="227"/>
      <c r="G475" s="1" t="str">
        <f>IFERROR(IF(ventas_b_mes9[[#This Row],[CUIT]]="","-",VLOOKUP(ventas_b_mes9[[#This Row],[CUIT]],Lista_CUIT[#All],2,0)),"CUIT NO CARGADO")</f>
        <v>-</v>
      </c>
      <c r="H475" s="60">
        <f>ventas_b_mes9[[#This Row],[TOTAL]]/1.21</f>
        <v>8347.1200000000008</v>
      </c>
      <c r="I475" s="228">
        <f>ventas_b_mes9[[#This Row],[IMPORTE NETO]]*0.21</f>
        <v>1752.8952000000002</v>
      </c>
      <c r="J475" s="229"/>
      <c r="K475" s="229"/>
      <c r="L475" s="229">
        <v>10100.015200000002</v>
      </c>
      <c r="M475" s="55"/>
    </row>
    <row r="476" spans="2:13" x14ac:dyDescent="0.3">
      <c r="B476" s="223">
        <v>44897</v>
      </c>
      <c r="C476" s="224">
        <v>6</v>
      </c>
      <c r="D476" s="225">
        <v>11</v>
      </c>
      <c r="E476" s="226">
        <v>30394</v>
      </c>
      <c r="F476" s="227"/>
      <c r="G476" s="1" t="str">
        <f>IFERROR(IF(ventas_b_mes9[[#This Row],[CUIT]]="","-",VLOOKUP(ventas_b_mes9[[#This Row],[CUIT]],Lista_CUIT[#All],2,0)),"CUIT NO CARGADO")</f>
        <v>-</v>
      </c>
      <c r="H476" s="60">
        <f>ventas_b_mes9[[#This Row],[TOTAL]]/1.21</f>
        <v>6239.670000000001</v>
      </c>
      <c r="I476" s="228">
        <f>ventas_b_mes9[[#This Row],[IMPORTE NETO]]*0.21</f>
        <v>1310.3307000000002</v>
      </c>
      <c r="J476" s="229"/>
      <c r="K476" s="229"/>
      <c r="L476" s="229">
        <v>7550.0007000000005</v>
      </c>
      <c r="M476" s="55"/>
    </row>
    <row r="477" spans="2:13" x14ac:dyDescent="0.3">
      <c r="B477" s="223">
        <v>44897</v>
      </c>
      <c r="C477" s="224">
        <v>6</v>
      </c>
      <c r="D477" s="225">
        <v>11</v>
      </c>
      <c r="E477" s="226">
        <v>30395</v>
      </c>
      <c r="F477" s="227"/>
      <c r="G477" s="1" t="str">
        <f>IFERROR(IF(ventas_b_mes9[[#This Row],[CUIT]]="","-",VLOOKUP(ventas_b_mes9[[#This Row],[CUIT]],Lista_CUIT[#All],2,0)),"CUIT NO CARGADO")</f>
        <v>-</v>
      </c>
      <c r="H477" s="60">
        <f>ventas_b_mes9[[#This Row],[TOTAL]]/1.21</f>
        <v>16561.98</v>
      </c>
      <c r="I477" s="228">
        <f>ventas_b_mes9[[#This Row],[IMPORTE NETO]]*0.21</f>
        <v>3478.0157999999997</v>
      </c>
      <c r="J477" s="229"/>
      <c r="K477" s="229"/>
      <c r="L477" s="229">
        <v>20039.995800000001</v>
      </c>
      <c r="M477" s="55"/>
    </row>
    <row r="478" spans="2:13" x14ac:dyDescent="0.3">
      <c r="B478" s="223">
        <v>44897</v>
      </c>
      <c r="C478" s="224">
        <v>6</v>
      </c>
      <c r="D478" s="225">
        <v>11</v>
      </c>
      <c r="E478" s="226">
        <v>30396</v>
      </c>
      <c r="F478" s="227"/>
      <c r="G478" s="1" t="str">
        <f>IFERROR(IF(ventas_b_mes9[[#This Row],[CUIT]]="","-",VLOOKUP(ventas_b_mes9[[#This Row],[CUIT]],Lista_CUIT[#All],2,0)),"CUIT NO CARGADO")</f>
        <v>-</v>
      </c>
      <c r="H478" s="60">
        <f>ventas_b_mes9[[#This Row],[TOTAL]]/1.21</f>
        <v>4545.45</v>
      </c>
      <c r="I478" s="228">
        <f>ventas_b_mes9[[#This Row],[IMPORTE NETO]]*0.21</f>
        <v>954.54449999999997</v>
      </c>
      <c r="J478" s="229"/>
      <c r="K478" s="229"/>
      <c r="L478" s="229">
        <v>5499.9944999999998</v>
      </c>
      <c r="M478" s="55"/>
    </row>
    <row r="479" spans="2:13" x14ac:dyDescent="0.3">
      <c r="B479" s="223">
        <v>44897</v>
      </c>
      <c r="C479" s="224">
        <v>6</v>
      </c>
      <c r="D479" s="225">
        <v>11</v>
      </c>
      <c r="E479" s="226">
        <v>30397</v>
      </c>
      <c r="F479" s="227"/>
      <c r="G479" s="1" t="str">
        <f>IFERROR(IF(ventas_b_mes9[[#This Row],[CUIT]]="","-",VLOOKUP(ventas_b_mes9[[#This Row],[CUIT]],Lista_CUIT[#All],2,0)),"CUIT NO CARGADO")</f>
        <v>-</v>
      </c>
      <c r="H479" s="60">
        <f>ventas_b_mes9[[#This Row],[TOTAL]]/1.21</f>
        <v>2438.02</v>
      </c>
      <c r="I479" s="228">
        <f>ventas_b_mes9[[#This Row],[IMPORTE NETO]]*0.21</f>
        <v>511.98419999999999</v>
      </c>
      <c r="J479" s="229"/>
      <c r="K479" s="229"/>
      <c r="L479" s="229">
        <v>2950.0041999999999</v>
      </c>
      <c r="M479" s="55"/>
    </row>
    <row r="480" spans="2:13" x14ac:dyDescent="0.3">
      <c r="B480" s="223">
        <v>44897</v>
      </c>
      <c r="C480" s="224">
        <v>6</v>
      </c>
      <c r="D480" s="225">
        <v>11</v>
      </c>
      <c r="E480" s="226">
        <v>30398</v>
      </c>
      <c r="F480" s="227"/>
      <c r="G480" s="1" t="str">
        <f>IFERROR(IF(ventas_b_mes9[[#This Row],[CUIT]]="","-",VLOOKUP(ventas_b_mes9[[#This Row],[CUIT]],Lista_CUIT[#All],2,0)),"CUIT NO CARGADO")</f>
        <v>-</v>
      </c>
      <c r="H480" s="60">
        <f>ventas_b_mes9[[#This Row],[TOTAL]]/1.21</f>
        <v>4884.29</v>
      </c>
      <c r="I480" s="228">
        <f>ventas_b_mes9[[#This Row],[IMPORTE NETO]]*0.21</f>
        <v>1025.7009</v>
      </c>
      <c r="J480" s="229"/>
      <c r="K480" s="229"/>
      <c r="L480" s="229">
        <v>5909.9908999999998</v>
      </c>
      <c r="M480" s="55"/>
    </row>
    <row r="481" spans="2:13" x14ac:dyDescent="0.3">
      <c r="B481" s="223">
        <v>44897</v>
      </c>
      <c r="C481" s="224">
        <v>6</v>
      </c>
      <c r="D481" s="225">
        <v>11</v>
      </c>
      <c r="E481" s="226">
        <v>30399</v>
      </c>
      <c r="F481" s="227"/>
      <c r="G481" s="1" t="str">
        <f>IFERROR(IF(ventas_b_mes9[[#This Row],[CUIT]]="","-",VLOOKUP(ventas_b_mes9[[#This Row],[CUIT]],Lista_CUIT[#All],2,0)),"CUIT NO CARGADO")</f>
        <v>-</v>
      </c>
      <c r="H481" s="60">
        <f>ventas_b_mes9[[#This Row],[TOTAL]]/1.21</f>
        <v>35537.19</v>
      </c>
      <c r="I481" s="228">
        <f>ventas_b_mes9[[#This Row],[IMPORTE NETO]]*0.21</f>
        <v>7462.8099000000002</v>
      </c>
      <c r="J481" s="229"/>
      <c r="K481" s="229"/>
      <c r="L481" s="229">
        <v>42999.999900000003</v>
      </c>
      <c r="M481" s="55"/>
    </row>
    <row r="482" spans="2:13" x14ac:dyDescent="0.3">
      <c r="B482" s="223">
        <v>44897</v>
      </c>
      <c r="C482" s="224">
        <v>6</v>
      </c>
      <c r="D482" s="225">
        <v>11</v>
      </c>
      <c r="E482" s="226">
        <v>30400</v>
      </c>
      <c r="F482" s="227"/>
      <c r="G482" s="1" t="str">
        <f>IFERROR(IF(ventas_b_mes9[[#This Row],[CUIT]]="","-",VLOOKUP(ventas_b_mes9[[#This Row],[CUIT]],Lista_CUIT[#All],2,0)),"CUIT NO CARGADO")</f>
        <v>-</v>
      </c>
      <c r="H482" s="60">
        <f>ventas_b_mes9[[#This Row],[TOTAL]]/1.21</f>
        <v>1586.78</v>
      </c>
      <c r="I482" s="228">
        <f>ventas_b_mes9[[#This Row],[IMPORTE NETO]]*0.21</f>
        <v>333.22379999999998</v>
      </c>
      <c r="J482" s="229"/>
      <c r="K482" s="229"/>
      <c r="L482" s="229">
        <v>1920.0038</v>
      </c>
      <c r="M482" s="55"/>
    </row>
    <row r="483" spans="2:13" x14ac:dyDescent="0.3">
      <c r="B483" s="223">
        <v>44897</v>
      </c>
      <c r="C483" s="224">
        <v>6</v>
      </c>
      <c r="D483" s="225">
        <v>11</v>
      </c>
      <c r="E483" s="226">
        <v>30401</v>
      </c>
      <c r="F483" s="227"/>
      <c r="G483" s="1" t="str">
        <f>IFERROR(IF(ventas_b_mes9[[#This Row],[CUIT]]="","-",VLOOKUP(ventas_b_mes9[[#This Row],[CUIT]],Lista_CUIT[#All],2,0)),"CUIT NO CARGADO")</f>
        <v>-</v>
      </c>
      <c r="H483" s="60">
        <f>ventas_b_mes9[[#This Row],[TOTAL]]/1.21</f>
        <v>5008.26</v>
      </c>
      <c r="I483" s="228">
        <f>ventas_b_mes9[[#This Row],[IMPORTE NETO]]*0.21</f>
        <v>1051.7346</v>
      </c>
      <c r="J483" s="229"/>
      <c r="K483" s="229"/>
      <c r="L483" s="229">
        <v>6059.9946</v>
      </c>
      <c r="M483" s="55"/>
    </row>
    <row r="484" spans="2:13" x14ac:dyDescent="0.3">
      <c r="B484" s="223">
        <v>44897</v>
      </c>
      <c r="C484" s="224">
        <v>6</v>
      </c>
      <c r="D484" s="225">
        <v>11</v>
      </c>
      <c r="E484" s="226">
        <v>30402</v>
      </c>
      <c r="F484" s="227"/>
      <c r="G484" s="1" t="str">
        <f>IFERROR(IF(ventas_b_mes9[[#This Row],[CUIT]]="","-",VLOOKUP(ventas_b_mes9[[#This Row],[CUIT]],Lista_CUIT[#All],2,0)),"CUIT NO CARGADO")</f>
        <v>-</v>
      </c>
      <c r="H484" s="60">
        <f>ventas_b_mes9[[#This Row],[TOTAL]]/1.21</f>
        <v>6247.93</v>
      </c>
      <c r="I484" s="228">
        <f>ventas_b_mes9[[#This Row],[IMPORTE NETO]]*0.21</f>
        <v>1312.0653</v>
      </c>
      <c r="J484" s="229"/>
      <c r="K484" s="229"/>
      <c r="L484" s="229">
        <v>7559.9953000000005</v>
      </c>
      <c r="M484" s="55"/>
    </row>
    <row r="485" spans="2:13" x14ac:dyDescent="0.3">
      <c r="B485" s="223">
        <v>44897</v>
      </c>
      <c r="C485" s="224">
        <v>6</v>
      </c>
      <c r="D485" s="225">
        <v>11</v>
      </c>
      <c r="E485" s="226">
        <v>30403</v>
      </c>
      <c r="F485" s="227"/>
      <c r="G485" s="1" t="str">
        <f>IFERROR(IF(ventas_b_mes9[[#This Row],[CUIT]]="","-",VLOOKUP(ventas_b_mes9[[#This Row],[CUIT]],Lista_CUIT[#All],2,0)),"CUIT NO CARGADO")</f>
        <v>-</v>
      </c>
      <c r="H485" s="60">
        <f>ventas_b_mes9[[#This Row],[TOTAL]]/1.21</f>
        <v>2622.56</v>
      </c>
      <c r="I485" s="228">
        <f>ventas_b_mes9[[#This Row],[IMPORTE NETO]]*0.21</f>
        <v>550.73759999999993</v>
      </c>
      <c r="J485" s="229"/>
      <c r="K485" s="229"/>
      <c r="L485" s="229">
        <v>3173.2975999999999</v>
      </c>
      <c r="M485" s="55"/>
    </row>
    <row r="486" spans="2:13" x14ac:dyDescent="0.3">
      <c r="B486" s="223">
        <v>44897</v>
      </c>
      <c r="C486" s="224">
        <v>6</v>
      </c>
      <c r="D486" s="225">
        <v>11</v>
      </c>
      <c r="E486" s="226">
        <v>30404</v>
      </c>
      <c r="F486" s="227"/>
      <c r="G486" s="1" t="str">
        <f>IFERROR(IF(ventas_b_mes9[[#This Row],[CUIT]]="","-",VLOOKUP(ventas_b_mes9[[#This Row],[CUIT]],Lista_CUIT[#All],2,0)),"CUIT NO CARGADO")</f>
        <v>-</v>
      </c>
      <c r="H486" s="60">
        <f>ventas_b_mes9[[#This Row],[TOTAL]]/1.21</f>
        <v>24698.37</v>
      </c>
      <c r="I486" s="228">
        <f>ventas_b_mes9[[#This Row],[IMPORTE NETO]]*0.21</f>
        <v>5186.6576999999997</v>
      </c>
      <c r="J486" s="229"/>
      <c r="K486" s="229"/>
      <c r="L486" s="229">
        <v>29885.027699999999</v>
      </c>
      <c r="M486" s="55"/>
    </row>
    <row r="487" spans="2:13" x14ac:dyDescent="0.3">
      <c r="B487" s="223">
        <v>44897</v>
      </c>
      <c r="C487" s="224">
        <v>6</v>
      </c>
      <c r="D487" s="225">
        <v>11</v>
      </c>
      <c r="E487" s="226">
        <v>30405</v>
      </c>
      <c r="F487" s="227"/>
      <c r="G487" s="1" t="str">
        <f>IFERROR(IF(ventas_b_mes9[[#This Row],[CUIT]]="","-",VLOOKUP(ventas_b_mes9[[#This Row],[CUIT]],Lista_CUIT[#All],2,0)),"CUIT NO CARGADO")</f>
        <v>-</v>
      </c>
      <c r="H487" s="60">
        <f>ventas_b_mes9[[#This Row],[TOTAL]]/1.21</f>
        <v>3173.55</v>
      </c>
      <c r="I487" s="228">
        <f>ventas_b_mes9[[#This Row],[IMPORTE NETO]]*0.21</f>
        <v>666.44550000000004</v>
      </c>
      <c r="J487" s="229"/>
      <c r="K487" s="229"/>
      <c r="L487" s="229">
        <v>3839.9955</v>
      </c>
      <c r="M487" s="55"/>
    </row>
    <row r="488" spans="2:13" x14ac:dyDescent="0.3">
      <c r="B488" s="223">
        <v>44897</v>
      </c>
      <c r="C488" s="224">
        <v>6</v>
      </c>
      <c r="D488" s="225">
        <v>11</v>
      </c>
      <c r="E488" s="226">
        <v>30406</v>
      </c>
      <c r="F488" s="227"/>
      <c r="G488" s="1" t="str">
        <f>IFERROR(IF(ventas_b_mes9[[#This Row],[CUIT]]="","-",VLOOKUP(ventas_b_mes9[[#This Row],[CUIT]],Lista_CUIT[#All],2,0)),"CUIT NO CARGADO")</f>
        <v>-</v>
      </c>
      <c r="H488" s="60">
        <f>ventas_b_mes9[[#This Row],[TOTAL]]/1.21</f>
        <v>2578.5100000000007</v>
      </c>
      <c r="I488" s="228">
        <f>ventas_b_mes9[[#This Row],[IMPORTE NETO]]*0.21</f>
        <v>541.48710000000017</v>
      </c>
      <c r="J488" s="229"/>
      <c r="K488" s="229"/>
      <c r="L488" s="229">
        <v>3119.9971000000005</v>
      </c>
      <c r="M488" s="55"/>
    </row>
    <row r="489" spans="2:13" x14ac:dyDescent="0.3">
      <c r="B489" s="223">
        <v>44897</v>
      </c>
      <c r="C489" s="224">
        <v>6</v>
      </c>
      <c r="D489" s="225">
        <v>11</v>
      </c>
      <c r="E489" s="226">
        <v>30407</v>
      </c>
      <c r="F489" s="227"/>
      <c r="G489" s="1" t="str">
        <f>IFERROR(IF(ventas_b_mes9[[#This Row],[CUIT]]="","-",VLOOKUP(ventas_b_mes9[[#This Row],[CUIT]],Lista_CUIT[#All],2,0)),"CUIT NO CARGADO")</f>
        <v>-</v>
      </c>
      <c r="H489" s="60">
        <f>ventas_b_mes9[[#This Row],[TOTAL]]/1.21</f>
        <v>4752.0600000000004</v>
      </c>
      <c r="I489" s="228">
        <f>ventas_b_mes9[[#This Row],[IMPORTE NETO]]*0.21</f>
        <v>997.93260000000009</v>
      </c>
      <c r="J489" s="229"/>
      <c r="K489" s="229"/>
      <c r="L489" s="229">
        <v>5749.9926000000005</v>
      </c>
      <c r="M489" s="55"/>
    </row>
    <row r="490" spans="2:13" x14ac:dyDescent="0.3">
      <c r="B490" s="223">
        <v>44897</v>
      </c>
      <c r="C490" s="224">
        <v>6</v>
      </c>
      <c r="D490" s="225">
        <v>13</v>
      </c>
      <c r="E490" s="226">
        <v>27007</v>
      </c>
      <c r="F490" s="227"/>
      <c r="G490" s="1" t="str">
        <f>IFERROR(IF(ventas_b_mes9[[#This Row],[CUIT]]="","-",VLOOKUP(ventas_b_mes9[[#This Row],[CUIT]],Lista_CUIT[#All],2,0)),"CUIT NO CARGADO")</f>
        <v>-</v>
      </c>
      <c r="H490" s="60">
        <f>ventas_b_mes9[[#This Row],[TOTAL]]/1.21</f>
        <v>842.98</v>
      </c>
      <c r="I490" s="228">
        <f>ventas_b_mes9[[#This Row],[IMPORTE NETO]]*0.21</f>
        <v>177.0258</v>
      </c>
      <c r="J490" s="229"/>
      <c r="K490" s="229"/>
      <c r="L490" s="229">
        <v>1020.0058</v>
      </c>
      <c r="M490" s="55"/>
    </row>
    <row r="491" spans="2:13" x14ac:dyDescent="0.3">
      <c r="B491" s="223">
        <v>44898</v>
      </c>
      <c r="C491" s="224">
        <v>6</v>
      </c>
      <c r="D491" s="225">
        <v>13</v>
      </c>
      <c r="E491" s="226">
        <v>27018</v>
      </c>
      <c r="F491" s="227"/>
      <c r="G491" s="1" t="str">
        <f>IFERROR(IF(ventas_b_mes9[[#This Row],[CUIT]]="","-",VLOOKUP(ventas_b_mes9[[#This Row],[CUIT]],Lista_CUIT[#All],2,0)),"CUIT NO CARGADO")</f>
        <v>-</v>
      </c>
      <c r="H491" s="60">
        <f>ventas_b_mes9[[#This Row],[TOTAL]]/1.21</f>
        <v>7376.03</v>
      </c>
      <c r="I491" s="228">
        <f>ventas_b_mes9[[#This Row],[IMPORTE NETO]]*0.21</f>
        <v>1548.9662999999998</v>
      </c>
      <c r="J491" s="229"/>
      <c r="K491" s="229"/>
      <c r="L491" s="229">
        <v>8924.9962999999989</v>
      </c>
      <c r="M491" s="55"/>
    </row>
    <row r="492" spans="2:13" x14ac:dyDescent="0.3">
      <c r="B492" s="223">
        <v>44898</v>
      </c>
      <c r="C492" s="224">
        <v>6</v>
      </c>
      <c r="D492" s="225">
        <v>13</v>
      </c>
      <c r="E492" s="226">
        <v>27019</v>
      </c>
      <c r="F492" s="227"/>
      <c r="G492" s="1" t="str">
        <f>IFERROR(IF(ventas_b_mes9[[#This Row],[CUIT]]="","-",VLOOKUP(ventas_b_mes9[[#This Row],[CUIT]],Lista_CUIT[#All],2,0)),"CUIT NO CARGADO")</f>
        <v>-</v>
      </c>
      <c r="H492" s="60">
        <f>ventas_b_mes9[[#This Row],[TOTAL]]/1.21</f>
        <v>1652.89</v>
      </c>
      <c r="I492" s="228">
        <f>ventas_b_mes9[[#This Row],[IMPORTE NETO]]*0.21</f>
        <v>347.1069</v>
      </c>
      <c r="J492" s="229"/>
      <c r="K492" s="229"/>
      <c r="L492" s="229">
        <v>1999.9969000000001</v>
      </c>
      <c r="M492" s="55"/>
    </row>
    <row r="493" spans="2:13" x14ac:dyDescent="0.3">
      <c r="B493" s="223">
        <v>44898</v>
      </c>
      <c r="C493" s="224">
        <v>6</v>
      </c>
      <c r="D493" s="225">
        <v>13</v>
      </c>
      <c r="E493" s="226">
        <v>27020</v>
      </c>
      <c r="F493" s="227"/>
      <c r="G493" s="1" t="str">
        <f>IFERROR(IF(ventas_b_mes9[[#This Row],[CUIT]]="","-",VLOOKUP(ventas_b_mes9[[#This Row],[CUIT]],Lista_CUIT[#All],2,0)),"CUIT NO CARGADO")</f>
        <v>-</v>
      </c>
      <c r="H493" s="60">
        <f>ventas_b_mes9[[#This Row],[TOTAL]]/1.21</f>
        <v>1504.13</v>
      </c>
      <c r="I493" s="228">
        <f>ventas_b_mes9[[#This Row],[IMPORTE NETO]]*0.21</f>
        <v>315.8673</v>
      </c>
      <c r="J493" s="229"/>
      <c r="K493" s="229"/>
      <c r="L493" s="229">
        <v>1819.9973</v>
      </c>
      <c r="M493" s="55"/>
    </row>
    <row r="494" spans="2:13" x14ac:dyDescent="0.3">
      <c r="B494" s="223">
        <v>44898</v>
      </c>
      <c r="C494" s="224">
        <v>6</v>
      </c>
      <c r="D494" s="225">
        <v>13</v>
      </c>
      <c r="E494" s="226">
        <v>27021</v>
      </c>
      <c r="F494" s="227"/>
      <c r="G494" s="1" t="str">
        <f>IFERROR(IF(ventas_b_mes9[[#This Row],[CUIT]]="","-",VLOOKUP(ventas_b_mes9[[#This Row],[CUIT]],Lista_CUIT[#All],2,0)),"CUIT NO CARGADO")</f>
        <v>-</v>
      </c>
      <c r="H494" s="60">
        <f>ventas_b_mes9[[#This Row],[TOTAL]]/1.21</f>
        <v>8247.93</v>
      </c>
      <c r="I494" s="228">
        <f>ventas_b_mes9[[#This Row],[IMPORTE NETO]]*0.21</f>
        <v>1732.0653</v>
      </c>
      <c r="J494" s="229"/>
      <c r="K494" s="229"/>
      <c r="L494" s="229">
        <v>9979.9953000000005</v>
      </c>
      <c r="M494" s="55"/>
    </row>
    <row r="495" spans="2:13" x14ac:dyDescent="0.3">
      <c r="B495" s="223">
        <v>44898</v>
      </c>
      <c r="C495" s="224">
        <v>6</v>
      </c>
      <c r="D495" s="225">
        <v>15</v>
      </c>
      <c r="E495" s="226">
        <v>7394</v>
      </c>
      <c r="F495" s="227"/>
      <c r="G495" s="1" t="str">
        <f>IFERROR(IF(ventas_b_mes9[[#This Row],[CUIT]]="","-",VLOOKUP(ventas_b_mes9[[#This Row],[CUIT]],Lista_CUIT[#All],2,0)),"CUIT NO CARGADO")</f>
        <v>-</v>
      </c>
      <c r="H495" s="60">
        <f>ventas_b_mes9[[#This Row],[TOTAL]]/1.21</f>
        <v>1586.78</v>
      </c>
      <c r="I495" s="228">
        <f>ventas_b_mes9[[#This Row],[IMPORTE NETO]]*0.21</f>
        <v>333.22379999999998</v>
      </c>
      <c r="J495" s="229"/>
      <c r="K495" s="229"/>
      <c r="L495" s="229">
        <v>1920.0038</v>
      </c>
      <c r="M495" s="55"/>
    </row>
    <row r="496" spans="2:13" x14ac:dyDescent="0.3">
      <c r="B496" s="223">
        <v>44898</v>
      </c>
      <c r="C496" s="224">
        <v>6</v>
      </c>
      <c r="D496" s="225">
        <v>15</v>
      </c>
      <c r="E496" s="226">
        <v>7395</v>
      </c>
      <c r="F496" s="227"/>
      <c r="G496" s="1" t="str">
        <f>IFERROR(IF(ventas_b_mes9[[#This Row],[CUIT]]="","-",VLOOKUP(ventas_b_mes9[[#This Row],[CUIT]],Lista_CUIT[#All],2,0)),"CUIT NO CARGADO")</f>
        <v>-</v>
      </c>
      <c r="H496" s="60">
        <f>ventas_b_mes9[[#This Row],[TOTAL]]/1.21</f>
        <v>2866.12</v>
      </c>
      <c r="I496" s="228">
        <f>ventas_b_mes9[[#This Row],[IMPORTE NETO]]*0.21</f>
        <v>601.88519999999994</v>
      </c>
      <c r="J496" s="229"/>
      <c r="K496" s="229"/>
      <c r="L496" s="229">
        <v>3468.0051999999996</v>
      </c>
      <c r="M496" s="55"/>
    </row>
    <row r="497" spans="2:13" x14ac:dyDescent="0.3">
      <c r="B497" s="223">
        <v>44898</v>
      </c>
      <c r="C497" s="224">
        <v>6</v>
      </c>
      <c r="D497" s="225">
        <v>10</v>
      </c>
      <c r="E497" s="226">
        <v>44277</v>
      </c>
      <c r="F497" s="227"/>
      <c r="G497" s="1" t="str">
        <f>IFERROR(IF(ventas_b_mes9[[#This Row],[CUIT]]="","-",VLOOKUP(ventas_b_mes9[[#This Row],[CUIT]],Lista_CUIT[#All],2,0)),"CUIT NO CARGADO")</f>
        <v>-</v>
      </c>
      <c r="H497" s="60">
        <f>ventas_b_mes9[[#This Row],[TOTAL]]/1.21</f>
        <v>17768.599999999999</v>
      </c>
      <c r="I497" s="228">
        <f>ventas_b_mes9[[#This Row],[IMPORTE NETO]]*0.21</f>
        <v>3731.4059999999995</v>
      </c>
      <c r="J497" s="229"/>
      <c r="K497" s="229"/>
      <c r="L497" s="229">
        <v>21500.005999999998</v>
      </c>
      <c r="M497" s="55"/>
    </row>
    <row r="498" spans="2:13" x14ac:dyDescent="0.3">
      <c r="B498" s="223">
        <v>44898</v>
      </c>
      <c r="C498" s="224">
        <v>6</v>
      </c>
      <c r="D498" s="225">
        <v>10</v>
      </c>
      <c r="E498" s="226">
        <v>44278</v>
      </c>
      <c r="F498" s="227"/>
      <c r="G498" s="1" t="str">
        <f>IFERROR(IF(ventas_b_mes9[[#This Row],[CUIT]]="","-",VLOOKUP(ventas_b_mes9[[#This Row],[CUIT]],Lista_CUIT[#All],2,0)),"CUIT NO CARGADO")</f>
        <v>-</v>
      </c>
      <c r="H498" s="60">
        <f>ventas_b_mes9[[#This Row],[TOTAL]]/1.21</f>
        <v>17768.59</v>
      </c>
      <c r="I498" s="228">
        <f>ventas_b_mes9[[#This Row],[IMPORTE NETO]]*0.21</f>
        <v>3731.4038999999998</v>
      </c>
      <c r="J498" s="229"/>
      <c r="K498" s="229"/>
      <c r="L498" s="229">
        <v>21499.993900000001</v>
      </c>
      <c r="M498" s="55"/>
    </row>
    <row r="499" spans="2:13" x14ac:dyDescent="0.3">
      <c r="B499" s="223">
        <v>44898</v>
      </c>
      <c r="C499" s="224">
        <v>6</v>
      </c>
      <c r="D499" s="225">
        <v>10</v>
      </c>
      <c r="E499" s="226">
        <v>44279</v>
      </c>
      <c r="F499" s="227"/>
      <c r="G499" s="1" t="str">
        <f>IFERROR(IF(ventas_b_mes9[[#This Row],[CUIT]]="","-",VLOOKUP(ventas_b_mes9[[#This Row],[CUIT]],Lista_CUIT[#All],2,0)),"CUIT NO CARGADO")</f>
        <v>-</v>
      </c>
      <c r="H499" s="60">
        <f>ventas_b_mes9[[#This Row],[TOTAL]]/1.21</f>
        <v>322.31</v>
      </c>
      <c r="I499" s="228">
        <f>ventas_b_mes9[[#This Row],[IMPORTE NETO]]*0.21</f>
        <v>67.685099999999991</v>
      </c>
      <c r="J499" s="229"/>
      <c r="K499" s="229"/>
      <c r="L499" s="229">
        <v>389.99509999999998</v>
      </c>
      <c r="M499" s="55"/>
    </row>
    <row r="500" spans="2:13" x14ac:dyDescent="0.3">
      <c r="B500" s="223">
        <v>44898</v>
      </c>
      <c r="C500" s="224">
        <v>6</v>
      </c>
      <c r="D500" s="225">
        <v>10</v>
      </c>
      <c r="E500" s="226">
        <v>44280</v>
      </c>
      <c r="F500" s="227"/>
      <c r="G500" s="1" t="str">
        <f>IFERROR(IF(ventas_b_mes9[[#This Row],[CUIT]]="","-",VLOOKUP(ventas_b_mes9[[#This Row],[CUIT]],Lista_CUIT[#All],2,0)),"CUIT NO CARGADO")</f>
        <v>-</v>
      </c>
      <c r="H500" s="60">
        <f>ventas_b_mes9[[#This Row],[TOTAL]]/1.21</f>
        <v>1785.12</v>
      </c>
      <c r="I500" s="228">
        <f>ventas_b_mes9[[#This Row],[IMPORTE NETO]]*0.21</f>
        <v>374.87519999999995</v>
      </c>
      <c r="J500" s="229"/>
      <c r="K500" s="229"/>
      <c r="L500" s="229">
        <v>2159.9951999999998</v>
      </c>
      <c r="M500" s="55"/>
    </row>
    <row r="501" spans="2:13" x14ac:dyDescent="0.3">
      <c r="B501" s="223">
        <v>44898</v>
      </c>
      <c r="C501" s="224">
        <v>6</v>
      </c>
      <c r="D501" s="225">
        <v>10</v>
      </c>
      <c r="E501" s="226">
        <v>44281</v>
      </c>
      <c r="F501" s="227"/>
      <c r="G501" s="1" t="str">
        <f>IFERROR(IF(ventas_b_mes9[[#This Row],[CUIT]]="","-",VLOOKUP(ventas_b_mes9[[#This Row],[CUIT]],Lista_CUIT[#All],2,0)),"CUIT NO CARGADO")</f>
        <v>-</v>
      </c>
      <c r="H501" s="60">
        <f>ventas_b_mes9[[#This Row],[TOTAL]]/1.21</f>
        <v>11446.26</v>
      </c>
      <c r="I501" s="228">
        <f>ventas_b_mes9[[#This Row],[IMPORTE NETO]]*0.21</f>
        <v>2403.7145999999998</v>
      </c>
      <c r="J501" s="229"/>
      <c r="K501" s="229"/>
      <c r="L501" s="229">
        <v>13849.9746</v>
      </c>
      <c r="M501" s="55"/>
    </row>
    <row r="502" spans="2:13" x14ac:dyDescent="0.3">
      <c r="B502" s="223">
        <v>44898</v>
      </c>
      <c r="C502" s="224">
        <v>6</v>
      </c>
      <c r="D502" s="225">
        <v>10</v>
      </c>
      <c r="E502" s="226">
        <v>44282</v>
      </c>
      <c r="F502" s="227"/>
      <c r="G502" s="1" t="str">
        <f>IFERROR(IF(ventas_b_mes9[[#This Row],[CUIT]]="","-",VLOOKUP(ventas_b_mes9[[#This Row],[CUIT]],Lista_CUIT[#All],2,0)),"CUIT NO CARGADO")</f>
        <v>-</v>
      </c>
      <c r="H502" s="60">
        <f>ventas_b_mes9[[#This Row],[TOTAL]]/1.21</f>
        <v>1071.07</v>
      </c>
      <c r="I502" s="228">
        <f>ventas_b_mes9[[#This Row],[IMPORTE NETO]]*0.21</f>
        <v>224.92469999999997</v>
      </c>
      <c r="J502" s="229"/>
      <c r="K502" s="229"/>
      <c r="L502" s="229">
        <v>1295.9947</v>
      </c>
      <c r="M502" s="55"/>
    </row>
    <row r="503" spans="2:13" x14ac:dyDescent="0.3">
      <c r="B503" s="223">
        <v>44898</v>
      </c>
      <c r="C503" s="224">
        <v>6</v>
      </c>
      <c r="D503" s="225">
        <v>10</v>
      </c>
      <c r="E503" s="226">
        <v>44283</v>
      </c>
      <c r="F503" s="227"/>
      <c r="G503" s="1" t="str">
        <f>IFERROR(IF(ventas_b_mes9[[#This Row],[CUIT]]="","-",VLOOKUP(ventas_b_mes9[[#This Row],[CUIT]],Lista_CUIT[#All],2,0)),"CUIT NO CARGADO")</f>
        <v>-</v>
      </c>
      <c r="H503" s="60">
        <f>ventas_b_mes9[[#This Row],[TOTAL]]/1.21</f>
        <v>5917.36</v>
      </c>
      <c r="I503" s="228">
        <f>ventas_b_mes9[[#This Row],[IMPORTE NETO]]*0.21</f>
        <v>1242.6455999999998</v>
      </c>
      <c r="J503" s="229"/>
      <c r="K503" s="229"/>
      <c r="L503" s="229">
        <v>7160.0055999999995</v>
      </c>
      <c r="M503" s="55"/>
    </row>
    <row r="504" spans="2:13" x14ac:dyDescent="0.3">
      <c r="B504" s="223">
        <v>44898</v>
      </c>
      <c r="C504" s="224">
        <v>6</v>
      </c>
      <c r="D504" s="225">
        <v>10</v>
      </c>
      <c r="E504" s="226">
        <v>44284</v>
      </c>
      <c r="F504" s="227"/>
      <c r="G504" s="1" t="str">
        <f>IFERROR(IF(ventas_b_mes9[[#This Row],[CUIT]]="","-",VLOOKUP(ventas_b_mes9[[#This Row],[CUIT]],Lista_CUIT[#All],2,0)),"CUIT NO CARGADO")</f>
        <v>-</v>
      </c>
      <c r="H504" s="60">
        <f>ventas_b_mes9[[#This Row],[TOTAL]]/1.21</f>
        <v>4264.46</v>
      </c>
      <c r="I504" s="228">
        <f>ventas_b_mes9[[#This Row],[IMPORTE NETO]]*0.21</f>
        <v>895.53660000000002</v>
      </c>
      <c r="J504" s="229"/>
      <c r="K504" s="229"/>
      <c r="L504" s="229">
        <v>5159.9966000000004</v>
      </c>
      <c r="M504" s="55"/>
    </row>
    <row r="505" spans="2:13" x14ac:dyDescent="0.3">
      <c r="B505" s="223">
        <v>44898</v>
      </c>
      <c r="C505" s="224">
        <v>6</v>
      </c>
      <c r="D505" s="225">
        <v>10</v>
      </c>
      <c r="E505" s="226">
        <v>44285</v>
      </c>
      <c r="F505" s="227"/>
      <c r="G505" s="1" t="str">
        <f>IFERROR(IF(ventas_b_mes9[[#This Row],[CUIT]]="","-",VLOOKUP(ventas_b_mes9[[#This Row],[CUIT]],Lista_CUIT[#All],2,0)),"CUIT NO CARGADO")</f>
        <v>-</v>
      </c>
      <c r="H505" s="60">
        <f>ventas_b_mes9[[#This Row],[TOTAL]]/1.21</f>
        <v>5184.3000000000011</v>
      </c>
      <c r="I505" s="228">
        <f>ventas_b_mes9[[#This Row],[IMPORTE NETO]]*0.21</f>
        <v>1088.7030000000002</v>
      </c>
      <c r="J505" s="229"/>
      <c r="K505" s="229"/>
      <c r="L505" s="229">
        <v>6273.0030000000006</v>
      </c>
      <c r="M505" s="55"/>
    </row>
    <row r="506" spans="2:13" x14ac:dyDescent="0.3">
      <c r="B506" s="223">
        <v>44898</v>
      </c>
      <c r="C506" s="224">
        <v>6</v>
      </c>
      <c r="D506" s="225">
        <v>12</v>
      </c>
      <c r="E506" s="226">
        <v>22913</v>
      </c>
      <c r="F506" s="227"/>
      <c r="G506" s="1" t="str">
        <f>IFERROR(IF(ventas_b_mes9[[#This Row],[CUIT]]="","-",VLOOKUP(ventas_b_mes9[[#This Row],[CUIT]],Lista_CUIT[#All],2,0)),"CUIT NO CARGADO")</f>
        <v>-</v>
      </c>
      <c r="H506" s="60">
        <f>ventas_b_mes9[[#This Row],[TOTAL]]/1.21</f>
        <v>6148.78</v>
      </c>
      <c r="I506" s="228">
        <f>ventas_b_mes9[[#This Row],[IMPORTE NETO]]*0.21</f>
        <v>1291.2438</v>
      </c>
      <c r="J506" s="229"/>
      <c r="K506" s="229"/>
      <c r="L506" s="229">
        <v>7440.0237999999999</v>
      </c>
      <c r="M506" s="55"/>
    </row>
    <row r="507" spans="2:13" x14ac:dyDescent="0.3">
      <c r="B507" s="223">
        <v>44898</v>
      </c>
      <c r="C507" s="224">
        <v>6</v>
      </c>
      <c r="D507" s="225">
        <v>12</v>
      </c>
      <c r="E507" s="226">
        <v>22914</v>
      </c>
      <c r="F507" s="227"/>
      <c r="G507" s="1" t="str">
        <f>IFERROR(IF(ventas_b_mes9[[#This Row],[CUIT]]="","-",VLOOKUP(ventas_b_mes9[[#This Row],[CUIT]],Lista_CUIT[#All],2,0)),"CUIT NO CARGADO")</f>
        <v>-</v>
      </c>
      <c r="H507" s="60">
        <f>ventas_b_mes9[[#This Row],[TOTAL]]/1.21</f>
        <v>12066.12</v>
      </c>
      <c r="I507" s="228">
        <f>ventas_b_mes9[[#This Row],[IMPORTE NETO]]*0.21</f>
        <v>2533.8852000000002</v>
      </c>
      <c r="J507" s="229"/>
      <c r="K507" s="229"/>
      <c r="L507" s="229">
        <v>14600.005200000001</v>
      </c>
      <c r="M507" s="55"/>
    </row>
    <row r="508" spans="2:13" x14ac:dyDescent="0.3">
      <c r="B508" s="223">
        <v>44898</v>
      </c>
      <c r="C508" s="224">
        <v>6</v>
      </c>
      <c r="D508" s="225">
        <v>12</v>
      </c>
      <c r="E508" s="226">
        <v>22915</v>
      </c>
      <c r="F508" s="227"/>
      <c r="G508" s="1" t="str">
        <f>IFERROR(IF(ventas_b_mes9[[#This Row],[CUIT]]="","-",VLOOKUP(ventas_b_mes9[[#This Row],[CUIT]],Lista_CUIT[#All],2,0)),"CUIT NO CARGADO")</f>
        <v>-</v>
      </c>
      <c r="H508" s="60">
        <f>ventas_b_mes9[[#This Row],[TOTAL]]/1.21</f>
        <v>7561.98</v>
      </c>
      <c r="I508" s="228">
        <f>ventas_b_mes9[[#This Row],[IMPORTE NETO]]*0.21</f>
        <v>1588.0157999999999</v>
      </c>
      <c r="J508" s="229"/>
      <c r="K508" s="229"/>
      <c r="L508" s="229">
        <v>9149.9957999999988</v>
      </c>
      <c r="M508" s="55"/>
    </row>
    <row r="509" spans="2:13" x14ac:dyDescent="0.3">
      <c r="B509" s="223">
        <v>44898</v>
      </c>
      <c r="C509" s="224">
        <v>6</v>
      </c>
      <c r="D509" s="225">
        <v>12</v>
      </c>
      <c r="E509" s="226">
        <v>22916</v>
      </c>
      <c r="F509" s="227"/>
      <c r="G509" s="1" t="str">
        <f>IFERROR(IF(ventas_b_mes9[[#This Row],[CUIT]]="","-",VLOOKUP(ventas_b_mes9[[#This Row],[CUIT]],Lista_CUIT[#All],2,0)),"CUIT NO CARGADO")</f>
        <v>-</v>
      </c>
      <c r="H509" s="60">
        <f>ventas_b_mes9[[#This Row],[TOTAL]]/1.21</f>
        <v>14256.210000000001</v>
      </c>
      <c r="I509" s="228">
        <f>ventas_b_mes9[[#This Row],[IMPORTE NETO]]*0.21</f>
        <v>2993.8041000000003</v>
      </c>
      <c r="J509" s="229"/>
      <c r="K509" s="229"/>
      <c r="L509" s="229">
        <v>17250.0141</v>
      </c>
      <c r="M509" s="55"/>
    </row>
    <row r="510" spans="2:13" x14ac:dyDescent="0.3">
      <c r="B510" s="223">
        <v>44898</v>
      </c>
      <c r="C510" s="224">
        <v>6</v>
      </c>
      <c r="D510" s="225">
        <v>12</v>
      </c>
      <c r="E510" s="226">
        <v>22917</v>
      </c>
      <c r="F510" s="227"/>
      <c r="G510" s="1" t="str">
        <f>IFERROR(IF(ventas_b_mes9[[#This Row],[CUIT]]="","-",VLOOKUP(ventas_b_mes9[[#This Row],[CUIT]],Lista_CUIT[#All],2,0)),"CUIT NO CARGADO")</f>
        <v>-</v>
      </c>
      <c r="H510" s="60">
        <f>ventas_b_mes9[[#This Row],[TOTAL]]/1.21</f>
        <v>5950.4100000000008</v>
      </c>
      <c r="I510" s="228">
        <f>ventas_b_mes9[[#This Row],[IMPORTE NETO]]*0.21</f>
        <v>1249.5861000000002</v>
      </c>
      <c r="J510" s="229"/>
      <c r="K510" s="229"/>
      <c r="L510" s="229">
        <v>7199.9961000000003</v>
      </c>
      <c r="M510" s="55"/>
    </row>
    <row r="511" spans="2:13" x14ac:dyDescent="0.3">
      <c r="B511" s="223">
        <v>44898</v>
      </c>
      <c r="C511" s="224">
        <v>6</v>
      </c>
      <c r="D511" s="225">
        <v>12</v>
      </c>
      <c r="E511" s="226">
        <v>22918</v>
      </c>
      <c r="F511" s="227"/>
      <c r="G511" s="1" t="str">
        <f>IFERROR(IF(ventas_b_mes9[[#This Row],[CUIT]]="","-",VLOOKUP(ventas_b_mes9[[#This Row],[CUIT]],Lista_CUIT[#All],2,0)),"CUIT NO CARGADO")</f>
        <v>-</v>
      </c>
      <c r="H511" s="60">
        <f>ventas_b_mes9[[#This Row],[TOTAL]]/1.21</f>
        <v>5371.92</v>
      </c>
      <c r="I511" s="228">
        <f>ventas_b_mes9[[#This Row],[IMPORTE NETO]]*0.21</f>
        <v>1128.1032</v>
      </c>
      <c r="J511" s="229"/>
      <c r="K511" s="229"/>
      <c r="L511" s="229">
        <v>6500.0231999999996</v>
      </c>
      <c r="M511" s="55"/>
    </row>
    <row r="512" spans="2:13" x14ac:dyDescent="0.3">
      <c r="B512" s="223">
        <v>44898</v>
      </c>
      <c r="C512" s="224">
        <v>6</v>
      </c>
      <c r="D512" s="225">
        <v>12</v>
      </c>
      <c r="E512" s="226">
        <v>22919</v>
      </c>
      <c r="F512" s="227"/>
      <c r="G512" s="1" t="str">
        <f>IFERROR(IF(ventas_b_mes9[[#This Row],[CUIT]]="","-",VLOOKUP(ventas_b_mes9[[#This Row],[CUIT]],Lista_CUIT[#All],2,0)),"CUIT NO CARGADO")</f>
        <v>-</v>
      </c>
      <c r="H512" s="60">
        <f>ventas_b_mes9[[#This Row],[TOTAL]]/1.21</f>
        <v>2892.56</v>
      </c>
      <c r="I512" s="228">
        <f>ventas_b_mes9[[#This Row],[IMPORTE NETO]]*0.21</f>
        <v>607.43759999999997</v>
      </c>
      <c r="J512" s="229"/>
      <c r="K512" s="229"/>
      <c r="L512" s="229">
        <v>3499.9975999999997</v>
      </c>
      <c r="M512" s="55"/>
    </row>
    <row r="513" spans="2:13" x14ac:dyDescent="0.3">
      <c r="B513" s="223">
        <v>44898</v>
      </c>
      <c r="C513" s="224">
        <v>6</v>
      </c>
      <c r="D513" s="225">
        <v>12</v>
      </c>
      <c r="E513" s="226">
        <v>22920</v>
      </c>
      <c r="F513" s="227"/>
      <c r="G513" s="1" t="str">
        <f>IFERROR(IF(ventas_b_mes9[[#This Row],[CUIT]]="","-",VLOOKUP(ventas_b_mes9[[#This Row],[CUIT]],Lista_CUIT[#All],2,0)),"CUIT NO CARGADO")</f>
        <v>-</v>
      </c>
      <c r="H513" s="60">
        <f>ventas_b_mes9[[#This Row],[TOTAL]]/1.21</f>
        <v>2479.34</v>
      </c>
      <c r="I513" s="228">
        <f>ventas_b_mes9[[#This Row],[IMPORTE NETO]]*0.21</f>
        <v>520.66139999999996</v>
      </c>
      <c r="J513" s="229"/>
      <c r="K513" s="229"/>
      <c r="L513" s="229">
        <v>3000.0014000000001</v>
      </c>
      <c r="M513" s="55"/>
    </row>
    <row r="514" spans="2:13" x14ac:dyDescent="0.3">
      <c r="B514" s="223">
        <v>44898</v>
      </c>
      <c r="C514" s="224">
        <v>6</v>
      </c>
      <c r="D514" s="225">
        <v>11</v>
      </c>
      <c r="E514" s="226">
        <v>30408</v>
      </c>
      <c r="F514" s="227"/>
      <c r="G514" s="1" t="str">
        <f>IFERROR(IF(ventas_b_mes9[[#This Row],[CUIT]]="","-",VLOOKUP(ventas_b_mes9[[#This Row],[CUIT]],Lista_CUIT[#All],2,0)),"CUIT NO CARGADO")</f>
        <v>-</v>
      </c>
      <c r="H514" s="60">
        <f>ventas_b_mes9[[#This Row],[TOTAL]]/1.21</f>
        <v>9090.91</v>
      </c>
      <c r="I514" s="228">
        <f>ventas_b_mes9[[#This Row],[IMPORTE NETO]]*0.21</f>
        <v>1909.0910999999999</v>
      </c>
      <c r="J514" s="229"/>
      <c r="K514" s="229"/>
      <c r="L514" s="229">
        <v>11000.001099999999</v>
      </c>
      <c r="M514" s="55"/>
    </row>
    <row r="515" spans="2:13" x14ac:dyDescent="0.3">
      <c r="B515" s="223">
        <v>44898</v>
      </c>
      <c r="C515" s="224">
        <v>6</v>
      </c>
      <c r="D515" s="225">
        <v>11</v>
      </c>
      <c r="E515" s="226">
        <v>30409</v>
      </c>
      <c r="F515" s="227"/>
      <c r="G515" s="1" t="str">
        <f>IFERROR(IF(ventas_b_mes9[[#This Row],[CUIT]]="","-",VLOOKUP(ventas_b_mes9[[#This Row],[CUIT]],Lista_CUIT[#All],2,0)),"CUIT NO CARGADO")</f>
        <v>-</v>
      </c>
      <c r="H515" s="60">
        <f>ventas_b_mes9[[#This Row],[TOTAL]]/1.21</f>
        <v>2355.37</v>
      </c>
      <c r="I515" s="228">
        <f>ventas_b_mes9[[#This Row],[IMPORTE NETO]]*0.21</f>
        <v>494.62769999999995</v>
      </c>
      <c r="J515" s="229"/>
      <c r="K515" s="229"/>
      <c r="L515" s="229">
        <v>2849.9976999999999</v>
      </c>
      <c r="M515" s="55"/>
    </row>
    <row r="516" spans="2:13" x14ac:dyDescent="0.3">
      <c r="B516" s="223">
        <v>44898</v>
      </c>
      <c r="C516" s="224">
        <v>6</v>
      </c>
      <c r="D516" s="225">
        <v>11</v>
      </c>
      <c r="E516" s="226">
        <v>30410</v>
      </c>
      <c r="F516" s="227"/>
      <c r="G516" s="1" t="str">
        <f>IFERROR(IF(ventas_b_mes9[[#This Row],[CUIT]]="","-",VLOOKUP(ventas_b_mes9[[#This Row],[CUIT]],Lista_CUIT[#All],2,0)),"CUIT NO CARGADO")</f>
        <v>-</v>
      </c>
      <c r="H516" s="60">
        <f>ventas_b_mes9[[#This Row],[TOTAL]]/1.21</f>
        <v>3801.65</v>
      </c>
      <c r="I516" s="228">
        <f>ventas_b_mes9[[#This Row],[IMPORTE NETO]]*0.21</f>
        <v>798.34649999999999</v>
      </c>
      <c r="J516" s="229"/>
      <c r="K516" s="229"/>
      <c r="L516" s="229">
        <v>4599.9965000000002</v>
      </c>
      <c r="M516" s="55"/>
    </row>
    <row r="517" spans="2:13" x14ac:dyDescent="0.3">
      <c r="B517" s="223">
        <v>44898</v>
      </c>
      <c r="C517" s="224">
        <v>6</v>
      </c>
      <c r="D517" s="225">
        <v>11</v>
      </c>
      <c r="E517" s="226">
        <v>30411</v>
      </c>
      <c r="F517" s="227"/>
      <c r="G517" s="1" t="str">
        <f>IFERROR(IF(ventas_b_mes9[[#This Row],[CUIT]]="","-",VLOOKUP(ventas_b_mes9[[#This Row],[CUIT]],Lista_CUIT[#All],2,0)),"CUIT NO CARGADO")</f>
        <v>-</v>
      </c>
      <c r="H517" s="60">
        <f>ventas_b_mes9[[#This Row],[TOTAL]]/1.21</f>
        <v>1884.2999999999997</v>
      </c>
      <c r="I517" s="228">
        <f>ventas_b_mes9[[#This Row],[IMPORTE NETO]]*0.21</f>
        <v>395.70299999999992</v>
      </c>
      <c r="J517" s="229"/>
      <c r="K517" s="229"/>
      <c r="L517" s="229">
        <v>2280.0029999999997</v>
      </c>
      <c r="M517" s="55"/>
    </row>
    <row r="518" spans="2:13" x14ac:dyDescent="0.3">
      <c r="B518" s="223">
        <v>44898</v>
      </c>
      <c r="C518" s="224">
        <v>6</v>
      </c>
      <c r="D518" s="225">
        <v>11</v>
      </c>
      <c r="E518" s="226">
        <v>30412</v>
      </c>
      <c r="F518" s="227"/>
      <c r="G518" s="1" t="str">
        <f>IFERROR(IF(ventas_b_mes9[[#This Row],[CUIT]]="","-",VLOOKUP(ventas_b_mes9[[#This Row],[CUIT]],Lista_CUIT[#All],2,0)),"CUIT NO CARGADO")</f>
        <v>-</v>
      </c>
      <c r="H518" s="60">
        <f>ventas_b_mes9[[#This Row],[TOTAL]]/1.21</f>
        <v>2355.37</v>
      </c>
      <c r="I518" s="228">
        <f>ventas_b_mes9[[#This Row],[IMPORTE NETO]]*0.21</f>
        <v>494.62769999999995</v>
      </c>
      <c r="J518" s="229"/>
      <c r="K518" s="229"/>
      <c r="L518" s="229">
        <v>2849.9976999999999</v>
      </c>
      <c r="M518" s="55"/>
    </row>
    <row r="519" spans="2:13" x14ac:dyDescent="0.3">
      <c r="B519" s="223">
        <v>44898</v>
      </c>
      <c r="C519" s="224">
        <v>6</v>
      </c>
      <c r="D519" s="225">
        <v>11</v>
      </c>
      <c r="E519" s="226">
        <v>30413</v>
      </c>
      <c r="F519" s="227"/>
      <c r="G519" s="1" t="str">
        <f>IFERROR(IF(ventas_b_mes9[[#This Row],[CUIT]]="","-",VLOOKUP(ventas_b_mes9[[#This Row],[CUIT]],Lista_CUIT[#All],2,0)),"CUIT NO CARGADO")</f>
        <v>-</v>
      </c>
      <c r="H519" s="60">
        <f>ventas_b_mes9[[#This Row],[TOTAL]]/1.21</f>
        <v>14545.45</v>
      </c>
      <c r="I519" s="228">
        <f>ventas_b_mes9[[#This Row],[IMPORTE NETO]]*0.21</f>
        <v>3054.5445</v>
      </c>
      <c r="J519" s="229"/>
      <c r="K519" s="229"/>
      <c r="L519" s="229">
        <v>17599.994500000001</v>
      </c>
      <c r="M519" s="55"/>
    </row>
    <row r="520" spans="2:13" x14ac:dyDescent="0.3">
      <c r="B520" s="223">
        <v>44898</v>
      </c>
      <c r="C520" s="224">
        <v>6</v>
      </c>
      <c r="D520" s="225">
        <v>11</v>
      </c>
      <c r="E520" s="226">
        <v>30414</v>
      </c>
      <c r="F520" s="227"/>
      <c r="G520" s="1" t="str">
        <f>IFERROR(IF(ventas_b_mes9[[#This Row],[CUIT]]="","-",VLOOKUP(ventas_b_mes9[[#This Row],[CUIT]],Lista_CUIT[#All],2,0)),"CUIT NO CARGADO")</f>
        <v>-</v>
      </c>
      <c r="H520" s="60">
        <f>ventas_b_mes9[[#This Row],[TOTAL]]/1.21</f>
        <v>4115.7</v>
      </c>
      <c r="I520" s="228">
        <f>ventas_b_mes9[[#This Row],[IMPORTE NETO]]*0.21</f>
        <v>864.29699999999991</v>
      </c>
      <c r="J520" s="229"/>
      <c r="K520" s="229"/>
      <c r="L520" s="229">
        <v>4979.9969999999994</v>
      </c>
      <c r="M520" s="55"/>
    </row>
    <row r="521" spans="2:13" x14ac:dyDescent="0.3">
      <c r="B521" s="223">
        <v>44898</v>
      </c>
      <c r="C521" s="224">
        <v>6</v>
      </c>
      <c r="D521" s="225">
        <v>11</v>
      </c>
      <c r="E521" s="226">
        <v>30415</v>
      </c>
      <c r="F521" s="227"/>
      <c r="G521" s="1" t="str">
        <f>IFERROR(IF(ventas_b_mes9[[#This Row],[CUIT]]="","-",VLOOKUP(ventas_b_mes9[[#This Row],[CUIT]],Lista_CUIT[#All],2,0)),"CUIT NO CARGADO")</f>
        <v>-</v>
      </c>
      <c r="H521" s="60">
        <f>ventas_b_mes9[[#This Row],[TOTAL]]/1.21</f>
        <v>4115.7</v>
      </c>
      <c r="I521" s="228">
        <f>ventas_b_mes9[[#This Row],[IMPORTE NETO]]*0.21</f>
        <v>864.29699999999991</v>
      </c>
      <c r="J521" s="229"/>
      <c r="K521" s="229"/>
      <c r="L521" s="229">
        <v>4979.9969999999994</v>
      </c>
      <c r="M521" s="55"/>
    </row>
    <row r="522" spans="2:13" x14ac:dyDescent="0.3">
      <c r="B522" s="223">
        <v>44898</v>
      </c>
      <c r="C522" s="224">
        <v>6</v>
      </c>
      <c r="D522" s="225">
        <v>11</v>
      </c>
      <c r="E522" s="226">
        <v>30416</v>
      </c>
      <c r="F522" s="227"/>
      <c r="G522" s="1" t="str">
        <f>IFERROR(IF(ventas_b_mes9[[#This Row],[CUIT]]="","-",VLOOKUP(ventas_b_mes9[[#This Row],[CUIT]],Lista_CUIT[#All],2,0)),"CUIT NO CARGADO")</f>
        <v>-</v>
      </c>
      <c r="H522" s="60">
        <f>ventas_b_mes9[[#This Row],[TOTAL]]/1.21</f>
        <v>16454.55</v>
      </c>
      <c r="I522" s="228">
        <f>ventas_b_mes9[[#This Row],[IMPORTE NETO]]*0.21</f>
        <v>3455.4554999999996</v>
      </c>
      <c r="J522" s="229"/>
      <c r="K522" s="229"/>
      <c r="L522" s="229">
        <v>19910.005499999999</v>
      </c>
      <c r="M522" s="55"/>
    </row>
    <row r="523" spans="2:13" x14ac:dyDescent="0.3">
      <c r="B523" s="223">
        <v>44898</v>
      </c>
      <c r="C523" s="224">
        <v>6</v>
      </c>
      <c r="D523" s="225">
        <v>11</v>
      </c>
      <c r="E523" s="226">
        <v>30417</v>
      </c>
      <c r="F523" s="227"/>
      <c r="G523" s="1" t="str">
        <f>IFERROR(IF(ventas_b_mes9[[#This Row],[CUIT]]="","-",VLOOKUP(ventas_b_mes9[[#This Row],[CUIT]],Lista_CUIT[#All],2,0)),"CUIT NO CARGADO")</f>
        <v>-</v>
      </c>
      <c r="H523" s="60">
        <f>ventas_b_mes9[[#This Row],[TOTAL]]/1.21</f>
        <v>4545.45</v>
      </c>
      <c r="I523" s="228">
        <f>ventas_b_mes9[[#This Row],[IMPORTE NETO]]*0.21</f>
        <v>954.54449999999997</v>
      </c>
      <c r="J523" s="229"/>
      <c r="K523" s="229"/>
      <c r="L523" s="229">
        <v>5499.9944999999998</v>
      </c>
      <c r="M523" s="55"/>
    </row>
    <row r="524" spans="2:13" x14ac:dyDescent="0.3">
      <c r="B524" s="223">
        <v>44900</v>
      </c>
      <c r="C524" s="224">
        <v>6</v>
      </c>
      <c r="D524" s="225">
        <v>13</v>
      </c>
      <c r="E524" s="226">
        <v>27022</v>
      </c>
      <c r="F524" s="227"/>
      <c r="G524" s="1" t="str">
        <f>IFERROR(IF(ventas_b_mes9[[#This Row],[CUIT]]="","-",VLOOKUP(ventas_b_mes9[[#This Row],[CUIT]],Lista_CUIT[#All],2,0)),"CUIT NO CARGADO")</f>
        <v>-</v>
      </c>
      <c r="H524" s="60">
        <f>ventas_b_mes9[[#This Row],[TOTAL]]/1.21</f>
        <v>3487.6000000000004</v>
      </c>
      <c r="I524" s="228">
        <f>ventas_b_mes9[[#This Row],[IMPORTE NETO]]*0.21</f>
        <v>732.39600000000007</v>
      </c>
      <c r="J524" s="229"/>
      <c r="K524" s="229"/>
      <c r="L524" s="229">
        <v>4219.9960000000001</v>
      </c>
      <c r="M524" s="55"/>
    </row>
    <row r="525" spans="2:13" x14ac:dyDescent="0.3">
      <c r="B525" s="223">
        <v>44900</v>
      </c>
      <c r="C525" s="224">
        <v>6</v>
      </c>
      <c r="D525" s="225">
        <v>13</v>
      </c>
      <c r="E525" s="226">
        <v>27023</v>
      </c>
      <c r="F525" s="227"/>
      <c r="G525" s="1" t="str">
        <f>IFERROR(IF(ventas_b_mes9[[#This Row],[CUIT]]="","-",VLOOKUP(ventas_b_mes9[[#This Row],[CUIT]],Lista_CUIT[#All],2,0)),"CUIT NO CARGADO")</f>
        <v>-</v>
      </c>
      <c r="H525" s="60">
        <f>ventas_b_mes9[[#This Row],[TOTAL]]/1.21</f>
        <v>4512.3999999999996</v>
      </c>
      <c r="I525" s="228">
        <f>ventas_b_mes9[[#This Row],[IMPORTE NETO]]*0.21</f>
        <v>947.60399999999993</v>
      </c>
      <c r="J525" s="229"/>
      <c r="K525" s="229"/>
      <c r="L525" s="229">
        <v>5460.0039999999999</v>
      </c>
      <c r="M525" s="55"/>
    </row>
    <row r="526" spans="2:13" x14ac:dyDescent="0.3">
      <c r="B526" s="223">
        <v>44900</v>
      </c>
      <c r="C526" s="224">
        <v>6</v>
      </c>
      <c r="D526" s="225">
        <v>13</v>
      </c>
      <c r="E526" s="226">
        <v>27024</v>
      </c>
      <c r="F526" s="227"/>
      <c r="G526" s="1" t="str">
        <f>IFERROR(IF(ventas_b_mes9[[#This Row],[CUIT]]="","-",VLOOKUP(ventas_b_mes9[[#This Row],[CUIT]],Lista_CUIT[#All],2,0)),"CUIT NO CARGADO")</f>
        <v>-</v>
      </c>
      <c r="H526" s="60">
        <f>ventas_b_mes9[[#This Row],[TOTAL]]/1.21</f>
        <v>3034.72</v>
      </c>
      <c r="I526" s="228">
        <f>ventas_b_mes9[[#This Row],[IMPORTE NETO]]*0.21</f>
        <v>637.29119999999989</v>
      </c>
      <c r="J526" s="229"/>
      <c r="K526" s="229"/>
      <c r="L526" s="229">
        <v>3672.0111999999999</v>
      </c>
      <c r="M526" s="55"/>
    </row>
    <row r="527" spans="2:13" x14ac:dyDescent="0.3">
      <c r="B527" s="223">
        <v>44900</v>
      </c>
      <c r="C527" s="224">
        <v>6</v>
      </c>
      <c r="D527" s="225">
        <v>13</v>
      </c>
      <c r="E527" s="226">
        <v>27025</v>
      </c>
      <c r="F527" s="227"/>
      <c r="G527" s="1" t="str">
        <f>IFERROR(IF(ventas_b_mes9[[#This Row],[CUIT]]="","-",VLOOKUP(ventas_b_mes9[[#This Row],[CUIT]],Lista_CUIT[#All],2,0)),"CUIT NO CARGADO")</f>
        <v>-</v>
      </c>
      <c r="H527" s="60">
        <f>ventas_b_mes9[[#This Row],[TOTAL]]/1.21</f>
        <v>7586.7800000000007</v>
      </c>
      <c r="I527" s="228">
        <f>ventas_b_mes9[[#This Row],[IMPORTE NETO]]*0.21</f>
        <v>1593.2238</v>
      </c>
      <c r="J527" s="229"/>
      <c r="K527" s="229"/>
      <c r="L527" s="229">
        <v>9180.0038000000004</v>
      </c>
      <c r="M527" s="55"/>
    </row>
    <row r="528" spans="2:13" x14ac:dyDescent="0.3">
      <c r="B528" s="223">
        <v>44900</v>
      </c>
      <c r="C528" s="224">
        <v>6</v>
      </c>
      <c r="D528" s="225">
        <v>13</v>
      </c>
      <c r="E528" s="226">
        <v>27026</v>
      </c>
      <c r="F528" s="227"/>
      <c r="G528" s="1" t="str">
        <f>IFERROR(IF(ventas_b_mes9[[#This Row],[CUIT]]="","-",VLOOKUP(ventas_b_mes9[[#This Row],[CUIT]],Lista_CUIT[#All],2,0)),"CUIT NO CARGADO")</f>
        <v>-</v>
      </c>
      <c r="H528" s="60">
        <f>ventas_b_mes9[[#This Row],[TOTAL]]/1.21</f>
        <v>5603.31</v>
      </c>
      <c r="I528" s="228">
        <f>ventas_b_mes9[[#This Row],[IMPORTE NETO]]*0.21</f>
        <v>1176.6951000000001</v>
      </c>
      <c r="J528" s="229"/>
      <c r="K528" s="229"/>
      <c r="L528" s="229">
        <v>6780.0051000000003</v>
      </c>
      <c r="M528" s="55"/>
    </row>
    <row r="529" spans="2:13" x14ac:dyDescent="0.3">
      <c r="B529" s="223">
        <v>44900</v>
      </c>
      <c r="C529" s="224">
        <v>6</v>
      </c>
      <c r="D529" s="225">
        <v>13</v>
      </c>
      <c r="E529" s="226">
        <v>27027</v>
      </c>
      <c r="F529" s="227"/>
      <c r="G529" s="1" t="str">
        <f>IFERROR(IF(ventas_b_mes9[[#This Row],[CUIT]]="","-",VLOOKUP(ventas_b_mes9[[#This Row],[CUIT]],Lista_CUIT[#All],2,0)),"CUIT NO CARGADO")</f>
        <v>-</v>
      </c>
      <c r="H529" s="60">
        <f>ventas_b_mes9[[#This Row],[TOTAL]]/1.21</f>
        <v>1636.36</v>
      </c>
      <c r="I529" s="228">
        <f>ventas_b_mes9[[#This Row],[IMPORTE NETO]]*0.21</f>
        <v>343.63559999999995</v>
      </c>
      <c r="J529" s="229"/>
      <c r="K529" s="229"/>
      <c r="L529" s="229">
        <v>1979.9955999999997</v>
      </c>
      <c r="M529" s="55"/>
    </row>
    <row r="530" spans="2:13" x14ac:dyDescent="0.3">
      <c r="B530" s="223">
        <v>44900</v>
      </c>
      <c r="C530" s="224">
        <v>6</v>
      </c>
      <c r="D530" s="225">
        <v>13</v>
      </c>
      <c r="E530" s="226">
        <v>27028</v>
      </c>
      <c r="F530" s="227"/>
      <c r="G530" s="1" t="str">
        <f>IFERROR(IF(ventas_b_mes9[[#This Row],[CUIT]]="","-",VLOOKUP(ventas_b_mes9[[#This Row],[CUIT]],Lista_CUIT[#All],2,0)),"CUIT NO CARGADO")</f>
        <v>-</v>
      </c>
      <c r="H530" s="60">
        <f>ventas_b_mes9[[#This Row],[TOTAL]]/1.21</f>
        <v>19481.009999999998</v>
      </c>
      <c r="I530" s="228">
        <f>ventas_b_mes9[[#This Row],[IMPORTE NETO]]*0.21</f>
        <v>4091.0120999999995</v>
      </c>
      <c r="J530" s="229"/>
      <c r="K530" s="229"/>
      <c r="L530" s="229">
        <v>23572.022099999998</v>
      </c>
      <c r="M530" s="55"/>
    </row>
    <row r="531" spans="2:13" x14ac:dyDescent="0.3">
      <c r="B531" s="223">
        <v>44900</v>
      </c>
      <c r="C531" s="224">
        <v>6</v>
      </c>
      <c r="D531" s="225">
        <v>13</v>
      </c>
      <c r="E531" s="226">
        <v>27029</v>
      </c>
      <c r="F531" s="227"/>
      <c r="G531" s="1" t="str">
        <f>IFERROR(IF(ventas_b_mes9[[#This Row],[CUIT]]="","-",VLOOKUP(ventas_b_mes9[[#This Row],[CUIT]],Lista_CUIT[#All],2,0)),"CUIT NO CARGADO")</f>
        <v>-</v>
      </c>
      <c r="H531" s="60">
        <f>ventas_b_mes9[[#This Row],[TOTAL]]/1.21</f>
        <v>7279.3400000000011</v>
      </c>
      <c r="I531" s="228">
        <f>ventas_b_mes9[[#This Row],[IMPORTE NETO]]*0.21</f>
        <v>1528.6614000000002</v>
      </c>
      <c r="J531" s="229"/>
      <c r="K531" s="229"/>
      <c r="L531" s="229">
        <v>8808.001400000001</v>
      </c>
      <c r="M531" s="55"/>
    </row>
    <row r="532" spans="2:13" x14ac:dyDescent="0.3">
      <c r="B532" s="223">
        <v>44900</v>
      </c>
      <c r="C532" s="224">
        <v>6</v>
      </c>
      <c r="D532" s="225">
        <v>15</v>
      </c>
      <c r="E532" s="226">
        <v>7396</v>
      </c>
      <c r="F532" s="227"/>
      <c r="G532" s="1" t="str">
        <f>IFERROR(IF(ventas_b_mes9[[#This Row],[CUIT]]="","-",VLOOKUP(ventas_b_mes9[[#This Row],[CUIT]],Lista_CUIT[#All],2,0)),"CUIT NO CARGADO")</f>
        <v>-</v>
      </c>
      <c r="H532" s="60">
        <f>ventas_b_mes9[[#This Row],[TOTAL]]/1.21</f>
        <v>17772.75</v>
      </c>
      <c r="I532" s="228">
        <f>ventas_b_mes9[[#This Row],[IMPORTE NETO]]*0.21</f>
        <v>3732.2774999999997</v>
      </c>
      <c r="J532" s="229"/>
      <c r="K532" s="229"/>
      <c r="L532" s="229">
        <v>21505.0275</v>
      </c>
      <c r="M532" s="55"/>
    </row>
    <row r="533" spans="2:13" x14ac:dyDescent="0.3">
      <c r="B533" s="223">
        <v>44900</v>
      </c>
      <c r="C533" s="224">
        <v>6</v>
      </c>
      <c r="D533" s="225">
        <v>15</v>
      </c>
      <c r="E533" s="226">
        <v>7397</v>
      </c>
      <c r="F533" s="227"/>
      <c r="G533" s="1" t="str">
        <f>IFERROR(IF(ventas_b_mes9[[#This Row],[CUIT]]="","-",VLOOKUP(ventas_b_mes9[[#This Row],[CUIT]],Lista_CUIT[#All],2,0)),"CUIT NO CARGADO")</f>
        <v>-</v>
      </c>
      <c r="H533" s="60">
        <f>ventas_b_mes9[[#This Row],[TOTAL]]/1.21</f>
        <v>3778.5100000000007</v>
      </c>
      <c r="I533" s="228">
        <f>ventas_b_mes9[[#This Row],[IMPORTE NETO]]*0.21</f>
        <v>793.48710000000017</v>
      </c>
      <c r="J533" s="229"/>
      <c r="K533" s="229"/>
      <c r="L533" s="229">
        <v>4571.9971000000005</v>
      </c>
      <c r="M533" s="55"/>
    </row>
    <row r="534" spans="2:13" x14ac:dyDescent="0.3">
      <c r="B534" s="223">
        <v>44900</v>
      </c>
      <c r="C534" s="224">
        <v>6</v>
      </c>
      <c r="D534" s="225">
        <v>15</v>
      </c>
      <c r="E534" s="226">
        <v>7398</v>
      </c>
      <c r="F534" s="227"/>
      <c r="G534" s="1" t="str">
        <f>IFERROR(IF(ventas_b_mes9[[#This Row],[CUIT]]="","-",VLOOKUP(ventas_b_mes9[[#This Row],[CUIT]],Lista_CUIT[#All],2,0)),"CUIT NO CARGADO")</f>
        <v>-</v>
      </c>
      <c r="H534" s="60">
        <f>ventas_b_mes9[[#This Row],[TOTAL]]/1.21</f>
        <v>3510.74</v>
      </c>
      <c r="I534" s="228">
        <f>ventas_b_mes9[[#This Row],[IMPORTE NETO]]*0.21</f>
        <v>737.2553999999999</v>
      </c>
      <c r="J534" s="229"/>
      <c r="K534" s="229"/>
      <c r="L534" s="229">
        <v>4247.9953999999998</v>
      </c>
      <c r="M534" s="55"/>
    </row>
    <row r="535" spans="2:13" x14ac:dyDescent="0.3">
      <c r="B535" s="223">
        <v>44900</v>
      </c>
      <c r="C535" s="224">
        <v>6</v>
      </c>
      <c r="D535" s="225">
        <v>15</v>
      </c>
      <c r="E535" s="226">
        <v>7399</v>
      </c>
      <c r="F535" s="227"/>
      <c r="G535" s="1" t="str">
        <f>IFERROR(IF(ventas_b_mes9[[#This Row],[CUIT]]="","-",VLOOKUP(ventas_b_mes9[[#This Row],[CUIT]],Lista_CUIT[#All],2,0)),"CUIT NO CARGADO")</f>
        <v>-</v>
      </c>
      <c r="H535" s="60">
        <f>ventas_b_mes9[[#This Row],[TOTAL]]/1.21</f>
        <v>2578.5100000000007</v>
      </c>
      <c r="I535" s="228">
        <f>ventas_b_mes9[[#This Row],[IMPORTE NETO]]*0.21</f>
        <v>541.48710000000017</v>
      </c>
      <c r="J535" s="229"/>
      <c r="K535" s="229"/>
      <c r="L535" s="229">
        <v>3119.9971000000005</v>
      </c>
      <c r="M535" s="55"/>
    </row>
    <row r="536" spans="2:13" x14ac:dyDescent="0.3">
      <c r="B536" s="223">
        <v>44900</v>
      </c>
      <c r="C536" s="224">
        <v>6</v>
      </c>
      <c r="D536" s="225">
        <v>15</v>
      </c>
      <c r="E536" s="226">
        <v>7400</v>
      </c>
      <c r="F536" s="227"/>
      <c r="G536" s="1" t="str">
        <f>IFERROR(IF(ventas_b_mes9[[#This Row],[CUIT]]="","-",VLOOKUP(ventas_b_mes9[[#This Row],[CUIT]],Lista_CUIT[#All],2,0)),"CUIT NO CARGADO")</f>
        <v>-</v>
      </c>
      <c r="H536" s="60">
        <f>ventas_b_mes9[[#This Row],[TOTAL]]/1.21</f>
        <v>11280.99</v>
      </c>
      <c r="I536" s="228">
        <f>ventas_b_mes9[[#This Row],[IMPORTE NETO]]*0.21</f>
        <v>2369.0079000000001</v>
      </c>
      <c r="J536" s="229"/>
      <c r="K536" s="229"/>
      <c r="L536" s="229">
        <v>13649.9979</v>
      </c>
      <c r="M536" s="55"/>
    </row>
    <row r="537" spans="2:13" x14ac:dyDescent="0.3">
      <c r="B537" s="223">
        <v>44900</v>
      </c>
      <c r="C537" s="224">
        <v>6</v>
      </c>
      <c r="D537" s="225">
        <v>15</v>
      </c>
      <c r="E537" s="226">
        <v>7401</v>
      </c>
      <c r="F537" s="227"/>
      <c r="G537" s="1" t="str">
        <f>IFERROR(IF(ventas_b_mes9[[#This Row],[CUIT]]="","-",VLOOKUP(ventas_b_mes9[[#This Row],[CUIT]],Lista_CUIT[#All],2,0)),"CUIT NO CARGADO")</f>
        <v>-</v>
      </c>
      <c r="H537" s="60">
        <f>ventas_b_mes9[[#This Row],[TOTAL]]/1.21</f>
        <v>4958.68</v>
      </c>
      <c r="I537" s="228">
        <f>ventas_b_mes9[[#This Row],[IMPORTE NETO]]*0.21</f>
        <v>1041.3227999999999</v>
      </c>
      <c r="J537" s="229"/>
      <c r="K537" s="229"/>
      <c r="L537" s="229">
        <v>6000.0028000000002</v>
      </c>
      <c r="M537" s="55"/>
    </row>
    <row r="538" spans="2:13" x14ac:dyDescent="0.3">
      <c r="B538" s="223">
        <v>44900</v>
      </c>
      <c r="C538" s="224">
        <v>6</v>
      </c>
      <c r="D538" s="225">
        <v>15</v>
      </c>
      <c r="E538" s="226">
        <v>7402</v>
      </c>
      <c r="F538" s="227"/>
      <c r="G538" s="1" t="str">
        <f>IFERROR(IF(ventas_b_mes9[[#This Row],[CUIT]]="","-",VLOOKUP(ventas_b_mes9[[#This Row],[CUIT]],Lista_CUIT[#All],2,0)),"CUIT NO CARGADO")</f>
        <v>-</v>
      </c>
      <c r="H538" s="60">
        <f>ventas_b_mes9[[#This Row],[TOTAL]]/1.21</f>
        <v>1905.7900000000002</v>
      </c>
      <c r="I538" s="228">
        <f>ventas_b_mes9[[#This Row],[IMPORTE NETO]]*0.21</f>
        <v>400.21590000000003</v>
      </c>
      <c r="J538" s="229"/>
      <c r="K538" s="229"/>
      <c r="L538" s="229">
        <v>2306.0059000000001</v>
      </c>
      <c r="M538" s="55"/>
    </row>
    <row r="539" spans="2:13" x14ac:dyDescent="0.3">
      <c r="B539" s="223">
        <v>44900</v>
      </c>
      <c r="C539" s="224">
        <v>6</v>
      </c>
      <c r="D539" s="225">
        <v>10</v>
      </c>
      <c r="E539" s="226">
        <v>44286</v>
      </c>
      <c r="F539" s="227"/>
      <c r="G539" s="1" t="str">
        <f>IFERROR(IF(ventas_b_mes9[[#This Row],[CUIT]]="","-",VLOOKUP(ventas_b_mes9[[#This Row],[CUIT]],Lista_CUIT[#All],2,0)),"CUIT NO CARGADO")</f>
        <v>-</v>
      </c>
      <c r="H539" s="60">
        <f>ventas_b_mes9[[#This Row],[TOTAL]]/1.21</f>
        <v>2148.7600000000002</v>
      </c>
      <c r="I539" s="228">
        <f>ventas_b_mes9[[#This Row],[IMPORTE NETO]]*0.21</f>
        <v>451.23960000000005</v>
      </c>
      <c r="J539" s="229"/>
      <c r="K539" s="229"/>
      <c r="L539" s="229">
        <v>2599.9996000000001</v>
      </c>
      <c r="M539" s="55"/>
    </row>
    <row r="540" spans="2:13" x14ac:dyDescent="0.3">
      <c r="B540" s="223">
        <v>44900</v>
      </c>
      <c r="C540" s="224">
        <v>6</v>
      </c>
      <c r="D540" s="225">
        <v>10</v>
      </c>
      <c r="E540" s="226">
        <v>44287</v>
      </c>
      <c r="F540" s="227"/>
      <c r="G540" s="1" t="str">
        <f>IFERROR(IF(ventas_b_mes9[[#This Row],[CUIT]]="","-",VLOOKUP(ventas_b_mes9[[#This Row],[CUIT]],Lista_CUIT[#All],2,0)),"CUIT NO CARGADO")</f>
        <v>-</v>
      </c>
      <c r="H540" s="60">
        <f>ventas_b_mes9[[#This Row],[TOTAL]]/1.21</f>
        <v>4958.68</v>
      </c>
      <c r="I540" s="228">
        <f>ventas_b_mes9[[#This Row],[IMPORTE NETO]]*0.21</f>
        <v>1041.3227999999999</v>
      </c>
      <c r="J540" s="229"/>
      <c r="K540" s="229"/>
      <c r="L540" s="229">
        <v>6000.0028000000002</v>
      </c>
      <c r="M540" s="55"/>
    </row>
    <row r="541" spans="2:13" x14ac:dyDescent="0.3">
      <c r="B541" s="223">
        <v>44900</v>
      </c>
      <c r="C541" s="224">
        <v>6</v>
      </c>
      <c r="D541" s="225">
        <v>10</v>
      </c>
      <c r="E541" s="226">
        <v>44288</v>
      </c>
      <c r="F541" s="227"/>
      <c r="G541" s="1" t="str">
        <f>IFERROR(IF(ventas_b_mes9[[#This Row],[CUIT]]="","-",VLOOKUP(ventas_b_mes9[[#This Row],[CUIT]],Lista_CUIT[#All],2,0)),"CUIT NO CARGADO")</f>
        <v>-</v>
      </c>
      <c r="H541" s="60">
        <f>ventas_b_mes9[[#This Row],[TOTAL]]/1.21</f>
        <v>7338.84</v>
      </c>
      <c r="I541" s="228">
        <f>ventas_b_mes9[[#This Row],[IMPORTE NETO]]*0.21</f>
        <v>1541.1564000000001</v>
      </c>
      <c r="J541" s="229"/>
      <c r="K541" s="229"/>
      <c r="L541" s="229">
        <v>8879.9964</v>
      </c>
      <c r="M541" s="55"/>
    </row>
    <row r="542" spans="2:13" x14ac:dyDescent="0.3">
      <c r="B542" s="223">
        <v>44900</v>
      </c>
      <c r="C542" s="224">
        <v>6</v>
      </c>
      <c r="D542" s="225">
        <v>10</v>
      </c>
      <c r="E542" s="226">
        <v>44289</v>
      </c>
      <c r="F542" s="227"/>
      <c r="G542" s="1" t="str">
        <f>IFERROR(IF(ventas_b_mes9[[#This Row],[CUIT]]="","-",VLOOKUP(ventas_b_mes9[[#This Row],[CUIT]],Lista_CUIT[#All],2,0)),"CUIT NO CARGADO")</f>
        <v>-</v>
      </c>
      <c r="H542" s="60">
        <f>ventas_b_mes9[[#This Row],[TOTAL]]/1.21</f>
        <v>2148.7600000000002</v>
      </c>
      <c r="I542" s="228">
        <f>ventas_b_mes9[[#This Row],[IMPORTE NETO]]*0.21</f>
        <v>451.23960000000005</v>
      </c>
      <c r="J542" s="229"/>
      <c r="K542" s="229"/>
      <c r="L542" s="229">
        <v>2599.9996000000001</v>
      </c>
      <c r="M542" s="55"/>
    </row>
    <row r="543" spans="2:13" x14ac:dyDescent="0.3">
      <c r="B543" s="223">
        <v>44900</v>
      </c>
      <c r="C543" s="224">
        <v>6</v>
      </c>
      <c r="D543" s="225">
        <v>10</v>
      </c>
      <c r="E543" s="226">
        <v>44290</v>
      </c>
      <c r="F543" s="227"/>
      <c r="G543" s="1" t="str">
        <f>IFERROR(IF(ventas_b_mes9[[#This Row],[CUIT]]="","-",VLOOKUP(ventas_b_mes9[[#This Row],[CUIT]],Lista_CUIT[#All],2,0)),"CUIT NO CARGADO")</f>
        <v>-</v>
      </c>
      <c r="H543" s="60">
        <f>ventas_b_mes9[[#This Row],[TOTAL]]/1.21</f>
        <v>2148.7600000000002</v>
      </c>
      <c r="I543" s="228">
        <f>ventas_b_mes9[[#This Row],[IMPORTE NETO]]*0.21</f>
        <v>451.23960000000005</v>
      </c>
      <c r="J543" s="229"/>
      <c r="K543" s="229"/>
      <c r="L543" s="229">
        <v>2599.9996000000001</v>
      </c>
      <c r="M543" s="55"/>
    </row>
    <row r="544" spans="2:13" x14ac:dyDescent="0.3">
      <c r="B544" s="223">
        <v>44900</v>
      </c>
      <c r="C544" s="224">
        <v>6</v>
      </c>
      <c r="D544" s="225">
        <v>10</v>
      </c>
      <c r="E544" s="226">
        <v>44291</v>
      </c>
      <c r="F544" s="227"/>
      <c r="G544" s="1" t="str">
        <f>IFERROR(IF(ventas_b_mes9[[#This Row],[CUIT]]="","-",VLOOKUP(ventas_b_mes9[[#This Row],[CUIT]],Lista_CUIT[#All],2,0)),"CUIT NO CARGADO")</f>
        <v>-</v>
      </c>
      <c r="H544" s="60">
        <f>ventas_b_mes9[[#This Row],[TOTAL]]/1.21</f>
        <v>2148.7600000000002</v>
      </c>
      <c r="I544" s="228">
        <f>ventas_b_mes9[[#This Row],[IMPORTE NETO]]*0.21</f>
        <v>451.23960000000005</v>
      </c>
      <c r="J544" s="229"/>
      <c r="K544" s="229"/>
      <c r="L544" s="229">
        <v>2599.9996000000001</v>
      </c>
      <c r="M544" s="55"/>
    </row>
    <row r="545" spans="2:13" x14ac:dyDescent="0.3">
      <c r="B545" s="223">
        <v>44900</v>
      </c>
      <c r="C545" s="224">
        <v>6</v>
      </c>
      <c r="D545" s="225">
        <v>10</v>
      </c>
      <c r="E545" s="226">
        <v>44292</v>
      </c>
      <c r="F545" s="227"/>
      <c r="G545" s="1" t="str">
        <f>IFERROR(IF(ventas_b_mes9[[#This Row],[CUIT]]="","-",VLOOKUP(ventas_b_mes9[[#This Row],[CUIT]],Lista_CUIT[#All],2,0)),"CUIT NO CARGADO")</f>
        <v>-</v>
      </c>
      <c r="H545" s="60">
        <f>ventas_b_mes9[[#This Row],[TOTAL]]/1.21</f>
        <v>3570.25</v>
      </c>
      <c r="I545" s="228">
        <f>ventas_b_mes9[[#This Row],[IMPORTE NETO]]*0.21</f>
        <v>749.75249999999994</v>
      </c>
      <c r="J545" s="229"/>
      <c r="K545" s="229"/>
      <c r="L545" s="229">
        <v>4320.0024999999996</v>
      </c>
      <c r="M545" s="55"/>
    </row>
    <row r="546" spans="2:13" x14ac:dyDescent="0.3">
      <c r="B546" s="223">
        <v>44900</v>
      </c>
      <c r="C546" s="224">
        <v>6</v>
      </c>
      <c r="D546" s="225">
        <v>10</v>
      </c>
      <c r="E546" s="226">
        <v>44293</v>
      </c>
      <c r="F546" s="227"/>
      <c r="G546" s="1" t="str">
        <f>IFERROR(IF(ventas_b_mes9[[#This Row],[CUIT]]="","-",VLOOKUP(ventas_b_mes9[[#This Row],[CUIT]],Lista_CUIT[#All],2,0)),"CUIT NO CARGADO")</f>
        <v>-</v>
      </c>
      <c r="H546" s="60">
        <f>ventas_b_mes9[[#This Row],[TOTAL]]/1.21</f>
        <v>20072.73</v>
      </c>
      <c r="I546" s="228">
        <f>ventas_b_mes9[[#This Row],[IMPORTE NETO]]*0.21</f>
        <v>4215.2732999999998</v>
      </c>
      <c r="J546" s="229"/>
      <c r="K546" s="229"/>
      <c r="L546" s="229">
        <v>24288.0033</v>
      </c>
      <c r="M546" s="55"/>
    </row>
    <row r="547" spans="2:13" x14ac:dyDescent="0.3">
      <c r="B547" s="223">
        <v>44900</v>
      </c>
      <c r="C547" s="224">
        <v>6</v>
      </c>
      <c r="D547" s="225">
        <v>10</v>
      </c>
      <c r="E547" s="226">
        <v>44294</v>
      </c>
      <c r="F547" s="227"/>
      <c r="G547" s="1" t="str">
        <f>IFERROR(IF(ventas_b_mes9[[#This Row],[CUIT]]="","-",VLOOKUP(ventas_b_mes9[[#This Row],[CUIT]],Lista_CUIT[#All],2,0)),"CUIT NO CARGADO")</f>
        <v>-</v>
      </c>
      <c r="H547" s="60">
        <f>ventas_b_mes9[[#This Row],[TOTAL]]/1.21</f>
        <v>45064.46</v>
      </c>
      <c r="I547" s="228">
        <f>ventas_b_mes9[[#This Row],[IMPORTE NETO]]*0.21</f>
        <v>9463.5365999999995</v>
      </c>
      <c r="J547" s="229"/>
      <c r="K547" s="229"/>
      <c r="L547" s="229">
        <v>54527.996599999999</v>
      </c>
      <c r="M547" s="55"/>
    </row>
    <row r="548" spans="2:13" x14ac:dyDescent="0.3">
      <c r="B548" s="223">
        <v>44900</v>
      </c>
      <c r="C548" s="224">
        <v>6</v>
      </c>
      <c r="D548" s="225">
        <v>10</v>
      </c>
      <c r="E548" s="226">
        <v>44295</v>
      </c>
      <c r="F548" s="227"/>
      <c r="G548" s="1" t="str">
        <f>IFERROR(IF(ventas_b_mes9[[#This Row],[CUIT]]="","-",VLOOKUP(ventas_b_mes9[[#This Row],[CUIT]],Lista_CUIT[#All],2,0)),"CUIT NO CARGADO")</f>
        <v>-</v>
      </c>
      <c r="H548" s="60">
        <f>ventas_b_mes9[[#This Row],[TOTAL]]/1.21</f>
        <v>9173.5499999999993</v>
      </c>
      <c r="I548" s="228">
        <f>ventas_b_mes9[[#This Row],[IMPORTE NETO]]*0.21</f>
        <v>1926.4454999999998</v>
      </c>
      <c r="J548" s="229"/>
      <c r="K548" s="229"/>
      <c r="L548" s="229">
        <v>11099.995499999999</v>
      </c>
      <c r="M548" s="55"/>
    </row>
    <row r="549" spans="2:13" x14ac:dyDescent="0.3">
      <c r="B549" s="223">
        <v>44900</v>
      </c>
      <c r="C549" s="224">
        <v>6</v>
      </c>
      <c r="D549" s="225">
        <v>10</v>
      </c>
      <c r="E549" s="226">
        <v>44296</v>
      </c>
      <c r="F549" s="227"/>
      <c r="G549" s="1" t="str">
        <f>IFERROR(IF(ventas_b_mes9[[#This Row],[CUIT]]="","-",VLOOKUP(ventas_b_mes9[[#This Row],[CUIT]],Lista_CUIT[#All],2,0)),"CUIT NO CARGADO")</f>
        <v>-</v>
      </c>
      <c r="H549" s="60">
        <f>ventas_b_mes9[[#This Row],[TOTAL]]/1.21</f>
        <v>4958.68</v>
      </c>
      <c r="I549" s="228">
        <f>ventas_b_mes9[[#This Row],[IMPORTE NETO]]*0.21</f>
        <v>1041.3227999999999</v>
      </c>
      <c r="J549" s="229"/>
      <c r="K549" s="229"/>
      <c r="L549" s="229">
        <v>6000.0028000000002</v>
      </c>
      <c r="M549" s="55"/>
    </row>
    <row r="550" spans="2:13" x14ac:dyDescent="0.3">
      <c r="B550" s="223">
        <v>44900</v>
      </c>
      <c r="C550" s="224">
        <v>6</v>
      </c>
      <c r="D550" s="225">
        <v>10</v>
      </c>
      <c r="E550" s="226">
        <v>44297</v>
      </c>
      <c r="F550" s="227"/>
      <c r="G550" s="1" t="str">
        <f>IFERROR(IF(ventas_b_mes9[[#This Row],[CUIT]]="","-",VLOOKUP(ventas_b_mes9[[#This Row],[CUIT]],Lista_CUIT[#All],2,0)),"CUIT NO CARGADO")</f>
        <v>-</v>
      </c>
      <c r="H550" s="60">
        <f>ventas_b_mes9[[#This Row],[TOTAL]]/1.21</f>
        <v>1652.89</v>
      </c>
      <c r="I550" s="228">
        <f>ventas_b_mes9[[#This Row],[IMPORTE NETO]]*0.21</f>
        <v>347.1069</v>
      </c>
      <c r="J550" s="229"/>
      <c r="K550" s="229"/>
      <c r="L550" s="229">
        <v>1999.9969000000001</v>
      </c>
      <c r="M550" s="55"/>
    </row>
    <row r="551" spans="2:13" x14ac:dyDescent="0.3">
      <c r="B551" s="223">
        <v>44900</v>
      </c>
      <c r="C551" s="224">
        <v>6</v>
      </c>
      <c r="D551" s="225">
        <v>10</v>
      </c>
      <c r="E551" s="226">
        <v>44298</v>
      </c>
      <c r="F551" s="227"/>
      <c r="G551" s="1" t="str">
        <f>IFERROR(IF(ventas_b_mes9[[#This Row],[CUIT]]="","-",VLOOKUP(ventas_b_mes9[[#This Row],[CUIT]],Lista_CUIT[#All],2,0)),"CUIT NO CARGADO")</f>
        <v>-</v>
      </c>
      <c r="H551" s="60">
        <f>ventas_b_mes9[[#This Row],[TOTAL]]/1.21</f>
        <v>2479.34</v>
      </c>
      <c r="I551" s="228">
        <f>ventas_b_mes9[[#This Row],[IMPORTE NETO]]*0.21</f>
        <v>520.66139999999996</v>
      </c>
      <c r="J551" s="229"/>
      <c r="K551" s="229"/>
      <c r="L551" s="229">
        <v>3000.0014000000001</v>
      </c>
      <c r="M551" s="55"/>
    </row>
    <row r="552" spans="2:13" x14ac:dyDescent="0.3">
      <c r="B552" s="223">
        <v>44900</v>
      </c>
      <c r="C552" s="224">
        <v>6</v>
      </c>
      <c r="D552" s="225">
        <v>10</v>
      </c>
      <c r="E552" s="226">
        <v>44299</v>
      </c>
      <c r="F552" s="227"/>
      <c r="G552" s="1" t="str">
        <f>IFERROR(IF(ventas_b_mes9[[#This Row],[CUIT]]="","-",VLOOKUP(ventas_b_mes9[[#This Row],[CUIT]],Lista_CUIT[#All],2,0)),"CUIT NO CARGADO")</f>
        <v>-</v>
      </c>
      <c r="H552" s="60">
        <f>ventas_b_mes9[[#This Row],[TOTAL]]/1.21</f>
        <v>4958.68</v>
      </c>
      <c r="I552" s="228">
        <f>ventas_b_mes9[[#This Row],[IMPORTE NETO]]*0.21</f>
        <v>1041.3227999999999</v>
      </c>
      <c r="J552" s="229"/>
      <c r="K552" s="229"/>
      <c r="L552" s="229">
        <v>6000.0028000000002</v>
      </c>
      <c r="M552" s="55"/>
    </row>
    <row r="553" spans="2:13" x14ac:dyDescent="0.3">
      <c r="B553" s="223">
        <v>44900</v>
      </c>
      <c r="C553" s="224">
        <v>6</v>
      </c>
      <c r="D553" s="225">
        <v>10</v>
      </c>
      <c r="E553" s="226">
        <v>44300</v>
      </c>
      <c r="F553" s="227"/>
      <c r="G553" s="1" t="str">
        <f>IFERROR(IF(ventas_b_mes9[[#This Row],[CUIT]]="","-",VLOOKUP(ventas_b_mes9[[#This Row],[CUIT]],Lista_CUIT[#All],2,0)),"CUIT NO CARGADO")</f>
        <v>-</v>
      </c>
      <c r="H553" s="60">
        <f>ventas_b_mes9[[#This Row],[TOTAL]]/1.21</f>
        <v>2148.7600000000002</v>
      </c>
      <c r="I553" s="228">
        <f>ventas_b_mes9[[#This Row],[IMPORTE NETO]]*0.21</f>
        <v>451.23960000000005</v>
      </c>
      <c r="J553" s="229"/>
      <c r="K553" s="229"/>
      <c r="L553" s="229">
        <v>2599.9996000000001</v>
      </c>
      <c r="M553" s="55"/>
    </row>
    <row r="554" spans="2:13" x14ac:dyDescent="0.3">
      <c r="B554" s="223">
        <v>44900</v>
      </c>
      <c r="C554" s="224">
        <v>6</v>
      </c>
      <c r="D554" s="225">
        <v>10</v>
      </c>
      <c r="E554" s="226">
        <v>44301</v>
      </c>
      <c r="F554" s="227"/>
      <c r="G554" s="1" t="str">
        <f>IFERROR(IF(ventas_b_mes9[[#This Row],[CUIT]]="","-",VLOOKUP(ventas_b_mes9[[#This Row],[CUIT]],Lista_CUIT[#All],2,0)),"CUIT NO CARGADO")</f>
        <v>-</v>
      </c>
      <c r="H554" s="60">
        <f>ventas_b_mes9[[#This Row],[TOTAL]]/1.21</f>
        <v>4958.68</v>
      </c>
      <c r="I554" s="228">
        <f>ventas_b_mes9[[#This Row],[IMPORTE NETO]]*0.21</f>
        <v>1041.3227999999999</v>
      </c>
      <c r="J554" s="229"/>
      <c r="K554" s="229"/>
      <c r="L554" s="229">
        <v>6000.0028000000002</v>
      </c>
      <c r="M554" s="55"/>
    </row>
    <row r="555" spans="2:13" x14ac:dyDescent="0.3">
      <c r="B555" s="223">
        <v>44900</v>
      </c>
      <c r="C555" s="224">
        <v>6</v>
      </c>
      <c r="D555" s="225">
        <v>10</v>
      </c>
      <c r="E555" s="226">
        <v>44302</v>
      </c>
      <c r="F555" s="227"/>
      <c r="G555" s="1" t="str">
        <f>IFERROR(IF(ventas_b_mes9[[#This Row],[CUIT]]="","-",VLOOKUP(ventas_b_mes9[[#This Row],[CUIT]],Lista_CUIT[#All],2,0)),"CUIT NO CARGADO")</f>
        <v>-</v>
      </c>
      <c r="H555" s="60">
        <f>ventas_b_mes9[[#This Row],[TOTAL]]/1.21</f>
        <v>4958.68</v>
      </c>
      <c r="I555" s="228">
        <f>ventas_b_mes9[[#This Row],[IMPORTE NETO]]*0.21</f>
        <v>1041.3227999999999</v>
      </c>
      <c r="J555" s="229"/>
      <c r="K555" s="229"/>
      <c r="L555" s="229">
        <v>6000.0028000000002</v>
      </c>
      <c r="M555" s="55"/>
    </row>
    <row r="556" spans="2:13" x14ac:dyDescent="0.3">
      <c r="B556" s="223">
        <v>44900</v>
      </c>
      <c r="C556" s="224">
        <v>6</v>
      </c>
      <c r="D556" s="225">
        <v>10</v>
      </c>
      <c r="E556" s="226">
        <v>44303</v>
      </c>
      <c r="F556" s="227"/>
      <c r="G556" s="1" t="str">
        <f>IFERROR(IF(ventas_b_mes9[[#This Row],[CUIT]]="","-",VLOOKUP(ventas_b_mes9[[#This Row],[CUIT]],Lista_CUIT[#All],2,0)),"CUIT NO CARGADO")</f>
        <v>-</v>
      </c>
      <c r="H556" s="60">
        <f>ventas_b_mes9[[#This Row],[TOTAL]]/1.21</f>
        <v>4958.68</v>
      </c>
      <c r="I556" s="228">
        <f>ventas_b_mes9[[#This Row],[IMPORTE NETO]]*0.21</f>
        <v>1041.3227999999999</v>
      </c>
      <c r="J556" s="229"/>
      <c r="K556" s="229"/>
      <c r="L556" s="229">
        <v>6000.0028000000002</v>
      </c>
      <c r="M556" s="55"/>
    </row>
    <row r="557" spans="2:13" x14ac:dyDescent="0.3">
      <c r="B557" s="223">
        <v>44900</v>
      </c>
      <c r="C557" s="224">
        <v>6</v>
      </c>
      <c r="D557" s="225">
        <v>10</v>
      </c>
      <c r="E557" s="226">
        <v>44304</v>
      </c>
      <c r="F557" s="227"/>
      <c r="G557" s="1" t="str">
        <f>IFERROR(IF(ventas_b_mes9[[#This Row],[CUIT]]="","-",VLOOKUP(ventas_b_mes9[[#This Row],[CUIT]],Lista_CUIT[#All],2,0)),"CUIT NO CARGADO")</f>
        <v>-</v>
      </c>
      <c r="H557" s="60">
        <f>ventas_b_mes9[[#This Row],[TOTAL]]/1.21</f>
        <v>19109.919999999998</v>
      </c>
      <c r="I557" s="228">
        <f>ventas_b_mes9[[#This Row],[IMPORTE NETO]]*0.21</f>
        <v>4013.0831999999996</v>
      </c>
      <c r="J557" s="229"/>
      <c r="K557" s="229"/>
      <c r="L557" s="229">
        <v>23123.003199999999</v>
      </c>
      <c r="M557" s="55"/>
    </row>
    <row r="558" spans="2:13" x14ac:dyDescent="0.3">
      <c r="B558" s="223">
        <v>44900</v>
      </c>
      <c r="C558" s="224">
        <v>6</v>
      </c>
      <c r="D558" s="225">
        <v>10</v>
      </c>
      <c r="E558" s="226">
        <v>44305</v>
      </c>
      <c r="F558" s="227"/>
      <c r="G558" s="1" t="str">
        <f>IFERROR(IF(ventas_b_mes9[[#This Row],[CUIT]]="","-",VLOOKUP(ventas_b_mes9[[#This Row],[CUIT]],Lista_CUIT[#All],2,0)),"CUIT NO CARGADO")</f>
        <v>-</v>
      </c>
      <c r="H558" s="60">
        <f>ventas_b_mes9[[#This Row],[TOTAL]]/1.21</f>
        <v>4958.68</v>
      </c>
      <c r="I558" s="228">
        <f>ventas_b_mes9[[#This Row],[IMPORTE NETO]]*0.21</f>
        <v>1041.3227999999999</v>
      </c>
      <c r="J558" s="229"/>
      <c r="K558" s="229"/>
      <c r="L558" s="229">
        <v>6000.0028000000002</v>
      </c>
      <c r="M558" s="55"/>
    </row>
    <row r="559" spans="2:13" x14ac:dyDescent="0.3">
      <c r="B559" s="223">
        <v>44900</v>
      </c>
      <c r="C559" s="224">
        <v>6</v>
      </c>
      <c r="D559" s="225">
        <v>10</v>
      </c>
      <c r="E559" s="226">
        <v>44306</v>
      </c>
      <c r="F559" s="227"/>
      <c r="G559" s="1" t="str">
        <f>IFERROR(IF(ventas_b_mes9[[#This Row],[CUIT]]="","-",VLOOKUP(ventas_b_mes9[[#This Row],[CUIT]],Lista_CUIT[#All],2,0)),"CUIT NO CARGADO")</f>
        <v>-</v>
      </c>
      <c r="H559" s="60">
        <f>ventas_b_mes9[[#This Row],[TOTAL]]/1.21</f>
        <v>2148.7600000000002</v>
      </c>
      <c r="I559" s="228">
        <f>ventas_b_mes9[[#This Row],[IMPORTE NETO]]*0.21</f>
        <v>451.23960000000005</v>
      </c>
      <c r="J559" s="229"/>
      <c r="K559" s="229"/>
      <c r="L559" s="229">
        <v>2599.9996000000001</v>
      </c>
      <c r="M559" s="55"/>
    </row>
    <row r="560" spans="2:13" x14ac:dyDescent="0.3">
      <c r="B560" s="223">
        <v>44900</v>
      </c>
      <c r="C560" s="224">
        <v>6</v>
      </c>
      <c r="D560" s="225">
        <v>10</v>
      </c>
      <c r="E560" s="226">
        <v>44307</v>
      </c>
      <c r="F560" s="227"/>
      <c r="G560" s="1" t="str">
        <f>IFERROR(IF(ventas_b_mes9[[#This Row],[CUIT]]="","-",VLOOKUP(ventas_b_mes9[[#This Row],[CUIT]],Lista_CUIT[#All],2,0)),"CUIT NO CARGADO")</f>
        <v>-</v>
      </c>
      <c r="H560" s="60">
        <f>ventas_b_mes9[[#This Row],[TOTAL]]/1.21</f>
        <v>4669.42</v>
      </c>
      <c r="I560" s="228">
        <f>ventas_b_mes9[[#This Row],[IMPORTE NETO]]*0.21</f>
        <v>980.57819999999992</v>
      </c>
      <c r="J560" s="229"/>
      <c r="K560" s="229"/>
      <c r="L560" s="229">
        <v>5649.9982</v>
      </c>
      <c r="M560" s="55"/>
    </row>
    <row r="561" spans="2:13" x14ac:dyDescent="0.3">
      <c r="B561" s="223">
        <v>44900</v>
      </c>
      <c r="C561" s="224">
        <v>6</v>
      </c>
      <c r="D561" s="225">
        <v>10</v>
      </c>
      <c r="E561" s="226">
        <v>44308</v>
      </c>
      <c r="F561" s="227"/>
      <c r="G561" s="1" t="str">
        <f>IFERROR(IF(ventas_b_mes9[[#This Row],[CUIT]]="","-",VLOOKUP(ventas_b_mes9[[#This Row],[CUIT]],Lista_CUIT[#All],2,0)),"CUIT NO CARGADO")</f>
        <v>-</v>
      </c>
      <c r="H561" s="60">
        <f>ventas_b_mes9[[#This Row],[TOTAL]]/1.21</f>
        <v>4958.68</v>
      </c>
      <c r="I561" s="228">
        <f>ventas_b_mes9[[#This Row],[IMPORTE NETO]]*0.21</f>
        <v>1041.3227999999999</v>
      </c>
      <c r="J561" s="229"/>
      <c r="K561" s="229"/>
      <c r="L561" s="229">
        <v>6000.0028000000002</v>
      </c>
      <c r="M561" s="55"/>
    </row>
    <row r="562" spans="2:13" x14ac:dyDescent="0.3">
      <c r="B562" s="223">
        <v>44900</v>
      </c>
      <c r="C562" s="224">
        <v>6</v>
      </c>
      <c r="D562" s="225">
        <v>10</v>
      </c>
      <c r="E562" s="226">
        <v>44309</v>
      </c>
      <c r="F562" s="227"/>
      <c r="G562" s="1" t="str">
        <f>IFERROR(IF(ventas_b_mes9[[#This Row],[CUIT]]="","-",VLOOKUP(ventas_b_mes9[[#This Row],[CUIT]],Lista_CUIT[#All],2,0)),"CUIT NO CARGADO")</f>
        <v>-</v>
      </c>
      <c r="H562" s="60">
        <f>ventas_b_mes9[[#This Row],[TOTAL]]/1.21</f>
        <v>5801.65</v>
      </c>
      <c r="I562" s="228">
        <f>ventas_b_mes9[[#This Row],[IMPORTE NETO]]*0.21</f>
        <v>1218.3464999999999</v>
      </c>
      <c r="J562" s="229"/>
      <c r="K562" s="229"/>
      <c r="L562" s="229">
        <v>7019.9964999999993</v>
      </c>
      <c r="M562" s="55"/>
    </row>
    <row r="563" spans="2:13" x14ac:dyDescent="0.3">
      <c r="B563" s="223">
        <v>44900</v>
      </c>
      <c r="C563" s="224">
        <v>6</v>
      </c>
      <c r="D563" s="225">
        <v>10</v>
      </c>
      <c r="E563" s="226">
        <v>44310</v>
      </c>
      <c r="F563" s="227"/>
      <c r="G563" s="1" t="str">
        <f>IFERROR(IF(ventas_b_mes9[[#This Row],[CUIT]]="","-",VLOOKUP(ventas_b_mes9[[#This Row],[CUIT]],Lista_CUIT[#All],2,0)),"CUIT NO CARGADO")</f>
        <v>-</v>
      </c>
      <c r="H563" s="60">
        <f>ventas_b_mes9[[#This Row],[TOTAL]]/1.21</f>
        <v>4545.45</v>
      </c>
      <c r="I563" s="228">
        <f>ventas_b_mes9[[#This Row],[IMPORTE NETO]]*0.21</f>
        <v>954.54449999999997</v>
      </c>
      <c r="J563" s="229"/>
      <c r="K563" s="229"/>
      <c r="L563" s="229">
        <v>5499.9944999999998</v>
      </c>
      <c r="M563" s="55"/>
    </row>
    <row r="564" spans="2:13" x14ac:dyDescent="0.3">
      <c r="B564" s="223">
        <v>44900</v>
      </c>
      <c r="C564" s="224">
        <v>6</v>
      </c>
      <c r="D564" s="225">
        <v>10</v>
      </c>
      <c r="E564" s="226">
        <v>44311</v>
      </c>
      <c r="F564" s="227"/>
      <c r="G564" s="1" t="str">
        <f>IFERROR(IF(ventas_b_mes9[[#This Row],[CUIT]]="","-",VLOOKUP(ventas_b_mes9[[#This Row],[CUIT]],Lista_CUIT[#All],2,0)),"CUIT NO CARGADO")</f>
        <v>-</v>
      </c>
      <c r="H564" s="60">
        <f>ventas_b_mes9[[#This Row],[TOTAL]]/1.21</f>
        <v>5489.26</v>
      </c>
      <c r="I564" s="228">
        <f>ventas_b_mes9[[#This Row],[IMPORTE NETO]]*0.21</f>
        <v>1152.7446</v>
      </c>
      <c r="J564" s="229"/>
      <c r="K564" s="229"/>
      <c r="L564" s="229">
        <v>6642.0046000000002</v>
      </c>
      <c r="M564" s="55"/>
    </row>
    <row r="565" spans="2:13" x14ac:dyDescent="0.3">
      <c r="B565" s="223">
        <v>44900</v>
      </c>
      <c r="C565" s="224">
        <v>6</v>
      </c>
      <c r="D565" s="225">
        <v>10</v>
      </c>
      <c r="E565" s="226">
        <v>44312</v>
      </c>
      <c r="F565" s="227"/>
      <c r="G565" s="1" t="str">
        <f>IFERROR(IF(ventas_b_mes9[[#This Row],[CUIT]]="","-",VLOOKUP(ventas_b_mes9[[#This Row],[CUIT]],Lista_CUIT[#All],2,0)),"CUIT NO CARGADO")</f>
        <v>-</v>
      </c>
      <c r="H565" s="60">
        <f>ventas_b_mes9[[#This Row],[TOTAL]]/1.21</f>
        <v>752.07</v>
      </c>
      <c r="I565" s="228">
        <f>ventas_b_mes9[[#This Row],[IMPORTE NETO]]*0.21</f>
        <v>157.93469999999999</v>
      </c>
      <c r="J565" s="229"/>
      <c r="K565" s="229"/>
      <c r="L565" s="229">
        <v>910.00470000000007</v>
      </c>
      <c r="M565" s="55"/>
    </row>
    <row r="566" spans="2:13" x14ac:dyDescent="0.3">
      <c r="B566" s="223">
        <v>44900</v>
      </c>
      <c r="C566" s="224">
        <v>6</v>
      </c>
      <c r="D566" s="225">
        <v>10</v>
      </c>
      <c r="E566" s="226">
        <v>44313</v>
      </c>
      <c r="F566" s="227"/>
      <c r="G566" s="1" t="str">
        <f>IFERROR(IF(ventas_b_mes9[[#This Row],[CUIT]]="","-",VLOOKUP(ventas_b_mes9[[#This Row],[CUIT]],Lista_CUIT[#All],2,0)),"CUIT NO CARGADO")</f>
        <v>-</v>
      </c>
      <c r="H566" s="60">
        <f>ventas_b_mes9[[#This Row],[TOTAL]]/1.21</f>
        <v>4958.68</v>
      </c>
      <c r="I566" s="228">
        <f>ventas_b_mes9[[#This Row],[IMPORTE NETO]]*0.21</f>
        <v>1041.3227999999999</v>
      </c>
      <c r="J566" s="229"/>
      <c r="K566" s="229"/>
      <c r="L566" s="229">
        <v>6000.0028000000002</v>
      </c>
      <c r="M566" s="55"/>
    </row>
    <row r="567" spans="2:13" x14ac:dyDescent="0.3">
      <c r="B567" s="223">
        <v>44900</v>
      </c>
      <c r="C567" s="224">
        <v>6</v>
      </c>
      <c r="D567" s="225">
        <v>10</v>
      </c>
      <c r="E567" s="226">
        <v>44314</v>
      </c>
      <c r="F567" s="227"/>
      <c r="G567" s="1" t="str">
        <f>IFERROR(IF(ventas_b_mes9[[#This Row],[CUIT]]="","-",VLOOKUP(ventas_b_mes9[[#This Row],[CUIT]],Lista_CUIT[#All],2,0)),"CUIT NO CARGADO")</f>
        <v>-</v>
      </c>
      <c r="H567" s="60">
        <f>ventas_b_mes9[[#This Row],[TOTAL]]/1.21</f>
        <v>2588.4299999999998</v>
      </c>
      <c r="I567" s="228">
        <f>ventas_b_mes9[[#This Row],[IMPORTE NETO]]*0.21</f>
        <v>543.57029999999997</v>
      </c>
      <c r="J567" s="229"/>
      <c r="K567" s="229"/>
      <c r="L567" s="229">
        <v>3132.0002999999997</v>
      </c>
      <c r="M567" s="55"/>
    </row>
    <row r="568" spans="2:13" x14ac:dyDescent="0.3">
      <c r="B568" s="223">
        <v>44900</v>
      </c>
      <c r="C568" s="224">
        <v>6</v>
      </c>
      <c r="D568" s="225">
        <v>10</v>
      </c>
      <c r="E568" s="226">
        <v>44315</v>
      </c>
      <c r="F568" s="227"/>
      <c r="G568" s="1" t="str">
        <f>IFERROR(IF(ventas_b_mes9[[#This Row],[CUIT]]="","-",VLOOKUP(ventas_b_mes9[[#This Row],[CUIT]],Lista_CUIT[#All],2,0)),"CUIT NO CARGADO")</f>
        <v>-</v>
      </c>
      <c r="H568" s="60">
        <f>ventas_b_mes9[[#This Row],[TOTAL]]/1.21</f>
        <v>1219.01</v>
      </c>
      <c r="I568" s="228">
        <f>ventas_b_mes9[[#This Row],[IMPORTE NETO]]*0.21</f>
        <v>255.99209999999999</v>
      </c>
      <c r="J568" s="229"/>
      <c r="K568" s="229"/>
      <c r="L568" s="229">
        <v>1475.0020999999999</v>
      </c>
      <c r="M568" s="55"/>
    </row>
    <row r="569" spans="2:13" x14ac:dyDescent="0.3">
      <c r="B569" s="223">
        <v>44900</v>
      </c>
      <c r="C569" s="224">
        <v>6</v>
      </c>
      <c r="D569" s="225">
        <v>12</v>
      </c>
      <c r="E569" s="226">
        <v>22921</v>
      </c>
      <c r="F569" s="227"/>
      <c r="G569" s="1" t="str">
        <f>IFERROR(IF(ventas_b_mes9[[#This Row],[CUIT]]="","-",VLOOKUP(ventas_b_mes9[[#This Row],[CUIT]],Lista_CUIT[#All],2,0)),"CUIT NO CARGADO")</f>
        <v>-</v>
      </c>
      <c r="H569" s="60">
        <f>ventas_b_mes9[[#This Row],[TOTAL]]/1.21</f>
        <v>5842.98</v>
      </c>
      <c r="I569" s="228">
        <f>ventas_b_mes9[[#This Row],[IMPORTE NETO]]*0.21</f>
        <v>1227.0257999999999</v>
      </c>
      <c r="J569" s="229"/>
      <c r="K569" s="229"/>
      <c r="L569" s="229">
        <v>7070.005799999999</v>
      </c>
      <c r="M569" s="55"/>
    </row>
    <row r="570" spans="2:13" x14ac:dyDescent="0.3">
      <c r="B570" s="223">
        <v>44900</v>
      </c>
      <c r="C570" s="224">
        <v>6</v>
      </c>
      <c r="D570" s="225">
        <v>12</v>
      </c>
      <c r="E570" s="226">
        <v>22922</v>
      </c>
      <c r="F570" s="227"/>
      <c r="G570" s="1" t="str">
        <f>IFERROR(IF(ventas_b_mes9[[#This Row],[CUIT]]="","-",VLOOKUP(ventas_b_mes9[[#This Row],[CUIT]],Lista_CUIT[#All],2,0)),"CUIT NO CARGADO")</f>
        <v>-</v>
      </c>
      <c r="H570" s="60">
        <f>ventas_b_mes9[[#This Row],[TOTAL]]/1.21</f>
        <v>4671.49</v>
      </c>
      <c r="I570" s="228">
        <f>ventas_b_mes9[[#This Row],[IMPORTE NETO]]*0.21</f>
        <v>981.01289999999995</v>
      </c>
      <c r="J570" s="229"/>
      <c r="K570" s="229"/>
      <c r="L570" s="229">
        <v>5652.5028999999995</v>
      </c>
      <c r="M570" s="55"/>
    </row>
    <row r="571" spans="2:13" x14ac:dyDescent="0.3">
      <c r="B571" s="223">
        <v>44900</v>
      </c>
      <c r="C571" s="224">
        <v>6</v>
      </c>
      <c r="D571" s="225">
        <v>12</v>
      </c>
      <c r="E571" s="226">
        <v>22923</v>
      </c>
      <c r="F571" s="227"/>
      <c r="G571" s="1" t="str">
        <f>IFERROR(IF(ventas_b_mes9[[#This Row],[CUIT]]="","-",VLOOKUP(ventas_b_mes9[[#This Row],[CUIT]],Lista_CUIT[#All],2,0)),"CUIT NO CARGADO")</f>
        <v>-</v>
      </c>
      <c r="H571" s="60">
        <f>ventas_b_mes9[[#This Row],[TOTAL]]/1.21</f>
        <v>11487.6</v>
      </c>
      <c r="I571" s="228">
        <f>ventas_b_mes9[[#This Row],[IMPORTE NETO]]*0.21</f>
        <v>2412.3960000000002</v>
      </c>
      <c r="J571" s="229"/>
      <c r="K571" s="229"/>
      <c r="L571" s="229">
        <v>13899.996000000001</v>
      </c>
      <c r="M571" s="55"/>
    </row>
    <row r="572" spans="2:13" x14ac:dyDescent="0.3">
      <c r="B572" s="223">
        <v>44900</v>
      </c>
      <c r="C572" s="224">
        <v>6</v>
      </c>
      <c r="D572" s="225">
        <v>12</v>
      </c>
      <c r="E572" s="226">
        <v>22924</v>
      </c>
      <c r="F572" s="227"/>
      <c r="G572" s="1" t="str">
        <f>IFERROR(IF(ventas_b_mes9[[#This Row],[CUIT]]="","-",VLOOKUP(ventas_b_mes9[[#This Row],[CUIT]],Lista_CUIT[#All],2,0)),"CUIT NO CARGADO")</f>
        <v>-</v>
      </c>
      <c r="H572" s="60">
        <f>ventas_b_mes9[[#This Row],[TOTAL]]/1.21</f>
        <v>2561.98</v>
      </c>
      <c r="I572" s="228">
        <f>ventas_b_mes9[[#This Row],[IMPORTE NETO]]*0.21</f>
        <v>538.01580000000001</v>
      </c>
      <c r="J572" s="229"/>
      <c r="K572" s="229"/>
      <c r="L572" s="229">
        <v>3099.9958000000001</v>
      </c>
      <c r="M572" s="55"/>
    </row>
    <row r="573" spans="2:13" x14ac:dyDescent="0.3">
      <c r="B573" s="223">
        <v>44900</v>
      </c>
      <c r="C573" s="224">
        <v>6</v>
      </c>
      <c r="D573" s="225">
        <v>12</v>
      </c>
      <c r="E573" s="226">
        <v>22925</v>
      </c>
      <c r="F573" s="227"/>
      <c r="G573" s="1" t="str">
        <f>IFERROR(IF(ventas_b_mes9[[#This Row],[CUIT]]="","-",VLOOKUP(ventas_b_mes9[[#This Row],[CUIT]],Lista_CUIT[#All],2,0)),"CUIT NO CARGADO")</f>
        <v>-</v>
      </c>
      <c r="H573" s="60">
        <f>ventas_b_mes9[[#This Row],[TOTAL]]/1.21</f>
        <v>745.92</v>
      </c>
      <c r="I573" s="228">
        <f>ventas_b_mes9[[#This Row],[IMPORTE NETO]]*0.21</f>
        <v>156.64319999999998</v>
      </c>
      <c r="J573" s="229"/>
      <c r="K573" s="229"/>
      <c r="L573" s="229">
        <v>902.56319999999994</v>
      </c>
      <c r="M573" s="55"/>
    </row>
    <row r="574" spans="2:13" x14ac:dyDescent="0.3">
      <c r="B574" s="223">
        <v>44900</v>
      </c>
      <c r="C574" s="224">
        <v>6</v>
      </c>
      <c r="D574" s="225">
        <v>12</v>
      </c>
      <c r="E574" s="226">
        <v>22926</v>
      </c>
      <c r="F574" s="227"/>
      <c r="G574" s="1" t="str">
        <f>IFERROR(IF(ventas_b_mes9[[#This Row],[CUIT]]="","-",VLOOKUP(ventas_b_mes9[[#This Row],[CUIT]],Lista_CUIT[#All],2,0)),"CUIT NO CARGADO")</f>
        <v>-</v>
      </c>
      <c r="H574" s="60">
        <f>ventas_b_mes9[[#This Row],[TOTAL]]/1.21</f>
        <v>10330.6</v>
      </c>
      <c r="I574" s="228">
        <f>ventas_b_mes9[[#This Row],[IMPORTE NETO]]*0.21</f>
        <v>2169.4259999999999</v>
      </c>
      <c r="J574" s="229"/>
      <c r="K574" s="229"/>
      <c r="L574" s="229">
        <v>12500.026</v>
      </c>
      <c r="M574" s="55"/>
    </row>
    <row r="575" spans="2:13" x14ac:dyDescent="0.3">
      <c r="B575" s="223">
        <v>44900</v>
      </c>
      <c r="C575" s="224">
        <v>6</v>
      </c>
      <c r="D575" s="225">
        <v>12</v>
      </c>
      <c r="E575" s="226">
        <v>22927</v>
      </c>
      <c r="F575" s="227"/>
      <c r="G575" s="1" t="str">
        <f>IFERROR(IF(ventas_b_mes9[[#This Row],[CUIT]]="","-",VLOOKUP(ventas_b_mes9[[#This Row],[CUIT]],Lista_CUIT[#All],2,0)),"CUIT NO CARGADO")</f>
        <v>-</v>
      </c>
      <c r="H575" s="60">
        <f>ventas_b_mes9[[#This Row],[TOTAL]]/1.21</f>
        <v>892.56</v>
      </c>
      <c r="I575" s="228">
        <f>ventas_b_mes9[[#This Row],[IMPORTE NETO]]*0.21</f>
        <v>187.43759999999997</v>
      </c>
      <c r="J575" s="229"/>
      <c r="K575" s="229"/>
      <c r="L575" s="229">
        <v>1079.9975999999999</v>
      </c>
      <c r="M575" s="55"/>
    </row>
    <row r="576" spans="2:13" x14ac:dyDescent="0.3">
      <c r="B576" s="223">
        <v>44900</v>
      </c>
      <c r="C576" s="224">
        <v>6</v>
      </c>
      <c r="D576" s="225">
        <v>12</v>
      </c>
      <c r="E576" s="226">
        <v>22928</v>
      </c>
      <c r="F576" s="227"/>
      <c r="G576" s="1" t="str">
        <f>IFERROR(IF(ventas_b_mes9[[#This Row],[CUIT]]="","-",VLOOKUP(ventas_b_mes9[[#This Row],[CUIT]],Lista_CUIT[#All],2,0)),"CUIT NO CARGADO")</f>
        <v>-</v>
      </c>
      <c r="H576" s="60">
        <f>ventas_b_mes9[[#This Row],[TOTAL]]/1.21</f>
        <v>1239.67</v>
      </c>
      <c r="I576" s="228">
        <f>ventas_b_mes9[[#This Row],[IMPORTE NETO]]*0.21</f>
        <v>260.33069999999998</v>
      </c>
      <c r="J576" s="229"/>
      <c r="K576" s="229"/>
      <c r="L576" s="229">
        <v>1500.0007000000001</v>
      </c>
      <c r="M576" s="55"/>
    </row>
    <row r="577" spans="2:13" x14ac:dyDescent="0.3">
      <c r="B577" s="223">
        <v>44900</v>
      </c>
      <c r="C577" s="224">
        <v>6</v>
      </c>
      <c r="D577" s="225">
        <v>12</v>
      </c>
      <c r="E577" s="226">
        <v>22929</v>
      </c>
      <c r="F577" s="227"/>
      <c r="G577" s="1" t="str">
        <f>IFERROR(IF(ventas_b_mes9[[#This Row],[CUIT]]="","-",VLOOKUP(ventas_b_mes9[[#This Row],[CUIT]],Lista_CUIT[#All],2,0)),"CUIT NO CARGADO")</f>
        <v>-</v>
      </c>
      <c r="H577" s="60">
        <f>ventas_b_mes9[[#This Row],[TOTAL]]/1.21</f>
        <v>15500.820000000002</v>
      </c>
      <c r="I577" s="228">
        <f>ventas_b_mes9[[#This Row],[IMPORTE NETO]]*0.21</f>
        <v>3255.1722</v>
      </c>
      <c r="J577" s="229"/>
      <c r="K577" s="229"/>
      <c r="L577" s="229">
        <v>18755.992200000001</v>
      </c>
      <c r="M577" s="55"/>
    </row>
    <row r="578" spans="2:13" x14ac:dyDescent="0.3">
      <c r="B578" s="223">
        <v>44900</v>
      </c>
      <c r="C578" s="224">
        <v>6</v>
      </c>
      <c r="D578" s="225">
        <v>12</v>
      </c>
      <c r="E578" s="226">
        <v>22930</v>
      </c>
      <c r="F578" s="227"/>
      <c r="G578" s="1" t="str">
        <f>IFERROR(IF(ventas_b_mes9[[#This Row],[CUIT]]="","-",VLOOKUP(ventas_b_mes9[[#This Row],[CUIT]],Lista_CUIT[#All],2,0)),"CUIT NO CARGADO")</f>
        <v>-</v>
      </c>
      <c r="H578" s="60">
        <f>ventas_b_mes9[[#This Row],[TOTAL]]/1.21</f>
        <v>1740.4900000000002</v>
      </c>
      <c r="I578" s="228">
        <f>ventas_b_mes9[[#This Row],[IMPORTE NETO]]*0.21</f>
        <v>365.50290000000001</v>
      </c>
      <c r="J578" s="229"/>
      <c r="K578" s="229"/>
      <c r="L578" s="229">
        <v>2105.9929000000002</v>
      </c>
      <c r="M578" s="55"/>
    </row>
    <row r="579" spans="2:13" x14ac:dyDescent="0.3">
      <c r="B579" s="223">
        <v>44900</v>
      </c>
      <c r="C579" s="224">
        <v>6</v>
      </c>
      <c r="D579" s="225">
        <v>12</v>
      </c>
      <c r="E579" s="226">
        <v>22931</v>
      </c>
      <c r="F579" s="227"/>
      <c r="G579" s="1" t="str">
        <f>IFERROR(IF(ventas_b_mes9[[#This Row],[CUIT]]="","-",VLOOKUP(ventas_b_mes9[[#This Row],[CUIT]],Lista_CUIT[#All],2,0)),"CUIT NO CARGADO")</f>
        <v>-</v>
      </c>
      <c r="H579" s="60">
        <f>ventas_b_mes9[[#This Row],[TOTAL]]/1.21</f>
        <v>2066.12</v>
      </c>
      <c r="I579" s="228">
        <f>ventas_b_mes9[[#This Row],[IMPORTE NETO]]*0.21</f>
        <v>433.88519999999994</v>
      </c>
      <c r="J579" s="229"/>
      <c r="K579" s="229"/>
      <c r="L579" s="229">
        <v>2500.0051999999996</v>
      </c>
      <c r="M579" s="55"/>
    </row>
    <row r="580" spans="2:13" x14ac:dyDescent="0.3">
      <c r="B580" s="223">
        <v>44900</v>
      </c>
      <c r="C580" s="224">
        <v>6</v>
      </c>
      <c r="D580" s="225">
        <v>11</v>
      </c>
      <c r="E580" s="226">
        <v>30418</v>
      </c>
      <c r="F580" s="227"/>
      <c r="G580" s="1" t="str">
        <f>IFERROR(IF(ventas_b_mes9[[#This Row],[CUIT]]="","-",VLOOKUP(ventas_b_mes9[[#This Row],[CUIT]],Lista_CUIT[#All],2,0)),"CUIT NO CARGADO")</f>
        <v>-</v>
      </c>
      <c r="H580" s="60">
        <f>ventas_b_mes9[[#This Row],[TOTAL]]/1.21</f>
        <v>1818.18</v>
      </c>
      <c r="I580" s="228">
        <f>ventas_b_mes9[[#This Row],[IMPORTE NETO]]*0.21</f>
        <v>381.81779999999998</v>
      </c>
      <c r="J580" s="229"/>
      <c r="K580" s="229"/>
      <c r="L580" s="229">
        <v>2199.9978000000001</v>
      </c>
      <c r="M580" s="55"/>
    </row>
    <row r="581" spans="2:13" x14ac:dyDescent="0.3">
      <c r="B581" s="223">
        <v>44900</v>
      </c>
      <c r="C581" s="224">
        <v>6</v>
      </c>
      <c r="D581" s="225">
        <v>11</v>
      </c>
      <c r="E581" s="226">
        <v>30419</v>
      </c>
      <c r="F581" s="227"/>
      <c r="G581" s="1" t="str">
        <f>IFERROR(IF(ventas_b_mes9[[#This Row],[CUIT]]="","-",VLOOKUP(ventas_b_mes9[[#This Row],[CUIT]],Lista_CUIT[#All],2,0)),"CUIT NO CARGADO")</f>
        <v>-</v>
      </c>
      <c r="H581" s="60">
        <f>ventas_b_mes9[[#This Row],[TOTAL]]/1.21</f>
        <v>2975.21</v>
      </c>
      <c r="I581" s="228">
        <f>ventas_b_mes9[[#This Row],[IMPORTE NETO]]*0.21</f>
        <v>624.79409999999996</v>
      </c>
      <c r="J581" s="229"/>
      <c r="K581" s="229"/>
      <c r="L581" s="229">
        <v>3600.0041000000001</v>
      </c>
      <c r="M581" s="55"/>
    </row>
    <row r="582" spans="2:13" x14ac:dyDescent="0.3">
      <c r="B582" s="223">
        <v>44900</v>
      </c>
      <c r="C582" s="224">
        <v>6</v>
      </c>
      <c r="D582" s="225">
        <v>11</v>
      </c>
      <c r="E582" s="226">
        <v>30420</v>
      </c>
      <c r="F582" s="227"/>
      <c r="G582" s="1" t="str">
        <f>IFERROR(IF(ventas_b_mes9[[#This Row],[CUIT]]="","-",VLOOKUP(ventas_b_mes9[[#This Row],[CUIT]],Lista_CUIT[#All],2,0)),"CUIT NO CARGADO")</f>
        <v>-</v>
      </c>
      <c r="H582" s="60">
        <f>ventas_b_mes9[[#This Row],[TOTAL]]/1.21</f>
        <v>9272.7199999999993</v>
      </c>
      <c r="I582" s="228">
        <f>ventas_b_mes9[[#This Row],[IMPORTE NETO]]*0.21</f>
        <v>1947.2711999999997</v>
      </c>
      <c r="J582" s="229"/>
      <c r="K582" s="229"/>
      <c r="L582" s="229">
        <v>11219.991199999999</v>
      </c>
      <c r="M582" s="55"/>
    </row>
    <row r="583" spans="2:13" x14ac:dyDescent="0.3">
      <c r="B583" s="223">
        <v>44900</v>
      </c>
      <c r="C583" s="224">
        <v>6</v>
      </c>
      <c r="D583" s="225">
        <v>11</v>
      </c>
      <c r="E583" s="226">
        <v>30421</v>
      </c>
      <c r="F583" s="227"/>
      <c r="G583" s="1" t="str">
        <f>IFERROR(IF(ventas_b_mes9[[#This Row],[CUIT]]="","-",VLOOKUP(ventas_b_mes9[[#This Row],[CUIT]],Lista_CUIT[#All],2,0)),"CUIT NO CARGADO")</f>
        <v>-</v>
      </c>
      <c r="H583" s="60">
        <f>ventas_b_mes9[[#This Row],[TOTAL]]/1.21</f>
        <v>7272.7400000000007</v>
      </c>
      <c r="I583" s="228">
        <f>ventas_b_mes9[[#This Row],[IMPORTE NETO]]*0.21</f>
        <v>1527.2754</v>
      </c>
      <c r="J583" s="229"/>
      <c r="K583" s="229"/>
      <c r="L583" s="229">
        <v>8800.0154000000002</v>
      </c>
      <c r="M583" s="55"/>
    </row>
    <row r="584" spans="2:13" x14ac:dyDescent="0.3">
      <c r="B584" s="223">
        <v>44900</v>
      </c>
      <c r="C584" s="224">
        <v>6</v>
      </c>
      <c r="D584" s="225">
        <v>11</v>
      </c>
      <c r="E584" s="226">
        <v>30422</v>
      </c>
      <c r="F584" s="227"/>
      <c r="G584" s="1" t="str">
        <f>IFERROR(IF(ventas_b_mes9[[#This Row],[CUIT]]="","-",VLOOKUP(ventas_b_mes9[[#This Row],[CUIT]],Lista_CUIT[#All],2,0)),"CUIT NO CARGADO")</f>
        <v>-</v>
      </c>
      <c r="H584" s="60">
        <f>ventas_b_mes9[[#This Row],[TOTAL]]/1.21</f>
        <v>5537.19</v>
      </c>
      <c r="I584" s="228">
        <f>ventas_b_mes9[[#This Row],[IMPORTE NETO]]*0.21</f>
        <v>1162.8099</v>
      </c>
      <c r="J584" s="229"/>
      <c r="K584" s="229"/>
      <c r="L584" s="229">
        <v>6699.9998999999998</v>
      </c>
      <c r="M584" s="55"/>
    </row>
    <row r="585" spans="2:13" x14ac:dyDescent="0.3">
      <c r="B585" s="223">
        <v>44900</v>
      </c>
      <c r="C585" s="224">
        <v>6</v>
      </c>
      <c r="D585" s="225">
        <v>11</v>
      </c>
      <c r="E585" s="226">
        <v>30423</v>
      </c>
      <c r="F585" s="227"/>
      <c r="G585" s="1" t="str">
        <f>IFERROR(IF(ventas_b_mes9[[#This Row],[CUIT]]="","-",VLOOKUP(ventas_b_mes9[[#This Row],[CUIT]],Lista_CUIT[#All],2,0)),"CUIT NO CARGADO")</f>
        <v>-</v>
      </c>
      <c r="H585" s="60">
        <f>ventas_b_mes9[[#This Row],[TOTAL]]/1.21</f>
        <v>4958.68</v>
      </c>
      <c r="I585" s="228">
        <f>ventas_b_mes9[[#This Row],[IMPORTE NETO]]*0.21</f>
        <v>1041.3227999999999</v>
      </c>
      <c r="J585" s="229"/>
      <c r="K585" s="229"/>
      <c r="L585" s="229">
        <v>6000.0028000000002</v>
      </c>
      <c r="M585" s="55"/>
    </row>
    <row r="586" spans="2:13" x14ac:dyDescent="0.3">
      <c r="B586" s="223">
        <v>44900</v>
      </c>
      <c r="C586" s="224">
        <v>6</v>
      </c>
      <c r="D586" s="225">
        <v>11</v>
      </c>
      <c r="E586" s="226">
        <v>30424</v>
      </c>
      <c r="F586" s="227"/>
      <c r="G586" s="1" t="str">
        <f>IFERROR(IF(ventas_b_mes9[[#This Row],[CUIT]]="","-",VLOOKUP(ventas_b_mes9[[#This Row],[CUIT]],Lista_CUIT[#All],2,0)),"CUIT NO CARGADO")</f>
        <v>-</v>
      </c>
      <c r="H586" s="60">
        <f>ventas_b_mes9[[#This Row],[TOTAL]]/1.21</f>
        <v>4958.68</v>
      </c>
      <c r="I586" s="228">
        <f>ventas_b_mes9[[#This Row],[IMPORTE NETO]]*0.21</f>
        <v>1041.3227999999999</v>
      </c>
      <c r="J586" s="229"/>
      <c r="K586" s="229"/>
      <c r="L586" s="229">
        <v>6000.0028000000002</v>
      </c>
      <c r="M586" s="55"/>
    </row>
    <row r="587" spans="2:13" x14ac:dyDescent="0.3">
      <c r="B587" s="223">
        <v>44900</v>
      </c>
      <c r="C587" s="224">
        <v>6</v>
      </c>
      <c r="D587" s="225">
        <v>11</v>
      </c>
      <c r="E587" s="226">
        <v>30425</v>
      </c>
      <c r="F587" s="227"/>
      <c r="G587" s="1" t="str">
        <f>IFERROR(IF(ventas_b_mes9[[#This Row],[CUIT]]="","-",VLOOKUP(ventas_b_mes9[[#This Row],[CUIT]],Lista_CUIT[#All],2,0)),"CUIT NO CARGADO")</f>
        <v>-</v>
      </c>
      <c r="H587" s="60">
        <f>ventas_b_mes9[[#This Row],[TOTAL]]/1.21</f>
        <v>30571.900000000005</v>
      </c>
      <c r="I587" s="228">
        <f>ventas_b_mes9[[#This Row],[IMPORTE NETO]]*0.21</f>
        <v>6420.0990000000011</v>
      </c>
      <c r="J587" s="229"/>
      <c r="K587" s="229"/>
      <c r="L587" s="229">
        <v>36991.999000000003</v>
      </c>
      <c r="M587" s="55"/>
    </row>
    <row r="588" spans="2:13" x14ac:dyDescent="0.3">
      <c r="B588" s="223">
        <v>44900</v>
      </c>
      <c r="C588" s="224">
        <v>6</v>
      </c>
      <c r="D588" s="225">
        <v>11</v>
      </c>
      <c r="E588" s="226">
        <v>30426</v>
      </c>
      <c r="F588" s="227"/>
      <c r="G588" s="1" t="str">
        <f>IFERROR(IF(ventas_b_mes9[[#This Row],[CUIT]]="","-",VLOOKUP(ventas_b_mes9[[#This Row],[CUIT]],Lista_CUIT[#All],2,0)),"CUIT NO CARGADO")</f>
        <v>-</v>
      </c>
      <c r="H588" s="60">
        <f>ventas_b_mes9[[#This Row],[TOTAL]]/1.21</f>
        <v>6446.26</v>
      </c>
      <c r="I588" s="228">
        <f>ventas_b_mes9[[#This Row],[IMPORTE NETO]]*0.21</f>
        <v>1353.7146</v>
      </c>
      <c r="J588" s="229"/>
      <c r="K588" s="229"/>
      <c r="L588" s="229">
        <v>7799.9746000000005</v>
      </c>
      <c r="M588" s="55"/>
    </row>
    <row r="589" spans="2:13" x14ac:dyDescent="0.3">
      <c r="B589" s="223">
        <v>44900</v>
      </c>
      <c r="C589" s="224">
        <v>6</v>
      </c>
      <c r="D589" s="225">
        <v>11</v>
      </c>
      <c r="E589" s="226">
        <v>30427</v>
      </c>
      <c r="F589" s="227"/>
      <c r="G589" s="1" t="str">
        <f>IFERROR(IF(ventas_b_mes9[[#This Row],[CUIT]]="","-",VLOOKUP(ventas_b_mes9[[#This Row],[CUIT]],Lista_CUIT[#All],2,0)),"CUIT NO CARGADO")</f>
        <v>-</v>
      </c>
      <c r="H589" s="60">
        <f>ventas_b_mes9[[#This Row],[TOTAL]]/1.21</f>
        <v>743.8</v>
      </c>
      <c r="I589" s="228">
        <f>ventas_b_mes9[[#This Row],[IMPORTE NETO]]*0.21</f>
        <v>156.19799999999998</v>
      </c>
      <c r="J589" s="229"/>
      <c r="K589" s="229"/>
      <c r="L589" s="229">
        <v>899.99799999999993</v>
      </c>
      <c r="M589" s="55"/>
    </row>
    <row r="590" spans="2:13" x14ac:dyDescent="0.3">
      <c r="B590" s="223">
        <v>44900</v>
      </c>
      <c r="C590" s="224">
        <v>6</v>
      </c>
      <c r="D590" s="225">
        <v>11</v>
      </c>
      <c r="E590" s="226">
        <v>30428</v>
      </c>
      <c r="F590" s="227"/>
      <c r="G590" s="1" t="str">
        <f>IFERROR(IF(ventas_b_mes9[[#This Row],[CUIT]]="","-",VLOOKUP(ventas_b_mes9[[#This Row],[CUIT]],Lista_CUIT[#All],2,0)),"CUIT NO CARGADO")</f>
        <v>-</v>
      </c>
      <c r="H590" s="60">
        <f>ventas_b_mes9[[#This Row],[TOTAL]]/1.21</f>
        <v>2669.42</v>
      </c>
      <c r="I590" s="228">
        <f>ventas_b_mes9[[#This Row],[IMPORTE NETO]]*0.21</f>
        <v>560.57820000000004</v>
      </c>
      <c r="J590" s="229"/>
      <c r="K590" s="229"/>
      <c r="L590" s="229">
        <v>3229.9982</v>
      </c>
      <c r="M590" s="55"/>
    </row>
    <row r="591" spans="2:13" x14ac:dyDescent="0.3">
      <c r="B591" s="223">
        <v>44900</v>
      </c>
      <c r="C591" s="224">
        <v>6</v>
      </c>
      <c r="D591" s="225">
        <v>11</v>
      </c>
      <c r="E591" s="226">
        <v>30429</v>
      </c>
      <c r="F591" s="227"/>
      <c r="G591" s="1" t="str">
        <f>IFERROR(IF(ventas_b_mes9[[#This Row],[CUIT]]="","-",VLOOKUP(ventas_b_mes9[[#This Row],[CUIT]],Lista_CUIT[#All],2,0)),"CUIT NO CARGADO")</f>
        <v>-</v>
      </c>
      <c r="H591" s="60">
        <f>ventas_b_mes9[[#This Row],[TOTAL]]/1.21</f>
        <v>4958.68</v>
      </c>
      <c r="I591" s="228">
        <f>ventas_b_mes9[[#This Row],[IMPORTE NETO]]*0.21</f>
        <v>1041.3227999999999</v>
      </c>
      <c r="J591" s="229"/>
      <c r="K591" s="229"/>
      <c r="L591" s="229">
        <v>6000.0028000000002</v>
      </c>
      <c r="M591" s="55"/>
    </row>
    <row r="592" spans="2:13" x14ac:dyDescent="0.3">
      <c r="B592" s="223">
        <v>44900</v>
      </c>
      <c r="C592" s="224">
        <v>6</v>
      </c>
      <c r="D592" s="225">
        <v>11</v>
      </c>
      <c r="E592" s="226">
        <v>30430</v>
      </c>
      <c r="F592" s="227"/>
      <c r="G592" s="1" t="str">
        <f>IFERROR(IF(ventas_b_mes9[[#This Row],[CUIT]]="","-",VLOOKUP(ventas_b_mes9[[#This Row],[CUIT]],Lista_CUIT[#All],2,0)),"CUIT NO CARGADO")</f>
        <v>-</v>
      </c>
      <c r="H592" s="60">
        <f>ventas_b_mes9[[#This Row],[TOTAL]]/1.21</f>
        <v>13123.97</v>
      </c>
      <c r="I592" s="228">
        <f>ventas_b_mes9[[#This Row],[IMPORTE NETO]]*0.21</f>
        <v>2756.0337</v>
      </c>
      <c r="J592" s="229"/>
      <c r="K592" s="229"/>
      <c r="L592" s="229">
        <v>15880.003699999999</v>
      </c>
      <c r="M592" s="55"/>
    </row>
    <row r="593" spans="2:13" x14ac:dyDescent="0.3">
      <c r="B593" s="223">
        <v>44900</v>
      </c>
      <c r="C593" s="224">
        <v>6</v>
      </c>
      <c r="D593" s="225">
        <v>11</v>
      </c>
      <c r="E593" s="226">
        <v>30431</v>
      </c>
      <c r="F593" s="227"/>
      <c r="G593" s="1" t="str">
        <f>IFERROR(IF(ventas_b_mes9[[#This Row],[CUIT]]="","-",VLOOKUP(ventas_b_mes9[[#This Row],[CUIT]],Lista_CUIT[#All],2,0)),"CUIT NO CARGADO")</f>
        <v>-</v>
      </c>
      <c r="H593" s="60">
        <f>ventas_b_mes9[[#This Row],[TOTAL]]/1.21</f>
        <v>19475.21</v>
      </c>
      <c r="I593" s="228">
        <f>ventas_b_mes9[[#This Row],[IMPORTE NETO]]*0.21</f>
        <v>4089.7940999999996</v>
      </c>
      <c r="J593" s="229"/>
      <c r="K593" s="229"/>
      <c r="L593" s="229">
        <v>23565.004099999998</v>
      </c>
      <c r="M593" s="55"/>
    </row>
    <row r="594" spans="2:13" x14ac:dyDescent="0.3">
      <c r="B594" s="223">
        <v>44900</v>
      </c>
      <c r="C594" s="224">
        <v>6</v>
      </c>
      <c r="D594" s="225">
        <v>11</v>
      </c>
      <c r="E594" s="226">
        <v>30432</v>
      </c>
      <c r="F594" s="227"/>
      <c r="G594" s="1" t="str">
        <f>IFERROR(IF(ventas_b_mes9[[#This Row],[CUIT]]="","-",VLOOKUP(ventas_b_mes9[[#This Row],[CUIT]],Lista_CUIT[#All],2,0)),"CUIT NO CARGADO")</f>
        <v>-</v>
      </c>
      <c r="H594" s="60">
        <f>ventas_b_mes9[[#This Row],[TOTAL]]/1.21</f>
        <v>5851.24</v>
      </c>
      <c r="I594" s="228">
        <f>ventas_b_mes9[[#This Row],[IMPORTE NETO]]*0.21</f>
        <v>1228.7603999999999</v>
      </c>
      <c r="J594" s="229"/>
      <c r="K594" s="229"/>
      <c r="L594" s="229">
        <v>7080.0003999999999</v>
      </c>
      <c r="M594" s="55"/>
    </row>
    <row r="595" spans="2:13" x14ac:dyDescent="0.3">
      <c r="B595" s="223">
        <v>44900</v>
      </c>
      <c r="C595" s="224">
        <v>6</v>
      </c>
      <c r="D595" s="225">
        <v>11</v>
      </c>
      <c r="E595" s="226">
        <v>30433</v>
      </c>
      <c r="F595" s="227"/>
      <c r="G595" s="1" t="str">
        <f>IFERROR(IF(ventas_b_mes9[[#This Row],[CUIT]]="","-",VLOOKUP(ventas_b_mes9[[#This Row],[CUIT]],Lista_CUIT[#All],2,0)),"CUIT NO CARGADO")</f>
        <v>-</v>
      </c>
      <c r="H595" s="60">
        <f>ventas_b_mes9[[#This Row],[TOTAL]]/1.21</f>
        <v>29148.790000000005</v>
      </c>
      <c r="I595" s="228">
        <f>ventas_b_mes9[[#This Row],[IMPORTE NETO]]*0.21</f>
        <v>6121.2459000000008</v>
      </c>
      <c r="J595" s="229"/>
      <c r="K595" s="229"/>
      <c r="L595" s="229">
        <v>35270.035900000003</v>
      </c>
      <c r="M595" s="55"/>
    </row>
    <row r="596" spans="2:13" x14ac:dyDescent="0.3">
      <c r="B596" s="223">
        <v>44900</v>
      </c>
      <c r="C596" s="224">
        <v>6</v>
      </c>
      <c r="D596" s="225">
        <v>11</v>
      </c>
      <c r="E596" s="226">
        <v>30434</v>
      </c>
      <c r="F596" s="227"/>
      <c r="G596" s="1" t="str">
        <f>IFERROR(IF(ventas_b_mes9[[#This Row],[CUIT]]="","-",VLOOKUP(ventas_b_mes9[[#This Row],[CUIT]],Lista_CUIT[#All],2,0)),"CUIT NO CARGADO")</f>
        <v>-</v>
      </c>
      <c r="H596" s="60">
        <f>ventas_b_mes9[[#This Row],[TOTAL]]/1.21</f>
        <v>2082.65</v>
      </c>
      <c r="I596" s="228">
        <f>ventas_b_mes9[[#This Row],[IMPORTE NETO]]*0.21</f>
        <v>437.35649999999998</v>
      </c>
      <c r="J596" s="229"/>
      <c r="K596" s="229"/>
      <c r="L596" s="229">
        <v>2520.0065</v>
      </c>
      <c r="M596" s="55"/>
    </row>
    <row r="597" spans="2:13" x14ac:dyDescent="0.3">
      <c r="B597" s="223">
        <v>44901</v>
      </c>
      <c r="C597" s="224">
        <v>6</v>
      </c>
      <c r="D597" s="225">
        <v>11</v>
      </c>
      <c r="E597" s="226">
        <v>30444</v>
      </c>
      <c r="F597" s="227"/>
      <c r="G597" s="1" t="str">
        <f>IFERROR(IF(ventas_b_mes9[[#This Row],[CUIT]]="","-",VLOOKUP(ventas_b_mes9[[#This Row],[CUIT]],Lista_CUIT[#All],2,0)),"CUIT NO CARGADO")</f>
        <v>-</v>
      </c>
      <c r="H597" s="60">
        <f>ventas_b_mes9[[#This Row],[TOTAL]]/1.21</f>
        <v>4793.3900000000003</v>
      </c>
      <c r="I597" s="228">
        <f>ventas_b_mes9[[#This Row],[IMPORTE NETO]]*0.21</f>
        <v>1006.6119</v>
      </c>
      <c r="J597" s="229"/>
      <c r="K597" s="229"/>
      <c r="L597" s="229">
        <v>5800.0019000000002</v>
      </c>
      <c r="M597" s="55"/>
    </row>
    <row r="598" spans="2:13" x14ac:dyDescent="0.3">
      <c r="B598" s="223">
        <v>44901</v>
      </c>
      <c r="C598" s="224">
        <v>6</v>
      </c>
      <c r="D598" s="225">
        <v>11</v>
      </c>
      <c r="E598" s="226">
        <v>30445</v>
      </c>
      <c r="F598" s="227"/>
      <c r="G598" s="1" t="str">
        <f>IFERROR(IF(ventas_b_mes9[[#This Row],[CUIT]]="","-",VLOOKUP(ventas_b_mes9[[#This Row],[CUIT]],Lista_CUIT[#All],2,0)),"CUIT NO CARGADO")</f>
        <v>-</v>
      </c>
      <c r="H598" s="60">
        <f>ventas_b_mes9[[#This Row],[TOTAL]]/1.21</f>
        <v>6115.71</v>
      </c>
      <c r="I598" s="228">
        <f>ventas_b_mes9[[#This Row],[IMPORTE NETO]]*0.21</f>
        <v>1284.2991</v>
      </c>
      <c r="J598" s="229"/>
      <c r="K598" s="229"/>
      <c r="L598" s="229">
        <v>7400.0091000000002</v>
      </c>
      <c r="M598" s="55"/>
    </row>
    <row r="599" spans="2:13" x14ac:dyDescent="0.3">
      <c r="B599" s="223">
        <v>44901</v>
      </c>
      <c r="C599" s="224">
        <v>6</v>
      </c>
      <c r="D599" s="225">
        <v>11</v>
      </c>
      <c r="E599" s="226">
        <v>30446</v>
      </c>
      <c r="F599" s="227"/>
      <c r="G599" s="1" t="str">
        <f>IFERROR(IF(ventas_b_mes9[[#This Row],[CUIT]]="","-",VLOOKUP(ventas_b_mes9[[#This Row],[CUIT]],Lista_CUIT[#All],2,0)),"CUIT NO CARGADO")</f>
        <v>-</v>
      </c>
      <c r="H599" s="60">
        <f>ventas_b_mes9[[#This Row],[TOTAL]]/1.21</f>
        <v>2392.56</v>
      </c>
      <c r="I599" s="228">
        <f>ventas_b_mes9[[#This Row],[IMPORTE NETO]]*0.21</f>
        <v>502.43759999999997</v>
      </c>
      <c r="J599" s="229"/>
      <c r="K599" s="229"/>
      <c r="L599" s="229">
        <v>2894.9975999999997</v>
      </c>
      <c r="M599" s="55"/>
    </row>
    <row r="600" spans="2:13" x14ac:dyDescent="0.3">
      <c r="B600" s="223">
        <v>44901</v>
      </c>
      <c r="C600" s="224">
        <v>6</v>
      </c>
      <c r="D600" s="225">
        <v>11</v>
      </c>
      <c r="E600" s="226">
        <v>30447</v>
      </c>
      <c r="F600" s="227"/>
      <c r="G600" s="1" t="str">
        <f>IFERROR(IF(ventas_b_mes9[[#This Row],[CUIT]]="","-",VLOOKUP(ventas_b_mes9[[#This Row],[CUIT]],Lista_CUIT[#All],2,0)),"CUIT NO CARGADO")</f>
        <v>-</v>
      </c>
      <c r="H600" s="60">
        <f>ventas_b_mes9[[#This Row],[TOTAL]]/1.21</f>
        <v>4958.68</v>
      </c>
      <c r="I600" s="228">
        <f>ventas_b_mes9[[#This Row],[IMPORTE NETO]]*0.21</f>
        <v>1041.3227999999999</v>
      </c>
      <c r="J600" s="229"/>
      <c r="K600" s="229"/>
      <c r="L600" s="229">
        <v>6000.0028000000002</v>
      </c>
      <c r="M600" s="55"/>
    </row>
    <row r="601" spans="2:13" x14ac:dyDescent="0.3">
      <c r="B601" s="223">
        <v>44901</v>
      </c>
      <c r="C601" s="224">
        <v>6</v>
      </c>
      <c r="D601" s="225">
        <v>11</v>
      </c>
      <c r="E601" s="226">
        <v>30448</v>
      </c>
      <c r="F601" s="227"/>
      <c r="G601" s="1" t="str">
        <f>IFERROR(IF(ventas_b_mes9[[#This Row],[CUIT]]="","-",VLOOKUP(ventas_b_mes9[[#This Row],[CUIT]],Lista_CUIT[#All],2,0)),"CUIT NO CARGADO")</f>
        <v>-</v>
      </c>
      <c r="H601" s="60">
        <f>ventas_b_mes9[[#This Row],[TOTAL]]/1.21</f>
        <v>4165.29</v>
      </c>
      <c r="I601" s="228">
        <f>ventas_b_mes9[[#This Row],[IMPORTE NETO]]*0.21</f>
        <v>874.71089999999992</v>
      </c>
      <c r="J601" s="229"/>
      <c r="K601" s="229"/>
      <c r="L601" s="229">
        <v>5040.0009</v>
      </c>
      <c r="M601" s="55"/>
    </row>
    <row r="602" spans="2:13" x14ac:dyDescent="0.3">
      <c r="B602" s="223">
        <v>44901</v>
      </c>
      <c r="C602" s="224">
        <v>6</v>
      </c>
      <c r="D602" s="225">
        <v>11</v>
      </c>
      <c r="E602" s="226">
        <v>30449</v>
      </c>
      <c r="F602" s="227"/>
      <c r="G602" s="1" t="str">
        <f>IFERROR(IF(ventas_b_mes9[[#This Row],[CUIT]]="","-",VLOOKUP(ventas_b_mes9[[#This Row],[CUIT]],Lista_CUIT[#All],2,0)),"CUIT NO CARGADO")</f>
        <v>-</v>
      </c>
      <c r="H602" s="60">
        <f>ventas_b_mes9[[#This Row],[TOTAL]]/1.21</f>
        <v>991.74</v>
      </c>
      <c r="I602" s="228">
        <f>ventas_b_mes9[[#This Row],[IMPORTE NETO]]*0.21</f>
        <v>208.2654</v>
      </c>
      <c r="J602" s="229"/>
      <c r="K602" s="229"/>
      <c r="L602" s="229">
        <v>1200.0054</v>
      </c>
      <c r="M602" s="55"/>
    </row>
    <row r="603" spans="2:13" x14ac:dyDescent="0.3">
      <c r="B603" s="223">
        <v>44901</v>
      </c>
      <c r="C603" s="224">
        <v>6</v>
      </c>
      <c r="D603" s="225">
        <v>13</v>
      </c>
      <c r="E603" s="226">
        <v>27030</v>
      </c>
      <c r="F603" s="227"/>
      <c r="G603" s="1" t="str">
        <f>IFERROR(IF(ventas_b_mes9[[#This Row],[CUIT]]="","-",VLOOKUP(ventas_b_mes9[[#This Row],[CUIT]],Lista_CUIT[#All],2,0)),"CUIT NO CARGADO")</f>
        <v>-</v>
      </c>
      <c r="H603" s="60">
        <f>ventas_b_mes9[[#This Row],[TOTAL]]/1.21</f>
        <v>3016.53</v>
      </c>
      <c r="I603" s="228">
        <f>ventas_b_mes9[[#This Row],[IMPORTE NETO]]*0.21</f>
        <v>633.47130000000004</v>
      </c>
      <c r="J603" s="229"/>
      <c r="K603" s="229"/>
      <c r="L603" s="229">
        <v>3650.0013000000004</v>
      </c>
      <c r="M603" s="55"/>
    </row>
    <row r="604" spans="2:13" x14ac:dyDescent="0.3">
      <c r="B604" s="223">
        <v>44901</v>
      </c>
      <c r="C604" s="224">
        <v>6</v>
      </c>
      <c r="D604" s="225">
        <v>13</v>
      </c>
      <c r="E604" s="226">
        <v>27031</v>
      </c>
      <c r="F604" s="227">
        <v>111</v>
      </c>
      <c r="G604" s="1" t="str">
        <f>IFERROR(IF(ventas_b_mes9[[#This Row],[CUIT]]="","-",VLOOKUP(ventas_b_mes9[[#This Row],[CUIT]],Lista_CUIT[#All],2,0)),"CUIT NO CARGADO")</f>
        <v>LOPEZ,Sandra</v>
      </c>
      <c r="H604" s="60">
        <f>ventas_b_mes9[[#This Row],[TOTAL]]/1.21</f>
        <v>3016.53</v>
      </c>
      <c r="I604" s="228">
        <f>ventas_b_mes9[[#This Row],[IMPORTE NETO]]*0.21</f>
        <v>633.47130000000004</v>
      </c>
      <c r="J604" s="229"/>
      <c r="K604" s="229"/>
      <c r="L604" s="229">
        <v>3650.0013000000004</v>
      </c>
      <c r="M604" s="55"/>
    </row>
    <row r="605" spans="2:13" x14ac:dyDescent="0.3">
      <c r="B605" s="223">
        <v>44901</v>
      </c>
      <c r="C605" s="224">
        <v>6</v>
      </c>
      <c r="D605" s="225">
        <v>13</v>
      </c>
      <c r="E605" s="226">
        <v>27032</v>
      </c>
      <c r="F605" s="227"/>
      <c r="G605" s="1" t="str">
        <f>IFERROR(IF(ventas_b_mes9[[#This Row],[CUIT]]="","-",VLOOKUP(ventas_b_mes9[[#This Row],[CUIT]],Lista_CUIT[#All],2,0)),"CUIT NO CARGADO")</f>
        <v>-</v>
      </c>
      <c r="H605" s="60">
        <f>ventas_b_mes9[[#This Row],[TOTAL]]/1.21</f>
        <v>2677.69</v>
      </c>
      <c r="I605" s="228">
        <f>ventas_b_mes9[[#This Row],[IMPORTE NETO]]*0.21</f>
        <v>562.31489999999997</v>
      </c>
      <c r="J605" s="229"/>
      <c r="K605" s="229"/>
      <c r="L605" s="229">
        <v>3240.0048999999999</v>
      </c>
      <c r="M605" s="55"/>
    </row>
    <row r="606" spans="2:13" x14ac:dyDescent="0.3">
      <c r="B606" s="223">
        <v>44901</v>
      </c>
      <c r="C606" s="224">
        <v>6</v>
      </c>
      <c r="D606" s="225">
        <v>13</v>
      </c>
      <c r="E606" s="226">
        <v>27033</v>
      </c>
      <c r="F606" s="227"/>
      <c r="G606" s="1" t="str">
        <f>IFERROR(IF(ventas_b_mes9[[#This Row],[CUIT]]="","-",VLOOKUP(ventas_b_mes9[[#This Row],[CUIT]],Lista_CUIT[#All],2,0)),"CUIT NO CARGADO")</f>
        <v>-</v>
      </c>
      <c r="H606" s="60">
        <f>ventas_b_mes9[[#This Row],[TOTAL]]/1.21</f>
        <v>2066.12</v>
      </c>
      <c r="I606" s="228">
        <f>ventas_b_mes9[[#This Row],[IMPORTE NETO]]*0.21</f>
        <v>433.88519999999994</v>
      </c>
      <c r="J606" s="229"/>
      <c r="K606" s="229"/>
      <c r="L606" s="229">
        <v>2500.0051999999996</v>
      </c>
      <c r="M606" s="55"/>
    </row>
    <row r="607" spans="2:13" x14ac:dyDescent="0.3">
      <c r="B607" s="223">
        <v>44901</v>
      </c>
      <c r="C607" s="224">
        <v>6</v>
      </c>
      <c r="D607" s="225">
        <v>13</v>
      </c>
      <c r="E607" s="226">
        <v>27034</v>
      </c>
      <c r="F607" s="227"/>
      <c r="G607" s="1" t="str">
        <f>IFERROR(IF(ventas_b_mes9[[#This Row],[CUIT]]="","-",VLOOKUP(ventas_b_mes9[[#This Row],[CUIT]],Lista_CUIT[#All],2,0)),"CUIT NO CARGADO")</f>
        <v>-</v>
      </c>
      <c r="H607" s="60">
        <f>ventas_b_mes9[[#This Row],[TOTAL]]/1.21</f>
        <v>3429.7499999999995</v>
      </c>
      <c r="I607" s="228">
        <f>ventas_b_mes9[[#This Row],[IMPORTE NETO]]*0.21</f>
        <v>720.24749999999983</v>
      </c>
      <c r="J607" s="229"/>
      <c r="K607" s="229"/>
      <c r="L607" s="229">
        <v>4149.9974999999995</v>
      </c>
      <c r="M607" s="55"/>
    </row>
    <row r="608" spans="2:13" x14ac:dyDescent="0.3">
      <c r="B608" s="223">
        <v>44901</v>
      </c>
      <c r="C608" s="224">
        <v>6</v>
      </c>
      <c r="D608" s="225">
        <v>13</v>
      </c>
      <c r="E608" s="226">
        <v>27035</v>
      </c>
      <c r="F608" s="227"/>
      <c r="G608" s="1" t="str">
        <f>IFERROR(IF(ventas_b_mes9[[#This Row],[CUIT]]="","-",VLOOKUP(ventas_b_mes9[[#This Row],[CUIT]],Lista_CUIT[#All],2,0)),"CUIT NO CARGADO")</f>
        <v>-</v>
      </c>
      <c r="H608" s="60">
        <f>ventas_b_mes9[[#This Row],[TOTAL]]/1.21</f>
        <v>12826.45</v>
      </c>
      <c r="I608" s="228">
        <f>ventas_b_mes9[[#This Row],[IMPORTE NETO]]*0.21</f>
        <v>2693.5545000000002</v>
      </c>
      <c r="J608" s="229"/>
      <c r="K608" s="229"/>
      <c r="L608" s="229">
        <v>15520.004500000001</v>
      </c>
      <c r="M608" s="55"/>
    </row>
    <row r="609" spans="2:13" x14ac:dyDescent="0.3">
      <c r="B609" s="223">
        <v>44901</v>
      </c>
      <c r="C609" s="224">
        <v>6</v>
      </c>
      <c r="D609" s="225">
        <v>13</v>
      </c>
      <c r="E609" s="226">
        <v>27036</v>
      </c>
      <c r="F609" s="227"/>
      <c r="G609" s="1" t="str">
        <f>IFERROR(IF(ventas_b_mes9[[#This Row],[CUIT]]="","-",VLOOKUP(ventas_b_mes9[[#This Row],[CUIT]],Lista_CUIT[#All],2,0)),"CUIT NO CARGADO")</f>
        <v>-</v>
      </c>
      <c r="H609" s="60">
        <f>ventas_b_mes9[[#This Row],[TOTAL]]/1.21</f>
        <v>1636.36</v>
      </c>
      <c r="I609" s="228">
        <f>ventas_b_mes9[[#This Row],[IMPORTE NETO]]*0.21</f>
        <v>343.63559999999995</v>
      </c>
      <c r="J609" s="229"/>
      <c r="K609" s="229"/>
      <c r="L609" s="229">
        <v>1979.9955999999997</v>
      </c>
      <c r="M609" s="55"/>
    </row>
    <row r="610" spans="2:13" x14ac:dyDescent="0.3">
      <c r="B610" s="223">
        <v>44901</v>
      </c>
      <c r="C610" s="224">
        <v>6</v>
      </c>
      <c r="D610" s="225">
        <v>13</v>
      </c>
      <c r="E610" s="226">
        <v>27037</v>
      </c>
      <c r="F610" s="227"/>
      <c r="G610" s="1" t="str">
        <f>IFERROR(IF(ventas_b_mes9[[#This Row],[CUIT]]="","-",VLOOKUP(ventas_b_mes9[[#This Row],[CUIT]],Lista_CUIT[#All],2,0)),"CUIT NO CARGADO")</f>
        <v>-</v>
      </c>
      <c r="H610" s="60">
        <f>ventas_b_mes9[[#This Row],[TOTAL]]/1.21</f>
        <v>6057.84</v>
      </c>
      <c r="I610" s="228">
        <f>ventas_b_mes9[[#This Row],[IMPORTE NETO]]*0.21</f>
        <v>1272.1464000000001</v>
      </c>
      <c r="J610" s="229"/>
      <c r="K610" s="229"/>
      <c r="L610" s="229">
        <v>7329.9863999999998</v>
      </c>
      <c r="M610" s="55"/>
    </row>
    <row r="611" spans="2:13" x14ac:dyDescent="0.3">
      <c r="B611" s="223">
        <v>44901</v>
      </c>
      <c r="C611" s="224">
        <v>6</v>
      </c>
      <c r="D611" s="225">
        <v>13</v>
      </c>
      <c r="E611" s="226">
        <v>27038</v>
      </c>
      <c r="F611" s="227"/>
      <c r="G611" s="1" t="str">
        <f>IFERROR(IF(ventas_b_mes9[[#This Row],[CUIT]]="","-",VLOOKUP(ventas_b_mes9[[#This Row],[CUIT]],Lista_CUIT[#All],2,0)),"CUIT NO CARGADO")</f>
        <v>-</v>
      </c>
      <c r="H611" s="60">
        <f>ventas_b_mes9[[#This Row],[TOTAL]]/1.21</f>
        <v>2082.65</v>
      </c>
      <c r="I611" s="228">
        <f>ventas_b_mes9[[#This Row],[IMPORTE NETO]]*0.21</f>
        <v>437.35649999999998</v>
      </c>
      <c r="J611" s="229"/>
      <c r="K611" s="229"/>
      <c r="L611" s="229">
        <v>2520.0065</v>
      </c>
      <c r="M611" s="55"/>
    </row>
    <row r="612" spans="2:13" x14ac:dyDescent="0.3">
      <c r="B612" s="223">
        <v>44901</v>
      </c>
      <c r="C612" s="224">
        <v>6</v>
      </c>
      <c r="D612" s="225">
        <v>13</v>
      </c>
      <c r="E612" s="226">
        <v>27039</v>
      </c>
      <c r="F612" s="227"/>
      <c r="G612" s="1" t="str">
        <f>IFERROR(IF(ventas_b_mes9[[#This Row],[CUIT]]="","-",VLOOKUP(ventas_b_mes9[[#This Row],[CUIT]],Lista_CUIT[#All],2,0)),"CUIT NO CARGADO")</f>
        <v>-</v>
      </c>
      <c r="H612" s="60">
        <f>ventas_b_mes9[[#This Row],[TOTAL]]/1.21</f>
        <v>41667.78</v>
      </c>
      <c r="I612" s="228">
        <f>ventas_b_mes9[[#This Row],[IMPORTE NETO]]*0.21</f>
        <v>8750.2338</v>
      </c>
      <c r="J612" s="229"/>
      <c r="K612" s="229"/>
      <c r="L612" s="229">
        <v>50418.013800000001</v>
      </c>
      <c r="M612" s="55"/>
    </row>
    <row r="613" spans="2:13" x14ac:dyDescent="0.3">
      <c r="B613" s="223">
        <v>44901</v>
      </c>
      <c r="C613" s="224">
        <v>6</v>
      </c>
      <c r="D613" s="225">
        <v>13</v>
      </c>
      <c r="E613" s="226">
        <v>27040</v>
      </c>
      <c r="F613" s="227"/>
      <c r="G613" s="1" t="str">
        <f>IFERROR(IF(ventas_b_mes9[[#This Row],[CUIT]]="","-",VLOOKUP(ventas_b_mes9[[#This Row],[CUIT]],Lista_CUIT[#All],2,0)),"CUIT NO CARGADO")</f>
        <v>-</v>
      </c>
      <c r="H613" s="60">
        <f>ventas_b_mes9[[#This Row],[TOTAL]]/1.21</f>
        <v>5392.56</v>
      </c>
      <c r="I613" s="228">
        <f>ventas_b_mes9[[#This Row],[IMPORTE NETO]]*0.21</f>
        <v>1132.4376</v>
      </c>
      <c r="J613" s="229"/>
      <c r="K613" s="229"/>
      <c r="L613" s="229">
        <v>6524.9976000000006</v>
      </c>
      <c r="M613" s="55"/>
    </row>
    <row r="614" spans="2:13" x14ac:dyDescent="0.3">
      <c r="B614" s="223">
        <v>44901</v>
      </c>
      <c r="C614" s="224">
        <v>6</v>
      </c>
      <c r="D614" s="225">
        <v>13</v>
      </c>
      <c r="E614" s="226">
        <v>27041</v>
      </c>
      <c r="F614" s="227"/>
      <c r="G614" s="1" t="str">
        <f>IFERROR(IF(ventas_b_mes9[[#This Row],[CUIT]]="","-",VLOOKUP(ventas_b_mes9[[#This Row],[CUIT]],Lista_CUIT[#All],2,0)),"CUIT NO CARGADO")</f>
        <v>-</v>
      </c>
      <c r="H614" s="60">
        <f>ventas_b_mes9[[#This Row],[TOTAL]]/1.21</f>
        <v>1636.36</v>
      </c>
      <c r="I614" s="228">
        <f>ventas_b_mes9[[#This Row],[IMPORTE NETO]]*0.21</f>
        <v>343.63559999999995</v>
      </c>
      <c r="J614" s="229"/>
      <c r="K614" s="229"/>
      <c r="L614" s="229">
        <v>1979.9955999999997</v>
      </c>
      <c r="M614" s="55"/>
    </row>
    <row r="615" spans="2:13" x14ac:dyDescent="0.3">
      <c r="B615" s="223">
        <v>44901</v>
      </c>
      <c r="C615" s="224">
        <v>6</v>
      </c>
      <c r="D615" s="225">
        <v>13</v>
      </c>
      <c r="E615" s="226">
        <v>27042</v>
      </c>
      <c r="F615" s="227"/>
      <c r="G615" s="1" t="str">
        <f>IFERROR(IF(ventas_b_mes9[[#This Row],[CUIT]]="","-",VLOOKUP(ventas_b_mes9[[#This Row],[CUIT]],Lista_CUIT[#All],2,0)),"CUIT NO CARGADO")</f>
        <v>-</v>
      </c>
      <c r="H615" s="60">
        <f>ventas_b_mes9[[#This Row],[TOTAL]]/1.21</f>
        <v>6495.87</v>
      </c>
      <c r="I615" s="228">
        <f>ventas_b_mes9[[#This Row],[IMPORTE NETO]]*0.21</f>
        <v>1364.1326999999999</v>
      </c>
      <c r="J615" s="229"/>
      <c r="K615" s="229"/>
      <c r="L615" s="229">
        <v>7860.0027</v>
      </c>
      <c r="M615" s="55"/>
    </row>
    <row r="616" spans="2:13" x14ac:dyDescent="0.3">
      <c r="B616" s="223">
        <v>44901</v>
      </c>
      <c r="C616" s="224">
        <v>6</v>
      </c>
      <c r="D616" s="225">
        <v>13</v>
      </c>
      <c r="E616" s="226">
        <v>27043</v>
      </c>
      <c r="F616" s="227"/>
      <c r="G616" s="1" t="str">
        <f>IFERROR(IF(ventas_b_mes9[[#This Row],[CUIT]]="","-",VLOOKUP(ventas_b_mes9[[#This Row],[CUIT]],Lista_CUIT[#All],2,0)),"CUIT NO CARGADO")</f>
        <v>-</v>
      </c>
      <c r="H616" s="60">
        <f>ventas_b_mes9[[#This Row],[TOTAL]]/1.21</f>
        <v>1685.95</v>
      </c>
      <c r="I616" s="228">
        <f>ventas_b_mes9[[#This Row],[IMPORTE NETO]]*0.21</f>
        <v>354.04950000000002</v>
      </c>
      <c r="J616" s="229"/>
      <c r="K616" s="229"/>
      <c r="L616" s="229">
        <v>2039.9995000000001</v>
      </c>
      <c r="M616" s="55"/>
    </row>
    <row r="617" spans="2:13" x14ac:dyDescent="0.3">
      <c r="B617" s="223">
        <v>44901</v>
      </c>
      <c r="C617" s="224">
        <v>6</v>
      </c>
      <c r="D617" s="225">
        <v>13</v>
      </c>
      <c r="E617" s="226">
        <v>27044</v>
      </c>
      <c r="F617" s="227"/>
      <c r="G617" s="1" t="str">
        <f>IFERROR(IF(ventas_b_mes9[[#This Row],[CUIT]]="","-",VLOOKUP(ventas_b_mes9[[#This Row],[CUIT]],Lista_CUIT[#All],2,0)),"CUIT NO CARGADO")</f>
        <v>-</v>
      </c>
      <c r="H617" s="60">
        <f>ventas_b_mes9[[#This Row],[TOTAL]]/1.21</f>
        <v>413.22</v>
      </c>
      <c r="I617" s="228">
        <f>ventas_b_mes9[[#This Row],[IMPORTE NETO]]*0.21</f>
        <v>86.776200000000003</v>
      </c>
      <c r="J617" s="229"/>
      <c r="K617" s="229"/>
      <c r="L617" s="229">
        <v>499.99620000000004</v>
      </c>
      <c r="M617" s="55"/>
    </row>
    <row r="618" spans="2:13" x14ac:dyDescent="0.3">
      <c r="B618" s="223">
        <v>44901</v>
      </c>
      <c r="C618" s="224">
        <v>6</v>
      </c>
      <c r="D618" s="225">
        <v>15</v>
      </c>
      <c r="E618" s="226">
        <v>7403</v>
      </c>
      <c r="F618" s="227">
        <v>38268441</v>
      </c>
      <c r="G618" s="1" t="str">
        <f>IFERROR(IF(ventas_b_mes9[[#This Row],[CUIT]]="","-",VLOOKUP(ventas_b_mes9[[#This Row],[CUIT]],Lista_CUIT[#All],2,0)),"CUIT NO CARGADO")</f>
        <v>MARQUEZ, MAYRA (alumna)</v>
      </c>
      <c r="H618" s="60">
        <f>ventas_b_mes9[[#This Row],[TOTAL]]/1.21</f>
        <v>351.24</v>
      </c>
      <c r="I618" s="228">
        <f>ventas_b_mes9[[#This Row],[IMPORTE NETO]]*0.21</f>
        <v>73.760400000000004</v>
      </c>
      <c r="J618" s="229"/>
      <c r="K618" s="229"/>
      <c r="L618" s="229">
        <v>425.00040000000001</v>
      </c>
      <c r="M618" s="55"/>
    </row>
    <row r="619" spans="2:13" x14ac:dyDescent="0.3">
      <c r="B619" s="223">
        <v>44901</v>
      </c>
      <c r="C619" s="224">
        <v>6</v>
      </c>
      <c r="D619" s="225">
        <v>15</v>
      </c>
      <c r="E619" s="226">
        <v>7404</v>
      </c>
      <c r="F619" s="227">
        <v>38268441</v>
      </c>
      <c r="G619" s="1" t="str">
        <f>IFERROR(IF(ventas_b_mes9[[#This Row],[CUIT]]="","-",VLOOKUP(ventas_b_mes9[[#This Row],[CUIT]],Lista_CUIT[#All],2,0)),"CUIT NO CARGADO")</f>
        <v>MARQUEZ, MAYRA (alumna)</v>
      </c>
      <c r="H619" s="60">
        <f>ventas_b_mes9[[#This Row],[TOTAL]]/1.21</f>
        <v>2479.34</v>
      </c>
      <c r="I619" s="228">
        <f>ventas_b_mes9[[#This Row],[IMPORTE NETO]]*0.21</f>
        <v>520.66139999999996</v>
      </c>
      <c r="J619" s="229"/>
      <c r="K619" s="229"/>
      <c r="L619" s="229">
        <v>3000.0014000000001</v>
      </c>
      <c r="M619" s="55"/>
    </row>
    <row r="620" spans="2:13" x14ac:dyDescent="0.3">
      <c r="B620" s="223">
        <v>44901</v>
      </c>
      <c r="C620" s="224">
        <v>6</v>
      </c>
      <c r="D620" s="225">
        <v>15</v>
      </c>
      <c r="E620" s="226">
        <v>7405</v>
      </c>
      <c r="F620" s="227">
        <v>42043394</v>
      </c>
      <c r="G620" s="1" t="str">
        <f>IFERROR(IF(ventas_b_mes9[[#This Row],[CUIT]]="","-",VLOOKUP(ventas_b_mes9[[#This Row],[CUIT]],Lista_CUIT[#All],2,0)),"CUIT NO CARGADO")</f>
        <v>MORENO PICARDO, SOFIA (alumna)</v>
      </c>
      <c r="H620" s="60">
        <f>ventas_b_mes9[[#This Row],[TOTAL]]/1.21</f>
        <v>2479.34</v>
      </c>
      <c r="I620" s="228">
        <f>ventas_b_mes9[[#This Row],[IMPORTE NETO]]*0.21</f>
        <v>520.66139999999996</v>
      </c>
      <c r="J620" s="229"/>
      <c r="K620" s="229"/>
      <c r="L620" s="229">
        <v>3000.0014000000001</v>
      </c>
      <c r="M620" s="55"/>
    </row>
    <row r="621" spans="2:13" x14ac:dyDescent="0.3">
      <c r="B621" s="223">
        <v>44901</v>
      </c>
      <c r="C621" s="224">
        <v>6</v>
      </c>
      <c r="D621" s="225">
        <v>15</v>
      </c>
      <c r="E621" s="226">
        <v>7406</v>
      </c>
      <c r="F621" s="227">
        <v>42043394</v>
      </c>
      <c r="G621" s="1" t="str">
        <f>IFERROR(IF(ventas_b_mes9[[#This Row],[CUIT]]="","-",VLOOKUP(ventas_b_mes9[[#This Row],[CUIT]],Lista_CUIT[#All],2,0)),"CUIT NO CARGADO")</f>
        <v>MORENO PICARDO, SOFIA (alumna)</v>
      </c>
      <c r="H621" s="60">
        <f>ventas_b_mes9[[#This Row],[TOTAL]]/1.21</f>
        <v>4958.68</v>
      </c>
      <c r="I621" s="228">
        <f>ventas_b_mes9[[#This Row],[IMPORTE NETO]]*0.21</f>
        <v>1041.3227999999999</v>
      </c>
      <c r="J621" s="229"/>
      <c r="K621" s="229"/>
      <c r="L621" s="229">
        <v>6000.0028000000002</v>
      </c>
      <c r="M621" s="55"/>
    </row>
    <row r="622" spans="2:13" x14ac:dyDescent="0.3">
      <c r="B622" s="223">
        <v>44901</v>
      </c>
      <c r="C622" s="224">
        <v>6</v>
      </c>
      <c r="D622" s="225">
        <v>15</v>
      </c>
      <c r="E622" s="226">
        <v>7407</v>
      </c>
      <c r="F622" s="227">
        <v>18396100</v>
      </c>
      <c r="G622" s="1" t="str">
        <f>IFERROR(IF(ventas_b_mes9[[#This Row],[CUIT]]="","-",VLOOKUP(ventas_b_mes9[[#This Row],[CUIT]],Lista_CUIT[#All],2,0)),"CUIT NO CARGADO")</f>
        <v>AGUIRRE, ARGENTINA BEATRIZ</v>
      </c>
      <c r="H622" s="60">
        <f>ventas_b_mes9[[#This Row],[TOTAL]]/1.21</f>
        <v>25142.89</v>
      </c>
      <c r="I622" s="228">
        <f>ventas_b_mes9[[#This Row],[IMPORTE NETO]]*0.21</f>
        <v>5280.0068999999994</v>
      </c>
      <c r="J622" s="229"/>
      <c r="K622" s="229"/>
      <c r="L622" s="229">
        <v>30422.8969</v>
      </c>
      <c r="M622" s="55"/>
    </row>
    <row r="623" spans="2:13" x14ac:dyDescent="0.3">
      <c r="B623" s="223">
        <v>44901</v>
      </c>
      <c r="C623" s="224">
        <v>6</v>
      </c>
      <c r="D623" s="225">
        <v>15</v>
      </c>
      <c r="E623" s="226">
        <v>7408</v>
      </c>
      <c r="F623" s="227"/>
      <c r="G623" s="1" t="str">
        <f>IFERROR(IF(ventas_b_mes9[[#This Row],[CUIT]]="","-",VLOOKUP(ventas_b_mes9[[#This Row],[CUIT]],Lista_CUIT[#All],2,0)),"CUIT NO CARGADO")</f>
        <v>-</v>
      </c>
      <c r="H623" s="60">
        <f>ventas_b_mes9[[#This Row],[TOTAL]]/1.21</f>
        <v>16710.740000000002</v>
      </c>
      <c r="I623" s="228">
        <f>ventas_b_mes9[[#This Row],[IMPORTE NETO]]*0.21</f>
        <v>3509.2554</v>
      </c>
      <c r="J623" s="229"/>
      <c r="K623" s="229"/>
      <c r="L623" s="229">
        <v>20219.9954</v>
      </c>
      <c r="M623" s="55"/>
    </row>
    <row r="624" spans="2:13" x14ac:dyDescent="0.3">
      <c r="B624" s="223">
        <v>44901</v>
      </c>
      <c r="C624" s="224">
        <v>6</v>
      </c>
      <c r="D624" s="225">
        <v>15</v>
      </c>
      <c r="E624" s="226">
        <v>7409</v>
      </c>
      <c r="F624" s="227"/>
      <c r="G624" s="1" t="str">
        <f>IFERROR(IF(ventas_b_mes9[[#This Row],[CUIT]]="","-",VLOOKUP(ventas_b_mes9[[#This Row],[CUIT]],Lista_CUIT[#All],2,0)),"CUIT NO CARGADO")</f>
        <v>-</v>
      </c>
      <c r="H624" s="60">
        <f>ventas_b_mes9[[#This Row],[TOTAL]]/1.21</f>
        <v>2066.12</v>
      </c>
      <c r="I624" s="228">
        <f>ventas_b_mes9[[#This Row],[IMPORTE NETO]]*0.21</f>
        <v>433.88519999999994</v>
      </c>
      <c r="J624" s="229"/>
      <c r="K624" s="229"/>
      <c r="L624" s="229">
        <v>2500.0051999999996</v>
      </c>
      <c r="M624" s="55"/>
    </row>
    <row r="625" spans="2:13" x14ac:dyDescent="0.3">
      <c r="B625" s="223">
        <v>44901</v>
      </c>
      <c r="C625" s="224">
        <v>6</v>
      </c>
      <c r="D625" s="225">
        <v>15</v>
      </c>
      <c r="E625" s="226">
        <v>7410</v>
      </c>
      <c r="F625" s="227">
        <v>26927710</v>
      </c>
      <c r="G625" s="1" t="str">
        <f>IFERROR(IF(ventas_b_mes9[[#This Row],[CUIT]]="","-",VLOOKUP(ventas_b_mes9[[#This Row],[CUIT]],Lista_CUIT[#All],2,0)),"CUIT NO CARGADO")</f>
        <v>AGNOLETTO, ANABELLA NATALIA</v>
      </c>
      <c r="H625" s="60">
        <f>ventas_b_mes9[[#This Row],[TOTAL]]/1.21</f>
        <v>2066.12</v>
      </c>
      <c r="I625" s="228">
        <f>ventas_b_mes9[[#This Row],[IMPORTE NETO]]*0.21</f>
        <v>433.88519999999994</v>
      </c>
      <c r="J625" s="229"/>
      <c r="K625" s="229"/>
      <c r="L625" s="229">
        <v>2500.0051999999996</v>
      </c>
      <c r="M625" s="55"/>
    </row>
    <row r="626" spans="2:13" x14ac:dyDescent="0.3">
      <c r="B626" s="223">
        <v>44901</v>
      </c>
      <c r="C626" s="224">
        <v>6</v>
      </c>
      <c r="D626" s="225">
        <v>15</v>
      </c>
      <c r="E626" s="226">
        <v>7411</v>
      </c>
      <c r="F626" s="227">
        <v>29561228</v>
      </c>
      <c r="G626" s="1" t="str">
        <f>IFERROR(IF(ventas_b_mes9[[#This Row],[CUIT]]="","-",VLOOKUP(ventas_b_mes9[[#This Row],[CUIT]],Lista_CUIT[#All],2,0)),"CUIT NO CARGADO")</f>
        <v>MARTINEZ , SILVIA BEATRIZ</v>
      </c>
      <c r="H626" s="60">
        <f>ventas_b_mes9[[#This Row],[TOTAL]]/1.21</f>
        <v>4793.3900000000003</v>
      </c>
      <c r="I626" s="228">
        <f>ventas_b_mes9[[#This Row],[IMPORTE NETO]]*0.21</f>
        <v>1006.6119</v>
      </c>
      <c r="J626" s="229"/>
      <c r="K626" s="229"/>
      <c r="L626" s="229">
        <v>5800.0019000000002</v>
      </c>
      <c r="M626" s="55"/>
    </row>
    <row r="627" spans="2:13" x14ac:dyDescent="0.3">
      <c r="B627" s="223">
        <v>44901</v>
      </c>
      <c r="C627" s="224">
        <v>6</v>
      </c>
      <c r="D627" s="225">
        <v>15</v>
      </c>
      <c r="E627" s="226">
        <v>7412</v>
      </c>
      <c r="F627" s="227"/>
      <c r="G627" s="1" t="str">
        <f>IFERROR(IF(ventas_b_mes9[[#This Row],[CUIT]]="","-",VLOOKUP(ventas_b_mes9[[#This Row],[CUIT]],Lista_CUIT[#All],2,0)),"CUIT NO CARGADO")</f>
        <v>-</v>
      </c>
      <c r="H627" s="60">
        <f>ventas_b_mes9[[#This Row],[TOTAL]]/1.21</f>
        <v>9586.7800000000007</v>
      </c>
      <c r="I627" s="228">
        <f>ventas_b_mes9[[#This Row],[IMPORTE NETO]]*0.21</f>
        <v>2013.2238</v>
      </c>
      <c r="J627" s="229"/>
      <c r="K627" s="229"/>
      <c r="L627" s="229">
        <v>11600.0038</v>
      </c>
      <c r="M627" s="55"/>
    </row>
    <row r="628" spans="2:13" x14ac:dyDescent="0.3">
      <c r="B628" s="223">
        <v>44901</v>
      </c>
      <c r="C628" s="224">
        <v>6</v>
      </c>
      <c r="D628" s="225">
        <v>10</v>
      </c>
      <c r="E628" s="226">
        <v>44316</v>
      </c>
      <c r="F628" s="227"/>
      <c r="G628" s="1" t="str">
        <f>IFERROR(IF(ventas_b_mes9[[#This Row],[CUIT]]="","-",VLOOKUP(ventas_b_mes9[[#This Row],[CUIT]],Lista_CUIT[#All],2,0)),"CUIT NO CARGADO")</f>
        <v>-</v>
      </c>
      <c r="H628" s="60">
        <f>ventas_b_mes9[[#This Row],[TOTAL]]/1.21</f>
        <v>4958.68</v>
      </c>
      <c r="I628" s="228">
        <f>ventas_b_mes9[[#This Row],[IMPORTE NETO]]*0.21</f>
        <v>1041.3227999999999</v>
      </c>
      <c r="J628" s="229"/>
      <c r="K628" s="229"/>
      <c r="L628" s="229">
        <v>6000.0028000000002</v>
      </c>
      <c r="M628" s="55"/>
    </row>
    <row r="629" spans="2:13" x14ac:dyDescent="0.3">
      <c r="B629" s="223">
        <v>44901</v>
      </c>
      <c r="C629" s="224">
        <v>6</v>
      </c>
      <c r="D629" s="225">
        <v>10</v>
      </c>
      <c r="E629" s="226">
        <v>44317</v>
      </c>
      <c r="F629" s="227"/>
      <c r="G629" s="1" t="str">
        <f>IFERROR(IF(ventas_b_mes9[[#This Row],[CUIT]]="","-",VLOOKUP(ventas_b_mes9[[#This Row],[CUIT]],Lista_CUIT[#All],2,0)),"CUIT NO CARGADO")</f>
        <v>-</v>
      </c>
      <c r="H629" s="60">
        <f>ventas_b_mes9[[#This Row],[TOTAL]]/1.21</f>
        <v>2148.7600000000002</v>
      </c>
      <c r="I629" s="228">
        <f>ventas_b_mes9[[#This Row],[IMPORTE NETO]]*0.21</f>
        <v>451.23960000000005</v>
      </c>
      <c r="J629" s="229"/>
      <c r="K629" s="229"/>
      <c r="L629" s="229">
        <v>2599.9996000000001</v>
      </c>
      <c r="M629" s="55"/>
    </row>
    <row r="630" spans="2:13" x14ac:dyDescent="0.3">
      <c r="B630" s="223">
        <v>44901</v>
      </c>
      <c r="C630" s="224">
        <v>6</v>
      </c>
      <c r="D630" s="225">
        <v>10</v>
      </c>
      <c r="E630" s="226">
        <v>44318</v>
      </c>
      <c r="F630" s="227"/>
      <c r="G630" s="1" t="str">
        <f>IFERROR(IF(ventas_b_mes9[[#This Row],[CUIT]]="","-",VLOOKUP(ventas_b_mes9[[#This Row],[CUIT]],Lista_CUIT[#All],2,0)),"CUIT NO CARGADO")</f>
        <v>-</v>
      </c>
      <c r="H630" s="60">
        <f>ventas_b_mes9[[#This Row],[TOTAL]]/1.21</f>
        <v>13289.26</v>
      </c>
      <c r="I630" s="228">
        <f>ventas_b_mes9[[#This Row],[IMPORTE NETO]]*0.21</f>
        <v>2790.7446</v>
      </c>
      <c r="J630" s="229"/>
      <c r="K630" s="229"/>
      <c r="L630" s="229">
        <v>16080.0046</v>
      </c>
      <c r="M630" s="55"/>
    </row>
    <row r="631" spans="2:13" x14ac:dyDescent="0.3">
      <c r="B631" s="223">
        <v>44901</v>
      </c>
      <c r="C631" s="224">
        <v>6</v>
      </c>
      <c r="D631" s="225">
        <v>10</v>
      </c>
      <c r="E631" s="226">
        <v>44319</v>
      </c>
      <c r="F631" s="227"/>
      <c r="G631" s="1" t="str">
        <f>IFERROR(IF(ventas_b_mes9[[#This Row],[CUIT]]="","-",VLOOKUP(ventas_b_mes9[[#This Row],[CUIT]],Lista_CUIT[#All],2,0)),"CUIT NO CARGADO")</f>
        <v>-</v>
      </c>
      <c r="H631" s="60">
        <f>ventas_b_mes9[[#This Row],[TOTAL]]/1.21</f>
        <v>15900.830000000002</v>
      </c>
      <c r="I631" s="228">
        <f>ventas_b_mes9[[#This Row],[IMPORTE NETO]]*0.21</f>
        <v>3339.1743000000001</v>
      </c>
      <c r="J631" s="229"/>
      <c r="K631" s="229"/>
      <c r="L631" s="229">
        <v>19240.004300000001</v>
      </c>
      <c r="M631" s="55"/>
    </row>
    <row r="632" spans="2:13" x14ac:dyDescent="0.3">
      <c r="B632" s="223">
        <v>44901</v>
      </c>
      <c r="C632" s="224">
        <v>6</v>
      </c>
      <c r="D632" s="225">
        <v>10</v>
      </c>
      <c r="E632" s="226">
        <v>44320</v>
      </c>
      <c r="F632" s="227"/>
      <c r="G632" s="1" t="str">
        <f>IFERROR(IF(ventas_b_mes9[[#This Row],[CUIT]]="","-",VLOOKUP(ventas_b_mes9[[#This Row],[CUIT]],Lista_CUIT[#All],2,0)),"CUIT NO CARGADO")</f>
        <v>-</v>
      </c>
      <c r="H632" s="60">
        <f>ventas_b_mes9[[#This Row],[TOTAL]]/1.21</f>
        <v>8077.6900000000005</v>
      </c>
      <c r="I632" s="228">
        <f>ventas_b_mes9[[#This Row],[IMPORTE NETO]]*0.21</f>
        <v>1696.3149000000001</v>
      </c>
      <c r="J632" s="229"/>
      <c r="K632" s="229"/>
      <c r="L632" s="229">
        <v>9774.0048999999999</v>
      </c>
      <c r="M632" s="55"/>
    </row>
    <row r="633" spans="2:13" x14ac:dyDescent="0.3">
      <c r="B633" s="223">
        <v>44901</v>
      </c>
      <c r="C633" s="224">
        <v>6</v>
      </c>
      <c r="D633" s="225">
        <v>10</v>
      </c>
      <c r="E633" s="226">
        <v>44321</v>
      </c>
      <c r="F633" s="227"/>
      <c r="G633" s="1" t="str">
        <f>IFERROR(IF(ventas_b_mes9[[#This Row],[CUIT]]="","-",VLOOKUP(ventas_b_mes9[[#This Row],[CUIT]],Lista_CUIT[#All],2,0)),"CUIT NO CARGADO")</f>
        <v>-</v>
      </c>
      <c r="H633" s="60">
        <f>ventas_b_mes9[[#This Row],[TOTAL]]/1.21</f>
        <v>2107.44</v>
      </c>
      <c r="I633" s="228">
        <f>ventas_b_mes9[[#This Row],[IMPORTE NETO]]*0.21</f>
        <v>442.56239999999997</v>
      </c>
      <c r="J633" s="229"/>
      <c r="K633" s="229"/>
      <c r="L633" s="229">
        <v>2550.0023999999999</v>
      </c>
      <c r="M633" s="55"/>
    </row>
    <row r="634" spans="2:13" x14ac:dyDescent="0.3">
      <c r="B634" s="223">
        <v>44901</v>
      </c>
      <c r="C634" s="224">
        <v>6</v>
      </c>
      <c r="D634" s="225">
        <v>10</v>
      </c>
      <c r="E634" s="226">
        <v>44322</v>
      </c>
      <c r="F634" s="227"/>
      <c r="G634" s="1" t="str">
        <f>IFERROR(IF(ventas_b_mes9[[#This Row],[CUIT]]="","-",VLOOKUP(ventas_b_mes9[[#This Row],[CUIT]],Lista_CUIT[#All],2,0)),"CUIT NO CARGADO")</f>
        <v>-</v>
      </c>
      <c r="H634" s="60">
        <f>ventas_b_mes9[[#This Row],[TOTAL]]/1.21</f>
        <v>1628.1</v>
      </c>
      <c r="I634" s="228">
        <f>ventas_b_mes9[[#This Row],[IMPORTE NETO]]*0.21</f>
        <v>341.90099999999995</v>
      </c>
      <c r="J634" s="229"/>
      <c r="K634" s="229"/>
      <c r="L634" s="229">
        <v>1970.0009999999997</v>
      </c>
      <c r="M634" s="55"/>
    </row>
    <row r="635" spans="2:13" x14ac:dyDescent="0.3">
      <c r="B635" s="223">
        <v>44901</v>
      </c>
      <c r="C635" s="224">
        <v>6</v>
      </c>
      <c r="D635" s="225">
        <v>10</v>
      </c>
      <c r="E635" s="226">
        <v>44323</v>
      </c>
      <c r="F635" s="227"/>
      <c r="G635" s="1" t="str">
        <f>IFERROR(IF(ventas_b_mes9[[#This Row],[CUIT]]="","-",VLOOKUP(ventas_b_mes9[[#This Row],[CUIT]],Lista_CUIT[#All],2,0)),"CUIT NO CARGADO")</f>
        <v>-</v>
      </c>
      <c r="H635" s="60">
        <f>ventas_b_mes9[[#This Row],[TOTAL]]/1.21</f>
        <v>2479.34</v>
      </c>
      <c r="I635" s="228">
        <f>ventas_b_mes9[[#This Row],[IMPORTE NETO]]*0.21</f>
        <v>520.66139999999996</v>
      </c>
      <c r="J635" s="229"/>
      <c r="K635" s="229"/>
      <c r="L635" s="229">
        <v>3000.0014000000001</v>
      </c>
      <c r="M635" s="55"/>
    </row>
    <row r="636" spans="2:13" x14ac:dyDescent="0.3">
      <c r="B636" s="223">
        <v>44901</v>
      </c>
      <c r="C636" s="224">
        <v>6</v>
      </c>
      <c r="D636" s="225">
        <v>10</v>
      </c>
      <c r="E636" s="226">
        <v>44324</v>
      </c>
      <c r="F636" s="227"/>
      <c r="G636" s="1" t="str">
        <f>IFERROR(IF(ventas_b_mes9[[#This Row],[CUIT]]="","-",VLOOKUP(ventas_b_mes9[[#This Row],[CUIT]],Lista_CUIT[#All],2,0)),"CUIT NO CARGADO")</f>
        <v>-</v>
      </c>
      <c r="H636" s="60">
        <f>ventas_b_mes9[[#This Row],[TOTAL]]/1.21</f>
        <v>4958.68</v>
      </c>
      <c r="I636" s="228">
        <f>ventas_b_mes9[[#This Row],[IMPORTE NETO]]*0.21</f>
        <v>1041.3227999999999</v>
      </c>
      <c r="J636" s="229"/>
      <c r="K636" s="229"/>
      <c r="L636" s="229">
        <v>6000.0028000000002</v>
      </c>
      <c r="M636" s="55"/>
    </row>
    <row r="637" spans="2:13" x14ac:dyDescent="0.3">
      <c r="B637" s="223">
        <v>44901</v>
      </c>
      <c r="C637" s="224">
        <v>6</v>
      </c>
      <c r="D637" s="225">
        <v>10</v>
      </c>
      <c r="E637" s="226">
        <v>44325</v>
      </c>
      <c r="F637" s="227"/>
      <c r="G637" s="1" t="str">
        <f>IFERROR(IF(ventas_b_mes9[[#This Row],[CUIT]]="","-",VLOOKUP(ventas_b_mes9[[#This Row],[CUIT]],Lista_CUIT[#All],2,0)),"CUIT NO CARGADO")</f>
        <v>-</v>
      </c>
      <c r="H637" s="60">
        <f>ventas_b_mes9[[#This Row],[TOTAL]]/1.21</f>
        <v>2148.7600000000002</v>
      </c>
      <c r="I637" s="228">
        <f>ventas_b_mes9[[#This Row],[IMPORTE NETO]]*0.21</f>
        <v>451.23960000000005</v>
      </c>
      <c r="J637" s="229"/>
      <c r="K637" s="229"/>
      <c r="L637" s="229">
        <v>2599.9996000000001</v>
      </c>
      <c r="M637" s="55"/>
    </row>
    <row r="638" spans="2:13" x14ac:dyDescent="0.3">
      <c r="B638" s="223">
        <v>44901</v>
      </c>
      <c r="C638" s="224">
        <v>6</v>
      </c>
      <c r="D638" s="225">
        <v>10</v>
      </c>
      <c r="E638" s="226">
        <v>44326</v>
      </c>
      <c r="F638" s="227"/>
      <c r="G638" s="1" t="str">
        <f>IFERROR(IF(ventas_b_mes9[[#This Row],[CUIT]]="","-",VLOOKUP(ventas_b_mes9[[#This Row],[CUIT]],Lista_CUIT[#All],2,0)),"CUIT NO CARGADO")</f>
        <v>-</v>
      </c>
      <c r="H638" s="60">
        <f>ventas_b_mes9[[#This Row],[TOTAL]]/1.21</f>
        <v>10330.58</v>
      </c>
      <c r="I638" s="228">
        <f>ventas_b_mes9[[#This Row],[IMPORTE NETO]]*0.21</f>
        <v>2169.4218000000001</v>
      </c>
      <c r="J638" s="229"/>
      <c r="K638" s="229"/>
      <c r="L638" s="229">
        <v>12500.0018</v>
      </c>
      <c r="M638" s="55"/>
    </row>
    <row r="639" spans="2:13" x14ac:dyDescent="0.3">
      <c r="B639" s="223">
        <v>44901</v>
      </c>
      <c r="C639" s="224">
        <v>6</v>
      </c>
      <c r="D639" s="225">
        <v>10</v>
      </c>
      <c r="E639" s="226">
        <v>44327</v>
      </c>
      <c r="F639" s="227"/>
      <c r="G639" s="1" t="str">
        <f>IFERROR(IF(ventas_b_mes9[[#This Row],[CUIT]]="","-",VLOOKUP(ventas_b_mes9[[#This Row],[CUIT]],Lista_CUIT[#All],2,0)),"CUIT NO CARGADO")</f>
        <v>-</v>
      </c>
      <c r="H639" s="60">
        <f>ventas_b_mes9[[#This Row],[TOTAL]]/1.21</f>
        <v>2148.7600000000002</v>
      </c>
      <c r="I639" s="228">
        <f>ventas_b_mes9[[#This Row],[IMPORTE NETO]]*0.21</f>
        <v>451.23960000000005</v>
      </c>
      <c r="J639" s="229"/>
      <c r="K639" s="229"/>
      <c r="L639" s="229">
        <v>2599.9996000000001</v>
      </c>
      <c r="M639" s="55"/>
    </row>
    <row r="640" spans="2:13" x14ac:dyDescent="0.3">
      <c r="B640" s="223">
        <v>44901</v>
      </c>
      <c r="C640" s="224">
        <v>6</v>
      </c>
      <c r="D640" s="225">
        <v>10</v>
      </c>
      <c r="E640" s="226">
        <v>44328</v>
      </c>
      <c r="F640" s="227"/>
      <c r="G640" s="1" t="str">
        <f>IFERROR(IF(ventas_b_mes9[[#This Row],[CUIT]]="","-",VLOOKUP(ventas_b_mes9[[#This Row],[CUIT]],Lista_CUIT[#All],2,0)),"CUIT NO CARGADO")</f>
        <v>-</v>
      </c>
      <c r="H640" s="60">
        <f>ventas_b_mes9[[#This Row],[TOTAL]]/1.21</f>
        <v>2975.21</v>
      </c>
      <c r="I640" s="228">
        <f>ventas_b_mes9[[#This Row],[IMPORTE NETO]]*0.21</f>
        <v>624.79409999999996</v>
      </c>
      <c r="J640" s="229"/>
      <c r="K640" s="229"/>
      <c r="L640" s="229">
        <v>3600.0041000000001</v>
      </c>
      <c r="M640" s="55"/>
    </row>
    <row r="641" spans="2:13" x14ac:dyDescent="0.3">
      <c r="B641" s="223">
        <v>44901</v>
      </c>
      <c r="C641" s="224">
        <v>6</v>
      </c>
      <c r="D641" s="225">
        <v>10</v>
      </c>
      <c r="E641" s="226">
        <v>44329</v>
      </c>
      <c r="F641" s="227"/>
      <c r="G641" s="1" t="str">
        <f>IFERROR(IF(ventas_b_mes9[[#This Row],[CUIT]]="","-",VLOOKUP(ventas_b_mes9[[#This Row],[CUIT]],Lista_CUIT[#All],2,0)),"CUIT NO CARGADO")</f>
        <v>-</v>
      </c>
      <c r="H641" s="60">
        <f>ventas_b_mes9[[#This Row],[TOTAL]]/1.21</f>
        <v>13140.500000000002</v>
      </c>
      <c r="I641" s="228">
        <f>ventas_b_mes9[[#This Row],[IMPORTE NETO]]*0.21</f>
        <v>2759.5050000000001</v>
      </c>
      <c r="J641" s="229"/>
      <c r="K641" s="229"/>
      <c r="L641" s="229">
        <v>15900.005000000001</v>
      </c>
      <c r="M641" s="55"/>
    </row>
    <row r="642" spans="2:13" x14ac:dyDescent="0.3">
      <c r="B642" s="223">
        <v>44901</v>
      </c>
      <c r="C642" s="224">
        <v>6</v>
      </c>
      <c r="D642" s="225">
        <v>10</v>
      </c>
      <c r="E642" s="226">
        <v>44330</v>
      </c>
      <c r="F642" s="227"/>
      <c r="G642" s="1" t="str">
        <f>IFERROR(IF(ventas_b_mes9[[#This Row],[CUIT]]="","-",VLOOKUP(ventas_b_mes9[[#This Row],[CUIT]],Lista_CUIT[#All],2,0)),"CUIT NO CARGADO")</f>
        <v>-</v>
      </c>
      <c r="H642" s="60">
        <f>ventas_b_mes9[[#This Row],[TOTAL]]/1.21</f>
        <v>12049.59</v>
      </c>
      <c r="I642" s="228">
        <f>ventas_b_mes9[[#This Row],[IMPORTE NETO]]*0.21</f>
        <v>2530.4139</v>
      </c>
      <c r="J642" s="229"/>
      <c r="K642" s="229"/>
      <c r="L642" s="229">
        <v>14580.0039</v>
      </c>
      <c r="M642" s="55"/>
    </row>
    <row r="643" spans="2:13" x14ac:dyDescent="0.3">
      <c r="B643" s="223">
        <v>44901</v>
      </c>
      <c r="C643" s="224">
        <v>6</v>
      </c>
      <c r="D643" s="225">
        <v>10</v>
      </c>
      <c r="E643" s="226">
        <v>44331</v>
      </c>
      <c r="F643" s="227"/>
      <c r="G643" s="1" t="str">
        <f>IFERROR(IF(ventas_b_mes9[[#This Row],[CUIT]]="","-",VLOOKUP(ventas_b_mes9[[#This Row],[CUIT]],Lista_CUIT[#All],2,0)),"CUIT NO CARGADO")</f>
        <v>-</v>
      </c>
      <c r="H643" s="60">
        <f>ventas_b_mes9[[#This Row],[TOTAL]]/1.21</f>
        <v>3719.0100000000007</v>
      </c>
      <c r="I643" s="228">
        <f>ventas_b_mes9[[#This Row],[IMPORTE NETO]]*0.21</f>
        <v>780.99210000000016</v>
      </c>
      <c r="J643" s="229"/>
      <c r="K643" s="229"/>
      <c r="L643" s="229">
        <v>4500.0021000000006</v>
      </c>
      <c r="M643" s="55"/>
    </row>
    <row r="644" spans="2:13" x14ac:dyDescent="0.3">
      <c r="B644" s="223">
        <v>44901</v>
      </c>
      <c r="C644" s="224">
        <v>6</v>
      </c>
      <c r="D644" s="225">
        <v>10</v>
      </c>
      <c r="E644" s="226">
        <v>44332</v>
      </c>
      <c r="F644" s="227"/>
      <c r="G644" s="1" t="str">
        <f>IFERROR(IF(ventas_b_mes9[[#This Row],[CUIT]]="","-",VLOOKUP(ventas_b_mes9[[#This Row],[CUIT]],Lista_CUIT[#All],2,0)),"CUIT NO CARGADO")</f>
        <v>-</v>
      </c>
      <c r="H644" s="60">
        <f>ventas_b_mes9[[#This Row],[TOTAL]]/1.21</f>
        <v>11619.83</v>
      </c>
      <c r="I644" s="228">
        <f>ventas_b_mes9[[#This Row],[IMPORTE NETO]]*0.21</f>
        <v>2440.1642999999999</v>
      </c>
      <c r="J644" s="229"/>
      <c r="K644" s="229"/>
      <c r="L644" s="229">
        <v>14059.9943</v>
      </c>
      <c r="M644" s="55"/>
    </row>
    <row r="645" spans="2:13" x14ac:dyDescent="0.3">
      <c r="B645" s="223">
        <v>44901</v>
      </c>
      <c r="C645" s="224">
        <v>6</v>
      </c>
      <c r="D645" s="225">
        <v>10</v>
      </c>
      <c r="E645" s="226">
        <v>44333</v>
      </c>
      <c r="F645" s="227"/>
      <c r="G645" s="1" t="str">
        <f>IFERROR(IF(ventas_b_mes9[[#This Row],[CUIT]]="","-",VLOOKUP(ventas_b_mes9[[#This Row],[CUIT]],Lista_CUIT[#All],2,0)),"CUIT NO CARGADO")</f>
        <v>-</v>
      </c>
      <c r="H645" s="60">
        <f>ventas_b_mes9[[#This Row],[TOTAL]]/1.21</f>
        <v>20355.400000000001</v>
      </c>
      <c r="I645" s="228">
        <f>ventas_b_mes9[[#This Row],[IMPORTE NETO]]*0.21</f>
        <v>4274.634</v>
      </c>
      <c r="J645" s="229"/>
      <c r="K645" s="229"/>
      <c r="L645" s="229">
        <v>24630.034</v>
      </c>
      <c r="M645" s="55"/>
    </row>
    <row r="646" spans="2:13" x14ac:dyDescent="0.3">
      <c r="B646" s="223">
        <v>44901</v>
      </c>
      <c r="C646" s="224">
        <v>6</v>
      </c>
      <c r="D646" s="225">
        <v>10</v>
      </c>
      <c r="E646" s="226">
        <v>44334</v>
      </c>
      <c r="F646" s="227"/>
      <c r="G646" s="1" t="str">
        <f>IFERROR(IF(ventas_b_mes9[[#This Row],[CUIT]]="","-",VLOOKUP(ventas_b_mes9[[#This Row],[CUIT]],Lista_CUIT[#All],2,0)),"CUIT NO CARGADO")</f>
        <v>-</v>
      </c>
      <c r="H646" s="60">
        <f>ventas_b_mes9[[#This Row],[TOTAL]]/1.21</f>
        <v>4561.9799999999996</v>
      </c>
      <c r="I646" s="228">
        <f>ventas_b_mes9[[#This Row],[IMPORTE NETO]]*0.21</f>
        <v>958.0157999999999</v>
      </c>
      <c r="J646" s="229"/>
      <c r="K646" s="229"/>
      <c r="L646" s="229">
        <v>5519.9957999999997</v>
      </c>
      <c r="M646" s="55"/>
    </row>
    <row r="647" spans="2:13" x14ac:dyDescent="0.3">
      <c r="B647" s="223">
        <v>44901</v>
      </c>
      <c r="C647" s="224">
        <v>6</v>
      </c>
      <c r="D647" s="225">
        <v>10</v>
      </c>
      <c r="E647" s="226">
        <v>44335</v>
      </c>
      <c r="F647" s="227"/>
      <c r="G647" s="1" t="str">
        <f>IFERROR(IF(ventas_b_mes9[[#This Row],[CUIT]]="","-",VLOOKUP(ventas_b_mes9[[#This Row],[CUIT]],Lista_CUIT[#All],2,0)),"CUIT NO CARGADO")</f>
        <v>-</v>
      </c>
      <c r="H647" s="60">
        <f>ventas_b_mes9[[#This Row],[TOTAL]]/1.21</f>
        <v>10088.84</v>
      </c>
      <c r="I647" s="228">
        <f>ventas_b_mes9[[#This Row],[IMPORTE NETO]]*0.21</f>
        <v>2118.6563999999998</v>
      </c>
      <c r="J647" s="229"/>
      <c r="K647" s="229"/>
      <c r="L647" s="229">
        <v>12207.4964</v>
      </c>
      <c r="M647" s="55"/>
    </row>
    <row r="648" spans="2:13" x14ac:dyDescent="0.3">
      <c r="B648" s="223">
        <v>44901</v>
      </c>
      <c r="C648" s="224">
        <v>6</v>
      </c>
      <c r="D648" s="225">
        <v>10</v>
      </c>
      <c r="E648" s="226">
        <v>44336</v>
      </c>
      <c r="F648" s="227"/>
      <c r="G648" s="1" t="str">
        <f>IFERROR(IF(ventas_b_mes9[[#This Row],[CUIT]]="","-",VLOOKUP(ventas_b_mes9[[#This Row],[CUIT]],Lista_CUIT[#All],2,0)),"CUIT NO CARGADO")</f>
        <v>-</v>
      </c>
      <c r="H648" s="60">
        <f>ventas_b_mes9[[#This Row],[TOTAL]]/1.21</f>
        <v>15900.830000000002</v>
      </c>
      <c r="I648" s="228">
        <f>ventas_b_mes9[[#This Row],[IMPORTE NETO]]*0.21</f>
        <v>3339.1743000000001</v>
      </c>
      <c r="J648" s="229"/>
      <c r="K648" s="229"/>
      <c r="L648" s="229">
        <v>19240.004300000001</v>
      </c>
      <c r="M648" s="55"/>
    </row>
    <row r="649" spans="2:13" x14ac:dyDescent="0.3">
      <c r="B649" s="223">
        <v>44901</v>
      </c>
      <c r="C649" s="224">
        <v>6</v>
      </c>
      <c r="D649" s="225">
        <v>10</v>
      </c>
      <c r="E649" s="226">
        <v>44337</v>
      </c>
      <c r="F649" s="227"/>
      <c r="G649" s="1" t="str">
        <f>IFERROR(IF(ventas_b_mes9[[#This Row],[CUIT]]="","-",VLOOKUP(ventas_b_mes9[[#This Row],[CUIT]],Lista_CUIT[#All],2,0)),"CUIT NO CARGADO")</f>
        <v>-</v>
      </c>
      <c r="H649" s="60">
        <f>ventas_b_mes9[[#This Row],[TOTAL]]/1.21</f>
        <v>2066.12</v>
      </c>
      <c r="I649" s="228">
        <f>ventas_b_mes9[[#This Row],[IMPORTE NETO]]*0.21</f>
        <v>433.88519999999994</v>
      </c>
      <c r="J649" s="229"/>
      <c r="K649" s="229"/>
      <c r="L649" s="229">
        <v>2500.0051999999996</v>
      </c>
      <c r="M649" s="55"/>
    </row>
    <row r="650" spans="2:13" x14ac:dyDescent="0.3">
      <c r="B650" s="223">
        <v>44901</v>
      </c>
      <c r="C650" s="224">
        <v>6</v>
      </c>
      <c r="D650" s="225">
        <v>12</v>
      </c>
      <c r="E650" s="226">
        <v>22932</v>
      </c>
      <c r="F650" s="227"/>
      <c r="G650" s="1" t="str">
        <f>IFERROR(IF(ventas_b_mes9[[#This Row],[CUIT]]="","-",VLOOKUP(ventas_b_mes9[[#This Row],[CUIT]],Lista_CUIT[#All],2,0)),"CUIT NO CARGADO")</f>
        <v>-</v>
      </c>
      <c r="H650" s="60">
        <f>ventas_b_mes9[[#This Row],[TOTAL]]/1.21</f>
        <v>611.57000000000005</v>
      </c>
      <c r="I650" s="228">
        <f>ventas_b_mes9[[#This Row],[IMPORTE NETO]]*0.21</f>
        <v>128.4297</v>
      </c>
      <c r="J650" s="229"/>
      <c r="K650" s="229"/>
      <c r="L650" s="229">
        <v>739.99970000000008</v>
      </c>
      <c r="M650" s="55"/>
    </row>
    <row r="651" spans="2:13" x14ac:dyDescent="0.3">
      <c r="B651" s="223">
        <v>44901</v>
      </c>
      <c r="C651" s="224">
        <v>6</v>
      </c>
      <c r="D651" s="225">
        <v>12</v>
      </c>
      <c r="E651" s="226">
        <v>22933</v>
      </c>
      <c r="F651" s="227"/>
      <c r="G651" s="1" t="str">
        <f>IFERROR(IF(ventas_b_mes9[[#This Row],[CUIT]]="","-",VLOOKUP(ventas_b_mes9[[#This Row],[CUIT]],Lista_CUIT[#All],2,0)),"CUIT NO CARGADO")</f>
        <v>-</v>
      </c>
      <c r="H651" s="60">
        <f>ventas_b_mes9[[#This Row],[TOTAL]]/1.21</f>
        <v>5391.74</v>
      </c>
      <c r="I651" s="228">
        <f>ventas_b_mes9[[#This Row],[IMPORTE NETO]]*0.21</f>
        <v>1132.2654</v>
      </c>
      <c r="J651" s="229"/>
      <c r="K651" s="229"/>
      <c r="L651" s="229">
        <v>6524.0054</v>
      </c>
      <c r="M651" s="55"/>
    </row>
    <row r="652" spans="2:13" x14ac:dyDescent="0.3">
      <c r="B652" s="223">
        <v>44901</v>
      </c>
      <c r="C652" s="224">
        <v>6</v>
      </c>
      <c r="D652" s="225">
        <v>12</v>
      </c>
      <c r="E652" s="226">
        <v>22934</v>
      </c>
      <c r="F652" s="227"/>
      <c r="G652" s="1" t="str">
        <f>IFERROR(IF(ventas_b_mes9[[#This Row],[CUIT]]="","-",VLOOKUP(ventas_b_mes9[[#This Row],[CUIT]],Lista_CUIT[#All],2,0)),"CUIT NO CARGADO")</f>
        <v>-</v>
      </c>
      <c r="H652" s="60">
        <f>ventas_b_mes9[[#This Row],[TOTAL]]/1.21</f>
        <v>4545.45</v>
      </c>
      <c r="I652" s="228">
        <f>ventas_b_mes9[[#This Row],[IMPORTE NETO]]*0.21</f>
        <v>954.54449999999997</v>
      </c>
      <c r="J652" s="229"/>
      <c r="K652" s="229"/>
      <c r="L652" s="229">
        <v>5499.9944999999998</v>
      </c>
      <c r="M652" s="55"/>
    </row>
    <row r="653" spans="2:13" x14ac:dyDescent="0.3">
      <c r="B653" s="223">
        <v>44901</v>
      </c>
      <c r="C653" s="224">
        <v>6</v>
      </c>
      <c r="D653" s="225">
        <v>12</v>
      </c>
      <c r="E653" s="226">
        <v>22935</v>
      </c>
      <c r="F653" s="227"/>
      <c r="G653" s="1" t="str">
        <f>IFERROR(IF(ventas_b_mes9[[#This Row],[CUIT]]="","-",VLOOKUP(ventas_b_mes9[[#This Row],[CUIT]],Lista_CUIT[#All],2,0)),"CUIT NO CARGADO")</f>
        <v>-</v>
      </c>
      <c r="H653" s="60">
        <f>ventas_b_mes9[[#This Row],[TOTAL]]/1.21</f>
        <v>1884.2999999999997</v>
      </c>
      <c r="I653" s="228">
        <f>ventas_b_mes9[[#This Row],[IMPORTE NETO]]*0.21</f>
        <v>395.70299999999992</v>
      </c>
      <c r="J653" s="229"/>
      <c r="K653" s="229"/>
      <c r="L653" s="229">
        <v>2280.0029999999997</v>
      </c>
      <c r="M653" s="55"/>
    </row>
    <row r="654" spans="2:13" x14ac:dyDescent="0.3">
      <c r="B654" s="223">
        <v>44901</v>
      </c>
      <c r="C654" s="224">
        <v>6</v>
      </c>
      <c r="D654" s="225">
        <v>12</v>
      </c>
      <c r="E654" s="226">
        <v>22936</v>
      </c>
      <c r="F654" s="227"/>
      <c r="G654" s="1" t="str">
        <f>IFERROR(IF(ventas_b_mes9[[#This Row],[CUIT]]="","-",VLOOKUP(ventas_b_mes9[[#This Row],[CUIT]],Lista_CUIT[#All],2,0)),"CUIT NO CARGADO")</f>
        <v>-</v>
      </c>
      <c r="H654" s="60">
        <f>ventas_b_mes9[[#This Row],[TOTAL]]/1.21</f>
        <v>5636.36</v>
      </c>
      <c r="I654" s="228">
        <f>ventas_b_mes9[[#This Row],[IMPORTE NETO]]*0.21</f>
        <v>1183.6355999999998</v>
      </c>
      <c r="J654" s="229"/>
      <c r="K654" s="229"/>
      <c r="L654" s="229">
        <v>6819.9955999999993</v>
      </c>
      <c r="M654" s="55"/>
    </row>
    <row r="655" spans="2:13" x14ac:dyDescent="0.3">
      <c r="B655" s="223">
        <v>44901</v>
      </c>
      <c r="C655" s="224">
        <v>6</v>
      </c>
      <c r="D655" s="225">
        <v>12</v>
      </c>
      <c r="E655" s="226">
        <v>22937</v>
      </c>
      <c r="F655" s="227"/>
      <c r="G655" s="1" t="str">
        <f>IFERROR(IF(ventas_b_mes9[[#This Row],[CUIT]]="","-",VLOOKUP(ventas_b_mes9[[#This Row],[CUIT]],Lista_CUIT[#All],2,0)),"CUIT NO CARGADO")</f>
        <v>-</v>
      </c>
      <c r="H655" s="60">
        <f>ventas_b_mes9[[#This Row],[TOTAL]]/1.21</f>
        <v>15685.96</v>
      </c>
      <c r="I655" s="228">
        <f>ventas_b_mes9[[#This Row],[IMPORTE NETO]]*0.21</f>
        <v>3294.0515999999998</v>
      </c>
      <c r="J655" s="229"/>
      <c r="K655" s="229"/>
      <c r="L655" s="229">
        <v>18980.011599999998</v>
      </c>
      <c r="M655" s="55"/>
    </row>
    <row r="656" spans="2:13" x14ac:dyDescent="0.3">
      <c r="B656" s="223">
        <v>44901</v>
      </c>
      <c r="C656" s="224">
        <v>6</v>
      </c>
      <c r="D656" s="225">
        <v>12</v>
      </c>
      <c r="E656" s="226">
        <v>22938</v>
      </c>
      <c r="F656" s="227"/>
      <c r="G656" s="1" t="str">
        <f>IFERROR(IF(ventas_b_mes9[[#This Row],[CUIT]]="","-",VLOOKUP(ventas_b_mes9[[#This Row],[CUIT]],Lista_CUIT[#All],2,0)),"CUIT NO CARGADO")</f>
        <v>-</v>
      </c>
      <c r="H656" s="60">
        <f>ventas_b_mes9[[#This Row],[TOTAL]]/1.21</f>
        <v>611.57000000000005</v>
      </c>
      <c r="I656" s="228">
        <f>ventas_b_mes9[[#This Row],[IMPORTE NETO]]*0.21</f>
        <v>128.4297</v>
      </c>
      <c r="J656" s="229"/>
      <c r="K656" s="229"/>
      <c r="L656" s="229">
        <v>739.99970000000008</v>
      </c>
      <c r="M656" s="55"/>
    </row>
    <row r="657" spans="2:13" x14ac:dyDescent="0.3">
      <c r="B657" s="223">
        <v>44901</v>
      </c>
      <c r="C657" s="224">
        <v>6</v>
      </c>
      <c r="D657" s="225">
        <v>12</v>
      </c>
      <c r="E657" s="226">
        <v>22939</v>
      </c>
      <c r="F657" s="227"/>
      <c r="G657" s="1" t="str">
        <f>IFERROR(IF(ventas_b_mes9[[#This Row],[CUIT]]="","-",VLOOKUP(ventas_b_mes9[[#This Row],[CUIT]],Lista_CUIT[#All],2,0)),"CUIT NO CARGADO")</f>
        <v>-</v>
      </c>
      <c r="H657" s="60">
        <f>ventas_b_mes9[[#This Row],[TOTAL]]/1.21</f>
        <v>20231.36</v>
      </c>
      <c r="I657" s="228">
        <f>ventas_b_mes9[[#This Row],[IMPORTE NETO]]*0.21</f>
        <v>4248.5856000000003</v>
      </c>
      <c r="J657" s="229"/>
      <c r="K657" s="229"/>
      <c r="L657" s="229">
        <v>24479.945599999999</v>
      </c>
      <c r="M657" s="55"/>
    </row>
    <row r="658" spans="2:13" x14ac:dyDescent="0.3">
      <c r="B658" s="223">
        <v>44901</v>
      </c>
      <c r="C658" s="224">
        <v>6</v>
      </c>
      <c r="D658" s="225">
        <v>12</v>
      </c>
      <c r="E658" s="226">
        <v>22940</v>
      </c>
      <c r="F658" s="227"/>
      <c r="G658" s="1" t="str">
        <f>IFERROR(IF(ventas_b_mes9[[#This Row],[CUIT]]="","-",VLOOKUP(ventas_b_mes9[[#This Row],[CUIT]],Lista_CUIT[#All],2,0)),"CUIT NO CARGADO")</f>
        <v>-</v>
      </c>
      <c r="H658" s="60">
        <f>ventas_b_mes9[[#This Row],[TOTAL]]/1.21</f>
        <v>2148.7600000000002</v>
      </c>
      <c r="I658" s="228">
        <f>ventas_b_mes9[[#This Row],[IMPORTE NETO]]*0.21</f>
        <v>451.23960000000005</v>
      </c>
      <c r="J658" s="229"/>
      <c r="K658" s="229"/>
      <c r="L658" s="229">
        <v>2599.9996000000001</v>
      </c>
      <c r="M658" s="55"/>
    </row>
    <row r="659" spans="2:13" x14ac:dyDescent="0.3">
      <c r="B659" s="223">
        <v>44901</v>
      </c>
      <c r="C659" s="224">
        <v>6</v>
      </c>
      <c r="D659" s="225">
        <v>12</v>
      </c>
      <c r="E659" s="226">
        <v>22941</v>
      </c>
      <c r="F659" s="227"/>
      <c r="G659" s="1" t="str">
        <f>IFERROR(IF(ventas_b_mes9[[#This Row],[CUIT]]="","-",VLOOKUP(ventas_b_mes9[[#This Row],[CUIT]],Lista_CUIT[#All],2,0)),"CUIT NO CARGADO")</f>
        <v>-</v>
      </c>
      <c r="H659" s="60">
        <f>ventas_b_mes9[[#This Row],[TOTAL]]/1.21</f>
        <v>8036.38</v>
      </c>
      <c r="I659" s="228">
        <f>ventas_b_mes9[[#This Row],[IMPORTE NETO]]*0.21</f>
        <v>1687.6397999999999</v>
      </c>
      <c r="J659" s="229"/>
      <c r="K659" s="229"/>
      <c r="L659" s="229">
        <v>9724.0198</v>
      </c>
      <c r="M659" s="55"/>
    </row>
    <row r="660" spans="2:13" x14ac:dyDescent="0.3">
      <c r="B660" s="223">
        <v>44901</v>
      </c>
      <c r="C660" s="224">
        <v>6</v>
      </c>
      <c r="D660" s="225">
        <v>12</v>
      </c>
      <c r="E660" s="226">
        <v>22942</v>
      </c>
      <c r="F660" s="227"/>
      <c r="G660" s="1" t="str">
        <f>IFERROR(IF(ventas_b_mes9[[#This Row],[CUIT]]="","-",VLOOKUP(ventas_b_mes9[[#This Row],[CUIT]],Lista_CUIT[#All],2,0)),"CUIT NO CARGADO")</f>
        <v>-</v>
      </c>
      <c r="H660" s="60">
        <f>ventas_b_mes9[[#This Row],[TOTAL]]/1.21</f>
        <v>7604.96</v>
      </c>
      <c r="I660" s="228">
        <f>ventas_b_mes9[[#This Row],[IMPORTE NETO]]*0.21</f>
        <v>1597.0416</v>
      </c>
      <c r="J660" s="229"/>
      <c r="K660" s="229"/>
      <c r="L660" s="229">
        <v>9202.0015999999996</v>
      </c>
      <c r="M660" s="55"/>
    </row>
    <row r="661" spans="2:13" x14ac:dyDescent="0.3">
      <c r="B661" s="223">
        <v>44901</v>
      </c>
      <c r="C661" s="224">
        <v>6</v>
      </c>
      <c r="D661" s="225">
        <v>12</v>
      </c>
      <c r="E661" s="226">
        <v>22943</v>
      </c>
      <c r="F661" s="227"/>
      <c r="G661" s="1" t="str">
        <f>IFERROR(IF(ventas_b_mes9[[#This Row],[CUIT]]="","-",VLOOKUP(ventas_b_mes9[[#This Row],[CUIT]],Lista_CUIT[#All],2,0)),"CUIT NO CARGADO")</f>
        <v>-</v>
      </c>
      <c r="H661" s="60">
        <f>ventas_b_mes9[[#This Row],[TOTAL]]/1.21</f>
        <v>3123.97</v>
      </c>
      <c r="I661" s="228">
        <f>ventas_b_mes9[[#This Row],[IMPORTE NETO]]*0.21</f>
        <v>656.03369999999995</v>
      </c>
      <c r="J661" s="229"/>
      <c r="K661" s="229"/>
      <c r="L661" s="229">
        <v>3780.0036999999998</v>
      </c>
      <c r="M661" s="55"/>
    </row>
    <row r="662" spans="2:13" x14ac:dyDescent="0.3">
      <c r="B662" s="223">
        <v>44901</v>
      </c>
      <c r="C662" s="224">
        <v>6</v>
      </c>
      <c r="D662" s="225">
        <v>12</v>
      </c>
      <c r="E662" s="226">
        <v>22944</v>
      </c>
      <c r="F662" s="227"/>
      <c r="G662" s="1" t="str">
        <f>IFERROR(IF(ventas_b_mes9[[#This Row],[CUIT]]="","-",VLOOKUP(ventas_b_mes9[[#This Row],[CUIT]],Lista_CUIT[#All],2,0)),"CUIT NO CARGADO")</f>
        <v>-</v>
      </c>
      <c r="H662" s="60">
        <f>ventas_b_mes9[[#This Row],[TOTAL]]/1.21</f>
        <v>5742.15</v>
      </c>
      <c r="I662" s="228">
        <f>ventas_b_mes9[[#This Row],[IMPORTE NETO]]*0.21</f>
        <v>1205.8515</v>
      </c>
      <c r="J662" s="229"/>
      <c r="K662" s="229"/>
      <c r="L662" s="229">
        <v>6948.0014999999994</v>
      </c>
      <c r="M662" s="55"/>
    </row>
    <row r="663" spans="2:13" x14ac:dyDescent="0.3">
      <c r="B663" s="223">
        <v>44901</v>
      </c>
      <c r="C663" s="224">
        <v>6</v>
      </c>
      <c r="D663" s="225">
        <v>12</v>
      </c>
      <c r="E663" s="226">
        <v>22945</v>
      </c>
      <c r="F663" s="227"/>
      <c r="G663" s="1" t="str">
        <f>IFERROR(IF(ventas_b_mes9[[#This Row],[CUIT]]="","-",VLOOKUP(ventas_b_mes9[[#This Row],[CUIT]],Lista_CUIT[#All],2,0)),"CUIT NO CARGADO")</f>
        <v>-</v>
      </c>
      <c r="H663" s="60">
        <f>ventas_b_mes9[[#This Row],[TOTAL]]/1.21</f>
        <v>1561.9800000000002</v>
      </c>
      <c r="I663" s="228">
        <f>ventas_b_mes9[[#This Row],[IMPORTE NETO]]*0.21</f>
        <v>328.01580000000001</v>
      </c>
      <c r="J663" s="229"/>
      <c r="K663" s="229"/>
      <c r="L663" s="229">
        <v>1889.9958000000001</v>
      </c>
      <c r="M663" s="55"/>
    </row>
    <row r="664" spans="2:13" x14ac:dyDescent="0.3">
      <c r="B664" s="223">
        <v>44901</v>
      </c>
      <c r="C664" s="224">
        <v>6</v>
      </c>
      <c r="D664" s="225">
        <v>12</v>
      </c>
      <c r="E664" s="226">
        <v>22946</v>
      </c>
      <c r="F664" s="227"/>
      <c r="G664" s="1" t="str">
        <f>IFERROR(IF(ventas_b_mes9[[#This Row],[CUIT]]="","-",VLOOKUP(ventas_b_mes9[[#This Row],[CUIT]],Lista_CUIT[#All],2,0)),"CUIT NO CARGADO")</f>
        <v>-</v>
      </c>
      <c r="H664" s="60">
        <f>ventas_b_mes9[[#This Row],[TOTAL]]/1.21</f>
        <v>3986.7800000000007</v>
      </c>
      <c r="I664" s="228">
        <f>ventas_b_mes9[[#This Row],[IMPORTE NETO]]*0.21</f>
        <v>837.2238000000001</v>
      </c>
      <c r="J664" s="229"/>
      <c r="K664" s="229"/>
      <c r="L664" s="229">
        <v>4824.0038000000004</v>
      </c>
      <c r="M664" s="55"/>
    </row>
    <row r="665" spans="2:13" x14ac:dyDescent="0.3">
      <c r="B665" s="223">
        <v>44901</v>
      </c>
      <c r="C665" s="224">
        <v>6</v>
      </c>
      <c r="D665" s="225">
        <v>12</v>
      </c>
      <c r="E665" s="226">
        <v>22947</v>
      </c>
      <c r="F665" s="227"/>
      <c r="G665" s="1" t="str">
        <f>IFERROR(IF(ventas_b_mes9[[#This Row],[CUIT]]="","-",VLOOKUP(ventas_b_mes9[[#This Row],[CUIT]],Lista_CUIT[#All],2,0)),"CUIT NO CARGADO")</f>
        <v>-</v>
      </c>
      <c r="H665" s="60">
        <f>ventas_b_mes9[[#This Row],[TOTAL]]/1.21</f>
        <v>2148.7600000000002</v>
      </c>
      <c r="I665" s="228">
        <f>ventas_b_mes9[[#This Row],[IMPORTE NETO]]*0.21</f>
        <v>451.23960000000005</v>
      </c>
      <c r="J665" s="229"/>
      <c r="K665" s="229"/>
      <c r="L665" s="229">
        <v>2599.9996000000001</v>
      </c>
      <c r="M665" s="55"/>
    </row>
    <row r="666" spans="2:13" x14ac:dyDescent="0.3">
      <c r="B666" s="223">
        <v>44901</v>
      </c>
      <c r="C666" s="224">
        <v>6</v>
      </c>
      <c r="D666" s="225">
        <v>12</v>
      </c>
      <c r="E666" s="226">
        <v>22948</v>
      </c>
      <c r="F666" s="227"/>
      <c r="G666" s="1" t="str">
        <f>IFERROR(IF(ventas_b_mes9[[#This Row],[CUIT]]="","-",VLOOKUP(ventas_b_mes9[[#This Row],[CUIT]],Lista_CUIT[#All],2,0)),"CUIT NO CARGADO")</f>
        <v>-</v>
      </c>
      <c r="H666" s="60">
        <f>ventas_b_mes9[[#This Row],[TOTAL]]/1.21</f>
        <v>3183.47</v>
      </c>
      <c r="I666" s="228">
        <f>ventas_b_mes9[[#This Row],[IMPORTE NETO]]*0.21</f>
        <v>668.52869999999996</v>
      </c>
      <c r="J666" s="229"/>
      <c r="K666" s="229"/>
      <c r="L666" s="229">
        <v>3851.9986999999996</v>
      </c>
      <c r="M666" s="55"/>
    </row>
    <row r="667" spans="2:13" x14ac:dyDescent="0.3">
      <c r="B667" s="223">
        <v>44901</v>
      </c>
      <c r="C667" s="224">
        <v>6</v>
      </c>
      <c r="D667" s="225">
        <v>12</v>
      </c>
      <c r="E667" s="226">
        <v>22949</v>
      </c>
      <c r="F667" s="227"/>
      <c r="G667" s="1" t="str">
        <f>IFERROR(IF(ventas_b_mes9[[#This Row],[CUIT]]="","-",VLOOKUP(ventas_b_mes9[[#This Row],[CUIT]],Lista_CUIT[#All],2,0)),"CUIT NO CARGADO")</f>
        <v>-</v>
      </c>
      <c r="H667" s="60">
        <f>ventas_b_mes9[[#This Row],[TOTAL]]/1.21</f>
        <v>2148.7600000000002</v>
      </c>
      <c r="I667" s="228">
        <f>ventas_b_mes9[[#This Row],[IMPORTE NETO]]*0.21</f>
        <v>451.23960000000005</v>
      </c>
      <c r="J667" s="229"/>
      <c r="K667" s="229"/>
      <c r="L667" s="229">
        <v>2599.9996000000001</v>
      </c>
      <c r="M667" s="55"/>
    </row>
    <row r="668" spans="2:13" x14ac:dyDescent="0.3">
      <c r="B668" s="223">
        <v>44901</v>
      </c>
      <c r="C668" s="224">
        <v>6</v>
      </c>
      <c r="D668" s="225">
        <v>12</v>
      </c>
      <c r="E668" s="226">
        <v>22950</v>
      </c>
      <c r="F668" s="227"/>
      <c r="G668" s="1" t="str">
        <f>IFERROR(IF(ventas_b_mes9[[#This Row],[CUIT]]="","-",VLOOKUP(ventas_b_mes9[[#This Row],[CUIT]],Lista_CUIT[#All],2,0)),"CUIT NO CARGADO")</f>
        <v>-</v>
      </c>
      <c r="H668" s="60">
        <f>ventas_b_mes9[[#This Row],[TOTAL]]/1.21</f>
        <v>2148.7600000000002</v>
      </c>
      <c r="I668" s="228">
        <f>ventas_b_mes9[[#This Row],[IMPORTE NETO]]*0.21</f>
        <v>451.23960000000005</v>
      </c>
      <c r="J668" s="229"/>
      <c r="K668" s="229"/>
      <c r="L668" s="229">
        <v>2599.9996000000001</v>
      </c>
      <c r="M668" s="55"/>
    </row>
    <row r="669" spans="2:13" x14ac:dyDescent="0.3">
      <c r="B669" s="223">
        <v>44901</v>
      </c>
      <c r="C669" s="224">
        <v>6</v>
      </c>
      <c r="D669" s="225">
        <v>12</v>
      </c>
      <c r="E669" s="226">
        <v>22951</v>
      </c>
      <c r="F669" s="227"/>
      <c r="G669" s="1" t="str">
        <f>IFERROR(IF(ventas_b_mes9[[#This Row],[CUIT]]="","-",VLOOKUP(ventas_b_mes9[[#This Row],[CUIT]],Lista_CUIT[#All],2,0)),"CUIT NO CARGADO")</f>
        <v>-</v>
      </c>
      <c r="H669" s="60">
        <f>ventas_b_mes9[[#This Row],[TOTAL]]/1.21</f>
        <v>2148.7600000000002</v>
      </c>
      <c r="I669" s="228">
        <f>ventas_b_mes9[[#This Row],[IMPORTE NETO]]*0.21</f>
        <v>451.23960000000005</v>
      </c>
      <c r="J669" s="229"/>
      <c r="K669" s="229"/>
      <c r="L669" s="229">
        <v>2599.9996000000001</v>
      </c>
      <c r="M669" s="55"/>
    </row>
    <row r="670" spans="2:13" x14ac:dyDescent="0.3">
      <c r="B670" s="223">
        <v>44901</v>
      </c>
      <c r="C670" s="224">
        <v>6</v>
      </c>
      <c r="D670" s="225">
        <v>12</v>
      </c>
      <c r="E670" s="226">
        <v>22952</v>
      </c>
      <c r="F670" s="227"/>
      <c r="G670" s="1" t="str">
        <f>IFERROR(IF(ventas_b_mes9[[#This Row],[CUIT]]="","-",VLOOKUP(ventas_b_mes9[[#This Row],[CUIT]],Lista_CUIT[#All],2,0)),"CUIT NO CARGADO")</f>
        <v>-</v>
      </c>
      <c r="H670" s="60">
        <f>ventas_b_mes9[[#This Row],[TOTAL]]/1.21</f>
        <v>4642.97</v>
      </c>
      <c r="I670" s="228">
        <f>ventas_b_mes9[[#This Row],[IMPORTE NETO]]*0.21</f>
        <v>975.02369999999996</v>
      </c>
      <c r="J670" s="229"/>
      <c r="K670" s="229"/>
      <c r="L670" s="229">
        <v>5617.9937</v>
      </c>
      <c r="M670" s="55"/>
    </row>
    <row r="671" spans="2:13" x14ac:dyDescent="0.3">
      <c r="B671" s="223">
        <v>44901</v>
      </c>
      <c r="C671" s="224">
        <v>6</v>
      </c>
      <c r="D671" s="225">
        <v>11</v>
      </c>
      <c r="E671" s="226">
        <v>30435</v>
      </c>
      <c r="F671" s="227"/>
      <c r="G671" s="1" t="str">
        <f>IFERROR(IF(ventas_b_mes9[[#This Row],[CUIT]]="","-",VLOOKUP(ventas_b_mes9[[#This Row],[CUIT]],Lista_CUIT[#All],2,0)),"CUIT NO CARGADO")</f>
        <v>-</v>
      </c>
      <c r="H671" s="60">
        <f>ventas_b_mes9[[#This Row],[TOTAL]]/1.21</f>
        <v>8677.69</v>
      </c>
      <c r="I671" s="228">
        <f>ventas_b_mes9[[#This Row],[IMPORTE NETO]]*0.21</f>
        <v>1822.3149000000001</v>
      </c>
      <c r="J671" s="229"/>
      <c r="K671" s="229"/>
      <c r="L671" s="229">
        <v>10500.0049</v>
      </c>
      <c r="M671" s="55"/>
    </row>
    <row r="672" spans="2:13" x14ac:dyDescent="0.3">
      <c r="B672" s="223">
        <v>44901</v>
      </c>
      <c r="C672" s="224">
        <v>6</v>
      </c>
      <c r="D672" s="225">
        <v>11</v>
      </c>
      <c r="E672" s="226">
        <v>30436</v>
      </c>
      <c r="F672" s="227"/>
      <c r="G672" s="1" t="str">
        <f>IFERROR(IF(ventas_b_mes9[[#This Row],[CUIT]]="","-",VLOOKUP(ventas_b_mes9[[#This Row],[CUIT]],Lista_CUIT[#All],2,0)),"CUIT NO CARGADO")</f>
        <v>-</v>
      </c>
      <c r="H672" s="60">
        <f>ventas_b_mes9[[#This Row],[TOTAL]]/1.21</f>
        <v>1294.21</v>
      </c>
      <c r="I672" s="228">
        <f>ventas_b_mes9[[#This Row],[IMPORTE NETO]]*0.21</f>
        <v>271.78410000000002</v>
      </c>
      <c r="J672" s="229"/>
      <c r="K672" s="229"/>
      <c r="L672" s="229">
        <v>1565.9941000000001</v>
      </c>
      <c r="M672" s="55"/>
    </row>
    <row r="673" spans="2:13" x14ac:dyDescent="0.3">
      <c r="B673" s="223">
        <v>44901</v>
      </c>
      <c r="C673" s="224">
        <v>6</v>
      </c>
      <c r="D673" s="225">
        <v>11</v>
      </c>
      <c r="E673" s="226">
        <v>30437</v>
      </c>
      <c r="F673" s="227"/>
      <c r="G673" s="1" t="str">
        <f>IFERROR(IF(ventas_b_mes9[[#This Row],[CUIT]]="","-",VLOOKUP(ventas_b_mes9[[#This Row],[CUIT]],Lista_CUIT[#All],2,0)),"CUIT NO CARGADO")</f>
        <v>-</v>
      </c>
      <c r="H673" s="60">
        <f>ventas_b_mes9[[#This Row],[TOTAL]]/1.21</f>
        <v>1006.61</v>
      </c>
      <c r="I673" s="228">
        <f>ventas_b_mes9[[#This Row],[IMPORTE NETO]]*0.21</f>
        <v>211.38810000000001</v>
      </c>
      <c r="J673" s="229"/>
      <c r="K673" s="229"/>
      <c r="L673" s="229">
        <v>1217.9981</v>
      </c>
      <c r="M673" s="55"/>
    </row>
    <row r="674" spans="2:13" x14ac:dyDescent="0.3">
      <c r="B674" s="223">
        <v>44901</v>
      </c>
      <c r="C674" s="224">
        <v>6</v>
      </c>
      <c r="D674" s="225">
        <v>11</v>
      </c>
      <c r="E674" s="226">
        <v>30438</v>
      </c>
      <c r="F674" s="227"/>
      <c r="G674" s="1" t="str">
        <f>IFERROR(IF(ventas_b_mes9[[#This Row],[CUIT]]="","-",VLOOKUP(ventas_b_mes9[[#This Row],[CUIT]],Lista_CUIT[#All],2,0)),"CUIT NO CARGADO")</f>
        <v>-</v>
      </c>
      <c r="H674" s="60">
        <f>ventas_b_mes9[[#This Row],[TOTAL]]/1.21</f>
        <v>4380.16</v>
      </c>
      <c r="I674" s="228">
        <f>ventas_b_mes9[[#This Row],[IMPORTE NETO]]*0.21</f>
        <v>919.83359999999993</v>
      </c>
      <c r="J674" s="229"/>
      <c r="K674" s="229"/>
      <c r="L674" s="229">
        <v>5299.9935999999998</v>
      </c>
      <c r="M674" s="55"/>
    </row>
    <row r="675" spans="2:13" x14ac:dyDescent="0.3">
      <c r="B675" s="223">
        <v>44901</v>
      </c>
      <c r="C675" s="224">
        <v>6</v>
      </c>
      <c r="D675" s="225">
        <v>11</v>
      </c>
      <c r="E675" s="226">
        <v>30439</v>
      </c>
      <c r="F675" s="227"/>
      <c r="G675" s="1" t="str">
        <f>IFERROR(IF(ventas_b_mes9[[#This Row],[CUIT]]="","-",VLOOKUP(ventas_b_mes9[[#This Row],[CUIT]],Lista_CUIT[#All],2,0)),"CUIT NO CARGADO")</f>
        <v>-</v>
      </c>
      <c r="H675" s="60">
        <f>ventas_b_mes9[[#This Row],[TOTAL]]/1.21</f>
        <v>4760.33</v>
      </c>
      <c r="I675" s="228">
        <f>ventas_b_mes9[[#This Row],[IMPORTE NETO]]*0.21</f>
        <v>999.66929999999991</v>
      </c>
      <c r="J675" s="229"/>
      <c r="K675" s="229"/>
      <c r="L675" s="229">
        <v>5759.9992999999995</v>
      </c>
      <c r="M675" s="55"/>
    </row>
    <row r="676" spans="2:13" x14ac:dyDescent="0.3">
      <c r="B676" s="223">
        <v>44901</v>
      </c>
      <c r="C676" s="224">
        <v>6</v>
      </c>
      <c r="D676" s="225">
        <v>11</v>
      </c>
      <c r="E676" s="226">
        <v>30440</v>
      </c>
      <c r="F676" s="227"/>
      <c r="G676" s="1" t="str">
        <f>IFERROR(IF(ventas_b_mes9[[#This Row],[CUIT]]="","-",VLOOKUP(ventas_b_mes9[[#This Row],[CUIT]],Lista_CUIT[#All],2,0)),"CUIT NO CARGADO")</f>
        <v>-</v>
      </c>
      <c r="H676" s="60">
        <f>ventas_b_mes9[[#This Row],[TOTAL]]/1.21</f>
        <v>2355.37</v>
      </c>
      <c r="I676" s="228">
        <f>ventas_b_mes9[[#This Row],[IMPORTE NETO]]*0.21</f>
        <v>494.62769999999995</v>
      </c>
      <c r="J676" s="229"/>
      <c r="K676" s="229"/>
      <c r="L676" s="229">
        <v>2849.9976999999999</v>
      </c>
      <c r="M676" s="55"/>
    </row>
    <row r="677" spans="2:13" x14ac:dyDescent="0.3">
      <c r="B677" s="223">
        <v>44901</v>
      </c>
      <c r="C677" s="224">
        <v>6</v>
      </c>
      <c r="D677" s="225">
        <v>11</v>
      </c>
      <c r="E677" s="226">
        <v>30441</v>
      </c>
      <c r="F677" s="227"/>
      <c r="G677" s="1" t="str">
        <f>IFERROR(IF(ventas_b_mes9[[#This Row],[CUIT]]="","-",VLOOKUP(ventas_b_mes9[[#This Row],[CUIT]],Lista_CUIT[#All],2,0)),"CUIT NO CARGADO")</f>
        <v>-</v>
      </c>
      <c r="H677" s="60">
        <f>ventas_b_mes9[[#This Row],[TOTAL]]/1.21</f>
        <v>1983.47</v>
      </c>
      <c r="I677" s="228">
        <f>ventas_b_mes9[[#This Row],[IMPORTE NETO]]*0.21</f>
        <v>416.52870000000001</v>
      </c>
      <c r="J677" s="229"/>
      <c r="K677" s="229"/>
      <c r="L677" s="229">
        <v>2399.9987000000001</v>
      </c>
      <c r="M677" s="55"/>
    </row>
    <row r="678" spans="2:13" x14ac:dyDescent="0.3">
      <c r="B678" s="223">
        <v>44901</v>
      </c>
      <c r="C678" s="224">
        <v>6</v>
      </c>
      <c r="D678" s="225">
        <v>11</v>
      </c>
      <c r="E678" s="226">
        <v>30442</v>
      </c>
      <c r="F678" s="227"/>
      <c r="G678" s="1" t="str">
        <f>IFERROR(IF(ventas_b_mes9[[#This Row],[CUIT]]="","-",VLOOKUP(ventas_b_mes9[[#This Row],[CUIT]],Lista_CUIT[#All],2,0)),"CUIT NO CARGADO")</f>
        <v>-</v>
      </c>
      <c r="H678" s="60">
        <f>ventas_b_mes9[[#This Row],[TOTAL]]/1.21</f>
        <v>4545.45</v>
      </c>
      <c r="I678" s="228">
        <f>ventas_b_mes9[[#This Row],[IMPORTE NETO]]*0.21</f>
        <v>954.54449999999997</v>
      </c>
      <c r="J678" s="229"/>
      <c r="K678" s="229"/>
      <c r="L678" s="229">
        <v>5499.9944999999998</v>
      </c>
      <c r="M678" s="55"/>
    </row>
    <row r="679" spans="2:13" x14ac:dyDescent="0.3">
      <c r="B679" s="223">
        <v>44901</v>
      </c>
      <c r="C679" s="224">
        <v>6</v>
      </c>
      <c r="D679" s="225">
        <v>11</v>
      </c>
      <c r="E679" s="226">
        <v>30443</v>
      </c>
      <c r="F679" s="227"/>
      <c r="G679" s="1" t="str">
        <f>IFERROR(IF(ventas_b_mes9[[#This Row],[CUIT]]="","-",VLOOKUP(ventas_b_mes9[[#This Row],[CUIT]],Lista_CUIT[#All],2,0)),"CUIT NO CARGADO")</f>
        <v>-</v>
      </c>
      <c r="H679" s="60">
        <f>ventas_b_mes9[[#This Row],[TOTAL]]/1.21</f>
        <v>8330.6100000000024</v>
      </c>
      <c r="I679" s="228">
        <f>ventas_b_mes9[[#This Row],[IMPORTE NETO]]*0.21</f>
        <v>1749.4281000000005</v>
      </c>
      <c r="J679" s="229"/>
      <c r="K679" s="229"/>
      <c r="L679" s="229">
        <v>10080.038100000002</v>
      </c>
      <c r="M679" s="55"/>
    </row>
    <row r="680" spans="2:13" x14ac:dyDescent="0.3">
      <c r="B680" s="223">
        <v>44902</v>
      </c>
      <c r="C680" s="224">
        <v>6</v>
      </c>
      <c r="D680" s="225">
        <v>11</v>
      </c>
      <c r="E680" s="226">
        <v>30450</v>
      </c>
      <c r="F680" s="227"/>
      <c r="G680" s="1" t="str">
        <f>IFERROR(IF(ventas_b_mes9[[#This Row],[CUIT]]="","-",VLOOKUP(ventas_b_mes9[[#This Row],[CUIT]],Lista_CUIT[#All],2,0)),"CUIT NO CARGADO")</f>
        <v>-</v>
      </c>
      <c r="H680" s="60">
        <f>ventas_b_mes9[[#This Row],[TOTAL]]/1.21</f>
        <v>4958.68</v>
      </c>
      <c r="I680" s="228">
        <f>ventas_b_mes9[[#This Row],[IMPORTE NETO]]*0.21</f>
        <v>1041.3227999999999</v>
      </c>
      <c r="J680" s="229"/>
      <c r="K680" s="229"/>
      <c r="L680" s="229">
        <v>6000.0028000000002</v>
      </c>
      <c r="M680" s="55"/>
    </row>
    <row r="681" spans="2:13" x14ac:dyDescent="0.3">
      <c r="B681" s="223">
        <v>44902</v>
      </c>
      <c r="C681" s="224">
        <v>6</v>
      </c>
      <c r="D681" s="225">
        <v>11</v>
      </c>
      <c r="E681" s="226">
        <v>30451</v>
      </c>
      <c r="F681" s="227"/>
      <c r="G681" s="1" t="str">
        <f>IFERROR(IF(ventas_b_mes9[[#This Row],[CUIT]]="","-",VLOOKUP(ventas_b_mes9[[#This Row],[CUIT]],Lista_CUIT[#All],2,0)),"CUIT NO CARGADO")</f>
        <v>-</v>
      </c>
      <c r="H681" s="60">
        <f>ventas_b_mes9[[#This Row],[TOTAL]]/1.21</f>
        <v>4958.68</v>
      </c>
      <c r="I681" s="228">
        <f>ventas_b_mes9[[#This Row],[IMPORTE NETO]]*0.21</f>
        <v>1041.3227999999999</v>
      </c>
      <c r="J681" s="229"/>
      <c r="K681" s="229"/>
      <c r="L681" s="229">
        <v>6000.0028000000002</v>
      </c>
      <c r="M681" s="55"/>
    </row>
    <row r="682" spans="2:13" x14ac:dyDescent="0.3">
      <c r="B682" s="223">
        <v>44902</v>
      </c>
      <c r="C682" s="224">
        <v>6</v>
      </c>
      <c r="D682" s="225">
        <v>11</v>
      </c>
      <c r="E682" s="226">
        <v>30452</v>
      </c>
      <c r="F682" s="227"/>
      <c r="G682" s="1" t="str">
        <f>IFERROR(IF(ventas_b_mes9[[#This Row],[CUIT]]="","-",VLOOKUP(ventas_b_mes9[[#This Row],[CUIT]],Lista_CUIT[#All],2,0)),"CUIT NO CARGADO")</f>
        <v>-</v>
      </c>
      <c r="H682" s="60">
        <f>ventas_b_mes9[[#This Row],[TOTAL]]/1.21</f>
        <v>2066.12</v>
      </c>
      <c r="I682" s="228">
        <f>ventas_b_mes9[[#This Row],[IMPORTE NETO]]*0.21</f>
        <v>433.88519999999994</v>
      </c>
      <c r="J682" s="229"/>
      <c r="K682" s="229"/>
      <c r="L682" s="229">
        <v>2500.0051999999996</v>
      </c>
      <c r="M682" s="55"/>
    </row>
    <row r="683" spans="2:13" x14ac:dyDescent="0.3">
      <c r="B683" s="223">
        <v>44902</v>
      </c>
      <c r="C683" s="224">
        <v>6</v>
      </c>
      <c r="D683" s="225">
        <v>11</v>
      </c>
      <c r="E683" s="226">
        <v>30453</v>
      </c>
      <c r="F683" s="227"/>
      <c r="G683" s="1" t="str">
        <f>IFERROR(IF(ventas_b_mes9[[#This Row],[CUIT]]="","-",VLOOKUP(ventas_b_mes9[[#This Row],[CUIT]],Lista_CUIT[#All],2,0)),"CUIT NO CARGADO")</f>
        <v>-</v>
      </c>
      <c r="H683" s="60">
        <f>ventas_b_mes9[[#This Row],[TOTAL]]/1.21</f>
        <v>4775.21</v>
      </c>
      <c r="I683" s="228">
        <f>ventas_b_mes9[[#This Row],[IMPORTE NETO]]*0.21</f>
        <v>1002.7941</v>
      </c>
      <c r="J683" s="229"/>
      <c r="K683" s="229"/>
      <c r="L683" s="229">
        <v>5778.0041000000001</v>
      </c>
      <c r="M683" s="55"/>
    </row>
    <row r="684" spans="2:13" x14ac:dyDescent="0.3">
      <c r="B684" s="223">
        <v>44902</v>
      </c>
      <c r="C684" s="224">
        <v>6</v>
      </c>
      <c r="D684" s="225">
        <v>11</v>
      </c>
      <c r="E684" s="226">
        <v>30454</v>
      </c>
      <c r="F684" s="227"/>
      <c r="G684" s="1" t="str">
        <f>IFERROR(IF(ventas_b_mes9[[#This Row],[CUIT]]="","-",VLOOKUP(ventas_b_mes9[[#This Row],[CUIT]],Lista_CUIT[#All],2,0)),"CUIT NO CARGADO")</f>
        <v>-</v>
      </c>
      <c r="H684" s="60">
        <f>ventas_b_mes9[[#This Row],[TOTAL]]/1.21</f>
        <v>5694.21</v>
      </c>
      <c r="I684" s="228">
        <f>ventas_b_mes9[[#This Row],[IMPORTE NETO]]*0.21</f>
        <v>1195.7840999999999</v>
      </c>
      <c r="J684" s="229"/>
      <c r="K684" s="229"/>
      <c r="L684" s="229">
        <v>6889.9940999999999</v>
      </c>
      <c r="M684" s="55"/>
    </row>
    <row r="685" spans="2:13" x14ac:dyDescent="0.3">
      <c r="B685" s="223">
        <v>44902</v>
      </c>
      <c r="C685" s="224">
        <v>6</v>
      </c>
      <c r="D685" s="225">
        <v>11</v>
      </c>
      <c r="E685" s="226">
        <v>30455</v>
      </c>
      <c r="F685" s="227"/>
      <c r="G685" s="1" t="str">
        <f>IFERROR(IF(ventas_b_mes9[[#This Row],[CUIT]]="","-",VLOOKUP(ventas_b_mes9[[#This Row],[CUIT]],Lista_CUIT[#All],2,0)),"CUIT NO CARGADO")</f>
        <v>-</v>
      </c>
      <c r="H685" s="60">
        <f>ventas_b_mes9[[#This Row],[TOTAL]]/1.21</f>
        <v>4495.87</v>
      </c>
      <c r="I685" s="228">
        <f>ventas_b_mes9[[#This Row],[IMPORTE NETO]]*0.21</f>
        <v>944.13269999999989</v>
      </c>
      <c r="J685" s="229"/>
      <c r="K685" s="229"/>
      <c r="L685" s="229">
        <v>5440.0027</v>
      </c>
      <c r="M685" s="55"/>
    </row>
    <row r="686" spans="2:13" x14ac:dyDescent="0.3">
      <c r="B686" s="223">
        <v>44902</v>
      </c>
      <c r="C686" s="224">
        <v>6</v>
      </c>
      <c r="D686" s="225">
        <v>11</v>
      </c>
      <c r="E686" s="226">
        <v>30456</v>
      </c>
      <c r="F686" s="227"/>
      <c r="G686" s="1" t="str">
        <f>IFERROR(IF(ventas_b_mes9[[#This Row],[CUIT]]="","-",VLOOKUP(ventas_b_mes9[[#This Row],[CUIT]],Lista_CUIT[#All],2,0)),"CUIT NO CARGADO")</f>
        <v>-</v>
      </c>
      <c r="H686" s="60">
        <f>ventas_b_mes9[[#This Row],[TOTAL]]/1.21</f>
        <v>4958.68</v>
      </c>
      <c r="I686" s="228">
        <f>ventas_b_mes9[[#This Row],[IMPORTE NETO]]*0.21</f>
        <v>1041.3227999999999</v>
      </c>
      <c r="J686" s="229"/>
      <c r="K686" s="229"/>
      <c r="L686" s="229">
        <v>6000.0028000000002</v>
      </c>
      <c r="M686" s="55"/>
    </row>
    <row r="687" spans="2:13" x14ac:dyDescent="0.3">
      <c r="B687" s="223">
        <v>44902</v>
      </c>
      <c r="C687" s="224">
        <v>6</v>
      </c>
      <c r="D687" s="225">
        <v>11</v>
      </c>
      <c r="E687" s="226">
        <v>30457</v>
      </c>
      <c r="F687" s="227"/>
      <c r="G687" s="1" t="str">
        <f>IFERROR(IF(ventas_b_mes9[[#This Row],[CUIT]]="","-",VLOOKUP(ventas_b_mes9[[#This Row],[CUIT]],Lista_CUIT[#All],2,0)),"CUIT NO CARGADO")</f>
        <v>-</v>
      </c>
      <c r="H687" s="60">
        <f>ventas_b_mes9[[#This Row],[TOTAL]]/1.21</f>
        <v>4271.07</v>
      </c>
      <c r="I687" s="228">
        <f>ventas_b_mes9[[#This Row],[IMPORTE NETO]]*0.21</f>
        <v>896.92469999999992</v>
      </c>
      <c r="J687" s="229"/>
      <c r="K687" s="229"/>
      <c r="L687" s="229">
        <v>5167.9946999999993</v>
      </c>
      <c r="M687" s="55"/>
    </row>
    <row r="688" spans="2:13" x14ac:dyDescent="0.3">
      <c r="B688" s="223">
        <v>44902</v>
      </c>
      <c r="C688" s="224">
        <v>6</v>
      </c>
      <c r="D688" s="225">
        <v>11</v>
      </c>
      <c r="E688" s="226">
        <v>30458</v>
      </c>
      <c r="F688" s="227"/>
      <c r="G688" s="1" t="str">
        <f>IFERROR(IF(ventas_b_mes9[[#This Row],[CUIT]]="","-",VLOOKUP(ventas_b_mes9[[#This Row],[CUIT]],Lista_CUIT[#All],2,0)),"CUIT NO CARGADO")</f>
        <v>-</v>
      </c>
      <c r="H688" s="60">
        <f>ventas_b_mes9[[#This Row],[TOTAL]]/1.21</f>
        <v>3632.2300000000005</v>
      </c>
      <c r="I688" s="228">
        <f>ventas_b_mes9[[#This Row],[IMPORTE NETO]]*0.21</f>
        <v>762.76830000000007</v>
      </c>
      <c r="J688" s="229"/>
      <c r="K688" s="229"/>
      <c r="L688" s="229">
        <v>4394.9983000000002</v>
      </c>
      <c r="M688" s="55"/>
    </row>
    <row r="689" spans="2:13" x14ac:dyDescent="0.3">
      <c r="B689" s="223">
        <v>44902</v>
      </c>
      <c r="C689" s="224">
        <v>6</v>
      </c>
      <c r="D689" s="225">
        <v>11</v>
      </c>
      <c r="E689" s="226">
        <v>30459</v>
      </c>
      <c r="F689" s="227"/>
      <c r="G689" s="1" t="str">
        <f>IFERROR(IF(ventas_b_mes9[[#This Row],[CUIT]]="","-",VLOOKUP(ventas_b_mes9[[#This Row],[CUIT]],Lista_CUIT[#All],2,0)),"CUIT NO CARGADO")</f>
        <v>-</v>
      </c>
      <c r="H689" s="60">
        <f>ventas_b_mes9[[#This Row],[TOTAL]]/1.21</f>
        <v>14611.570000000002</v>
      </c>
      <c r="I689" s="228">
        <f>ventas_b_mes9[[#This Row],[IMPORTE NETO]]*0.21</f>
        <v>3068.4297000000001</v>
      </c>
      <c r="J689" s="229"/>
      <c r="K689" s="229"/>
      <c r="L689" s="229">
        <v>17679.9997</v>
      </c>
      <c r="M689" s="55"/>
    </row>
    <row r="690" spans="2:13" x14ac:dyDescent="0.3">
      <c r="B690" s="223" t="s">
        <v>2588</v>
      </c>
      <c r="C690" s="224">
        <v>6</v>
      </c>
      <c r="D690" s="225">
        <v>11</v>
      </c>
      <c r="E690" s="226">
        <v>30460</v>
      </c>
      <c r="F690" s="227"/>
      <c r="G690" s="1" t="str">
        <f>IFERROR(IF(ventas_b_mes9[[#This Row],[CUIT]]="","-",VLOOKUP(ventas_b_mes9[[#This Row],[CUIT]],Lista_CUIT[#All],2,0)),"CUIT NO CARGADO")</f>
        <v>-</v>
      </c>
      <c r="H690" s="60">
        <f>ventas_b_mes9[[#This Row],[TOTAL]]/1.21</f>
        <v>4545.45</v>
      </c>
      <c r="I690" s="228">
        <f>ventas_b_mes9[[#This Row],[IMPORTE NETO]]*0.21</f>
        <v>954.54449999999997</v>
      </c>
      <c r="J690" s="229"/>
      <c r="K690" s="229"/>
      <c r="L690" s="229">
        <v>5499.9944999999998</v>
      </c>
      <c r="M690" s="55"/>
    </row>
    <row r="691" spans="2:13" x14ac:dyDescent="0.3">
      <c r="B691" s="223">
        <v>44902</v>
      </c>
      <c r="C691" s="224">
        <v>6</v>
      </c>
      <c r="D691" s="225">
        <v>11</v>
      </c>
      <c r="E691" s="226">
        <v>30461</v>
      </c>
      <c r="F691" s="227"/>
      <c r="G691" s="1" t="str">
        <f>IFERROR(IF(ventas_b_mes9[[#This Row],[CUIT]]="","-",VLOOKUP(ventas_b_mes9[[#This Row],[CUIT]],Lista_CUIT[#All],2,0)),"CUIT NO CARGADO")</f>
        <v>-</v>
      </c>
      <c r="H691" s="60">
        <f>ventas_b_mes9[[#This Row],[TOTAL]]/1.21</f>
        <v>570.25000000000011</v>
      </c>
      <c r="I691" s="228">
        <f>ventas_b_mes9[[#This Row],[IMPORTE NETO]]*0.21</f>
        <v>119.75250000000003</v>
      </c>
      <c r="J691" s="229"/>
      <c r="K691" s="229"/>
      <c r="L691" s="229">
        <v>690.00250000000005</v>
      </c>
      <c r="M691" s="55"/>
    </row>
    <row r="692" spans="2:13" x14ac:dyDescent="0.3">
      <c r="B692" s="223">
        <v>44902</v>
      </c>
      <c r="C692" s="224">
        <v>6</v>
      </c>
      <c r="D692" s="225">
        <v>11</v>
      </c>
      <c r="E692" s="226">
        <v>30462</v>
      </c>
      <c r="F692" s="227"/>
      <c r="G692" s="1" t="str">
        <f>IFERROR(IF(ventas_b_mes9[[#This Row],[CUIT]]="","-",VLOOKUP(ventas_b_mes9[[#This Row],[CUIT]],Lista_CUIT[#All],2,0)),"CUIT NO CARGADO")</f>
        <v>-</v>
      </c>
      <c r="H692" s="60">
        <f>ventas_b_mes9[[#This Row],[TOTAL]]/1.21</f>
        <v>12462.830000000002</v>
      </c>
      <c r="I692" s="228">
        <f>ventas_b_mes9[[#This Row],[IMPORTE NETO]]*0.21</f>
        <v>2617.1943000000001</v>
      </c>
      <c r="J692" s="229"/>
      <c r="K692" s="229"/>
      <c r="L692" s="229">
        <v>15080.024300000001</v>
      </c>
      <c r="M692" s="55"/>
    </row>
    <row r="693" spans="2:13" x14ac:dyDescent="0.3">
      <c r="B693" s="223">
        <v>44902</v>
      </c>
      <c r="C693" s="224">
        <v>6</v>
      </c>
      <c r="D693" s="225">
        <v>11</v>
      </c>
      <c r="E693" s="226">
        <v>30463</v>
      </c>
      <c r="F693" s="227"/>
      <c r="G693" s="1" t="str">
        <f>IFERROR(IF(ventas_b_mes9[[#This Row],[CUIT]]="","-",VLOOKUP(ventas_b_mes9[[#This Row],[CUIT]],Lista_CUIT[#All],2,0)),"CUIT NO CARGADO")</f>
        <v>-</v>
      </c>
      <c r="H693" s="60">
        <f>ventas_b_mes9[[#This Row],[TOTAL]]/1.21</f>
        <v>4545.45</v>
      </c>
      <c r="I693" s="228">
        <f>ventas_b_mes9[[#This Row],[IMPORTE NETO]]*0.21</f>
        <v>954.54449999999997</v>
      </c>
      <c r="J693" s="229"/>
      <c r="K693" s="229"/>
      <c r="L693" s="229">
        <v>5499.9944999999998</v>
      </c>
      <c r="M693" s="55"/>
    </row>
    <row r="694" spans="2:13" x14ac:dyDescent="0.3">
      <c r="B694" s="223">
        <v>44902</v>
      </c>
      <c r="C694" s="224">
        <v>6</v>
      </c>
      <c r="D694" s="225">
        <v>11</v>
      </c>
      <c r="E694" s="226">
        <v>30464</v>
      </c>
      <c r="F694" s="227"/>
      <c r="G694" s="1" t="str">
        <f>IFERROR(IF(ventas_b_mes9[[#This Row],[CUIT]]="","-",VLOOKUP(ventas_b_mes9[[#This Row],[CUIT]],Lista_CUIT[#All],2,0)),"CUIT NO CARGADO")</f>
        <v>-</v>
      </c>
      <c r="H694" s="60">
        <f>ventas_b_mes9[[#This Row],[TOTAL]]/1.21</f>
        <v>4341.32</v>
      </c>
      <c r="I694" s="228">
        <f>ventas_b_mes9[[#This Row],[IMPORTE NETO]]*0.21</f>
        <v>911.67719999999986</v>
      </c>
      <c r="J694" s="229"/>
      <c r="K694" s="229"/>
      <c r="L694" s="229">
        <v>5252.9971999999998</v>
      </c>
      <c r="M694" s="55"/>
    </row>
    <row r="695" spans="2:13" x14ac:dyDescent="0.3">
      <c r="B695" s="223">
        <v>44902</v>
      </c>
      <c r="C695" s="224">
        <v>6</v>
      </c>
      <c r="D695" s="225">
        <v>13</v>
      </c>
      <c r="E695" s="226">
        <v>27045</v>
      </c>
      <c r="F695" s="227"/>
      <c r="G695" s="1" t="str">
        <f>IFERROR(IF(ventas_b_mes9[[#This Row],[CUIT]]="","-",VLOOKUP(ventas_b_mes9[[#This Row],[CUIT]],Lista_CUIT[#All],2,0)),"CUIT NO CARGADO")</f>
        <v>-</v>
      </c>
      <c r="H695" s="60">
        <f>ventas_b_mes9[[#This Row],[TOTAL]]/1.21</f>
        <v>9836.81</v>
      </c>
      <c r="I695" s="228">
        <f>ventas_b_mes9[[#This Row],[IMPORTE NETO]]*0.21</f>
        <v>2065.7300999999998</v>
      </c>
      <c r="J695" s="229"/>
      <c r="K695" s="229"/>
      <c r="L695" s="229">
        <v>11902.540099999998</v>
      </c>
      <c r="M695" s="55"/>
    </row>
    <row r="696" spans="2:13" x14ac:dyDescent="0.3">
      <c r="B696" s="223">
        <v>44902</v>
      </c>
      <c r="C696" s="224">
        <v>6</v>
      </c>
      <c r="D696" s="225">
        <v>13</v>
      </c>
      <c r="E696" s="226">
        <v>27046</v>
      </c>
      <c r="F696" s="227"/>
      <c r="G696" s="1" t="str">
        <f>IFERROR(IF(ventas_b_mes9[[#This Row],[CUIT]]="","-",VLOOKUP(ventas_b_mes9[[#This Row],[CUIT]],Lista_CUIT[#All],2,0)),"CUIT NO CARGADO")</f>
        <v>-</v>
      </c>
      <c r="H696" s="60">
        <f>ventas_b_mes9[[#This Row],[TOTAL]]/1.21</f>
        <v>11223.17</v>
      </c>
      <c r="I696" s="228">
        <f>ventas_b_mes9[[#This Row],[IMPORTE NETO]]*0.21</f>
        <v>2356.8656999999998</v>
      </c>
      <c r="J696" s="229"/>
      <c r="K696" s="229"/>
      <c r="L696" s="229">
        <v>13580.0357</v>
      </c>
      <c r="M696" s="55"/>
    </row>
    <row r="697" spans="2:13" x14ac:dyDescent="0.3">
      <c r="B697" s="223">
        <v>44902</v>
      </c>
      <c r="C697" s="224">
        <v>6</v>
      </c>
      <c r="D697" s="225">
        <v>13</v>
      </c>
      <c r="E697" s="226">
        <v>27047</v>
      </c>
      <c r="F697" s="227"/>
      <c r="G697" s="1" t="str">
        <f>IFERROR(IF(ventas_b_mes9[[#This Row],[CUIT]]="","-",VLOOKUP(ventas_b_mes9[[#This Row],[CUIT]],Lista_CUIT[#All],2,0)),"CUIT NO CARGADO")</f>
        <v>-</v>
      </c>
      <c r="H697" s="60">
        <f>ventas_b_mes9[[#This Row],[TOTAL]]/1.21</f>
        <v>22791.05</v>
      </c>
      <c r="I697" s="228">
        <f>ventas_b_mes9[[#This Row],[IMPORTE NETO]]*0.21</f>
        <v>4786.1205</v>
      </c>
      <c r="J697" s="229"/>
      <c r="K697" s="229"/>
      <c r="L697" s="229">
        <v>27577.1705</v>
      </c>
      <c r="M697" s="55"/>
    </row>
    <row r="698" spans="2:13" x14ac:dyDescent="0.3">
      <c r="B698" s="223">
        <v>44902</v>
      </c>
      <c r="C698" s="224">
        <v>6</v>
      </c>
      <c r="D698" s="225">
        <v>13</v>
      </c>
      <c r="E698" s="226">
        <v>27048</v>
      </c>
      <c r="F698" s="227"/>
      <c r="G698" s="1" t="str">
        <f>IFERROR(IF(ventas_b_mes9[[#This Row],[CUIT]]="","-",VLOOKUP(ventas_b_mes9[[#This Row],[CUIT]],Lista_CUIT[#All],2,0)),"CUIT NO CARGADO")</f>
        <v>-</v>
      </c>
      <c r="H698" s="60">
        <f>ventas_b_mes9[[#This Row],[TOTAL]]/1.21</f>
        <v>7173.5500000000011</v>
      </c>
      <c r="I698" s="228">
        <f>ventas_b_mes9[[#This Row],[IMPORTE NETO]]*0.21</f>
        <v>1506.4455000000003</v>
      </c>
      <c r="J698" s="229"/>
      <c r="K698" s="229"/>
      <c r="L698" s="229">
        <v>8679.9955000000009</v>
      </c>
      <c r="M698" s="55"/>
    </row>
    <row r="699" spans="2:13" x14ac:dyDescent="0.3">
      <c r="B699" s="223">
        <v>44902</v>
      </c>
      <c r="C699" s="224">
        <v>6</v>
      </c>
      <c r="D699" s="225">
        <v>13</v>
      </c>
      <c r="E699" s="226">
        <v>27049</v>
      </c>
      <c r="F699" s="227"/>
      <c r="G699" s="1" t="str">
        <f>IFERROR(IF(ventas_b_mes9[[#This Row],[CUIT]]="","-",VLOOKUP(ventas_b_mes9[[#This Row],[CUIT]],Lista_CUIT[#All],2,0)),"CUIT NO CARGADO")</f>
        <v>-</v>
      </c>
      <c r="H699" s="60">
        <f>ventas_b_mes9[[#This Row],[TOTAL]]/1.21</f>
        <v>8776.8700000000008</v>
      </c>
      <c r="I699" s="228">
        <f>ventas_b_mes9[[#This Row],[IMPORTE NETO]]*0.21</f>
        <v>1843.1427000000001</v>
      </c>
      <c r="J699" s="229"/>
      <c r="K699" s="229"/>
      <c r="L699" s="229">
        <v>10620.012700000001</v>
      </c>
      <c r="M699" s="55"/>
    </row>
    <row r="700" spans="2:13" x14ac:dyDescent="0.3">
      <c r="B700" s="223">
        <v>44902</v>
      </c>
      <c r="C700" s="224">
        <v>6</v>
      </c>
      <c r="D700" s="225">
        <v>13</v>
      </c>
      <c r="E700" s="226">
        <v>27050</v>
      </c>
      <c r="F700" s="227"/>
      <c r="G700" s="1" t="str">
        <f>IFERROR(IF(ventas_b_mes9[[#This Row],[CUIT]]="","-",VLOOKUP(ventas_b_mes9[[#This Row],[CUIT]],Lista_CUIT[#All],2,0)),"CUIT NO CARGADO")</f>
        <v>-</v>
      </c>
      <c r="H700" s="60">
        <f>ventas_b_mes9[[#This Row],[TOTAL]]/1.21</f>
        <v>4958.68</v>
      </c>
      <c r="I700" s="228">
        <f>ventas_b_mes9[[#This Row],[IMPORTE NETO]]*0.21</f>
        <v>1041.3227999999999</v>
      </c>
      <c r="J700" s="229"/>
      <c r="K700" s="229"/>
      <c r="L700" s="229">
        <v>6000.0028000000002</v>
      </c>
      <c r="M700" s="55"/>
    </row>
    <row r="701" spans="2:13" x14ac:dyDescent="0.3">
      <c r="B701" s="223">
        <v>44902</v>
      </c>
      <c r="C701" s="224">
        <v>6</v>
      </c>
      <c r="D701" s="225">
        <v>13</v>
      </c>
      <c r="E701" s="226">
        <v>27051</v>
      </c>
      <c r="F701" s="227"/>
      <c r="G701" s="1" t="str">
        <f>IFERROR(IF(ventas_b_mes9[[#This Row],[CUIT]]="","-",VLOOKUP(ventas_b_mes9[[#This Row],[CUIT]],Lista_CUIT[#All],2,0)),"CUIT NO CARGADO")</f>
        <v>-</v>
      </c>
      <c r="H701" s="60">
        <f>ventas_b_mes9[[#This Row],[TOTAL]]/1.21</f>
        <v>2082.65</v>
      </c>
      <c r="I701" s="228">
        <f>ventas_b_mes9[[#This Row],[IMPORTE NETO]]*0.21</f>
        <v>437.35649999999998</v>
      </c>
      <c r="J701" s="229"/>
      <c r="K701" s="229"/>
      <c r="L701" s="229">
        <v>2520.0065</v>
      </c>
      <c r="M701" s="55"/>
    </row>
    <row r="702" spans="2:13" x14ac:dyDescent="0.3">
      <c r="B702" s="223">
        <v>44902</v>
      </c>
      <c r="C702" s="224">
        <v>6</v>
      </c>
      <c r="D702" s="225">
        <v>13</v>
      </c>
      <c r="E702" s="226">
        <v>27052</v>
      </c>
      <c r="F702" s="227"/>
      <c r="G702" s="1" t="str">
        <f>IFERROR(IF(ventas_b_mes9[[#This Row],[CUIT]]="","-",VLOOKUP(ventas_b_mes9[[#This Row],[CUIT]],Lista_CUIT[#All],2,0)),"CUIT NO CARGADO")</f>
        <v>-</v>
      </c>
      <c r="H702" s="60">
        <f>ventas_b_mes9[[#This Row],[TOTAL]]/1.21</f>
        <v>8016.53</v>
      </c>
      <c r="I702" s="228">
        <f>ventas_b_mes9[[#This Row],[IMPORTE NETO]]*0.21</f>
        <v>1683.4712999999999</v>
      </c>
      <c r="J702" s="229"/>
      <c r="K702" s="229"/>
      <c r="L702" s="229">
        <v>9700.0012999999999</v>
      </c>
      <c r="M702" s="55"/>
    </row>
    <row r="703" spans="2:13" x14ac:dyDescent="0.3">
      <c r="B703" s="223">
        <v>44902</v>
      </c>
      <c r="C703" s="224">
        <v>6</v>
      </c>
      <c r="D703" s="225">
        <v>13</v>
      </c>
      <c r="E703" s="226">
        <v>27053</v>
      </c>
      <c r="F703" s="227"/>
      <c r="G703" s="1" t="str">
        <f>IFERROR(IF(ventas_b_mes9[[#This Row],[CUIT]]="","-",VLOOKUP(ventas_b_mes9[[#This Row],[CUIT]],Lista_CUIT[#All],2,0)),"CUIT NO CARGADO")</f>
        <v>-</v>
      </c>
      <c r="H703" s="60">
        <f>ventas_b_mes9[[#This Row],[TOTAL]]/1.21</f>
        <v>2648.76</v>
      </c>
      <c r="I703" s="228">
        <f>ventas_b_mes9[[#This Row],[IMPORTE NETO]]*0.21</f>
        <v>556.2396</v>
      </c>
      <c r="J703" s="229"/>
      <c r="K703" s="229"/>
      <c r="L703" s="229">
        <v>3204.9996000000001</v>
      </c>
      <c r="M703" s="55"/>
    </row>
    <row r="704" spans="2:13" x14ac:dyDescent="0.3">
      <c r="B704" s="223">
        <v>44902</v>
      </c>
      <c r="C704" s="224">
        <v>6</v>
      </c>
      <c r="D704" s="225">
        <v>15</v>
      </c>
      <c r="E704" s="226">
        <v>7413</v>
      </c>
      <c r="F704" s="227">
        <v>26822235</v>
      </c>
      <c r="G704" s="1" t="str">
        <f>IFERROR(IF(ventas_b_mes9[[#This Row],[CUIT]]="","-",VLOOKUP(ventas_b_mes9[[#This Row],[CUIT]],Lista_CUIT[#All],2,0)),"CUIT NO CARGADO")</f>
        <v>VARGAS, VERONICA FABIOLA (ALUMNA)</v>
      </c>
      <c r="H704" s="60">
        <f>ventas_b_mes9[[#This Row],[TOTAL]]/1.21</f>
        <v>4958.68</v>
      </c>
      <c r="I704" s="228">
        <f>ventas_b_mes9[[#This Row],[IMPORTE NETO]]*0.21</f>
        <v>1041.3227999999999</v>
      </c>
      <c r="J704" s="229"/>
      <c r="K704" s="229"/>
      <c r="L704" s="229">
        <v>6000.0028000000002</v>
      </c>
      <c r="M704" s="55"/>
    </row>
    <row r="705" spans="2:13" x14ac:dyDescent="0.3">
      <c r="B705" s="223">
        <v>44902</v>
      </c>
      <c r="C705" s="224">
        <v>6</v>
      </c>
      <c r="D705" s="225">
        <v>15</v>
      </c>
      <c r="E705" s="226">
        <v>7414</v>
      </c>
      <c r="F705" s="227"/>
      <c r="G705" s="1" t="str">
        <f>IFERROR(IF(ventas_b_mes9[[#This Row],[CUIT]]="","-",VLOOKUP(ventas_b_mes9[[#This Row],[CUIT]],Lista_CUIT[#All],2,0)),"CUIT NO CARGADO")</f>
        <v>-</v>
      </c>
      <c r="H705" s="60">
        <f>ventas_b_mes9[[#This Row],[TOTAL]]/1.21</f>
        <v>4710.74</v>
      </c>
      <c r="I705" s="228">
        <f>ventas_b_mes9[[#This Row],[IMPORTE NETO]]*0.21</f>
        <v>989.2553999999999</v>
      </c>
      <c r="J705" s="229"/>
      <c r="K705" s="229"/>
      <c r="L705" s="229">
        <v>5699.9953999999998</v>
      </c>
      <c r="M705" s="55"/>
    </row>
    <row r="706" spans="2:13" x14ac:dyDescent="0.3">
      <c r="B706" s="223">
        <v>44902</v>
      </c>
      <c r="C706" s="224">
        <v>6</v>
      </c>
      <c r="D706" s="225">
        <v>15</v>
      </c>
      <c r="E706" s="226">
        <v>7415</v>
      </c>
      <c r="F706" s="227"/>
      <c r="G706" s="1" t="str">
        <f>IFERROR(IF(ventas_b_mes9[[#This Row],[CUIT]]="","-",VLOOKUP(ventas_b_mes9[[#This Row],[CUIT]],Lista_CUIT[#All],2,0)),"CUIT NO CARGADO")</f>
        <v>-</v>
      </c>
      <c r="H706" s="60">
        <f>ventas_b_mes9[[#This Row],[TOTAL]]/1.21</f>
        <v>1086.78</v>
      </c>
      <c r="I706" s="228">
        <f>ventas_b_mes9[[#This Row],[IMPORTE NETO]]*0.21</f>
        <v>228.22379999999998</v>
      </c>
      <c r="J706" s="229"/>
      <c r="K706" s="229"/>
      <c r="L706" s="229">
        <v>1315.0038</v>
      </c>
      <c r="M706" s="55"/>
    </row>
    <row r="707" spans="2:13" x14ac:dyDescent="0.3">
      <c r="B707" s="223">
        <v>44902</v>
      </c>
      <c r="C707" s="224">
        <v>6</v>
      </c>
      <c r="D707" s="225">
        <v>15</v>
      </c>
      <c r="E707" s="226">
        <v>7416</v>
      </c>
      <c r="F707" s="227">
        <v>17282007</v>
      </c>
      <c r="G707" s="1" t="str">
        <f>IFERROR(IF(ventas_b_mes9[[#This Row],[CUIT]]="","-",VLOOKUP(ventas_b_mes9[[#This Row],[CUIT]],Lista_CUIT[#All],2,0)),"CUIT NO CARGADO")</f>
        <v>FRANCK,maria elena</v>
      </c>
      <c r="H707" s="60">
        <f>ventas_b_mes9[[#This Row],[TOTAL]]/1.21</f>
        <v>6148.78</v>
      </c>
      <c r="I707" s="228">
        <f>ventas_b_mes9[[#This Row],[IMPORTE NETO]]*0.21</f>
        <v>1291.2438</v>
      </c>
      <c r="J707" s="229"/>
      <c r="K707" s="229"/>
      <c r="L707" s="229">
        <v>7440.0237999999999</v>
      </c>
      <c r="M707" s="55"/>
    </row>
    <row r="708" spans="2:13" x14ac:dyDescent="0.3">
      <c r="B708" s="223">
        <v>44902</v>
      </c>
      <c r="C708" s="224">
        <v>6</v>
      </c>
      <c r="D708" s="225">
        <v>15</v>
      </c>
      <c r="E708" s="226">
        <v>7417</v>
      </c>
      <c r="F708" s="227">
        <v>31316007</v>
      </c>
      <c r="G708" s="1" t="str">
        <f>IFERROR(IF(ventas_b_mes9[[#This Row],[CUIT]]="","-",VLOOKUP(ventas_b_mes9[[#This Row],[CUIT]],Lista_CUIT[#All],2,0)),"CUIT NO CARGADO")</f>
        <v>PAEZ, ANDREA VERONICA</v>
      </c>
      <c r="H708" s="60">
        <f>ventas_b_mes9[[#This Row],[TOTAL]]/1.21</f>
        <v>2669.42</v>
      </c>
      <c r="I708" s="228">
        <f>ventas_b_mes9[[#This Row],[IMPORTE NETO]]*0.21</f>
        <v>560.57820000000004</v>
      </c>
      <c r="J708" s="229"/>
      <c r="K708" s="229"/>
      <c r="L708" s="229">
        <v>3229.9982</v>
      </c>
      <c r="M708" s="55"/>
    </row>
    <row r="709" spans="2:13" x14ac:dyDescent="0.3">
      <c r="B709" s="223">
        <v>44902</v>
      </c>
      <c r="C709" s="224">
        <v>6</v>
      </c>
      <c r="D709" s="225">
        <v>15</v>
      </c>
      <c r="E709" s="226">
        <v>7418</v>
      </c>
      <c r="F709" s="227">
        <v>17681773</v>
      </c>
      <c r="G709" s="1" t="str">
        <f>IFERROR(IF(ventas_b_mes9[[#This Row],[CUIT]]="","-",VLOOKUP(ventas_b_mes9[[#This Row],[CUIT]],Lista_CUIT[#All],2,0)),"CUIT NO CARGADO")</f>
        <v>NUÑOZ,Maria Julieta</v>
      </c>
      <c r="H709" s="60">
        <f>ventas_b_mes9[[#This Row],[TOTAL]]/1.21</f>
        <v>942.14999999999986</v>
      </c>
      <c r="I709" s="228">
        <f>ventas_b_mes9[[#This Row],[IMPORTE NETO]]*0.21</f>
        <v>197.85149999999996</v>
      </c>
      <c r="J709" s="229"/>
      <c r="K709" s="229"/>
      <c r="L709" s="229">
        <v>1140.0014999999999</v>
      </c>
      <c r="M709" s="55"/>
    </row>
    <row r="710" spans="2:13" x14ac:dyDescent="0.3">
      <c r="B710" s="223">
        <v>44902</v>
      </c>
      <c r="C710" s="224">
        <v>6</v>
      </c>
      <c r="D710" s="225">
        <v>15</v>
      </c>
      <c r="E710" s="226">
        <v>7419</v>
      </c>
      <c r="F710" s="227">
        <v>26272486</v>
      </c>
      <c r="G710" s="1" t="str">
        <f>IFERROR(IF(ventas_b_mes9[[#This Row],[CUIT]]="","-",VLOOKUP(ventas_b_mes9[[#This Row],[CUIT]],Lista_CUIT[#All],2,0)),"CUIT NO CARGADO")</f>
        <v>BALMACEDA,NATALIA LORENA</v>
      </c>
      <c r="H710" s="60">
        <f>ventas_b_mes9[[#This Row],[TOTAL]]/1.21</f>
        <v>2578.5100000000007</v>
      </c>
      <c r="I710" s="228">
        <f>ventas_b_mes9[[#This Row],[IMPORTE NETO]]*0.21</f>
        <v>541.48710000000017</v>
      </c>
      <c r="J710" s="229"/>
      <c r="K710" s="229"/>
      <c r="L710" s="229">
        <v>3119.9971000000005</v>
      </c>
      <c r="M710" s="55"/>
    </row>
    <row r="711" spans="2:13" x14ac:dyDescent="0.3">
      <c r="B711" s="223">
        <v>44902</v>
      </c>
      <c r="C711" s="224">
        <v>6</v>
      </c>
      <c r="D711" s="225">
        <v>15</v>
      </c>
      <c r="E711" s="226">
        <v>7420</v>
      </c>
      <c r="F711" s="227">
        <v>36740584</v>
      </c>
      <c r="G711" s="1" t="str">
        <f>IFERROR(IF(ventas_b_mes9[[#This Row],[CUIT]]="","-",VLOOKUP(ventas_b_mes9[[#This Row],[CUIT]],Lista_CUIT[#All],2,0)),"CUIT NO CARGADO")</f>
        <v>ESQUIVEL,Ines Solange (alumna)</v>
      </c>
      <c r="H711" s="60">
        <f>ventas_b_mes9[[#This Row],[TOTAL]]/1.21</f>
        <v>4545.45</v>
      </c>
      <c r="I711" s="228">
        <f>ventas_b_mes9[[#This Row],[IMPORTE NETO]]*0.21</f>
        <v>954.54449999999997</v>
      </c>
      <c r="J711" s="229"/>
      <c r="K711" s="229"/>
      <c r="L711" s="229">
        <v>5499.9944999999998</v>
      </c>
      <c r="M711" s="55"/>
    </row>
    <row r="712" spans="2:13" x14ac:dyDescent="0.3">
      <c r="B712" s="223">
        <v>44902</v>
      </c>
      <c r="C712" s="224">
        <v>6</v>
      </c>
      <c r="D712" s="225">
        <v>15</v>
      </c>
      <c r="E712" s="226">
        <v>7421</v>
      </c>
      <c r="F712" s="227">
        <v>42043394</v>
      </c>
      <c r="G712" s="1" t="str">
        <f>IFERROR(IF(ventas_b_mes9[[#This Row],[CUIT]]="","-",VLOOKUP(ventas_b_mes9[[#This Row],[CUIT]],Lista_CUIT[#All],2,0)),"CUIT NO CARGADO")</f>
        <v>MORENO PICARDO, SOFIA (alumna)</v>
      </c>
      <c r="H712" s="60">
        <f>ventas_b_mes9[[#This Row],[TOTAL]]/1.21</f>
        <v>2526.4500000000003</v>
      </c>
      <c r="I712" s="228">
        <f>ventas_b_mes9[[#This Row],[IMPORTE NETO]]*0.21</f>
        <v>530.55450000000008</v>
      </c>
      <c r="J712" s="229"/>
      <c r="K712" s="229"/>
      <c r="L712" s="229">
        <v>3057.0045</v>
      </c>
      <c r="M712" s="55"/>
    </row>
    <row r="713" spans="2:13" x14ac:dyDescent="0.3">
      <c r="B713" s="223">
        <v>44902</v>
      </c>
      <c r="C713" s="224">
        <v>6</v>
      </c>
      <c r="D713" s="225">
        <v>15</v>
      </c>
      <c r="E713" s="226">
        <v>7422</v>
      </c>
      <c r="F713" s="227"/>
      <c r="G713" s="1" t="str">
        <f>IFERROR(IF(ventas_b_mes9[[#This Row],[CUIT]]="","-",VLOOKUP(ventas_b_mes9[[#This Row],[CUIT]],Lista_CUIT[#All],2,0)),"CUIT NO CARGADO")</f>
        <v>-</v>
      </c>
      <c r="H713" s="60">
        <f>ventas_b_mes9[[#This Row],[TOTAL]]/1.21</f>
        <v>4545.45</v>
      </c>
      <c r="I713" s="228">
        <f>ventas_b_mes9[[#This Row],[IMPORTE NETO]]*0.21</f>
        <v>954.54449999999997</v>
      </c>
      <c r="J713" s="229"/>
      <c r="K713" s="229"/>
      <c r="L713" s="229">
        <v>5499.9944999999998</v>
      </c>
      <c r="M713" s="55"/>
    </row>
    <row r="714" spans="2:13" x14ac:dyDescent="0.3">
      <c r="B714" s="223">
        <v>44902</v>
      </c>
      <c r="C714" s="224">
        <v>6</v>
      </c>
      <c r="D714" s="225">
        <v>15</v>
      </c>
      <c r="E714" s="226">
        <v>7423</v>
      </c>
      <c r="F714" s="227">
        <v>31316007</v>
      </c>
      <c r="G714" s="1" t="str">
        <f>IFERROR(IF(ventas_b_mes9[[#This Row],[CUIT]]="","-",VLOOKUP(ventas_b_mes9[[#This Row],[CUIT]],Lista_CUIT[#All],2,0)),"CUIT NO CARGADO")</f>
        <v>PAEZ, ANDREA VERONICA</v>
      </c>
      <c r="H714" s="60">
        <f>ventas_b_mes9[[#This Row],[TOTAL]]/1.21</f>
        <v>1954.55</v>
      </c>
      <c r="I714" s="228">
        <f>ventas_b_mes9[[#This Row],[IMPORTE NETO]]*0.21</f>
        <v>410.45549999999997</v>
      </c>
      <c r="J714" s="229"/>
      <c r="K714" s="229"/>
      <c r="L714" s="229">
        <v>2365.0054999999998</v>
      </c>
      <c r="M714" s="55"/>
    </row>
    <row r="715" spans="2:13" x14ac:dyDescent="0.3">
      <c r="B715" s="223">
        <v>44902</v>
      </c>
      <c r="C715" s="224">
        <v>6</v>
      </c>
      <c r="D715" s="225">
        <v>15</v>
      </c>
      <c r="E715" s="226">
        <v>7424</v>
      </c>
      <c r="F715" s="227"/>
      <c r="G715" s="1" t="str">
        <f>IFERROR(IF(ventas_b_mes9[[#This Row],[CUIT]]="","-",VLOOKUP(ventas_b_mes9[[#This Row],[CUIT]],Lista_CUIT[#All],2,0)),"CUIT NO CARGADO")</f>
        <v>-</v>
      </c>
      <c r="H715" s="60">
        <f>ventas_b_mes9[[#This Row],[TOTAL]]/1.21</f>
        <v>4958.68</v>
      </c>
      <c r="I715" s="228">
        <f>ventas_b_mes9[[#This Row],[IMPORTE NETO]]*0.21</f>
        <v>1041.3227999999999</v>
      </c>
      <c r="J715" s="229"/>
      <c r="K715" s="229"/>
      <c r="L715" s="229">
        <v>6000.0028000000002</v>
      </c>
      <c r="M715" s="55"/>
    </row>
    <row r="716" spans="2:13" x14ac:dyDescent="0.3">
      <c r="B716" s="223">
        <v>44902</v>
      </c>
      <c r="C716" s="224">
        <v>6</v>
      </c>
      <c r="D716" s="225">
        <v>15</v>
      </c>
      <c r="E716" s="226">
        <v>7425</v>
      </c>
      <c r="F716" s="227"/>
      <c r="G716" s="1" t="str">
        <f>IFERROR(IF(ventas_b_mes9[[#This Row],[CUIT]]="","-",VLOOKUP(ventas_b_mes9[[#This Row],[CUIT]],Lista_CUIT[#All],2,0)),"CUIT NO CARGADO")</f>
        <v>-</v>
      </c>
      <c r="H716" s="60">
        <f>ventas_b_mes9[[#This Row],[TOTAL]]/1.21</f>
        <v>3272.73</v>
      </c>
      <c r="I716" s="228">
        <f>ventas_b_mes9[[#This Row],[IMPORTE NETO]]*0.21</f>
        <v>687.27329999999995</v>
      </c>
      <c r="J716" s="229"/>
      <c r="K716" s="229"/>
      <c r="L716" s="229">
        <v>3960.0032999999999</v>
      </c>
      <c r="M716" s="55"/>
    </row>
    <row r="717" spans="2:13" x14ac:dyDescent="0.3">
      <c r="B717" s="223">
        <v>44902</v>
      </c>
      <c r="C717" s="224">
        <v>6</v>
      </c>
      <c r="D717" s="225">
        <v>15</v>
      </c>
      <c r="E717" s="226">
        <v>7426</v>
      </c>
      <c r="F717" s="227">
        <v>26162942</v>
      </c>
      <c r="G717" s="1" t="str">
        <f>IFERROR(IF(ventas_b_mes9[[#This Row],[CUIT]]="","-",VLOOKUP(ventas_b_mes9[[#This Row],[CUIT]],Lista_CUIT[#All],2,0)),"CUIT NO CARGADO")</f>
        <v>BALDEZ,Lucia Enriqueta (ALUMNA)</v>
      </c>
      <c r="H717" s="60">
        <f>ventas_b_mes9[[#This Row],[TOTAL]]/1.21</f>
        <v>4545.45</v>
      </c>
      <c r="I717" s="228">
        <f>ventas_b_mes9[[#This Row],[IMPORTE NETO]]*0.21</f>
        <v>954.54449999999997</v>
      </c>
      <c r="J717" s="229"/>
      <c r="K717" s="229"/>
      <c r="L717" s="229">
        <v>5499.9944999999998</v>
      </c>
      <c r="M717" s="55"/>
    </row>
    <row r="718" spans="2:13" x14ac:dyDescent="0.3">
      <c r="B718" s="223">
        <v>44902</v>
      </c>
      <c r="C718" s="224">
        <v>6</v>
      </c>
      <c r="D718" s="225">
        <v>15</v>
      </c>
      <c r="E718" s="226">
        <v>7427</v>
      </c>
      <c r="F718" s="227">
        <v>34432726</v>
      </c>
      <c r="G718" s="1" t="str">
        <f>IFERROR(IF(ventas_b_mes9[[#This Row],[CUIT]]="","-",VLOOKUP(ventas_b_mes9[[#This Row],[CUIT]],Lista_CUIT[#All],2,0)),"CUIT NO CARGADO")</f>
        <v>SOSA,FLORENCIA</v>
      </c>
      <c r="H718" s="60">
        <f>ventas_b_mes9[[#This Row],[TOTAL]]/1.21</f>
        <v>4958.68</v>
      </c>
      <c r="I718" s="228">
        <f>ventas_b_mes9[[#This Row],[IMPORTE NETO]]*0.21</f>
        <v>1041.3227999999999</v>
      </c>
      <c r="J718" s="229"/>
      <c r="K718" s="229"/>
      <c r="L718" s="229">
        <v>6000.0028000000002</v>
      </c>
      <c r="M718" s="55"/>
    </row>
    <row r="719" spans="2:13" x14ac:dyDescent="0.3">
      <c r="B719" s="223">
        <v>44902</v>
      </c>
      <c r="C719" s="224">
        <v>6</v>
      </c>
      <c r="D719" s="225">
        <v>15</v>
      </c>
      <c r="E719" s="226">
        <v>7428</v>
      </c>
      <c r="F719" s="227">
        <v>22879936</v>
      </c>
      <c r="G719" s="1" t="str">
        <f>IFERROR(IF(ventas_b_mes9[[#This Row],[CUIT]]="","-",VLOOKUP(ventas_b_mes9[[#This Row],[CUIT]],Lista_CUIT[#All],2,0)),"CUIT NO CARGADO")</f>
        <v>ARRIAGADA , ALEJANDRA (ESTUDIANTE)</v>
      </c>
      <c r="H719" s="60">
        <f>ventas_b_mes9[[#This Row],[TOTAL]]/1.21</f>
        <v>4545.45</v>
      </c>
      <c r="I719" s="228">
        <f>ventas_b_mes9[[#This Row],[IMPORTE NETO]]*0.21</f>
        <v>954.54449999999997</v>
      </c>
      <c r="J719" s="229"/>
      <c r="K719" s="229"/>
      <c r="L719" s="229">
        <v>5499.9944999999998</v>
      </c>
      <c r="M719" s="55"/>
    </row>
    <row r="720" spans="2:13" x14ac:dyDescent="0.3">
      <c r="B720" s="223">
        <v>44902</v>
      </c>
      <c r="C720" s="224">
        <v>6</v>
      </c>
      <c r="D720" s="225">
        <v>15</v>
      </c>
      <c r="E720" s="226">
        <v>7429</v>
      </c>
      <c r="F720" s="227">
        <v>25795171</v>
      </c>
      <c r="G720" s="1" t="str">
        <f>IFERROR(IF(ventas_b_mes9[[#This Row],[CUIT]]="","-",VLOOKUP(ventas_b_mes9[[#This Row],[CUIT]],Lista_CUIT[#All],2,0)),"CUIT NO CARGADO")</f>
        <v>RUIZ DIAZ, SILVANA</v>
      </c>
      <c r="H720" s="60">
        <f>ventas_b_mes9[[#This Row],[TOTAL]]/1.21</f>
        <v>4826.45</v>
      </c>
      <c r="I720" s="228">
        <f>ventas_b_mes9[[#This Row],[IMPORTE NETO]]*0.21</f>
        <v>1013.5545</v>
      </c>
      <c r="J720" s="229"/>
      <c r="K720" s="229"/>
      <c r="L720" s="229">
        <v>5840.0045</v>
      </c>
      <c r="M720" s="55"/>
    </row>
    <row r="721" spans="2:13" x14ac:dyDescent="0.3">
      <c r="B721" s="223">
        <v>44902</v>
      </c>
      <c r="C721" s="224">
        <v>6</v>
      </c>
      <c r="D721" s="225">
        <v>15</v>
      </c>
      <c r="E721" s="226">
        <v>7430</v>
      </c>
      <c r="F721" s="227">
        <v>22879936</v>
      </c>
      <c r="G721" s="1" t="str">
        <f>IFERROR(IF(ventas_b_mes9[[#This Row],[CUIT]]="","-",VLOOKUP(ventas_b_mes9[[#This Row],[CUIT]],Lista_CUIT[#All],2,0)),"CUIT NO CARGADO")</f>
        <v>ARRIAGADA , ALEJANDRA (ESTUDIANTE)</v>
      </c>
      <c r="H721" s="60">
        <f>ventas_b_mes9[[#This Row],[TOTAL]]/1.21</f>
        <v>11427.54</v>
      </c>
      <c r="I721" s="228">
        <f>ventas_b_mes9[[#This Row],[IMPORTE NETO]]*0.21</f>
        <v>2399.7834000000003</v>
      </c>
      <c r="J721" s="229"/>
      <c r="K721" s="229"/>
      <c r="L721" s="229">
        <v>13827.323400000001</v>
      </c>
      <c r="M721" s="55"/>
    </row>
    <row r="722" spans="2:13" x14ac:dyDescent="0.3">
      <c r="B722" s="223">
        <v>44902</v>
      </c>
      <c r="C722" s="224">
        <v>6</v>
      </c>
      <c r="D722" s="225">
        <v>10</v>
      </c>
      <c r="E722" s="226">
        <v>44338</v>
      </c>
      <c r="F722" s="227"/>
      <c r="G722" s="1" t="str">
        <f>IFERROR(IF(ventas_b_mes9[[#This Row],[CUIT]]="","-",VLOOKUP(ventas_b_mes9[[#This Row],[CUIT]],Lista_CUIT[#All],2,0)),"CUIT NO CARGADO")</f>
        <v>-</v>
      </c>
      <c r="H722" s="60">
        <f>ventas_b_mes9[[#This Row],[TOTAL]]/1.21</f>
        <v>2066.12</v>
      </c>
      <c r="I722" s="228">
        <f>ventas_b_mes9[[#This Row],[IMPORTE NETO]]*0.21</f>
        <v>433.88519999999994</v>
      </c>
      <c r="J722" s="229"/>
      <c r="K722" s="229"/>
      <c r="L722" s="229">
        <v>2500.0051999999996</v>
      </c>
      <c r="M722" s="55"/>
    </row>
    <row r="723" spans="2:13" x14ac:dyDescent="0.3">
      <c r="B723" s="223">
        <v>44902</v>
      </c>
      <c r="C723" s="224">
        <v>6</v>
      </c>
      <c r="D723" s="225">
        <v>10</v>
      </c>
      <c r="E723" s="226">
        <v>44339</v>
      </c>
      <c r="F723" s="227"/>
      <c r="G723" s="1" t="str">
        <f>IFERROR(IF(ventas_b_mes9[[#This Row],[CUIT]]="","-",VLOOKUP(ventas_b_mes9[[#This Row],[CUIT]],Lista_CUIT[#All],2,0)),"CUIT NO CARGADO")</f>
        <v>-</v>
      </c>
      <c r="H723" s="60">
        <f>ventas_b_mes9[[#This Row],[TOTAL]]/1.21</f>
        <v>3690.08</v>
      </c>
      <c r="I723" s="228">
        <f>ventas_b_mes9[[#This Row],[IMPORTE NETO]]*0.21</f>
        <v>774.91679999999997</v>
      </c>
      <c r="J723" s="229"/>
      <c r="K723" s="229"/>
      <c r="L723" s="229">
        <v>4464.9967999999999</v>
      </c>
      <c r="M723" s="55"/>
    </row>
    <row r="724" spans="2:13" x14ac:dyDescent="0.3">
      <c r="B724" s="223">
        <v>44902</v>
      </c>
      <c r="C724" s="224">
        <v>6</v>
      </c>
      <c r="D724" s="225">
        <v>10</v>
      </c>
      <c r="E724" s="226">
        <v>44340</v>
      </c>
      <c r="F724" s="227"/>
      <c r="G724" s="1" t="str">
        <f>IFERROR(IF(ventas_b_mes9[[#This Row],[CUIT]]="","-",VLOOKUP(ventas_b_mes9[[#This Row],[CUIT]],Lista_CUIT[#All],2,0)),"CUIT NO CARGADO")</f>
        <v>-</v>
      </c>
      <c r="H724" s="60">
        <f>ventas_b_mes9[[#This Row],[TOTAL]]/1.21</f>
        <v>11644.63</v>
      </c>
      <c r="I724" s="228">
        <f>ventas_b_mes9[[#This Row],[IMPORTE NETO]]*0.21</f>
        <v>2445.3722999999995</v>
      </c>
      <c r="J724" s="229"/>
      <c r="K724" s="229"/>
      <c r="L724" s="229">
        <v>14090.002299999998</v>
      </c>
      <c r="M724" s="55"/>
    </row>
    <row r="725" spans="2:13" x14ac:dyDescent="0.3">
      <c r="B725" s="223">
        <v>44902</v>
      </c>
      <c r="C725" s="224">
        <v>6</v>
      </c>
      <c r="D725" s="225">
        <v>10</v>
      </c>
      <c r="E725" s="226">
        <v>44341</v>
      </c>
      <c r="F725" s="227"/>
      <c r="G725" s="1" t="str">
        <f>IFERROR(IF(ventas_b_mes9[[#This Row],[CUIT]]="","-",VLOOKUP(ventas_b_mes9[[#This Row],[CUIT]],Lista_CUIT[#All],2,0)),"CUIT NO CARGADO")</f>
        <v>-</v>
      </c>
      <c r="H725" s="60">
        <f>ventas_b_mes9[[#This Row],[TOTAL]]/1.21</f>
        <v>2066.12</v>
      </c>
      <c r="I725" s="228">
        <f>ventas_b_mes9[[#This Row],[IMPORTE NETO]]*0.21</f>
        <v>433.88519999999994</v>
      </c>
      <c r="J725" s="229"/>
      <c r="K725" s="229"/>
      <c r="L725" s="229">
        <v>2500.0051999999996</v>
      </c>
      <c r="M725" s="55"/>
    </row>
    <row r="726" spans="2:13" x14ac:dyDescent="0.3">
      <c r="B726" s="223">
        <v>44902</v>
      </c>
      <c r="C726" s="224">
        <v>6</v>
      </c>
      <c r="D726" s="225">
        <v>10</v>
      </c>
      <c r="E726" s="226">
        <v>44342</v>
      </c>
      <c r="F726" s="227"/>
      <c r="G726" s="1" t="str">
        <f>IFERROR(IF(ventas_b_mes9[[#This Row],[CUIT]]="","-",VLOOKUP(ventas_b_mes9[[#This Row],[CUIT]],Lista_CUIT[#All],2,0)),"CUIT NO CARGADO")</f>
        <v>-</v>
      </c>
      <c r="H726" s="60">
        <f>ventas_b_mes9[[#This Row],[TOTAL]]/1.21</f>
        <v>10537.19</v>
      </c>
      <c r="I726" s="228">
        <f>ventas_b_mes9[[#This Row],[IMPORTE NETO]]*0.21</f>
        <v>2212.8099000000002</v>
      </c>
      <c r="J726" s="229"/>
      <c r="K726" s="229"/>
      <c r="L726" s="229">
        <v>12749.999900000001</v>
      </c>
      <c r="M726" s="55"/>
    </row>
    <row r="727" spans="2:13" x14ac:dyDescent="0.3">
      <c r="B727" s="223">
        <v>44902</v>
      </c>
      <c r="C727" s="224">
        <v>6</v>
      </c>
      <c r="D727" s="225">
        <v>10</v>
      </c>
      <c r="E727" s="226">
        <v>44343</v>
      </c>
      <c r="F727" s="227"/>
      <c r="G727" s="1" t="str">
        <f>IFERROR(IF(ventas_b_mes9[[#This Row],[CUIT]]="","-",VLOOKUP(ventas_b_mes9[[#This Row],[CUIT]],Lista_CUIT[#All],2,0)),"CUIT NO CARGADO")</f>
        <v>-</v>
      </c>
      <c r="H727" s="60">
        <f>ventas_b_mes9[[#This Row],[TOTAL]]/1.21</f>
        <v>11409.23</v>
      </c>
      <c r="I727" s="228">
        <f>ventas_b_mes9[[#This Row],[IMPORTE NETO]]*0.21</f>
        <v>2395.9382999999998</v>
      </c>
      <c r="J727" s="229"/>
      <c r="K727" s="229"/>
      <c r="L727" s="229">
        <v>13805.168299999999</v>
      </c>
      <c r="M727" s="55"/>
    </row>
    <row r="728" spans="2:13" x14ac:dyDescent="0.3">
      <c r="B728" s="223">
        <v>44902</v>
      </c>
      <c r="C728" s="224">
        <v>6</v>
      </c>
      <c r="D728" s="225">
        <v>10</v>
      </c>
      <c r="E728" s="226">
        <v>44344</v>
      </c>
      <c r="F728" s="227"/>
      <c r="G728" s="1" t="str">
        <f>IFERROR(IF(ventas_b_mes9[[#This Row],[CUIT]]="","-",VLOOKUP(ventas_b_mes9[[#This Row],[CUIT]],Lista_CUIT[#All],2,0)),"CUIT NO CARGADO")</f>
        <v>-</v>
      </c>
      <c r="H728" s="60">
        <f>ventas_b_mes9[[#This Row],[TOTAL]]/1.21</f>
        <v>5174.38</v>
      </c>
      <c r="I728" s="228">
        <f>ventas_b_mes9[[#This Row],[IMPORTE NETO]]*0.21</f>
        <v>1086.6197999999999</v>
      </c>
      <c r="J728" s="229"/>
      <c r="K728" s="229"/>
      <c r="L728" s="229">
        <v>6260.9997999999996</v>
      </c>
      <c r="M728" s="55"/>
    </row>
    <row r="729" spans="2:13" x14ac:dyDescent="0.3">
      <c r="B729" s="223">
        <v>44902</v>
      </c>
      <c r="C729" s="224">
        <v>6</v>
      </c>
      <c r="D729" s="225">
        <v>10</v>
      </c>
      <c r="E729" s="226">
        <v>44345</v>
      </c>
      <c r="F729" s="227"/>
      <c r="G729" s="1" t="str">
        <f>IFERROR(IF(ventas_b_mes9[[#This Row],[CUIT]]="","-",VLOOKUP(ventas_b_mes9[[#This Row],[CUIT]],Lista_CUIT[#All],2,0)),"CUIT NO CARGADO")</f>
        <v>-</v>
      </c>
      <c r="H729" s="60">
        <f>ventas_b_mes9[[#This Row],[TOTAL]]/1.21</f>
        <v>8227.81</v>
      </c>
      <c r="I729" s="228">
        <f>ventas_b_mes9[[#This Row],[IMPORTE NETO]]*0.21</f>
        <v>1727.8400999999999</v>
      </c>
      <c r="J729" s="229"/>
      <c r="K729" s="229"/>
      <c r="L729" s="229">
        <v>9955.6500999999989</v>
      </c>
      <c r="M729" s="55"/>
    </row>
    <row r="730" spans="2:13" x14ac:dyDescent="0.3">
      <c r="B730" s="223">
        <v>44902</v>
      </c>
      <c r="C730" s="224">
        <v>6</v>
      </c>
      <c r="D730" s="225">
        <v>10</v>
      </c>
      <c r="E730" s="226">
        <v>44346</v>
      </c>
      <c r="F730" s="227"/>
      <c r="G730" s="1" t="str">
        <f>IFERROR(IF(ventas_b_mes9[[#This Row],[CUIT]]="","-",VLOOKUP(ventas_b_mes9[[#This Row],[CUIT]],Lista_CUIT[#All],2,0)),"CUIT NO CARGADO")</f>
        <v>-</v>
      </c>
      <c r="H730" s="60">
        <f>ventas_b_mes9[[#This Row],[TOTAL]]/1.21</f>
        <v>4793.3900000000003</v>
      </c>
      <c r="I730" s="228">
        <f>ventas_b_mes9[[#This Row],[IMPORTE NETO]]*0.21</f>
        <v>1006.6119</v>
      </c>
      <c r="J730" s="229"/>
      <c r="K730" s="229"/>
      <c r="L730" s="229">
        <v>5800.0019000000002</v>
      </c>
      <c r="M730" s="55"/>
    </row>
    <row r="731" spans="2:13" x14ac:dyDescent="0.3">
      <c r="B731" s="223">
        <v>44902</v>
      </c>
      <c r="C731" s="224">
        <v>6</v>
      </c>
      <c r="D731" s="225">
        <v>10</v>
      </c>
      <c r="E731" s="226">
        <v>44347</v>
      </c>
      <c r="F731" s="227"/>
      <c r="G731" s="1" t="str">
        <f>IFERROR(IF(ventas_b_mes9[[#This Row],[CUIT]]="","-",VLOOKUP(ventas_b_mes9[[#This Row],[CUIT]],Lista_CUIT[#All],2,0)),"CUIT NO CARGADO")</f>
        <v>-</v>
      </c>
      <c r="H731" s="60">
        <f>ventas_b_mes9[[#This Row],[TOTAL]]/1.21</f>
        <v>9351.24</v>
      </c>
      <c r="I731" s="228">
        <f>ventas_b_mes9[[#This Row],[IMPORTE NETO]]*0.21</f>
        <v>1963.7603999999999</v>
      </c>
      <c r="J731" s="229"/>
      <c r="K731" s="229"/>
      <c r="L731" s="229">
        <v>11315.000399999999</v>
      </c>
      <c r="M731" s="55"/>
    </row>
    <row r="732" spans="2:13" x14ac:dyDescent="0.3">
      <c r="B732" s="223">
        <v>44902</v>
      </c>
      <c r="C732" s="224">
        <v>6</v>
      </c>
      <c r="D732" s="225">
        <v>10</v>
      </c>
      <c r="E732" s="226">
        <v>44348</v>
      </c>
      <c r="F732" s="227"/>
      <c r="G732" s="1" t="str">
        <f>IFERROR(IF(ventas_b_mes9[[#This Row],[CUIT]]="","-",VLOOKUP(ventas_b_mes9[[#This Row],[CUIT]],Lista_CUIT[#All],2,0)),"CUIT NO CARGADO")</f>
        <v>-</v>
      </c>
      <c r="H732" s="60">
        <f>ventas_b_mes9[[#This Row],[TOTAL]]/1.21</f>
        <v>3074.38</v>
      </c>
      <c r="I732" s="228">
        <f>ventas_b_mes9[[#This Row],[IMPORTE NETO]]*0.21</f>
        <v>645.61980000000005</v>
      </c>
      <c r="J732" s="229"/>
      <c r="K732" s="229"/>
      <c r="L732" s="229">
        <v>3719.9998000000001</v>
      </c>
      <c r="M732" s="55"/>
    </row>
    <row r="733" spans="2:13" x14ac:dyDescent="0.3">
      <c r="B733" s="223">
        <v>44902</v>
      </c>
      <c r="C733" s="224">
        <v>6</v>
      </c>
      <c r="D733" s="225">
        <v>10</v>
      </c>
      <c r="E733" s="226">
        <v>44349</v>
      </c>
      <c r="F733" s="227"/>
      <c r="G733" s="1" t="str">
        <f>IFERROR(IF(ventas_b_mes9[[#This Row],[CUIT]]="","-",VLOOKUP(ventas_b_mes9[[#This Row],[CUIT]],Lista_CUIT[#All],2,0)),"CUIT NO CARGADO")</f>
        <v>-</v>
      </c>
      <c r="H733" s="60">
        <f>ventas_b_mes9[[#This Row],[TOTAL]]/1.21</f>
        <v>14578.51</v>
      </c>
      <c r="I733" s="228">
        <f>ventas_b_mes9[[#This Row],[IMPORTE NETO]]*0.21</f>
        <v>3061.4870999999998</v>
      </c>
      <c r="J733" s="229"/>
      <c r="K733" s="229"/>
      <c r="L733" s="229">
        <v>17639.997100000001</v>
      </c>
      <c r="M733" s="55"/>
    </row>
    <row r="734" spans="2:13" x14ac:dyDescent="0.3">
      <c r="B734" s="223">
        <v>44902</v>
      </c>
      <c r="C734" s="224">
        <v>6</v>
      </c>
      <c r="D734" s="225">
        <v>10</v>
      </c>
      <c r="E734" s="226">
        <v>44350</v>
      </c>
      <c r="F734" s="227"/>
      <c r="G734" s="1" t="str">
        <f>IFERROR(IF(ventas_b_mes9[[#This Row],[CUIT]]="","-",VLOOKUP(ventas_b_mes9[[#This Row],[CUIT]],Lista_CUIT[#All],2,0)),"CUIT NO CARGADO")</f>
        <v>-</v>
      </c>
      <c r="H734" s="60">
        <f>ventas_b_mes9[[#This Row],[TOTAL]]/1.21</f>
        <v>8300.33</v>
      </c>
      <c r="I734" s="228">
        <f>ventas_b_mes9[[#This Row],[IMPORTE NETO]]*0.21</f>
        <v>1743.0692999999999</v>
      </c>
      <c r="J734" s="229"/>
      <c r="K734" s="229"/>
      <c r="L734" s="229">
        <v>10043.399299999999</v>
      </c>
      <c r="M734" s="55"/>
    </row>
    <row r="735" spans="2:13" x14ac:dyDescent="0.3">
      <c r="B735" s="223">
        <v>44902</v>
      </c>
      <c r="C735" s="224">
        <v>6</v>
      </c>
      <c r="D735" s="225">
        <v>10</v>
      </c>
      <c r="E735" s="226">
        <v>44351</v>
      </c>
      <c r="F735" s="227"/>
      <c r="G735" s="1" t="str">
        <f>IFERROR(IF(ventas_b_mes9[[#This Row],[CUIT]]="","-",VLOOKUP(ventas_b_mes9[[#This Row],[CUIT]],Lista_CUIT[#All],2,0)),"CUIT NO CARGADO")</f>
        <v>-</v>
      </c>
      <c r="H735" s="60">
        <f>ventas_b_mes9[[#This Row],[TOTAL]]/1.21</f>
        <v>5553.72</v>
      </c>
      <c r="I735" s="228">
        <f>ventas_b_mes9[[#This Row],[IMPORTE NETO]]*0.21</f>
        <v>1166.2811999999999</v>
      </c>
      <c r="J735" s="229"/>
      <c r="K735" s="229"/>
      <c r="L735" s="229">
        <v>6720.0012000000006</v>
      </c>
      <c r="M735" s="55"/>
    </row>
    <row r="736" spans="2:13" x14ac:dyDescent="0.3">
      <c r="B736" s="223">
        <v>44902</v>
      </c>
      <c r="C736" s="224">
        <v>6</v>
      </c>
      <c r="D736" s="225">
        <v>10</v>
      </c>
      <c r="E736" s="226">
        <v>44352</v>
      </c>
      <c r="F736" s="227"/>
      <c r="G736" s="1" t="str">
        <f>IFERROR(IF(ventas_b_mes9[[#This Row],[CUIT]]="","-",VLOOKUP(ventas_b_mes9[[#This Row],[CUIT]],Lista_CUIT[#All],2,0)),"CUIT NO CARGADO")</f>
        <v>-</v>
      </c>
      <c r="H736" s="60">
        <f>ventas_b_mes9[[#This Row],[TOTAL]]/1.21</f>
        <v>28801.65</v>
      </c>
      <c r="I736" s="228">
        <f>ventas_b_mes9[[#This Row],[IMPORTE NETO]]*0.21</f>
        <v>6048.3464999999997</v>
      </c>
      <c r="J736" s="229"/>
      <c r="K736" s="229"/>
      <c r="L736" s="229">
        <v>34849.996500000001</v>
      </c>
      <c r="M736" s="55"/>
    </row>
    <row r="737" spans="2:13" x14ac:dyDescent="0.3">
      <c r="B737" s="223">
        <v>44902</v>
      </c>
      <c r="C737" s="224">
        <v>6</v>
      </c>
      <c r="D737" s="225">
        <v>10</v>
      </c>
      <c r="E737" s="226">
        <v>44353</v>
      </c>
      <c r="F737" s="227"/>
      <c r="G737" s="1" t="str">
        <f>IFERROR(IF(ventas_b_mes9[[#This Row],[CUIT]]="","-",VLOOKUP(ventas_b_mes9[[#This Row],[CUIT]],Lista_CUIT[#All],2,0)),"CUIT NO CARGADO")</f>
        <v>-</v>
      </c>
      <c r="H737" s="60">
        <f>ventas_b_mes9[[#This Row],[TOTAL]]/1.21</f>
        <v>4545.45</v>
      </c>
      <c r="I737" s="228">
        <f>ventas_b_mes9[[#This Row],[IMPORTE NETO]]*0.21</f>
        <v>954.54449999999997</v>
      </c>
      <c r="J737" s="229"/>
      <c r="K737" s="229"/>
      <c r="L737" s="229">
        <v>5499.9944999999998</v>
      </c>
      <c r="M737" s="55"/>
    </row>
    <row r="738" spans="2:13" x14ac:dyDescent="0.3">
      <c r="B738" s="223">
        <v>44902</v>
      </c>
      <c r="C738" s="224">
        <v>6</v>
      </c>
      <c r="D738" s="225">
        <v>12</v>
      </c>
      <c r="E738" s="226">
        <v>22953</v>
      </c>
      <c r="F738" s="227"/>
      <c r="G738" s="1" t="str">
        <f>IFERROR(IF(ventas_b_mes9[[#This Row],[CUIT]]="","-",VLOOKUP(ventas_b_mes9[[#This Row],[CUIT]],Lista_CUIT[#All],2,0)),"CUIT NO CARGADO")</f>
        <v>-</v>
      </c>
      <c r="H738" s="60">
        <f>ventas_b_mes9[[#This Row],[TOTAL]]/1.21</f>
        <v>5454.55</v>
      </c>
      <c r="I738" s="228">
        <f>ventas_b_mes9[[#This Row],[IMPORTE NETO]]*0.21</f>
        <v>1145.4555</v>
      </c>
      <c r="J738" s="229"/>
      <c r="K738" s="229"/>
      <c r="L738" s="229">
        <v>6600.0055000000002</v>
      </c>
      <c r="M738" s="55"/>
    </row>
    <row r="739" spans="2:13" x14ac:dyDescent="0.3">
      <c r="B739" s="223">
        <v>44902</v>
      </c>
      <c r="C739" s="224">
        <v>6</v>
      </c>
      <c r="D739" s="225">
        <v>12</v>
      </c>
      <c r="E739" s="226">
        <v>22954</v>
      </c>
      <c r="F739" s="227"/>
      <c r="G739" s="1" t="str">
        <f>IFERROR(IF(ventas_b_mes9[[#This Row],[CUIT]]="","-",VLOOKUP(ventas_b_mes9[[#This Row],[CUIT]],Lista_CUIT[#All],2,0)),"CUIT NO CARGADO")</f>
        <v>-</v>
      </c>
      <c r="H739" s="60">
        <f>ventas_b_mes9[[#This Row],[TOTAL]]/1.21</f>
        <v>4793.3900000000003</v>
      </c>
      <c r="I739" s="228">
        <f>ventas_b_mes9[[#This Row],[IMPORTE NETO]]*0.21</f>
        <v>1006.6119</v>
      </c>
      <c r="J739" s="229"/>
      <c r="K739" s="229"/>
      <c r="L739" s="229">
        <v>5800.0019000000002</v>
      </c>
      <c r="M739" s="55"/>
    </row>
    <row r="740" spans="2:13" x14ac:dyDescent="0.3">
      <c r="B740" s="223">
        <v>44902</v>
      </c>
      <c r="C740" s="224">
        <v>6</v>
      </c>
      <c r="D740" s="225">
        <v>12</v>
      </c>
      <c r="E740" s="226">
        <v>22955</v>
      </c>
      <c r="F740" s="227"/>
      <c r="G740" s="1" t="str">
        <f>IFERROR(IF(ventas_b_mes9[[#This Row],[CUIT]]="","-",VLOOKUP(ventas_b_mes9[[#This Row],[CUIT]],Lista_CUIT[#All],2,0)),"CUIT NO CARGADO")</f>
        <v>-</v>
      </c>
      <c r="H740" s="60">
        <f>ventas_b_mes9[[#This Row],[TOTAL]]/1.21</f>
        <v>1289.26</v>
      </c>
      <c r="I740" s="228">
        <f>ventas_b_mes9[[#This Row],[IMPORTE NETO]]*0.21</f>
        <v>270.74459999999999</v>
      </c>
      <c r="J740" s="229"/>
      <c r="K740" s="229"/>
      <c r="L740" s="229">
        <v>1560.0046</v>
      </c>
      <c r="M740" s="55"/>
    </row>
    <row r="741" spans="2:13" x14ac:dyDescent="0.3">
      <c r="B741" s="223">
        <v>44902</v>
      </c>
      <c r="C741" s="224">
        <v>6</v>
      </c>
      <c r="D741" s="225">
        <v>12</v>
      </c>
      <c r="E741" s="226">
        <v>22956</v>
      </c>
      <c r="F741" s="227"/>
      <c r="G741" s="1" t="str">
        <f>IFERROR(IF(ventas_b_mes9[[#This Row],[CUIT]]="","-",VLOOKUP(ventas_b_mes9[[#This Row],[CUIT]],Lista_CUIT[#All],2,0)),"CUIT NO CARGADO")</f>
        <v>-</v>
      </c>
      <c r="H741" s="60">
        <f>ventas_b_mes9[[#This Row],[TOTAL]]/1.21</f>
        <v>3520.67</v>
      </c>
      <c r="I741" s="228">
        <f>ventas_b_mes9[[#This Row],[IMPORTE NETO]]*0.21</f>
        <v>739.34069999999997</v>
      </c>
      <c r="J741" s="229"/>
      <c r="K741" s="229"/>
      <c r="L741" s="229">
        <v>4260.0106999999998</v>
      </c>
      <c r="M741" s="55"/>
    </row>
    <row r="742" spans="2:13" x14ac:dyDescent="0.3">
      <c r="B742" s="223">
        <v>44902</v>
      </c>
      <c r="C742" s="224">
        <v>6</v>
      </c>
      <c r="D742" s="225">
        <v>12</v>
      </c>
      <c r="E742" s="226">
        <v>22957</v>
      </c>
      <c r="F742" s="227"/>
      <c r="G742" s="1" t="str">
        <f>IFERROR(IF(ventas_b_mes9[[#This Row],[CUIT]]="","-",VLOOKUP(ventas_b_mes9[[#This Row],[CUIT]],Lista_CUIT[#All],2,0)),"CUIT NO CARGADO")</f>
        <v>-</v>
      </c>
      <c r="H742" s="60">
        <f>ventas_b_mes9[[#This Row],[TOTAL]]/1.21</f>
        <v>2892.56</v>
      </c>
      <c r="I742" s="228">
        <f>ventas_b_mes9[[#This Row],[IMPORTE NETO]]*0.21</f>
        <v>607.43759999999997</v>
      </c>
      <c r="J742" s="229"/>
      <c r="K742" s="229"/>
      <c r="L742" s="229">
        <v>3499.9975999999997</v>
      </c>
      <c r="M742" s="55"/>
    </row>
    <row r="743" spans="2:13" x14ac:dyDescent="0.3">
      <c r="B743" s="223">
        <v>44902</v>
      </c>
      <c r="C743" s="224">
        <v>6</v>
      </c>
      <c r="D743" s="225">
        <v>12</v>
      </c>
      <c r="E743" s="226">
        <v>22958</v>
      </c>
      <c r="F743" s="227"/>
      <c r="G743" s="1" t="str">
        <f>IFERROR(IF(ventas_b_mes9[[#This Row],[CUIT]]="","-",VLOOKUP(ventas_b_mes9[[#This Row],[CUIT]],Lista_CUIT[#All],2,0)),"CUIT NO CARGADO")</f>
        <v>-</v>
      </c>
      <c r="H743" s="60">
        <f>ventas_b_mes9[[#This Row],[TOTAL]]/1.21</f>
        <v>2892.56</v>
      </c>
      <c r="I743" s="228">
        <f>ventas_b_mes9[[#This Row],[IMPORTE NETO]]*0.21</f>
        <v>607.43759999999997</v>
      </c>
      <c r="J743" s="229"/>
      <c r="K743" s="229"/>
      <c r="L743" s="229">
        <v>3499.9975999999997</v>
      </c>
      <c r="M743" s="55"/>
    </row>
    <row r="744" spans="2:13" x14ac:dyDescent="0.3">
      <c r="B744" s="223">
        <v>44902</v>
      </c>
      <c r="C744" s="224">
        <v>6</v>
      </c>
      <c r="D744" s="225">
        <v>12</v>
      </c>
      <c r="E744" s="226">
        <v>22959</v>
      </c>
      <c r="F744" s="227"/>
      <c r="G744" s="1" t="str">
        <f>IFERROR(IF(ventas_b_mes9[[#This Row],[CUIT]]="","-",VLOOKUP(ventas_b_mes9[[#This Row],[CUIT]],Lista_CUIT[#All],2,0)),"CUIT NO CARGADO")</f>
        <v>-</v>
      </c>
      <c r="H744" s="60">
        <f>ventas_b_mes9[[#This Row],[TOTAL]]/1.21</f>
        <v>5123.9799999999996</v>
      </c>
      <c r="I744" s="228">
        <f>ventas_b_mes9[[#This Row],[IMPORTE NETO]]*0.21</f>
        <v>1076.0357999999999</v>
      </c>
      <c r="J744" s="229"/>
      <c r="K744" s="229"/>
      <c r="L744" s="229">
        <v>6200.0157999999992</v>
      </c>
      <c r="M744" s="55"/>
    </row>
    <row r="745" spans="2:13" x14ac:dyDescent="0.3">
      <c r="B745" s="223">
        <v>44902</v>
      </c>
      <c r="C745" s="224">
        <v>6</v>
      </c>
      <c r="D745" s="225">
        <v>12</v>
      </c>
      <c r="E745" s="226">
        <v>22960</v>
      </c>
      <c r="F745" s="227"/>
      <c r="G745" s="1" t="str">
        <f>IFERROR(IF(ventas_b_mes9[[#This Row],[CUIT]]="","-",VLOOKUP(ventas_b_mes9[[#This Row],[CUIT]],Lista_CUIT[#All],2,0)),"CUIT NO CARGADO")</f>
        <v>-</v>
      </c>
      <c r="H745" s="60">
        <f>ventas_b_mes9[[#This Row],[TOTAL]]/1.21</f>
        <v>14133.460000000001</v>
      </c>
      <c r="I745" s="228">
        <f>ventas_b_mes9[[#This Row],[IMPORTE NETO]]*0.21</f>
        <v>2968.0266000000001</v>
      </c>
      <c r="J745" s="229"/>
      <c r="K745" s="229"/>
      <c r="L745" s="229">
        <v>17101.4866</v>
      </c>
      <c r="M745" s="55"/>
    </row>
    <row r="746" spans="2:13" x14ac:dyDescent="0.3">
      <c r="B746" s="223">
        <v>44902</v>
      </c>
      <c r="C746" s="224">
        <v>6</v>
      </c>
      <c r="D746" s="225">
        <v>12</v>
      </c>
      <c r="E746" s="226">
        <v>22961</v>
      </c>
      <c r="F746" s="227"/>
      <c r="G746" s="1" t="str">
        <f>IFERROR(IF(ventas_b_mes9[[#This Row],[CUIT]]="","-",VLOOKUP(ventas_b_mes9[[#This Row],[CUIT]],Lista_CUIT[#All],2,0)),"CUIT NO CARGADO")</f>
        <v>-</v>
      </c>
      <c r="H746" s="60">
        <f>ventas_b_mes9[[#This Row],[TOTAL]]/1.21</f>
        <v>14005.56</v>
      </c>
      <c r="I746" s="228">
        <f>ventas_b_mes9[[#This Row],[IMPORTE NETO]]*0.21</f>
        <v>2941.1675999999998</v>
      </c>
      <c r="J746" s="229"/>
      <c r="K746" s="229"/>
      <c r="L746" s="229">
        <v>16946.727599999998</v>
      </c>
      <c r="M746" s="55"/>
    </row>
    <row r="747" spans="2:13" x14ac:dyDescent="0.3">
      <c r="B747" s="223">
        <v>44902</v>
      </c>
      <c r="C747" s="224">
        <v>6</v>
      </c>
      <c r="D747" s="225">
        <v>12</v>
      </c>
      <c r="E747" s="226">
        <v>22962</v>
      </c>
      <c r="F747" s="227"/>
      <c r="G747" s="1" t="str">
        <f>IFERROR(IF(ventas_b_mes9[[#This Row],[CUIT]]="","-",VLOOKUP(ventas_b_mes9[[#This Row],[CUIT]],Lista_CUIT[#All],2,0)),"CUIT NO CARGADO")</f>
        <v>-</v>
      </c>
      <c r="H747" s="60">
        <f>ventas_b_mes9[[#This Row],[TOTAL]]/1.21</f>
        <v>5371.9</v>
      </c>
      <c r="I747" s="228">
        <f>ventas_b_mes9[[#This Row],[IMPORTE NETO]]*0.21</f>
        <v>1128.0989999999999</v>
      </c>
      <c r="J747" s="229"/>
      <c r="K747" s="229"/>
      <c r="L747" s="229">
        <v>6499.9989999999998</v>
      </c>
      <c r="M747" s="55"/>
    </row>
    <row r="748" spans="2:13" x14ac:dyDescent="0.3">
      <c r="B748" s="223">
        <v>44902</v>
      </c>
      <c r="C748" s="224">
        <v>6</v>
      </c>
      <c r="D748" s="225">
        <v>12</v>
      </c>
      <c r="E748" s="226">
        <v>22963</v>
      </c>
      <c r="F748" s="227"/>
      <c r="G748" s="1" t="str">
        <f>IFERROR(IF(ventas_b_mes9[[#This Row],[CUIT]]="","-",VLOOKUP(ventas_b_mes9[[#This Row],[CUIT]],Lista_CUIT[#All],2,0)),"CUIT NO CARGADO")</f>
        <v>-</v>
      </c>
      <c r="H748" s="60">
        <f>ventas_b_mes9[[#This Row],[TOTAL]]/1.21</f>
        <v>4837.95</v>
      </c>
      <c r="I748" s="228">
        <f>ventas_b_mes9[[#This Row],[IMPORTE NETO]]*0.21</f>
        <v>1015.9694999999999</v>
      </c>
      <c r="J748" s="229"/>
      <c r="K748" s="229"/>
      <c r="L748" s="229">
        <v>5853.9195</v>
      </c>
      <c r="M748" s="55"/>
    </row>
    <row r="749" spans="2:13" x14ac:dyDescent="0.3">
      <c r="B749" s="223">
        <v>44902</v>
      </c>
      <c r="C749" s="224">
        <v>6</v>
      </c>
      <c r="D749" s="225">
        <v>12</v>
      </c>
      <c r="E749" s="226">
        <v>22964</v>
      </c>
      <c r="F749" s="227"/>
      <c r="G749" s="1" t="str">
        <f>IFERROR(IF(ventas_b_mes9[[#This Row],[CUIT]]="","-",VLOOKUP(ventas_b_mes9[[#This Row],[CUIT]],Lista_CUIT[#All],2,0)),"CUIT NO CARGADO")</f>
        <v>-</v>
      </c>
      <c r="H749" s="60">
        <f>ventas_b_mes9[[#This Row],[TOTAL]]/1.21</f>
        <v>3305.79</v>
      </c>
      <c r="I749" s="228">
        <f>ventas_b_mes9[[#This Row],[IMPORTE NETO]]*0.21</f>
        <v>694.21589999999992</v>
      </c>
      <c r="J749" s="229"/>
      <c r="K749" s="229"/>
      <c r="L749" s="229">
        <v>4000.0059000000001</v>
      </c>
      <c r="M749" s="55"/>
    </row>
    <row r="750" spans="2:13" x14ac:dyDescent="0.3">
      <c r="B750" s="223">
        <v>44905</v>
      </c>
      <c r="C750" s="224">
        <v>6</v>
      </c>
      <c r="D750" s="225">
        <v>11</v>
      </c>
      <c r="E750" s="226">
        <v>30465</v>
      </c>
      <c r="F750" s="227"/>
      <c r="G750" s="1" t="str">
        <f>IFERROR(IF(ventas_b_mes9[[#This Row],[CUIT]]="","-",VLOOKUP(ventas_b_mes9[[#This Row],[CUIT]],Lista_CUIT[#All],2,0)),"CUIT NO CARGADO")</f>
        <v>-</v>
      </c>
      <c r="H750" s="60">
        <f>ventas_b_mes9[[#This Row],[TOTAL]]/1.21</f>
        <v>15552.89</v>
      </c>
      <c r="I750" s="228">
        <f>ventas_b_mes9[[#This Row],[IMPORTE NETO]]*0.21</f>
        <v>3266.1068999999998</v>
      </c>
      <c r="J750" s="229"/>
      <c r="K750" s="229"/>
      <c r="L750" s="229">
        <v>18818.996899999998</v>
      </c>
      <c r="M750" s="55"/>
    </row>
    <row r="751" spans="2:13" x14ac:dyDescent="0.3">
      <c r="B751" s="223">
        <v>44905</v>
      </c>
      <c r="C751" s="224">
        <v>6</v>
      </c>
      <c r="D751" s="225">
        <v>11</v>
      </c>
      <c r="E751" s="226">
        <v>30466</v>
      </c>
      <c r="F751" s="227"/>
      <c r="G751" s="1" t="str">
        <f>IFERROR(IF(ventas_b_mes9[[#This Row],[CUIT]]="","-",VLOOKUP(ventas_b_mes9[[#This Row],[CUIT]],Lista_CUIT[#All],2,0)),"CUIT NO CARGADO")</f>
        <v>-</v>
      </c>
      <c r="H751" s="60">
        <f>ventas_b_mes9[[#This Row],[TOTAL]]/1.21</f>
        <v>10330.6</v>
      </c>
      <c r="I751" s="228">
        <f>ventas_b_mes9[[#This Row],[IMPORTE NETO]]*0.21</f>
        <v>2169.4259999999999</v>
      </c>
      <c r="J751" s="229"/>
      <c r="K751" s="229"/>
      <c r="L751" s="229">
        <v>12500.026</v>
      </c>
      <c r="M751" s="55"/>
    </row>
    <row r="752" spans="2:13" x14ac:dyDescent="0.3">
      <c r="B752" s="223">
        <v>44905</v>
      </c>
      <c r="C752" s="224">
        <v>6</v>
      </c>
      <c r="D752" s="225">
        <v>11</v>
      </c>
      <c r="E752" s="226">
        <v>30467</v>
      </c>
      <c r="F752" s="227"/>
      <c r="G752" s="1" t="str">
        <f>IFERROR(IF(ventas_b_mes9[[#This Row],[CUIT]]="","-",VLOOKUP(ventas_b_mes9[[#This Row],[CUIT]],Lista_CUIT[#All],2,0)),"CUIT NO CARGADO")</f>
        <v>-</v>
      </c>
      <c r="H752" s="60">
        <f>ventas_b_mes9[[#This Row],[TOTAL]]/1.21</f>
        <v>642.28</v>
      </c>
      <c r="I752" s="228">
        <f>ventas_b_mes9[[#This Row],[IMPORTE NETO]]*0.21</f>
        <v>134.87879999999998</v>
      </c>
      <c r="J752" s="229"/>
      <c r="K752" s="229"/>
      <c r="L752" s="229">
        <v>777.15879999999993</v>
      </c>
      <c r="M752" s="55"/>
    </row>
    <row r="753" spans="2:13" x14ac:dyDescent="0.3">
      <c r="B753" s="223">
        <v>44905</v>
      </c>
      <c r="C753" s="224">
        <v>6</v>
      </c>
      <c r="D753" s="225">
        <v>11</v>
      </c>
      <c r="E753" s="226">
        <v>30468</v>
      </c>
      <c r="F753" s="227"/>
      <c r="G753" s="1" t="str">
        <f>IFERROR(IF(ventas_b_mes9[[#This Row],[CUIT]]="","-",VLOOKUP(ventas_b_mes9[[#This Row],[CUIT]],Lista_CUIT[#All],2,0)),"CUIT NO CARGADO")</f>
        <v>-</v>
      </c>
      <c r="H753" s="60">
        <f>ventas_b_mes9[[#This Row],[TOTAL]]/1.21</f>
        <v>466.94</v>
      </c>
      <c r="I753" s="228">
        <f>ventas_b_mes9[[#This Row],[IMPORTE NETO]]*0.21</f>
        <v>98.057400000000001</v>
      </c>
      <c r="J753" s="229"/>
      <c r="K753" s="229"/>
      <c r="L753" s="229">
        <v>564.99739999999997</v>
      </c>
      <c r="M753" s="55"/>
    </row>
    <row r="754" spans="2:13" x14ac:dyDescent="0.3">
      <c r="B754" s="223">
        <v>44905</v>
      </c>
      <c r="C754" s="224">
        <v>6</v>
      </c>
      <c r="D754" s="225">
        <v>11</v>
      </c>
      <c r="E754" s="226">
        <v>30469</v>
      </c>
      <c r="F754" s="227"/>
      <c r="G754" s="1" t="str">
        <f>IFERROR(IF(ventas_b_mes9[[#This Row],[CUIT]]="","-",VLOOKUP(ventas_b_mes9[[#This Row],[CUIT]],Lista_CUIT[#All],2,0)),"CUIT NO CARGADO")</f>
        <v>-</v>
      </c>
      <c r="H754" s="60">
        <f>ventas_b_mes9[[#This Row],[TOTAL]]/1.21</f>
        <v>28314.04</v>
      </c>
      <c r="I754" s="228">
        <f>ventas_b_mes9[[#This Row],[IMPORTE NETO]]*0.21</f>
        <v>5945.9484000000002</v>
      </c>
      <c r="J754" s="229"/>
      <c r="K754" s="229"/>
      <c r="L754" s="229">
        <v>34259.988400000002</v>
      </c>
      <c r="M754" s="55"/>
    </row>
    <row r="755" spans="2:13" x14ac:dyDescent="0.3">
      <c r="B755" s="223">
        <v>44905</v>
      </c>
      <c r="C755" s="224">
        <v>6</v>
      </c>
      <c r="D755" s="225">
        <v>11</v>
      </c>
      <c r="E755" s="226">
        <v>30470</v>
      </c>
      <c r="F755" s="227"/>
      <c r="G755" s="1" t="str">
        <f>IFERROR(IF(ventas_b_mes9[[#This Row],[CUIT]]="","-",VLOOKUP(ventas_b_mes9[[#This Row],[CUIT]],Lista_CUIT[#All],2,0)),"CUIT NO CARGADO")</f>
        <v>-</v>
      </c>
      <c r="H755" s="60">
        <f>ventas_b_mes9[[#This Row],[TOTAL]]/1.21</f>
        <v>3203.31</v>
      </c>
      <c r="I755" s="228">
        <f>ventas_b_mes9[[#This Row],[IMPORTE NETO]]*0.21</f>
        <v>672.69509999999991</v>
      </c>
      <c r="J755" s="229"/>
      <c r="K755" s="229"/>
      <c r="L755" s="229">
        <v>3876.0050999999999</v>
      </c>
      <c r="M755" s="55"/>
    </row>
    <row r="756" spans="2:13" x14ac:dyDescent="0.3">
      <c r="B756" s="223">
        <v>44905</v>
      </c>
      <c r="C756" s="224">
        <v>6</v>
      </c>
      <c r="D756" s="225">
        <v>11</v>
      </c>
      <c r="E756" s="226">
        <v>30471</v>
      </c>
      <c r="F756" s="227"/>
      <c r="G756" s="1" t="str">
        <f>IFERROR(IF(ventas_b_mes9[[#This Row],[CUIT]]="","-",VLOOKUP(ventas_b_mes9[[#This Row],[CUIT]],Lista_CUIT[#All],2,0)),"CUIT NO CARGADO")</f>
        <v>-</v>
      </c>
      <c r="H756" s="60">
        <f>ventas_b_mes9[[#This Row],[TOTAL]]/1.21</f>
        <v>4545.45</v>
      </c>
      <c r="I756" s="228">
        <f>ventas_b_mes9[[#This Row],[IMPORTE NETO]]*0.21</f>
        <v>954.54449999999997</v>
      </c>
      <c r="J756" s="229"/>
      <c r="K756" s="229"/>
      <c r="L756" s="229">
        <v>5499.9944999999998</v>
      </c>
      <c r="M756" s="55"/>
    </row>
    <row r="757" spans="2:13" x14ac:dyDescent="0.3">
      <c r="B757" s="223">
        <v>44905</v>
      </c>
      <c r="C757" s="224">
        <v>6</v>
      </c>
      <c r="D757" s="225">
        <v>11</v>
      </c>
      <c r="E757" s="226">
        <v>30472</v>
      </c>
      <c r="F757" s="227"/>
      <c r="G757" s="1" t="str">
        <f>IFERROR(IF(ventas_b_mes9[[#This Row],[CUIT]]="","-",VLOOKUP(ventas_b_mes9[[#This Row],[CUIT]],Lista_CUIT[#All],2,0)),"CUIT NO CARGADO")</f>
        <v>-</v>
      </c>
      <c r="H757" s="60">
        <f>ventas_b_mes9[[#This Row],[TOTAL]]/1.21</f>
        <v>2727.27</v>
      </c>
      <c r="I757" s="228">
        <f>ventas_b_mes9[[#This Row],[IMPORTE NETO]]*0.21</f>
        <v>572.72669999999994</v>
      </c>
      <c r="J757" s="229"/>
      <c r="K757" s="229"/>
      <c r="L757" s="229">
        <v>3299.9966999999997</v>
      </c>
      <c r="M757" s="55"/>
    </row>
    <row r="758" spans="2:13" x14ac:dyDescent="0.3">
      <c r="B758" s="223">
        <v>44905</v>
      </c>
      <c r="C758" s="224">
        <v>6</v>
      </c>
      <c r="D758" s="225">
        <v>11</v>
      </c>
      <c r="E758" s="226">
        <v>30473</v>
      </c>
      <c r="F758" s="227"/>
      <c r="G758" s="1" t="str">
        <f>IFERROR(IF(ventas_b_mes9[[#This Row],[CUIT]]="","-",VLOOKUP(ventas_b_mes9[[#This Row],[CUIT]],Lista_CUIT[#All],2,0)),"CUIT NO CARGADO")</f>
        <v>-</v>
      </c>
      <c r="H758" s="60">
        <f>ventas_b_mes9[[#This Row],[TOTAL]]/1.21</f>
        <v>9471.08</v>
      </c>
      <c r="I758" s="228">
        <f>ventas_b_mes9[[#This Row],[IMPORTE NETO]]*0.21</f>
        <v>1988.9268</v>
      </c>
      <c r="J758" s="229"/>
      <c r="K758" s="229"/>
      <c r="L758" s="229">
        <v>11460.006799999999</v>
      </c>
      <c r="M758" s="55"/>
    </row>
    <row r="759" spans="2:13" x14ac:dyDescent="0.3">
      <c r="B759" s="223">
        <v>44905</v>
      </c>
      <c r="C759" s="224">
        <v>6</v>
      </c>
      <c r="D759" s="225">
        <v>11</v>
      </c>
      <c r="E759" s="226">
        <v>30474</v>
      </c>
      <c r="F759" s="227"/>
      <c r="G759" s="1" t="str">
        <f>IFERROR(IF(ventas_b_mes9[[#This Row],[CUIT]]="","-",VLOOKUP(ventas_b_mes9[[#This Row],[CUIT]],Lista_CUIT[#All],2,0)),"CUIT NO CARGADO")</f>
        <v>-</v>
      </c>
      <c r="H759" s="60">
        <f>ventas_b_mes9[[#This Row],[TOTAL]]/1.21</f>
        <v>2033.06</v>
      </c>
      <c r="I759" s="228">
        <f>ventas_b_mes9[[#This Row],[IMPORTE NETO]]*0.21</f>
        <v>426.94259999999997</v>
      </c>
      <c r="J759" s="229"/>
      <c r="K759" s="229"/>
      <c r="L759" s="229">
        <v>2460.0025999999998</v>
      </c>
      <c r="M759" s="55"/>
    </row>
    <row r="760" spans="2:13" x14ac:dyDescent="0.3">
      <c r="B760" s="223">
        <v>44905</v>
      </c>
      <c r="C760" s="224">
        <v>6</v>
      </c>
      <c r="D760" s="225">
        <v>11</v>
      </c>
      <c r="E760" s="226">
        <v>30475</v>
      </c>
      <c r="F760" s="227"/>
      <c r="G760" s="1" t="str">
        <f>IFERROR(IF(ventas_b_mes9[[#This Row],[CUIT]]="","-",VLOOKUP(ventas_b_mes9[[#This Row],[CUIT]],Lista_CUIT[#All],2,0)),"CUIT NO CARGADO")</f>
        <v>-</v>
      </c>
      <c r="H760" s="60">
        <f>ventas_b_mes9[[#This Row],[TOTAL]]/1.21</f>
        <v>14767.76</v>
      </c>
      <c r="I760" s="228">
        <f>ventas_b_mes9[[#This Row],[IMPORTE NETO]]*0.21</f>
        <v>3101.2296000000001</v>
      </c>
      <c r="J760" s="229"/>
      <c r="K760" s="229"/>
      <c r="L760" s="229">
        <v>17868.989600000001</v>
      </c>
      <c r="M760" s="55"/>
    </row>
    <row r="761" spans="2:13" x14ac:dyDescent="0.3">
      <c r="B761" s="223">
        <v>44905</v>
      </c>
      <c r="C761" s="224">
        <v>6</v>
      </c>
      <c r="D761" s="225">
        <v>11</v>
      </c>
      <c r="E761" s="226">
        <v>30476</v>
      </c>
      <c r="F761" s="227"/>
      <c r="G761" s="1" t="str">
        <f>IFERROR(IF(ventas_b_mes9[[#This Row],[CUIT]]="","-",VLOOKUP(ventas_b_mes9[[#This Row],[CUIT]],Lista_CUIT[#All],2,0)),"CUIT NO CARGADO")</f>
        <v>-</v>
      </c>
      <c r="H761" s="60">
        <f>ventas_b_mes9[[#This Row],[TOTAL]]/1.21</f>
        <v>800.83</v>
      </c>
      <c r="I761" s="228">
        <f>ventas_b_mes9[[#This Row],[IMPORTE NETO]]*0.21</f>
        <v>168.17430000000002</v>
      </c>
      <c r="J761" s="229"/>
      <c r="K761" s="229"/>
      <c r="L761" s="229">
        <v>969.00430000000006</v>
      </c>
      <c r="M761" s="55"/>
    </row>
    <row r="762" spans="2:13" x14ac:dyDescent="0.3">
      <c r="B762" s="223">
        <v>44905</v>
      </c>
      <c r="C762" s="224">
        <v>6</v>
      </c>
      <c r="D762" s="225">
        <v>11</v>
      </c>
      <c r="E762" s="226">
        <v>30477</v>
      </c>
      <c r="F762" s="227"/>
      <c r="G762" s="1" t="str">
        <f>IFERROR(IF(ventas_b_mes9[[#This Row],[CUIT]]="","-",VLOOKUP(ventas_b_mes9[[#This Row],[CUIT]],Lista_CUIT[#All],2,0)),"CUIT NO CARGADO")</f>
        <v>-</v>
      </c>
      <c r="H762" s="60">
        <f>ventas_b_mes9[[#This Row],[TOTAL]]/1.21</f>
        <v>1438.02</v>
      </c>
      <c r="I762" s="228">
        <f>ventas_b_mes9[[#This Row],[IMPORTE NETO]]*0.21</f>
        <v>301.98419999999999</v>
      </c>
      <c r="J762" s="229"/>
      <c r="K762" s="229"/>
      <c r="L762" s="229">
        <v>1740.0041999999999</v>
      </c>
      <c r="M762" s="55"/>
    </row>
    <row r="763" spans="2:13" x14ac:dyDescent="0.3">
      <c r="B763" s="223">
        <v>44905</v>
      </c>
      <c r="C763" s="224">
        <v>6</v>
      </c>
      <c r="D763" s="225">
        <v>11</v>
      </c>
      <c r="E763" s="226">
        <v>30478</v>
      </c>
      <c r="F763" s="227"/>
      <c r="G763" s="1" t="str">
        <f>IFERROR(IF(ventas_b_mes9[[#This Row],[CUIT]]="","-",VLOOKUP(ventas_b_mes9[[#This Row],[CUIT]],Lista_CUIT[#All],2,0)),"CUIT NO CARGADO")</f>
        <v>-</v>
      </c>
      <c r="H763" s="60">
        <f>ventas_b_mes9[[#This Row],[TOTAL]]/1.21</f>
        <v>814.05</v>
      </c>
      <c r="I763" s="228">
        <f>ventas_b_mes9[[#This Row],[IMPORTE NETO]]*0.21</f>
        <v>170.95049999999998</v>
      </c>
      <c r="J763" s="229"/>
      <c r="K763" s="229"/>
      <c r="L763" s="229">
        <v>985.00049999999987</v>
      </c>
      <c r="M763" s="55"/>
    </row>
    <row r="764" spans="2:13" x14ac:dyDescent="0.3">
      <c r="B764" s="223">
        <v>44905</v>
      </c>
      <c r="C764" s="224">
        <v>6</v>
      </c>
      <c r="D764" s="225">
        <v>11</v>
      </c>
      <c r="E764" s="226">
        <v>30479</v>
      </c>
      <c r="F764" s="227"/>
      <c r="G764" s="1" t="str">
        <f>IFERROR(IF(ventas_b_mes9[[#This Row],[CUIT]]="","-",VLOOKUP(ventas_b_mes9[[#This Row],[CUIT]],Lista_CUIT[#All],2,0)),"CUIT NO CARGADO")</f>
        <v>-</v>
      </c>
      <c r="H764" s="60">
        <f>ventas_b_mes9[[#This Row],[TOTAL]]/1.21</f>
        <v>13801.640000000001</v>
      </c>
      <c r="I764" s="228">
        <f>ventas_b_mes9[[#This Row],[IMPORTE NETO]]*0.21</f>
        <v>2898.3444</v>
      </c>
      <c r="J764" s="229"/>
      <c r="K764" s="229"/>
      <c r="L764" s="229">
        <v>16699.984400000001</v>
      </c>
      <c r="M764" s="55"/>
    </row>
    <row r="765" spans="2:13" x14ac:dyDescent="0.3">
      <c r="B765" s="223">
        <v>44905</v>
      </c>
      <c r="C765" s="224">
        <v>6</v>
      </c>
      <c r="D765" s="225">
        <v>11</v>
      </c>
      <c r="E765" s="226">
        <v>30480</v>
      </c>
      <c r="F765" s="227"/>
      <c r="G765" s="1" t="str">
        <f>IFERROR(IF(ventas_b_mes9[[#This Row],[CUIT]]="","-",VLOOKUP(ventas_b_mes9[[#This Row],[CUIT]],Lista_CUIT[#All],2,0)),"CUIT NO CARGADO")</f>
        <v>-</v>
      </c>
      <c r="H765" s="60">
        <f>ventas_b_mes9[[#This Row],[TOTAL]]/1.21</f>
        <v>8282.24</v>
      </c>
      <c r="I765" s="228">
        <f>ventas_b_mes9[[#This Row],[IMPORTE NETO]]*0.21</f>
        <v>1739.2703999999999</v>
      </c>
      <c r="J765" s="229"/>
      <c r="K765" s="229"/>
      <c r="L765" s="229">
        <v>10021.510399999999</v>
      </c>
      <c r="M765" s="55"/>
    </row>
    <row r="766" spans="2:13" x14ac:dyDescent="0.3">
      <c r="B766" s="223">
        <v>44905</v>
      </c>
      <c r="C766" s="224">
        <v>6</v>
      </c>
      <c r="D766" s="225">
        <v>11</v>
      </c>
      <c r="E766" s="226">
        <v>30481</v>
      </c>
      <c r="F766" s="227"/>
      <c r="G766" s="1" t="str">
        <f>IFERROR(IF(ventas_b_mes9[[#This Row],[CUIT]]="","-",VLOOKUP(ventas_b_mes9[[#This Row],[CUIT]],Lista_CUIT[#All],2,0)),"CUIT NO CARGADO")</f>
        <v>-</v>
      </c>
      <c r="H766" s="60">
        <f>ventas_b_mes9[[#This Row],[TOTAL]]/1.21</f>
        <v>1818.18</v>
      </c>
      <c r="I766" s="228">
        <f>ventas_b_mes9[[#This Row],[IMPORTE NETO]]*0.21</f>
        <v>381.81779999999998</v>
      </c>
      <c r="J766" s="229"/>
      <c r="K766" s="229"/>
      <c r="L766" s="229">
        <v>2199.9978000000001</v>
      </c>
      <c r="M766" s="55"/>
    </row>
    <row r="767" spans="2:13" x14ac:dyDescent="0.3">
      <c r="B767" s="223">
        <v>44905</v>
      </c>
      <c r="C767" s="224">
        <v>6</v>
      </c>
      <c r="D767" s="225">
        <v>13</v>
      </c>
      <c r="E767" s="226">
        <v>27054</v>
      </c>
      <c r="F767" s="227"/>
      <c r="G767" s="1" t="str">
        <f>IFERROR(IF(ventas_b_mes9[[#This Row],[CUIT]]="","-",VLOOKUP(ventas_b_mes9[[#This Row],[CUIT]],Lista_CUIT[#All],2,0)),"CUIT NO CARGADO")</f>
        <v>-</v>
      </c>
      <c r="H767" s="60">
        <f>ventas_b_mes9[[#This Row],[TOTAL]]/1.21</f>
        <v>2148.7600000000002</v>
      </c>
      <c r="I767" s="228">
        <f>ventas_b_mes9[[#This Row],[IMPORTE NETO]]*0.21</f>
        <v>451.23960000000005</v>
      </c>
      <c r="J767" s="229"/>
      <c r="K767" s="229"/>
      <c r="L767" s="229">
        <v>2599.9996000000001</v>
      </c>
      <c r="M767" s="55"/>
    </row>
    <row r="768" spans="2:13" x14ac:dyDescent="0.3">
      <c r="B768" s="223">
        <v>44905</v>
      </c>
      <c r="C768" s="224">
        <v>6</v>
      </c>
      <c r="D768" s="225">
        <v>13</v>
      </c>
      <c r="E768" s="226">
        <v>27055</v>
      </c>
      <c r="F768" s="227">
        <v>111</v>
      </c>
      <c r="G768" s="1" t="str">
        <f>IFERROR(IF(ventas_b_mes9[[#This Row],[CUIT]]="","-",VLOOKUP(ventas_b_mes9[[#This Row],[CUIT]],Lista_CUIT[#All],2,0)),"CUIT NO CARGADO")</f>
        <v>LOPEZ,Sandra</v>
      </c>
      <c r="H768" s="60">
        <f>ventas_b_mes9[[#This Row],[TOTAL]]/1.21</f>
        <v>2214.88</v>
      </c>
      <c r="I768" s="228">
        <f>ventas_b_mes9[[#This Row],[IMPORTE NETO]]*0.21</f>
        <v>465.12479999999999</v>
      </c>
      <c r="J768" s="229"/>
      <c r="K768" s="229"/>
      <c r="L768" s="229">
        <v>2680.0048000000002</v>
      </c>
      <c r="M768" s="55"/>
    </row>
    <row r="769" spans="2:13" x14ac:dyDescent="0.3">
      <c r="B769" s="223">
        <v>44905</v>
      </c>
      <c r="C769" s="224">
        <v>6</v>
      </c>
      <c r="D769" s="225">
        <v>13</v>
      </c>
      <c r="E769" s="226">
        <v>27056</v>
      </c>
      <c r="F769" s="227"/>
      <c r="G769" s="1" t="str">
        <f>IFERROR(IF(ventas_b_mes9[[#This Row],[CUIT]]="","-",VLOOKUP(ventas_b_mes9[[#This Row],[CUIT]],Lista_CUIT[#All],2,0)),"CUIT NO CARGADO")</f>
        <v>-</v>
      </c>
      <c r="H769" s="60">
        <f>ventas_b_mes9[[#This Row],[TOTAL]]/1.21</f>
        <v>2148.7600000000002</v>
      </c>
      <c r="I769" s="228">
        <f>ventas_b_mes9[[#This Row],[IMPORTE NETO]]*0.21</f>
        <v>451.23960000000005</v>
      </c>
      <c r="J769" s="229"/>
      <c r="K769" s="229"/>
      <c r="L769" s="229">
        <v>2599.9996000000001</v>
      </c>
      <c r="M769" s="55"/>
    </row>
    <row r="770" spans="2:13" x14ac:dyDescent="0.3">
      <c r="B770" s="223">
        <v>44905</v>
      </c>
      <c r="C770" s="224">
        <v>6</v>
      </c>
      <c r="D770" s="225">
        <v>15</v>
      </c>
      <c r="E770" s="226">
        <v>7431</v>
      </c>
      <c r="F770" s="227"/>
      <c r="G770" s="1" t="str">
        <f>IFERROR(IF(ventas_b_mes9[[#This Row],[CUIT]]="","-",VLOOKUP(ventas_b_mes9[[#This Row],[CUIT]],Lista_CUIT[#All],2,0)),"CUIT NO CARGADO")</f>
        <v>-</v>
      </c>
      <c r="H770" s="60">
        <f>ventas_b_mes9[[#This Row],[TOTAL]]/1.21</f>
        <v>4545.45</v>
      </c>
      <c r="I770" s="228">
        <f>ventas_b_mes9[[#This Row],[IMPORTE NETO]]*0.21</f>
        <v>954.54449999999997</v>
      </c>
      <c r="J770" s="229"/>
      <c r="K770" s="229"/>
      <c r="L770" s="229">
        <v>5499.9944999999998</v>
      </c>
      <c r="M770" s="55"/>
    </row>
    <row r="771" spans="2:13" x14ac:dyDescent="0.3">
      <c r="B771" s="223">
        <v>44905</v>
      </c>
      <c r="C771" s="224">
        <v>6</v>
      </c>
      <c r="D771" s="225">
        <v>15</v>
      </c>
      <c r="E771" s="226">
        <v>7432</v>
      </c>
      <c r="F771" s="227">
        <v>42683175</v>
      </c>
      <c r="G771" s="1" t="str">
        <f>IFERROR(IF(ventas_b_mes9[[#This Row],[CUIT]]="","-",VLOOKUP(ventas_b_mes9[[#This Row],[CUIT]],Lista_CUIT[#All],2,0)),"CUIT NO CARGADO")</f>
        <v>ALEGRE, MICAELA (ALUMNA)</v>
      </c>
      <c r="H771" s="60">
        <f>ventas_b_mes9[[#This Row],[TOTAL]]/1.21</f>
        <v>4545.45</v>
      </c>
      <c r="I771" s="228">
        <f>ventas_b_mes9[[#This Row],[IMPORTE NETO]]*0.21</f>
        <v>954.54449999999997</v>
      </c>
      <c r="J771" s="229"/>
      <c r="K771" s="229"/>
      <c r="L771" s="229">
        <v>5499.9944999999998</v>
      </c>
      <c r="M771" s="55"/>
    </row>
    <row r="772" spans="2:13" x14ac:dyDescent="0.3">
      <c r="B772" s="223">
        <v>44905</v>
      </c>
      <c r="C772" s="224">
        <v>6</v>
      </c>
      <c r="D772" s="225">
        <v>15</v>
      </c>
      <c r="E772" s="226">
        <v>7433</v>
      </c>
      <c r="F772" s="227">
        <v>94318201</v>
      </c>
      <c r="G772" s="1" t="str">
        <f>IFERROR(IF(ventas_b_mes9[[#This Row],[CUIT]]="","-",VLOOKUP(ventas_b_mes9[[#This Row],[CUIT]],Lista_CUIT[#All],2,0)),"CUIT NO CARGADO")</f>
        <v>VIVEROS, Nelida Maciel</v>
      </c>
      <c r="H772" s="60">
        <f>ventas_b_mes9[[#This Row],[TOTAL]]/1.21</f>
        <v>4545.45</v>
      </c>
      <c r="I772" s="228">
        <f>ventas_b_mes9[[#This Row],[IMPORTE NETO]]*0.21</f>
        <v>954.54449999999997</v>
      </c>
      <c r="J772" s="229"/>
      <c r="K772" s="229"/>
      <c r="L772" s="229">
        <v>5499.9944999999998</v>
      </c>
      <c r="M772" s="55"/>
    </row>
    <row r="773" spans="2:13" x14ac:dyDescent="0.3">
      <c r="B773" s="223">
        <v>44905</v>
      </c>
      <c r="C773" s="224">
        <v>6</v>
      </c>
      <c r="D773" s="225">
        <v>15</v>
      </c>
      <c r="E773" s="226">
        <v>7434</v>
      </c>
      <c r="F773" s="227">
        <v>33086180</v>
      </c>
      <c r="G773" s="1" t="str">
        <f>IFERROR(IF(ventas_b_mes9[[#This Row],[CUIT]]="","-",VLOOKUP(ventas_b_mes9[[#This Row],[CUIT]],Lista_CUIT[#All],2,0)),"CUIT NO CARGADO")</f>
        <v>Prester,YANEL (ALUMNA)</v>
      </c>
      <c r="H773" s="60">
        <f>ventas_b_mes9[[#This Row],[TOTAL]]/1.21</f>
        <v>4958.68</v>
      </c>
      <c r="I773" s="228">
        <f>ventas_b_mes9[[#This Row],[IMPORTE NETO]]*0.21</f>
        <v>1041.3227999999999</v>
      </c>
      <c r="J773" s="229"/>
      <c r="K773" s="229"/>
      <c r="L773" s="229">
        <v>6000.0028000000002</v>
      </c>
      <c r="M773" s="55"/>
    </row>
    <row r="774" spans="2:13" x14ac:dyDescent="0.3">
      <c r="B774" s="223">
        <v>44905</v>
      </c>
      <c r="C774" s="224">
        <v>6</v>
      </c>
      <c r="D774" s="225">
        <v>10</v>
      </c>
      <c r="E774" s="226">
        <v>44354</v>
      </c>
      <c r="F774" s="227"/>
      <c r="G774" s="1" t="str">
        <f>IFERROR(IF(ventas_b_mes9[[#This Row],[CUIT]]="","-",VLOOKUP(ventas_b_mes9[[#This Row],[CUIT]],Lista_CUIT[#All],2,0)),"CUIT NO CARGADO")</f>
        <v>-</v>
      </c>
      <c r="H774" s="60">
        <f>ventas_b_mes9[[#This Row],[TOTAL]]/1.21</f>
        <v>26909.09</v>
      </c>
      <c r="I774" s="228">
        <f>ventas_b_mes9[[#This Row],[IMPORTE NETO]]*0.21</f>
        <v>5650.9088999999994</v>
      </c>
      <c r="J774" s="229"/>
      <c r="K774" s="229"/>
      <c r="L774" s="229">
        <v>32559.998899999999</v>
      </c>
      <c r="M774" s="55"/>
    </row>
    <row r="775" spans="2:13" x14ac:dyDescent="0.3">
      <c r="B775" s="223">
        <v>44905</v>
      </c>
      <c r="C775" s="224">
        <v>6</v>
      </c>
      <c r="D775" s="225">
        <v>10</v>
      </c>
      <c r="E775" s="226">
        <v>44355</v>
      </c>
      <c r="F775" s="227"/>
      <c r="G775" s="1" t="str">
        <f>IFERROR(IF(ventas_b_mes9[[#This Row],[CUIT]]="","-",VLOOKUP(ventas_b_mes9[[#This Row],[CUIT]],Lista_CUIT[#All],2,0)),"CUIT NO CARGADO")</f>
        <v>-</v>
      </c>
      <c r="H775" s="60">
        <f>ventas_b_mes9[[#This Row],[TOTAL]]/1.21</f>
        <v>7438.0200000000013</v>
      </c>
      <c r="I775" s="228">
        <f>ventas_b_mes9[[#This Row],[IMPORTE NETO]]*0.21</f>
        <v>1561.9842000000003</v>
      </c>
      <c r="J775" s="229"/>
      <c r="K775" s="229"/>
      <c r="L775" s="229">
        <v>9000.0042000000012</v>
      </c>
      <c r="M775" s="55"/>
    </row>
    <row r="776" spans="2:13" x14ac:dyDescent="0.3">
      <c r="B776" s="223">
        <v>44905</v>
      </c>
      <c r="C776" s="224">
        <v>6</v>
      </c>
      <c r="D776" s="225">
        <v>10</v>
      </c>
      <c r="E776" s="226">
        <v>44356</v>
      </c>
      <c r="F776" s="227"/>
      <c r="G776" s="1" t="str">
        <f>IFERROR(IF(ventas_b_mes9[[#This Row],[CUIT]]="","-",VLOOKUP(ventas_b_mes9[[#This Row],[CUIT]],Lista_CUIT[#All],2,0)),"CUIT NO CARGADO")</f>
        <v>-</v>
      </c>
      <c r="H776" s="60">
        <f>ventas_b_mes9[[#This Row],[TOTAL]]/1.21</f>
        <v>4958.68</v>
      </c>
      <c r="I776" s="228">
        <f>ventas_b_mes9[[#This Row],[IMPORTE NETO]]*0.21</f>
        <v>1041.3227999999999</v>
      </c>
      <c r="J776" s="229"/>
      <c r="K776" s="229"/>
      <c r="L776" s="229">
        <v>6000.0028000000002</v>
      </c>
      <c r="M776" s="55"/>
    </row>
    <row r="777" spans="2:13" x14ac:dyDescent="0.3">
      <c r="B777" s="223">
        <v>44905</v>
      </c>
      <c r="C777" s="224">
        <v>6</v>
      </c>
      <c r="D777" s="225">
        <v>10</v>
      </c>
      <c r="E777" s="226">
        <v>44357</v>
      </c>
      <c r="F777" s="227"/>
      <c r="G777" s="1" t="str">
        <f>IFERROR(IF(ventas_b_mes9[[#This Row],[CUIT]]="","-",VLOOKUP(ventas_b_mes9[[#This Row],[CUIT]],Lista_CUIT[#All],2,0)),"CUIT NO CARGADO")</f>
        <v>-</v>
      </c>
      <c r="H777" s="60">
        <f>ventas_b_mes9[[#This Row],[TOTAL]]/1.21</f>
        <v>4958.68</v>
      </c>
      <c r="I777" s="228">
        <f>ventas_b_mes9[[#This Row],[IMPORTE NETO]]*0.21</f>
        <v>1041.3227999999999</v>
      </c>
      <c r="J777" s="229"/>
      <c r="K777" s="229"/>
      <c r="L777" s="229">
        <v>6000.0028000000002</v>
      </c>
      <c r="M777" s="55"/>
    </row>
    <row r="778" spans="2:13" x14ac:dyDescent="0.3">
      <c r="B778" s="223">
        <v>44905</v>
      </c>
      <c r="C778" s="224">
        <v>6</v>
      </c>
      <c r="D778" s="225">
        <v>10</v>
      </c>
      <c r="E778" s="226">
        <v>44358</v>
      </c>
      <c r="F778" s="227"/>
      <c r="G778" s="1" t="str">
        <f>IFERROR(IF(ventas_b_mes9[[#This Row],[CUIT]]="","-",VLOOKUP(ventas_b_mes9[[#This Row],[CUIT]],Lista_CUIT[#All],2,0)),"CUIT NO CARGADO")</f>
        <v>-</v>
      </c>
      <c r="H778" s="60">
        <f>ventas_b_mes9[[#This Row],[TOTAL]]/1.21</f>
        <v>4958.68</v>
      </c>
      <c r="I778" s="228">
        <f>ventas_b_mes9[[#This Row],[IMPORTE NETO]]*0.21</f>
        <v>1041.3227999999999</v>
      </c>
      <c r="J778" s="229"/>
      <c r="K778" s="229"/>
      <c r="L778" s="229">
        <v>6000.0028000000002</v>
      </c>
      <c r="M778" s="55"/>
    </row>
    <row r="779" spans="2:13" x14ac:dyDescent="0.3">
      <c r="B779" s="223">
        <v>44905</v>
      </c>
      <c r="C779" s="224">
        <v>6</v>
      </c>
      <c r="D779" s="225">
        <v>10</v>
      </c>
      <c r="E779" s="226">
        <v>44359</v>
      </c>
      <c r="F779" s="227"/>
      <c r="G779" s="1" t="str">
        <f>IFERROR(IF(ventas_b_mes9[[#This Row],[CUIT]]="","-",VLOOKUP(ventas_b_mes9[[#This Row],[CUIT]],Lista_CUIT[#All],2,0)),"CUIT NO CARGADO")</f>
        <v>-</v>
      </c>
      <c r="H779" s="60">
        <f>ventas_b_mes9[[#This Row],[TOTAL]]/1.21</f>
        <v>46528.930000000008</v>
      </c>
      <c r="I779" s="228">
        <f>ventas_b_mes9[[#This Row],[IMPORTE NETO]]*0.21</f>
        <v>9771.0753000000004</v>
      </c>
      <c r="J779" s="229"/>
      <c r="K779" s="229"/>
      <c r="L779" s="229">
        <v>56300.005300000004</v>
      </c>
      <c r="M779" s="55"/>
    </row>
    <row r="780" spans="2:13" x14ac:dyDescent="0.3">
      <c r="B780" s="223">
        <v>44905</v>
      </c>
      <c r="C780" s="224">
        <v>6</v>
      </c>
      <c r="D780" s="225">
        <v>10</v>
      </c>
      <c r="E780" s="226">
        <v>44360</v>
      </c>
      <c r="F780" s="227"/>
      <c r="G780" s="1" t="str">
        <f>IFERROR(IF(ventas_b_mes9[[#This Row],[CUIT]]="","-",VLOOKUP(ventas_b_mes9[[#This Row],[CUIT]],Lista_CUIT[#All],2,0)),"CUIT NO CARGADO")</f>
        <v>-</v>
      </c>
      <c r="H780" s="60">
        <f>ventas_b_mes9[[#This Row],[TOTAL]]/1.21</f>
        <v>16104.85</v>
      </c>
      <c r="I780" s="228">
        <f>ventas_b_mes9[[#This Row],[IMPORTE NETO]]*0.21</f>
        <v>3382.0185000000001</v>
      </c>
      <c r="J780" s="229"/>
      <c r="K780" s="229"/>
      <c r="L780" s="229">
        <v>19486.8685</v>
      </c>
      <c r="M780" s="55"/>
    </row>
    <row r="781" spans="2:13" x14ac:dyDescent="0.3">
      <c r="B781" s="223">
        <v>44905</v>
      </c>
      <c r="C781" s="224">
        <v>6</v>
      </c>
      <c r="D781" s="225">
        <v>10</v>
      </c>
      <c r="E781" s="226">
        <v>44361</v>
      </c>
      <c r="F781" s="227"/>
      <c r="G781" s="1" t="str">
        <f>IFERROR(IF(ventas_b_mes9[[#This Row],[CUIT]]="","-",VLOOKUP(ventas_b_mes9[[#This Row],[CUIT]],Lista_CUIT[#All],2,0)),"CUIT NO CARGADO")</f>
        <v>-</v>
      </c>
      <c r="H781" s="60">
        <f>ventas_b_mes9[[#This Row],[TOTAL]]/1.21</f>
        <v>925.62</v>
      </c>
      <c r="I781" s="228">
        <f>ventas_b_mes9[[#This Row],[IMPORTE NETO]]*0.21</f>
        <v>194.3802</v>
      </c>
      <c r="J781" s="229"/>
      <c r="K781" s="229"/>
      <c r="L781" s="229">
        <v>1120.0001999999999</v>
      </c>
      <c r="M781" s="55"/>
    </row>
    <row r="782" spans="2:13" x14ac:dyDescent="0.3">
      <c r="B782" s="223">
        <v>44905</v>
      </c>
      <c r="C782" s="224">
        <v>6</v>
      </c>
      <c r="D782" s="225">
        <v>10</v>
      </c>
      <c r="E782" s="226">
        <v>44362</v>
      </c>
      <c r="F782" s="227"/>
      <c r="G782" s="1" t="str">
        <f>IFERROR(IF(ventas_b_mes9[[#This Row],[CUIT]]="","-",VLOOKUP(ventas_b_mes9[[#This Row],[CUIT]],Lista_CUIT[#All],2,0)),"CUIT NO CARGADO")</f>
        <v>-</v>
      </c>
      <c r="H782" s="60">
        <f>ventas_b_mes9[[#This Row],[TOTAL]]/1.21</f>
        <v>10712.81</v>
      </c>
      <c r="I782" s="228">
        <f>ventas_b_mes9[[#This Row],[IMPORTE NETO]]*0.21</f>
        <v>2249.6900999999998</v>
      </c>
      <c r="J782" s="229"/>
      <c r="K782" s="229"/>
      <c r="L782" s="229">
        <v>12962.500099999999</v>
      </c>
      <c r="M782" s="55"/>
    </row>
    <row r="783" spans="2:13" x14ac:dyDescent="0.3">
      <c r="B783" s="223">
        <v>44905</v>
      </c>
      <c r="C783" s="224">
        <v>6</v>
      </c>
      <c r="D783" s="225">
        <v>10</v>
      </c>
      <c r="E783" s="226">
        <v>44363</v>
      </c>
      <c r="F783" s="227"/>
      <c r="G783" s="1" t="str">
        <f>IFERROR(IF(ventas_b_mes9[[#This Row],[CUIT]]="","-",VLOOKUP(ventas_b_mes9[[#This Row],[CUIT]],Lista_CUIT[#All],2,0)),"CUIT NO CARGADO")</f>
        <v>-</v>
      </c>
      <c r="H783" s="60">
        <f>ventas_b_mes9[[#This Row],[TOTAL]]/1.21</f>
        <v>2066.12</v>
      </c>
      <c r="I783" s="228">
        <f>ventas_b_mes9[[#This Row],[IMPORTE NETO]]*0.21</f>
        <v>433.88519999999994</v>
      </c>
      <c r="J783" s="229"/>
      <c r="K783" s="229"/>
      <c r="L783" s="229">
        <v>2500.0051999999996</v>
      </c>
      <c r="M783" s="55"/>
    </row>
    <row r="784" spans="2:13" x14ac:dyDescent="0.3">
      <c r="B784" s="223">
        <v>44905</v>
      </c>
      <c r="C784" s="224">
        <v>6</v>
      </c>
      <c r="D784" s="225">
        <v>12</v>
      </c>
      <c r="E784" s="226">
        <v>22965</v>
      </c>
      <c r="F784" s="227"/>
      <c r="G784" s="1" t="str">
        <f>IFERROR(IF(ventas_b_mes9[[#This Row],[CUIT]]="","-",VLOOKUP(ventas_b_mes9[[#This Row],[CUIT]],Lista_CUIT[#All],2,0)),"CUIT NO CARGADO")</f>
        <v>-</v>
      </c>
      <c r="H784" s="60">
        <f>ventas_b_mes9[[#This Row],[TOTAL]]/1.21</f>
        <v>2768.5900000000006</v>
      </c>
      <c r="I784" s="228">
        <f>ventas_b_mes9[[#This Row],[IMPORTE NETO]]*0.21</f>
        <v>581.40390000000014</v>
      </c>
      <c r="J784" s="229"/>
      <c r="K784" s="229"/>
      <c r="L784" s="229">
        <v>3349.9939000000004</v>
      </c>
      <c r="M784" s="55"/>
    </row>
    <row r="785" spans="2:13" x14ac:dyDescent="0.3">
      <c r="B785" s="223">
        <v>44907</v>
      </c>
      <c r="C785" s="224">
        <v>6</v>
      </c>
      <c r="D785" s="225">
        <v>11</v>
      </c>
      <c r="E785" s="226">
        <v>30482</v>
      </c>
      <c r="F785" s="227"/>
      <c r="G785" s="1" t="str">
        <f>IFERROR(IF(ventas_b_mes9[[#This Row],[CUIT]]="","-",VLOOKUP(ventas_b_mes9[[#This Row],[CUIT]],Lista_CUIT[#All],2,0)),"CUIT NO CARGADO")</f>
        <v>-</v>
      </c>
      <c r="H785" s="60">
        <f>ventas_b_mes9[[#This Row],[TOTAL]]/1.21</f>
        <v>4958.68</v>
      </c>
      <c r="I785" s="228">
        <f>ventas_b_mes9[[#This Row],[IMPORTE NETO]]*0.21</f>
        <v>1041.3227999999999</v>
      </c>
      <c r="J785" s="229"/>
      <c r="K785" s="229"/>
      <c r="L785" s="229">
        <v>6000.0028000000002</v>
      </c>
      <c r="M785" s="55"/>
    </row>
    <row r="786" spans="2:13" x14ac:dyDescent="0.3">
      <c r="B786" s="223">
        <v>44907</v>
      </c>
      <c r="C786" s="224">
        <v>6</v>
      </c>
      <c r="D786" s="225">
        <v>11</v>
      </c>
      <c r="E786" s="226">
        <v>30483</v>
      </c>
      <c r="F786" s="227"/>
      <c r="G786" s="1" t="str">
        <f>IFERROR(IF(ventas_b_mes9[[#This Row],[CUIT]]="","-",VLOOKUP(ventas_b_mes9[[#This Row],[CUIT]],Lista_CUIT[#All],2,0)),"CUIT NO CARGADO")</f>
        <v>-</v>
      </c>
      <c r="H786" s="60">
        <f>ventas_b_mes9[[#This Row],[TOTAL]]/1.21</f>
        <v>1818.18</v>
      </c>
      <c r="I786" s="228">
        <f>ventas_b_mes9[[#This Row],[IMPORTE NETO]]*0.21</f>
        <v>381.81779999999998</v>
      </c>
      <c r="J786" s="229"/>
      <c r="K786" s="229"/>
      <c r="L786" s="229">
        <v>2199.9978000000001</v>
      </c>
      <c r="M786" s="55"/>
    </row>
    <row r="787" spans="2:13" x14ac:dyDescent="0.3">
      <c r="B787" s="223">
        <v>44907</v>
      </c>
      <c r="C787" s="224">
        <v>6</v>
      </c>
      <c r="D787" s="225">
        <v>11</v>
      </c>
      <c r="E787" s="226">
        <v>30484</v>
      </c>
      <c r="F787" s="227"/>
      <c r="G787" s="1" t="str">
        <f>IFERROR(IF(ventas_b_mes9[[#This Row],[CUIT]]="","-",VLOOKUP(ventas_b_mes9[[#This Row],[CUIT]],Lista_CUIT[#All],2,0)),"CUIT NO CARGADO")</f>
        <v>-</v>
      </c>
      <c r="H787" s="60">
        <f>ventas_b_mes9[[#This Row],[TOTAL]]/1.21</f>
        <v>7685.95</v>
      </c>
      <c r="I787" s="228">
        <f>ventas_b_mes9[[#This Row],[IMPORTE NETO]]*0.21</f>
        <v>1614.0494999999999</v>
      </c>
      <c r="J787" s="229"/>
      <c r="K787" s="229"/>
      <c r="L787" s="229">
        <v>9299.9994999999999</v>
      </c>
      <c r="M787" s="55"/>
    </row>
    <row r="788" spans="2:13" x14ac:dyDescent="0.3">
      <c r="B788" s="223">
        <v>44907</v>
      </c>
      <c r="C788" s="224">
        <v>6</v>
      </c>
      <c r="D788" s="225">
        <v>11</v>
      </c>
      <c r="E788" s="226">
        <v>30485</v>
      </c>
      <c r="F788" s="227"/>
      <c r="G788" s="1" t="str">
        <f>IFERROR(IF(ventas_b_mes9[[#This Row],[CUIT]]="","-",VLOOKUP(ventas_b_mes9[[#This Row],[CUIT]],Lista_CUIT[#All],2,0)),"CUIT NO CARGADO")</f>
        <v>-</v>
      </c>
      <c r="H788" s="60">
        <f>ventas_b_mes9[[#This Row],[TOTAL]]/1.21</f>
        <v>18276.86</v>
      </c>
      <c r="I788" s="228">
        <f>ventas_b_mes9[[#This Row],[IMPORTE NETO]]*0.21</f>
        <v>3838.1406000000002</v>
      </c>
      <c r="J788" s="229"/>
      <c r="K788" s="229"/>
      <c r="L788" s="229">
        <v>22115.000599999999</v>
      </c>
      <c r="M788" s="55"/>
    </row>
    <row r="789" spans="2:13" x14ac:dyDescent="0.3">
      <c r="B789" s="223">
        <v>44907</v>
      </c>
      <c r="C789" s="224">
        <v>6</v>
      </c>
      <c r="D789" s="225">
        <v>11</v>
      </c>
      <c r="E789" s="226">
        <v>30486</v>
      </c>
      <c r="F789" s="227"/>
      <c r="G789" s="1" t="str">
        <f>IFERROR(IF(ventas_b_mes9[[#This Row],[CUIT]]="","-",VLOOKUP(ventas_b_mes9[[#This Row],[CUIT]],Lista_CUIT[#All],2,0)),"CUIT NO CARGADO")</f>
        <v>-</v>
      </c>
      <c r="H789" s="60">
        <f>ventas_b_mes9[[#This Row],[TOTAL]]/1.21</f>
        <v>13619.83</v>
      </c>
      <c r="I789" s="228">
        <f>ventas_b_mes9[[#This Row],[IMPORTE NETO]]*0.21</f>
        <v>2860.1642999999999</v>
      </c>
      <c r="J789" s="229"/>
      <c r="K789" s="229"/>
      <c r="L789" s="229">
        <v>16479.994299999998</v>
      </c>
      <c r="M789" s="55"/>
    </row>
    <row r="790" spans="2:13" x14ac:dyDescent="0.3">
      <c r="B790" s="223">
        <v>44907</v>
      </c>
      <c r="C790" s="224">
        <v>6</v>
      </c>
      <c r="D790" s="225">
        <v>11</v>
      </c>
      <c r="E790" s="226">
        <v>30487</v>
      </c>
      <c r="F790" s="227"/>
      <c r="G790" s="1" t="str">
        <f>IFERROR(IF(ventas_b_mes9[[#This Row],[CUIT]]="","-",VLOOKUP(ventas_b_mes9[[#This Row],[CUIT]],Lista_CUIT[#All],2,0)),"CUIT NO CARGADO")</f>
        <v>-</v>
      </c>
      <c r="H790" s="60">
        <f>ventas_b_mes9[[#This Row],[TOTAL]]/1.21</f>
        <v>11570.25</v>
      </c>
      <c r="I790" s="228">
        <f>ventas_b_mes9[[#This Row],[IMPORTE NETO]]*0.21</f>
        <v>2429.7525000000001</v>
      </c>
      <c r="J790" s="229"/>
      <c r="K790" s="229"/>
      <c r="L790" s="229">
        <v>14000.002500000001</v>
      </c>
      <c r="M790" s="55"/>
    </row>
    <row r="791" spans="2:13" x14ac:dyDescent="0.3">
      <c r="B791" s="223">
        <v>44907</v>
      </c>
      <c r="C791" s="224">
        <v>6</v>
      </c>
      <c r="D791" s="225">
        <v>11</v>
      </c>
      <c r="E791" s="226">
        <v>30488</v>
      </c>
      <c r="F791" s="227"/>
      <c r="G791" s="1" t="str">
        <f>IFERROR(IF(ventas_b_mes9[[#This Row],[CUIT]]="","-",VLOOKUP(ventas_b_mes9[[#This Row],[CUIT]],Lista_CUIT[#All],2,0)),"CUIT NO CARGADO")</f>
        <v>-</v>
      </c>
      <c r="H791" s="60">
        <f>ventas_b_mes9[[#This Row],[TOTAL]]/1.21</f>
        <v>504.13</v>
      </c>
      <c r="I791" s="228">
        <f>ventas_b_mes9[[#This Row],[IMPORTE NETO]]*0.21</f>
        <v>105.8673</v>
      </c>
      <c r="J791" s="229"/>
      <c r="K791" s="229"/>
      <c r="L791" s="229">
        <v>609.9973</v>
      </c>
      <c r="M791" s="55"/>
    </row>
    <row r="792" spans="2:13" x14ac:dyDescent="0.3">
      <c r="B792" s="223">
        <v>44907</v>
      </c>
      <c r="C792" s="224">
        <v>6</v>
      </c>
      <c r="D792" s="225">
        <v>11</v>
      </c>
      <c r="E792" s="226">
        <v>30489</v>
      </c>
      <c r="F792" s="227"/>
      <c r="G792" s="1" t="str">
        <f>IFERROR(IF(ventas_b_mes9[[#This Row],[CUIT]]="","-",VLOOKUP(ventas_b_mes9[[#This Row],[CUIT]],Lista_CUIT[#All],2,0)),"CUIT NO CARGADO")</f>
        <v>-</v>
      </c>
      <c r="H792" s="60">
        <f>ventas_b_mes9[[#This Row],[TOTAL]]/1.21</f>
        <v>22603.73</v>
      </c>
      <c r="I792" s="228">
        <f>ventas_b_mes9[[#This Row],[IMPORTE NETO]]*0.21</f>
        <v>4746.7833000000001</v>
      </c>
      <c r="J792" s="229"/>
      <c r="K792" s="229"/>
      <c r="L792" s="229">
        <v>27350.513299999999</v>
      </c>
      <c r="M792" s="55"/>
    </row>
    <row r="793" spans="2:13" x14ac:dyDescent="0.3">
      <c r="B793" s="223">
        <v>44907</v>
      </c>
      <c r="C793" s="224">
        <v>6</v>
      </c>
      <c r="D793" s="225">
        <v>11</v>
      </c>
      <c r="E793" s="226">
        <v>30490</v>
      </c>
      <c r="F793" s="227"/>
      <c r="G793" s="1" t="str">
        <f>IFERROR(IF(ventas_b_mes9[[#This Row],[CUIT]]="","-",VLOOKUP(ventas_b_mes9[[#This Row],[CUIT]],Lista_CUIT[#All],2,0)),"CUIT NO CARGADO")</f>
        <v>-</v>
      </c>
      <c r="H793" s="60">
        <f>ventas_b_mes9[[#This Row],[TOTAL]]/1.21</f>
        <v>6545.45</v>
      </c>
      <c r="I793" s="228">
        <f>ventas_b_mes9[[#This Row],[IMPORTE NETO]]*0.21</f>
        <v>1374.5445</v>
      </c>
      <c r="J793" s="229"/>
      <c r="K793" s="229"/>
      <c r="L793" s="229">
        <v>7919.9944999999998</v>
      </c>
      <c r="M793" s="55"/>
    </row>
    <row r="794" spans="2:13" x14ac:dyDescent="0.3">
      <c r="B794" s="223">
        <v>44907</v>
      </c>
      <c r="C794" s="224">
        <v>6</v>
      </c>
      <c r="D794" s="225">
        <v>11</v>
      </c>
      <c r="E794" s="226">
        <v>30491</v>
      </c>
      <c r="F794" s="227"/>
      <c r="G794" s="1" t="str">
        <f>IFERROR(IF(ventas_b_mes9[[#This Row],[CUIT]]="","-",VLOOKUP(ventas_b_mes9[[#This Row],[CUIT]],Lista_CUIT[#All],2,0)),"CUIT NO CARGADO")</f>
        <v>-</v>
      </c>
      <c r="H794" s="60">
        <f>ventas_b_mes9[[#This Row],[TOTAL]]/1.21</f>
        <v>2499.17</v>
      </c>
      <c r="I794" s="228">
        <f>ventas_b_mes9[[#This Row],[IMPORTE NETO]]*0.21</f>
        <v>524.82569999999998</v>
      </c>
      <c r="J794" s="229"/>
      <c r="K794" s="229"/>
      <c r="L794" s="229">
        <v>3023.9956999999999</v>
      </c>
      <c r="M794" s="55"/>
    </row>
    <row r="795" spans="2:13" x14ac:dyDescent="0.3">
      <c r="B795" s="223">
        <v>44907</v>
      </c>
      <c r="C795" s="224">
        <v>6</v>
      </c>
      <c r="D795" s="225">
        <v>11</v>
      </c>
      <c r="E795" s="226">
        <v>30492</v>
      </c>
      <c r="F795" s="227"/>
      <c r="G795" s="1" t="str">
        <f>IFERROR(IF(ventas_b_mes9[[#This Row],[CUIT]]="","-",VLOOKUP(ventas_b_mes9[[#This Row],[CUIT]],Lista_CUIT[#All],2,0)),"CUIT NO CARGADO")</f>
        <v>-</v>
      </c>
      <c r="H795" s="60">
        <f>ventas_b_mes9[[#This Row],[TOTAL]]/1.21</f>
        <v>10488.45</v>
      </c>
      <c r="I795" s="228">
        <f>ventas_b_mes9[[#This Row],[IMPORTE NETO]]*0.21</f>
        <v>2202.5745000000002</v>
      </c>
      <c r="J795" s="229"/>
      <c r="K795" s="229"/>
      <c r="L795" s="229">
        <v>12691.024500000001</v>
      </c>
      <c r="M795" s="55"/>
    </row>
    <row r="796" spans="2:13" x14ac:dyDescent="0.3">
      <c r="B796" s="223">
        <v>44907</v>
      </c>
      <c r="C796" s="224">
        <v>6</v>
      </c>
      <c r="D796" s="225">
        <v>11</v>
      </c>
      <c r="E796" s="226">
        <v>30493</v>
      </c>
      <c r="F796" s="227"/>
      <c r="G796" s="1" t="str">
        <f>IFERROR(IF(ventas_b_mes9[[#This Row],[CUIT]]="","-",VLOOKUP(ventas_b_mes9[[#This Row],[CUIT]],Lista_CUIT[#All],2,0)),"CUIT NO CARGADO")</f>
        <v>-</v>
      </c>
      <c r="H796" s="60">
        <f>ventas_b_mes9[[#This Row],[TOTAL]]/1.21</f>
        <v>5801.66</v>
      </c>
      <c r="I796" s="228">
        <f>ventas_b_mes9[[#This Row],[IMPORTE NETO]]*0.21</f>
        <v>1218.3486</v>
      </c>
      <c r="J796" s="229"/>
      <c r="K796" s="229"/>
      <c r="L796" s="229">
        <v>7020.0086000000001</v>
      </c>
      <c r="M796" s="55"/>
    </row>
    <row r="797" spans="2:13" x14ac:dyDescent="0.3">
      <c r="B797" s="223">
        <v>44907</v>
      </c>
      <c r="C797" s="224">
        <v>6</v>
      </c>
      <c r="D797" s="225">
        <v>11</v>
      </c>
      <c r="E797" s="226">
        <v>30494</v>
      </c>
      <c r="F797" s="227"/>
      <c r="G797" s="1" t="str">
        <f>IFERROR(IF(ventas_b_mes9[[#This Row],[CUIT]]="","-",VLOOKUP(ventas_b_mes9[[#This Row],[CUIT]],Lista_CUIT[#All],2,0)),"CUIT NO CARGADO")</f>
        <v>-</v>
      </c>
      <c r="H797" s="60">
        <f>ventas_b_mes9[[#This Row],[TOTAL]]/1.21</f>
        <v>3966.94</v>
      </c>
      <c r="I797" s="228">
        <f>ventas_b_mes9[[#This Row],[IMPORTE NETO]]*0.21</f>
        <v>833.05740000000003</v>
      </c>
      <c r="J797" s="229"/>
      <c r="K797" s="229"/>
      <c r="L797" s="229">
        <v>4799.9974000000002</v>
      </c>
      <c r="M797" s="55"/>
    </row>
    <row r="798" spans="2:13" x14ac:dyDescent="0.3">
      <c r="B798" s="223">
        <v>44907</v>
      </c>
      <c r="C798" s="224">
        <v>6</v>
      </c>
      <c r="D798" s="225">
        <v>11</v>
      </c>
      <c r="E798" s="226">
        <v>30495</v>
      </c>
      <c r="F798" s="227"/>
      <c r="G798" s="1" t="str">
        <f>IFERROR(IF(ventas_b_mes9[[#This Row],[CUIT]]="","-",VLOOKUP(ventas_b_mes9[[#This Row],[CUIT]],Lista_CUIT[#All],2,0)),"CUIT NO CARGADO")</f>
        <v>-</v>
      </c>
      <c r="H798" s="60">
        <f>ventas_b_mes9[[#This Row],[TOTAL]]/1.21</f>
        <v>17148.759999999998</v>
      </c>
      <c r="I798" s="228">
        <f>ventas_b_mes9[[#This Row],[IMPORTE NETO]]*0.21</f>
        <v>3601.2395999999994</v>
      </c>
      <c r="J798" s="229"/>
      <c r="K798" s="229"/>
      <c r="L798" s="229">
        <v>20749.999599999999</v>
      </c>
      <c r="M798" s="55"/>
    </row>
    <row r="799" spans="2:13" x14ac:dyDescent="0.3">
      <c r="B799" s="223">
        <v>44907</v>
      </c>
      <c r="C799" s="224">
        <v>6</v>
      </c>
      <c r="D799" s="225">
        <v>11</v>
      </c>
      <c r="E799" s="226">
        <v>30496</v>
      </c>
      <c r="F799" s="227"/>
      <c r="G799" s="1" t="str">
        <f>IFERROR(IF(ventas_b_mes9[[#This Row],[CUIT]]="","-",VLOOKUP(ventas_b_mes9[[#This Row],[CUIT]],Lista_CUIT[#All],2,0)),"CUIT NO CARGADO")</f>
        <v>-</v>
      </c>
      <c r="H799" s="60">
        <f>ventas_b_mes9[[#This Row],[TOTAL]]/1.21</f>
        <v>1338.8400000000001</v>
      </c>
      <c r="I799" s="228">
        <f>ventas_b_mes9[[#This Row],[IMPORTE NETO]]*0.21</f>
        <v>281.15640000000002</v>
      </c>
      <c r="J799" s="229"/>
      <c r="K799" s="229"/>
      <c r="L799" s="229">
        <v>1619.9964</v>
      </c>
      <c r="M799" s="55"/>
    </row>
    <row r="800" spans="2:13" x14ac:dyDescent="0.3">
      <c r="B800" s="223">
        <v>44907</v>
      </c>
      <c r="C800" s="224">
        <v>6</v>
      </c>
      <c r="D800" s="225">
        <v>11</v>
      </c>
      <c r="E800" s="226">
        <v>30497</v>
      </c>
      <c r="F800" s="227"/>
      <c r="G800" s="1" t="str">
        <f>IFERROR(IF(ventas_b_mes9[[#This Row],[CUIT]]="","-",VLOOKUP(ventas_b_mes9[[#This Row],[CUIT]],Lista_CUIT[#All],2,0)),"CUIT NO CARGADO")</f>
        <v>-</v>
      </c>
      <c r="H800" s="60">
        <f>ventas_b_mes9[[#This Row],[TOTAL]]/1.21</f>
        <v>1818.18</v>
      </c>
      <c r="I800" s="228">
        <f>ventas_b_mes9[[#This Row],[IMPORTE NETO]]*0.21</f>
        <v>381.81779999999998</v>
      </c>
      <c r="J800" s="229"/>
      <c r="K800" s="229"/>
      <c r="L800" s="229">
        <v>2199.9978000000001</v>
      </c>
      <c r="M800" s="55"/>
    </row>
    <row r="801" spans="2:13" x14ac:dyDescent="0.3">
      <c r="B801" s="223">
        <v>44907</v>
      </c>
      <c r="C801" s="224">
        <v>6</v>
      </c>
      <c r="D801" s="225">
        <v>11</v>
      </c>
      <c r="E801" s="226">
        <v>30498</v>
      </c>
      <c r="F801" s="227"/>
      <c r="G801" s="1" t="str">
        <f>IFERROR(IF(ventas_b_mes9[[#This Row],[CUIT]]="","-",VLOOKUP(ventas_b_mes9[[#This Row],[CUIT]],Lista_CUIT[#All],2,0)),"CUIT NO CARGADO")</f>
        <v>-</v>
      </c>
      <c r="H801" s="60">
        <f>ventas_b_mes9[[#This Row],[TOTAL]]/1.21</f>
        <v>19381.849999999999</v>
      </c>
      <c r="I801" s="228">
        <f>ventas_b_mes9[[#This Row],[IMPORTE NETO]]*0.21</f>
        <v>4070.1884999999997</v>
      </c>
      <c r="J801" s="229"/>
      <c r="K801" s="229"/>
      <c r="L801" s="229">
        <v>23452.038499999999</v>
      </c>
      <c r="M801" s="55"/>
    </row>
    <row r="802" spans="2:13" x14ac:dyDescent="0.3">
      <c r="B802" s="223">
        <v>44907</v>
      </c>
      <c r="C802" s="224">
        <v>6</v>
      </c>
      <c r="D802" s="225">
        <v>11</v>
      </c>
      <c r="E802" s="226">
        <v>30499</v>
      </c>
      <c r="F802" s="227"/>
      <c r="G802" s="1" t="str">
        <f>IFERROR(IF(ventas_b_mes9[[#This Row],[CUIT]]="","-",VLOOKUP(ventas_b_mes9[[#This Row],[CUIT]],Lista_CUIT[#All],2,0)),"CUIT NO CARGADO")</f>
        <v>-</v>
      </c>
      <c r="H802" s="60">
        <f>ventas_b_mes9[[#This Row],[TOTAL]]/1.21</f>
        <v>4099.18</v>
      </c>
      <c r="I802" s="228">
        <f>ventas_b_mes9[[#This Row],[IMPORTE NETO]]*0.21</f>
        <v>860.82780000000002</v>
      </c>
      <c r="J802" s="229"/>
      <c r="K802" s="229"/>
      <c r="L802" s="229">
        <v>4960.0078000000003</v>
      </c>
      <c r="M802" s="55"/>
    </row>
    <row r="803" spans="2:13" x14ac:dyDescent="0.3">
      <c r="B803" s="223">
        <v>44907</v>
      </c>
      <c r="C803" s="224">
        <v>6</v>
      </c>
      <c r="D803" s="225">
        <v>11</v>
      </c>
      <c r="E803" s="226">
        <v>30500</v>
      </c>
      <c r="F803" s="227"/>
      <c r="G803" s="1" t="str">
        <f>IFERROR(IF(ventas_b_mes9[[#This Row],[CUIT]]="","-",VLOOKUP(ventas_b_mes9[[#This Row],[CUIT]],Lista_CUIT[#All],2,0)),"CUIT NO CARGADO")</f>
        <v>-</v>
      </c>
      <c r="H803" s="60">
        <f>ventas_b_mes9[[#This Row],[TOTAL]]/1.21</f>
        <v>4425.62</v>
      </c>
      <c r="I803" s="228">
        <f>ventas_b_mes9[[#This Row],[IMPORTE NETO]]*0.21</f>
        <v>929.38019999999995</v>
      </c>
      <c r="J803" s="229"/>
      <c r="K803" s="229"/>
      <c r="L803" s="229">
        <v>5355.0001999999995</v>
      </c>
      <c r="M803" s="55"/>
    </row>
    <row r="804" spans="2:13" x14ac:dyDescent="0.3">
      <c r="B804" s="223">
        <v>44907</v>
      </c>
      <c r="C804" s="224">
        <v>6</v>
      </c>
      <c r="D804" s="225">
        <v>11</v>
      </c>
      <c r="E804" s="226">
        <v>30501</v>
      </c>
      <c r="F804" s="227"/>
      <c r="G804" s="1" t="str">
        <f>IFERROR(IF(ventas_b_mes9[[#This Row],[CUIT]]="","-",VLOOKUP(ventas_b_mes9[[#This Row],[CUIT]],Lista_CUIT[#All],2,0)),"CUIT NO CARGADO")</f>
        <v>-</v>
      </c>
      <c r="H804" s="60">
        <f>ventas_b_mes9[[#This Row],[TOTAL]]/1.21</f>
        <v>7081.02</v>
      </c>
      <c r="I804" s="228">
        <f>ventas_b_mes9[[#This Row],[IMPORTE NETO]]*0.21</f>
        <v>1487.0142000000001</v>
      </c>
      <c r="J804" s="229"/>
      <c r="K804" s="229"/>
      <c r="L804" s="229">
        <v>8568.0342000000001</v>
      </c>
      <c r="M804" s="55"/>
    </row>
    <row r="805" spans="2:13" x14ac:dyDescent="0.3">
      <c r="B805" s="223">
        <v>44907</v>
      </c>
      <c r="C805" s="224">
        <v>6</v>
      </c>
      <c r="D805" s="225">
        <v>11</v>
      </c>
      <c r="E805" s="226">
        <v>30502</v>
      </c>
      <c r="F805" s="227"/>
      <c r="G805" s="1" t="str">
        <f>IFERROR(IF(ventas_b_mes9[[#This Row],[CUIT]]="","-",VLOOKUP(ventas_b_mes9[[#This Row],[CUIT]],Lista_CUIT[#All],2,0)),"CUIT NO CARGADO")</f>
        <v>-</v>
      </c>
      <c r="H805" s="60">
        <f>ventas_b_mes9[[#This Row],[TOTAL]]/1.21</f>
        <v>4545.45</v>
      </c>
      <c r="I805" s="228">
        <f>ventas_b_mes9[[#This Row],[IMPORTE NETO]]*0.21</f>
        <v>954.54449999999997</v>
      </c>
      <c r="J805" s="229"/>
      <c r="K805" s="229"/>
      <c r="L805" s="229">
        <v>5499.9944999999998</v>
      </c>
      <c r="M805" s="55"/>
    </row>
    <row r="806" spans="2:13" x14ac:dyDescent="0.3">
      <c r="B806" s="223">
        <v>44907</v>
      </c>
      <c r="C806" s="224">
        <v>6</v>
      </c>
      <c r="D806" s="225">
        <v>11</v>
      </c>
      <c r="E806" s="226">
        <v>30503</v>
      </c>
      <c r="F806" s="227"/>
      <c r="G806" s="1" t="str">
        <f>IFERROR(IF(ventas_b_mes9[[#This Row],[CUIT]]="","-",VLOOKUP(ventas_b_mes9[[#This Row],[CUIT]],Lista_CUIT[#All],2,0)),"CUIT NO CARGADO")</f>
        <v>-</v>
      </c>
      <c r="H806" s="60">
        <f>ventas_b_mes9[[#This Row],[TOTAL]]/1.21</f>
        <v>1818.18</v>
      </c>
      <c r="I806" s="228">
        <f>ventas_b_mes9[[#This Row],[IMPORTE NETO]]*0.21</f>
        <v>381.81779999999998</v>
      </c>
      <c r="J806" s="229"/>
      <c r="K806" s="229"/>
      <c r="L806" s="229">
        <v>2199.9978000000001</v>
      </c>
      <c r="M806" s="55"/>
    </row>
    <row r="807" spans="2:13" x14ac:dyDescent="0.3">
      <c r="B807" s="223">
        <v>44907</v>
      </c>
      <c r="C807" s="224">
        <v>6</v>
      </c>
      <c r="D807" s="225">
        <v>11</v>
      </c>
      <c r="E807" s="226">
        <v>30504</v>
      </c>
      <c r="F807" s="227"/>
      <c r="G807" s="1" t="str">
        <f>IFERROR(IF(ventas_b_mes9[[#This Row],[CUIT]]="","-",VLOOKUP(ventas_b_mes9[[#This Row],[CUIT]],Lista_CUIT[#All],2,0)),"CUIT NO CARGADO")</f>
        <v>-</v>
      </c>
      <c r="H807" s="60">
        <f>ventas_b_mes9[[#This Row],[TOTAL]]/1.21</f>
        <v>4462.8100000000004</v>
      </c>
      <c r="I807" s="228">
        <f>ventas_b_mes9[[#This Row],[IMPORTE NETO]]*0.21</f>
        <v>937.19010000000003</v>
      </c>
      <c r="J807" s="229"/>
      <c r="K807" s="229"/>
      <c r="L807" s="229">
        <v>5400.0001000000002</v>
      </c>
      <c r="M807" s="55"/>
    </row>
    <row r="808" spans="2:13" x14ac:dyDescent="0.3">
      <c r="B808" s="223">
        <v>44907</v>
      </c>
      <c r="C808" s="224">
        <v>6</v>
      </c>
      <c r="D808" s="225">
        <v>11</v>
      </c>
      <c r="E808" s="226">
        <v>30505</v>
      </c>
      <c r="F808" s="227"/>
      <c r="G808" s="1" t="str">
        <f>IFERROR(IF(ventas_b_mes9[[#This Row],[CUIT]]="","-",VLOOKUP(ventas_b_mes9[[#This Row],[CUIT]],Lista_CUIT[#All],2,0)),"CUIT NO CARGADO")</f>
        <v>-</v>
      </c>
      <c r="H808" s="60">
        <f>ventas_b_mes9[[#This Row],[TOTAL]]/1.21</f>
        <v>1818.18</v>
      </c>
      <c r="I808" s="228">
        <f>ventas_b_mes9[[#This Row],[IMPORTE NETO]]*0.21</f>
        <v>381.81779999999998</v>
      </c>
      <c r="J808" s="229"/>
      <c r="K808" s="229"/>
      <c r="L808" s="229">
        <v>2199.9978000000001</v>
      </c>
      <c r="M808" s="55"/>
    </row>
    <row r="809" spans="2:13" x14ac:dyDescent="0.3">
      <c r="B809" s="223">
        <v>44907</v>
      </c>
      <c r="C809" s="224">
        <v>6</v>
      </c>
      <c r="D809" s="225">
        <v>11</v>
      </c>
      <c r="E809" s="226">
        <v>30506</v>
      </c>
      <c r="F809" s="227"/>
      <c r="G809" s="1" t="str">
        <f>IFERROR(IF(ventas_b_mes9[[#This Row],[CUIT]]="","-",VLOOKUP(ventas_b_mes9[[#This Row],[CUIT]],Lista_CUIT[#All],2,0)),"CUIT NO CARGADO")</f>
        <v>-</v>
      </c>
      <c r="H809" s="60">
        <f>ventas_b_mes9[[#This Row],[TOTAL]]/1.21</f>
        <v>2429.75</v>
      </c>
      <c r="I809" s="228">
        <f>ventas_b_mes9[[#This Row],[IMPORTE NETO]]*0.21</f>
        <v>510.2475</v>
      </c>
      <c r="J809" s="229"/>
      <c r="K809" s="229"/>
      <c r="L809" s="229">
        <v>2939.9974999999999</v>
      </c>
      <c r="M809" s="55"/>
    </row>
    <row r="810" spans="2:13" x14ac:dyDescent="0.3">
      <c r="B810" s="223">
        <v>44907</v>
      </c>
      <c r="C810" s="224">
        <v>6</v>
      </c>
      <c r="D810" s="225">
        <v>13</v>
      </c>
      <c r="E810" s="226">
        <v>27057</v>
      </c>
      <c r="F810" s="227"/>
      <c r="G810" s="1" t="str">
        <f>IFERROR(IF(ventas_b_mes9[[#This Row],[CUIT]]="","-",VLOOKUP(ventas_b_mes9[[#This Row],[CUIT]],Lista_CUIT[#All],2,0)),"CUIT NO CARGADO")</f>
        <v>-</v>
      </c>
      <c r="H810" s="60">
        <f>ventas_b_mes9[[#This Row],[TOTAL]]/1.21</f>
        <v>5603.32</v>
      </c>
      <c r="I810" s="228">
        <f>ventas_b_mes9[[#This Row],[IMPORTE NETO]]*0.21</f>
        <v>1176.6971999999998</v>
      </c>
      <c r="J810" s="229"/>
      <c r="K810" s="229"/>
      <c r="L810" s="229">
        <v>6780.0171999999993</v>
      </c>
      <c r="M810" s="55"/>
    </row>
    <row r="811" spans="2:13" x14ac:dyDescent="0.3">
      <c r="B811" s="223">
        <v>44907</v>
      </c>
      <c r="C811" s="224">
        <v>6</v>
      </c>
      <c r="D811" s="225">
        <v>13</v>
      </c>
      <c r="E811" s="226">
        <v>27058</v>
      </c>
      <c r="F811" s="227"/>
      <c r="G811" s="1" t="str">
        <f>IFERROR(IF(ventas_b_mes9[[#This Row],[CUIT]]="","-",VLOOKUP(ventas_b_mes9[[#This Row],[CUIT]],Lista_CUIT[#All],2,0)),"CUIT NO CARGADO")</f>
        <v>-</v>
      </c>
      <c r="H811" s="60">
        <f>ventas_b_mes9[[#This Row],[TOTAL]]/1.21</f>
        <v>15334.7</v>
      </c>
      <c r="I811" s="228">
        <f>ventas_b_mes9[[#This Row],[IMPORTE NETO]]*0.21</f>
        <v>3220.2869999999998</v>
      </c>
      <c r="J811" s="229"/>
      <c r="K811" s="229"/>
      <c r="L811" s="229">
        <v>18554.987000000001</v>
      </c>
      <c r="M811" s="55"/>
    </row>
    <row r="812" spans="2:13" x14ac:dyDescent="0.3">
      <c r="B812" s="223">
        <v>44907</v>
      </c>
      <c r="C812" s="224">
        <v>6</v>
      </c>
      <c r="D812" s="225">
        <v>13</v>
      </c>
      <c r="E812" s="226">
        <v>27059</v>
      </c>
      <c r="F812" s="227">
        <v>111</v>
      </c>
      <c r="G812" s="1" t="str">
        <f>IFERROR(IF(ventas_b_mes9[[#This Row],[CUIT]]="","-",VLOOKUP(ventas_b_mes9[[#This Row],[CUIT]],Lista_CUIT[#All],2,0)),"CUIT NO CARGADO")</f>
        <v>LOPEZ,Sandra</v>
      </c>
      <c r="H812" s="60">
        <f>ventas_b_mes9[[#This Row],[TOTAL]]/1.21</f>
        <v>3446.28</v>
      </c>
      <c r="I812" s="228">
        <f>ventas_b_mes9[[#This Row],[IMPORTE NETO]]*0.21</f>
        <v>723.71879999999999</v>
      </c>
      <c r="J812" s="229"/>
      <c r="K812" s="229"/>
      <c r="L812" s="229">
        <v>4169.9988000000003</v>
      </c>
      <c r="M812" s="55"/>
    </row>
    <row r="813" spans="2:13" x14ac:dyDescent="0.3">
      <c r="B813" s="223">
        <v>44907</v>
      </c>
      <c r="C813" s="224">
        <v>6</v>
      </c>
      <c r="D813" s="225">
        <v>13</v>
      </c>
      <c r="E813" s="226">
        <v>27060</v>
      </c>
      <c r="F813" s="227"/>
      <c r="G813" s="1" t="str">
        <f>IFERROR(IF(ventas_b_mes9[[#This Row],[CUIT]]="","-",VLOOKUP(ventas_b_mes9[[#This Row],[CUIT]],Lista_CUIT[#All],2,0)),"CUIT NO CARGADO")</f>
        <v>-</v>
      </c>
      <c r="H813" s="60">
        <f>ventas_b_mes9[[#This Row],[TOTAL]]/1.21</f>
        <v>16396.7</v>
      </c>
      <c r="I813" s="228">
        <f>ventas_b_mes9[[#This Row],[IMPORTE NETO]]*0.21</f>
        <v>3443.3070000000002</v>
      </c>
      <c r="J813" s="229"/>
      <c r="K813" s="229"/>
      <c r="L813" s="229">
        <v>19840.007000000001</v>
      </c>
      <c r="M813" s="55"/>
    </row>
    <row r="814" spans="2:13" x14ac:dyDescent="0.3">
      <c r="B814" s="223">
        <v>44907</v>
      </c>
      <c r="C814" s="224">
        <v>6</v>
      </c>
      <c r="D814" s="225">
        <v>13</v>
      </c>
      <c r="E814" s="226">
        <v>27061</v>
      </c>
      <c r="F814" s="227"/>
      <c r="G814" s="1" t="str">
        <f>IFERROR(IF(ventas_b_mes9[[#This Row],[CUIT]]="","-",VLOOKUP(ventas_b_mes9[[#This Row],[CUIT]],Lista_CUIT[#All],2,0)),"CUIT NO CARGADO")</f>
        <v>-</v>
      </c>
      <c r="H814" s="60">
        <f>ventas_b_mes9[[#This Row],[TOTAL]]/1.21</f>
        <v>8727.27</v>
      </c>
      <c r="I814" s="228">
        <f>ventas_b_mes9[[#This Row],[IMPORTE NETO]]*0.21</f>
        <v>1832.7266999999999</v>
      </c>
      <c r="J814" s="229"/>
      <c r="K814" s="229"/>
      <c r="L814" s="229">
        <v>10559.9967</v>
      </c>
      <c r="M814" s="55"/>
    </row>
    <row r="815" spans="2:13" x14ac:dyDescent="0.3">
      <c r="B815" s="223">
        <v>44907</v>
      </c>
      <c r="C815" s="224">
        <v>6</v>
      </c>
      <c r="D815" s="225">
        <v>13</v>
      </c>
      <c r="E815" s="226">
        <v>27062</v>
      </c>
      <c r="F815" s="227"/>
      <c r="G815" s="1" t="str">
        <f>IFERROR(IF(ventas_b_mes9[[#This Row],[CUIT]]="","-",VLOOKUP(ventas_b_mes9[[#This Row],[CUIT]],Lista_CUIT[#All],2,0)),"CUIT NO CARGADO")</f>
        <v>-</v>
      </c>
      <c r="H815" s="60">
        <f>ventas_b_mes9[[#This Row],[TOTAL]]/1.21</f>
        <v>632.23</v>
      </c>
      <c r="I815" s="228">
        <f>ventas_b_mes9[[#This Row],[IMPORTE NETO]]*0.21</f>
        <v>132.76830000000001</v>
      </c>
      <c r="J815" s="229"/>
      <c r="K815" s="229"/>
      <c r="L815" s="229">
        <v>764.99829999999997</v>
      </c>
      <c r="M815" s="55"/>
    </row>
    <row r="816" spans="2:13" x14ac:dyDescent="0.3">
      <c r="B816" s="223">
        <v>44907</v>
      </c>
      <c r="C816" s="224">
        <v>6</v>
      </c>
      <c r="D816" s="225">
        <v>13</v>
      </c>
      <c r="E816" s="226">
        <v>27063</v>
      </c>
      <c r="F816" s="227"/>
      <c r="G816" s="1" t="str">
        <f>IFERROR(IF(ventas_b_mes9[[#This Row],[CUIT]]="","-",VLOOKUP(ventas_b_mes9[[#This Row],[CUIT]],Lista_CUIT[#All],2,0)),"CUIT NO CARGADO")</f>
        <v>-</v>
      </c>
      <c r="H816" s="60">
        <f>ventas_b_mes9[[#This Row],[TOTAL]]/1.21</f>
        <v>5768.62</v>
      </c>
      <c r="I816" s="228">
        <f>ventas_b_mes9[[#This Row],[IMPORTE NETO]]*0.21</f>
        <v>1211.4102</v>
      </c>
      <c r="J816" s="229"/>
      <c r="K816" s="229"/>
      <c r="L816" s="229">
        <v>6980.0302000000001</v>
      </c>
      <c r="M816" s="55"/>
    </row>
    <row r="817" spans="2:13" x14ac:dyDescent="0.3">
      <c r="B817" s="223">
        <v>44907</v>
      </c>
      <c r="C817" s="224">
        <v>6</v>
      </c>
      <c r="D817" s="225">
        <v>13</v>
      </c>
      <c r="E817" s="226">
        <v>27064</v>
      </c>
      <c r="F817" s="227"/>
      <c r="G817" s="1" t="str">
        <f>IFERROR(IF(ventas_b_mes9[[#This Row],[CUIT]]="","-",VLOOKUP(ventas_b_mes9[[#This Row],[CUIT]],Lista_CUIT[#All],2,0)),"CUIT NO CARGADO")</f>
        <v>-</v>
      </c>
      <c r="H817" s="60">
        <f>ventas_b_mes9[[#This Row],[TOTAL]]/1.21</f>
        <v>13123.97</v>
      </c>
      <c r="I817" s="228">
        <f>ventas_b_mes9[[#This Row],[IMPORTE NETO]]*0.21</f>
        <v>2756.0337</v>
      </c>
      <c r="J817" s="229"/>
      <c r="K817" s="229"/>
      <c r="L817" s="229">
        <v>15880.003699999999</v>
      </c>
      <c r="M817" s="55"/>
    </row>
    <row r="818" spans="2:13" x14ac:dyDescent="0.3">
      <c r="B818" s="223">
        <v>44907</v>
      </c>
      <c r="C818" s="224">
        <v>6</v>
      </c>
      <c r="D818" s="225">
        <v>13</v>
      </c>
      <c r="E818" s="226">
        <v>27065</v>
      </c>
      <c r="F818" s="227"/>
      <c r="G818" s="1" t="str">
        <f>IFERROR(IF(ventas_b_mes9[[#This Row],[CUIT]]="","-",VLOOKUP(ventas_b_mes9[[#This Row],[CUIT]],Lista_CUIT[#All],2,0)),"CUIT NO CARGADO")</f>
        <v>-</v>
      </c>
      <c r="H818" s="60">
        <f>ventas_b_mes9[[#This Row],[TOTAL]]/1.21</f>
        <v>942.14999999999986</v>
      </c>
      <c r="I818" s="228">
        <f>ventas_b_mes9[[#This Row],[IMPORTE NETO]]*0.21</f>
        <v>197.85149999999996</v>
      </c>
      <c r="J818" s="229"/>
      <c r="K818" s="229"/>
      <c r="L818" s="229">
        <v>1140.0014999999999</v>
      </c>
      <c r="M818" s="55"/>
    </row>
    <row r="819" spans="2:13" x14ac:dyDescent="0.3">
      <c r="B819" s="223">
        <v>44907</v>
      </c>
      <c r="C819" s="224">
        <v>6</v>
      </c>
      <c r="D819" s="225">
        <v>15</v>
      </c>
      <c r="E819" s="226">
        <v>7435</v>
      </c>
      <c r="F819" s="227">
        <v>94658910</v>
      </c>
      <c r="G819" s="1" t="str">
        <f>IFERROR(IF(ventas_b_mes9[[#This Row],[CUIT]]="","-",VLOOKUP(ventas_b_mes9[[#This Row],[CUIT]],Lista_CUIT[#All],2,0)),"CUIT NO CARGADO")</f>
        <v>PEREZ CRUZ,MILAGROS (alumna)</v>
      </c>
      <c r="H819" s="60">
        <f>ventas_b_mes9[[#This Row],[TOTAL]]/1.21</f>
        <v>4958.68</v>
      </c>
      <c r="I819" s="228">
        <f>ventas_b_mes9[[#This Row],[IMPORTE NETO]]*0.21</f>
        <v>1041.3227999999999</v>
      </c>
      <c r="J819" s="229"/>
      <c r="K819" s="229"/>
      <c r="L819" s="229">
        <v>6000.0028000000002</v>
      </c>
      <c r="M819" s="55"/>
    </row>
    <row r="820" spans="2:13" x14ac:dyDescent="0.3">
      <c r="B820" s="223">
        <v>44907</v>
      </c>
      <c r="C820" s="224">
        <v>6</v>
      </c>
      <c r="D820" s="225">
        <v>15</v>
      </c>
      <c r="E820" s="226">
        <v>7436</v>
      </c>
      <c r="F820" s="227">
        <v>44209390</v>
      </c>
      <c r="G820" s="1" t="str">
        <f>IFERROR(IF(ventas_b_mes9[[#This Row],[CUIT]]="","-",VLOOKUP(ventas_b_mes9[[#This Row],[CUIT]],Lista_CUIT[#All],2,0)),"CUIT NO CARGADO")</f>
        <v>PERUGINI, MARIA FLORENCIA (ALUMNA)</v>
      </c>
      <c r="H820" s="60">
        <f>ventas_b_mes9[[#This Row],[TOTAL]]/1.21</f>
        <v>4958.68</v>
      </c>
      <c r="I820" s="228">
        <f>ventas_b_mes9[[#This Row],[IMPORTE NETO]]*0.21</f>
        <v>1041.3227999999999</v>
      </c>
      <c r="J820" s="229"/>
      <c r="K820" s="229"/>
      <c r="L820" s="229">
        <v>6000.0028000000002</v>
      </c>
      <c r="M820" s="55"/>
    </row>
    <row r="821" spans="2:13" x14ac:dyDescent="0.3">
      <c r="B821" s="223">
        <v>44907</v>
      </c>
      <c r="C821" s="224">
        <v>6</v>
      </c>
      <c r="D821" s="225">
        <v>15</v>
      </c>
      <c r="E821" s="226">
        <v>7437</v>
      </c>
      <c r="F821" s="227"/>
      <c r="G821" s="1" t="str">
        <f>IFERROR(IF(ventas_b_mes9[[#This Row],[CUIT]]="","-",VLOOKUP(ventas_b_mes9[[#This Row],[CUIT]],Lista_CUIT[#All],2,0)),"CUIT NO CARGADO")</f>
        <v>-</v>
      </c>
      <c r="H821" s="60">
        <f>ventas_b_mes9[[#This Row],[TOTAL]]/1.21</f>
        <v>7520.6599999999989</v>
      </c>
      <c r="I821" s="228">
        <f>ventas_b_mes9[[#This Row],[IMPORTE NETO]]*0.21</f>
        <v>1579.3385999999998</v>
      </c>
      <c r="J821" s="229"/>
      <c r="K821" s="229"/>
      <c r="L821" s="229">
        <v>9099.998599999999</v>
      </c>
      <c r="M821" s="55"/>
    </row>
    <row r="822" spans="2:13" x14ac:dyDescent="0.3">
      <c r="B822" s="223">
        <v>44907</v>
      </c>
      <c r="C822" s="224">
        <v>6</v>
      </c>
      <c r="D822" s="225">
        <v>15</v>
      </c>
      <c r="E822" s="226">
        <v>7438</v>
      </c>
      <c r="F822" s="227"/>
      <c r="G822" s="1" t="str">
        <f>IFERROR(IF(ventas_b_mes9[[#This Row],[CUIT]]="","-",VLOOKUP(ventas_b_mes9[[#This Row],[CUIT]],Lista_CUIT[#All],2,0)),"CUIT NO CARGADO")</f>
        <v>-</v>
      </c>
      <c r="H822" s="60">
        <f>ventas_b_mes9[[#This Row],[TOTAL]]/1.21</f>
        <v>33333.47</v>
      </c>
      <c r="I822" s="228">
        <f>ventas_b_mes9[[#This Row],[IMPORTE NETO]]*0.21</f>
        <v>7000.0286999999998</v>
      </c>
      <c r="J822" s="229"/>
      <c r="K822" s="229"/>
      <c r="L822" s="229">
        <v>40333.498700000004</v>
      </c>
      <c r="M822" s="55"/>
    </row>
    <row r="823" spans="2:13" x14ac:dyDescent="0.3">
      <c r="B823" s="223">
        <v>44907</v>
      </c>
      <c r="C823" s="224">
        <v>6</v>
      </c>
      <c r="D823" s="225">
        <v>15</v>
      </c>
      <c r="E823" s="226">
        <v>7439</v>
      </c>
      <c r="F823" s="227">
        <v>28778142</v>
      </c>
      <c r="G823" s="1" t="str">
        <f>IFERROR(IF(ventas_b_mes9[[#This Row],[CUIT]]="","-",VLOOKUP(ventas_b_mes9[[#This Row],[CUIT]],Lista_CUIT[#All],2,0)),"CUIT NO CARGADO")</f>
        <v>FALCONE, CECILIA (estudiante)</v>
      </c>
      <c r="H823" s="60">
        <f>ventas_b_mes9[[#This Row],[TOTAL]]/1.21</f>
        <v>2276.0300000000002</v>
      </c>
      <c r="I823" s="228">
        <f>ventas_b_mes9[[#This Row],[IMPORTE NETO]]*0.21</f>
        <v>477.96630000000005</v>
      </c>
      <c r="J823" s="229"/>
      <c r="K823" s="229"/>
      <c r="L823" s="229">
        <v>2753.9963000000002</v>
      </c>
      <c r="M823" s="55"/>
    </row>
    <row r="824" spans="2:13" x14ac:dyDescent="0.3">
      <c r="B824" s="223">
        <v>44907</v>
      </c>
      <c r="C824" s="224">
        <v>6</v>
      </c>
      <c r="D824" s="225">
        <v>15</v>
      </c>
      <c r="E824" s="226">
        <v>7440</v>
      </c>
      <c r="F824" s="227">
        <v>11368071</v>
      </c>
      <c r="G824" s="1" t="str">
        <f>IFERROR(IF(ventas_b_mes9[[#This Row],[CUIT]]="","-",VLOOKUP(ventas_b_mes9[[#This Row],[CUIT]],Lista_CUIT[#All],2,0)),"CUIT NO CARGADO")</f>
        <v>BURSIK,Norma</v>
      </c>
      <c r="H824" s="60">
        <f>ventas_b_mes9[[#This Row],[TOTAL]]/1.21</f>
        <v>12909.12</v>
      </c>
      <c r="I824" s="228">
        <f>ventas_b_mes9[[#This Row],[IMPORTE NETO]]*0.21</f>
        <v>2710.9151999999999</v>
      </c>
      <c r="J824" s="229"/>
      <c r="K824" s="229"/>
      <c r="L824" s="229">
        <v>15620.0352</v>
      </c>
      <c r="M824" s="55"/>
    </row>
    <row r="825" spans="2:13" x14ac:dyDescent="0.3">
      <c r="B825" s="223">
        <v>44907</v>
      </c>
      <c r="C825" s="224">
        <v>6</v>
      </c>
      <c r="D825" s="225">
        <v>15</v>
      </c>
      <c r="E825" s="226">
        <v>7441</v>
      </c>
      <c r="F825" s="227">
        <v>30910546</v>
      </c>
      <c r="G825" s="1" t="str">
        <f>IFERROR(IF(ventas_b_mes9[[#This Row],[CUIT]]="","-",VLOOKUP(ventas_b_mes9[[#This Row],[CUIT]],Lista_CUIT[#All],2,0)),"CUIT NO CARGADO")</f>
        <v>Dominguez, Jimena (alumna)</v>
      </c>
      <c r="H825" s="60">
        <f>ventas_b_mes9[[#This Row],[TOTAL]]/1.21</f>
        <v>4958.68</v>
      </c>
      <c r="I825" s="228">
        <f>ventas_b_mes9[[#This Row],[IMPORTE NETO]]*0.21</f>
        <v>1041.3227999999999</v>
      </c>
      <c r="J825" s="229"/>
      <c r="K825" s="229"/>
      <c r="L825" s="229">
        <v>6000.0028000000002</v>
      </c>
      <c r="M825" s="55"/>
    </row>
    <row r="826" spans="2:13" x14ac:dyDescent="0.3">
      <c r="B826" s="223">
        <v>44907</v>
      </c>
      <c r="C826" s="224">
        <v>6</v>
      </c>
      <c r="D826" s="225">
        <v>15</v>
      </c>
      <c r="E826" s="226">
        <v>7442</v>
      </c>
      <c r="F826" s="227">
        <v>30910546</v>
      </c>
      <c r="G826" s="1" t="str">
        <f>IFERROR(IF(ventas_b_mes9[[#This Row],[CUIT]]="","-",VLOOKUP(ventas_b_mes9[[#This Row],[CUIT]],Lista_CUIT[#All],2,0)),"CUIT NO CARGADO")</f>
        <v>Dominguez, Jimena (alumna)</v>
      </c>
      <c r="H826" s="60">
        <f>ventas_b_mes9[[#This Row],[TOTAL]]/1.21</f>
        <v>2776.86</v>
      </c>
      <c r="I826" s="228">
        <f>ventas_b_mes9[[#This Row],[IMPORTE NETO]]*0.21</f>
        <v>583.14059999999995</v>
      </c>
      <c r="J826" s="229"/>
      <c r="K826" s="229"/>
      <c r="L826" s="229">
        <v>3360.0006000000003</v>
      </c>
      <c r="M826" s="55"/>
    </row>
    <row r="827" spans="2:13" x14ac:dyDescent="0.3">
      <c r="B827" s="223">
        <v>44907</v>
      </c>
      <c r="C827" s="224">
        <v>6</v>
      </c>
      <c r="D827" s="225">
        <v>10</v>
      </c>
      <c r="E827" s="226">
        <v>44364</v>
      </c>
      <c r="F827" s="227"/>
      <c r="G827" s="1" t="str">
        <f>IFERROR(IF(ventas_b_mes9[[#This Row],[CUIT]]="","-",VLOOKUP(ventas_b_mes9[[#This Row],[CUIT]],Lista_CUIT[#All],2,0)),"CUIT NO CARGADO")</f>
        <v>-</v>
      </c>
      <c r="H827" s="60">
        <f>ventas_b_mes9[[#This Row],[TOTAL]]/1.21</f>
        <v>24727.27</v>
      </c>
      <c r="I827" s="228">
        <f>ventas_b_mes9[[#This Row],[IMPORTE NETO]]*0.21</f>
        <v>5192.7267000000002</v>
      </c>
      <c r="J827" s="229"/>
      <c r="K827" s="229"/>
      <c r="L827" s="229">
        <v>29919.9967</v>
      </c>
      <c r="M827" s="55"/>
    </row>
    <row r="828" spans="2:13" x14ac:dyDescent="0.3">
      <c r="B828" s="223">
        <v>44907</v>
      </c>
      <c r="C828" s="224">
        <v>6</v>
      </c>
      <c r="D828" s="225">
        <v>10</v>
      </c>
      <c r="E828" s="226">
        <v>44365</v>
      </c>
      <c r="F828" s="227"/>
      <c r="G828" s="1" t="str">
        <f>IFERROR(IF(ventas_b_mes9[[#This Row],[CUIT]]="","-",VLOOKUP(ventas_b_mes9[[#This Row],[CUIT]],Lista_CUIT[#All],2,0)),"CUIT NO CARGADO")</f>
        <v>-</v>
      </c>
      <c r="H828" s="60">
        <f>ventas_b_mes9[[#This Row],[TOTAL]]/1.21</f>
        <v>4462.8100000000004</v>
      </c>
      <c r="I828" s="228">
        <f>ventas_b_mes9[[#This Row],[IMPORTE NETO]]*0.21</f>
        <v>937.19010000000003</v>
      </c>
      <c r="J828" s="229"/>
      <c r="K828" s="229"/>
      <c r="L828" s="229">
        <v>5400.0001000000002</v>
      </c>
      <c r="M828" s="55"/>
    </row>
    <row r="829" spans="2:13" x14ac:dyDescent="0.3">
      <c r="B829" s="223">
        <v>44907</v>
      </c>
      <c r="C829" s="224">
        <v>6</v>
      </c>
      <c r="D829" s="225">
        <v>10</v>
      </c>
      <c r="E829" s="226">
        <v>44366</v>
      </c>
      <c r="F829" s="227"/>
      <c r="G829" s="1" t="str">
        <f>IFERROR(IF(ventas_b_mes9[[#This Row],[CUIT]]="","-",VLOOKUP(ventas_b_mes9[[#This Row],[CUIT]],Lista_CUIT[#All],2,0)),"CUIT NO CARGADO")</f>
        <v>-</v>
      </c>
      <c r="H829" s="60">
        <f>ventas_b_mes9[[#This Row],[TOTAL]]/1.21</f>
        <v>6413.22</v>
      </c>
      <c r="I829" s="228">
        <f>ventas_b_mes9[[#This Row],[IMPORTE NETO]]*0.21</f>
        <v>1346.7762</v>
      </c>
      <c r="J829" s="229"/>
      <c r="K829" s="229"/>
      <c r="L829" s="229">
        <v>7759.9962000000005</v>
      </c>
      <c r="M829" s="55"/>
    </row>
    <row r="830" spans="2:13" x14ac:dyDescent="0.3">
      <c r="B830" s="223">
        <v>44907</v>
      </c>
      <c r="C830" s="224">
        <v>6</v>
      </c>
      <c r="D830" s="225">
        <v>10</v>
      </c>
      <c r="E830" s="226">
        <v>44367</v>
      </c>
      <c r="F830" s="227"/>
      <c r="G830" s="1" t="str">
        <f>IFERROR(IF(ventas_b_mes9[[#This Row],[CUIT]]="","-",VLOOKUP(ventas_b_mes9[[#This Row],[CUIT]],Lista_CUIT[#All],2,0)),"CUIT NO CARGADO")</f>
        <v>-</v>
      </c>
      <c r="H830" s="60">
        <f>ventas_b_mes9[[#This Row],[TOTAL]]/1.21</f>
        <v>9014.8799999999992</v>
      </c>
      <c r="I830" s="228">
        <f>ventas_b_mes9[[#This Row],[IMPORTE NETO]]*0.21</f>
        <v>1893.1247999999998</v>
      </c>
      <c r="J830" s="229"/>
      <c r="K830" s="229"/>
      <c r="L830" s="229">
        <v>10908.004799999999</v>
      </c>
      <c r="M830" s="55"/>
    </row>
    <row r="831" spans="2:13" x14ac:dyDescent="0.3">
      <c r="B831" s="223">
        <v>44907</v>
      </c>
      <c r="C831" s="224">
        <v>6</v>
      </c>
      <c r="D831" s="225">
        <v>10</v>
      </c>
      <c r="E831" s="226">
        <v>44368</v>
      </c>
      <c r="F831" s="227"/>
      <c r="G831" s="1" t="str">
        <f>IFERROR(IF(ventas_b_mes9[[#This Row],[CUIT]]="","-",VLOOKUP(ventas_b_mes9[[#This Row],[CUIT]],Lista_CUIT[#All],2,0)),"CUIT NO CARGADO")</f>
        <v>-</v>
      </c>
      <c r="H831" s="60">
        <f>ventas_b_mes9[[#This Row],[TOTAL]]/1.21</f>
        <v>3074.38</v>
      </c>
      <c r="I831" s="228">
        <f>ventas_b_mes9[[#This Row],[IMPORTE NETO]]*0.21</f>
        <v>645.61980000000005</v>
      </c>
      <c r="J831" s="229"/>
      <c r="K831" s="229"/>
      <c r="L831" s="229">
        <v>3719.9998000000001</v>
      </c>
      <c r="M831" s="55"/>
    </row>
    <row r="832" spans="2:13" x14ac:dyDescent="0.3">
      <c r="B832" s="223">
        <v>44907</v>
      </c>
      <c r="C832" s="224">
        <v>6</v>
      </c>
      <c r="D832" s="225">
        <v>10</v>
      </c>
      <c r="E832" s="226">
        <v>44369</v>
      </c>
      <c r="F832" s="227"/>
      <c r="G832" s="1" t="str">
        <f>IFERROR(IF(ventas_b_mes9[[#This Row],[CUIT]]="","-",VLOOKUP(ventas_b_mes9[[#This Row],[CUIT]],Lista_CUIT[#All],2,0)),"CUIT NO CARGADO")</f>
        <v>-</v>
      </c>
      <c r="H832" s="60">
        <f>ventas_b_mes9[[#This Row],[TOTAL]]/1.21</f>
        <v>28099.170000000002</v>
      </c>
      <c r="I832" s="228">
        <f>ventas_b_mes9[[#This Row],[IMPORTE NETO]]*0.21</f>
        <v>5900.8257000000003</v>
      </c>
      <c r="J832" s="229"/>
      <c r="K832" s="229"/>
      <c r="L832" s="229">
        <v>33999.995699999999</v>
      </c>
      <c r="M832" s="55"/>
    </row>
    <row r="833" spans="2:13" x14ac:dyDescent="0.3">
      <c r="B833" s="223">
        <v>44907</v>
      </c>
      <c r="C833" s="224">
        <v>6</v>
      </c>
      <c r="D833" s="225">
        <v>10</v>
      </c>
      <c r="E833" s="226">
        <v>44370</v>
      </c>
      <c r="F833" s="227"/>
      <c r="G833" s="1" t="str">
        <f>IFERROR(IF(ventas_b_mes9[[#This Row],[CUIT]]="","-",VLOOKUP(ventas_b_mes9[[#This Row],[CUIT]],Lista_CUIT[#All],2,0)),"CUIT NO CARGADO")</f>
        <v>-</v>
      </c>
      <c r="H833" s="60">
        <f>ventas_b_mes9[[#This Row],[TOTAL]]/1.21</f>
        <v>23365.29</v>
      </c>
      <c r="I833" s="228">
        <f>ventas_b_mes9[[#This Row],[IMPORTE NETO]]*0.21</f>
        <v>4906.7109</v>
      </c>
      <c r="J833" s="229"/>
      <c r="K833" s="229"/>
      <c r="L833" s="229">
        <v>28272.000899999999</v>
      </c>
      <c r="M833" s="55"/>
    </row>
    <row r="834" spans="2:13" x14ac:dyDescent="0.3">
      <c r="B834" s="223">
        <v>44907</v>
      </c>
      <c r="C834" s="224">
        <v>6</v>
      </c>
      <c r="D834" s="225">
        <v>10</v>
      </c>
      <c r="E834" s="226">
        <v>44371</v>
      </c>
      <c r="F834" s="227"/>
      <c r="G834" s="1" t="str">
        <f>IFERROR(IF(ventas_b_mes9[[#This Row],[CUIT]]="","-",VLOOKUP(ventas_b_mes9[[#This Row],[CUIT]],Lista_CUIT[#All],2,0)),"CUIT NO CARGADO")</f>
        <v>-</v>
      </c>
      <c r="H834" s="60">
        <f>ventas_b_mes9[[#This Row],[TOTAL]]/1.21</f>
        <v>3953.88</v>
      </c>
      <c r="I834" s="228">
        <f>ventas_b_mes9[[#This Row],[IMPORTE NETO]]*0.21</f>
        <v>830.31479999999999</v>
      </c>
      <c r="J834" s="229"/>
      <c r="K834" s="229"/>
      <c r="L834" s="229">
        <v>4784.1948000000002</v>
      </c>
      <c r="M834" s="55"/>
    </row>
    <row r="835" spans="2:13" x14ac:dyDescent="0.3">
      <c r="B835" s="223">
        <v>44907</v>
      </c>
      <c r="C835" s="224">
        <v>6</v>
      </c>
      <c r="D835" s="225">
        <v>10</v>
      </c>
      <c r="E835" s="226">
        <v>44372</v>
      </c>
      <c r="F835" s="227"/>
      <c r="G835" s="1" t="str">
        <f>IFERROR(IF(ventas_b_mes9[[#This Row],[CUIT]]="","-",VLOOKUP(ventas_b_mes9[[#This Row],[CUIT]],Lista_CUIT[#All],2,0)),"CUIT NO CARGADO")</f>
        <v>-</v>
      </c>
      <c r="H835" s="60">
        <f>ventas_b_mes9[[#This Row],[TOTAL]]/1.21</f>
        <v>17439.96</v>
      </c>
      <c r="I835" s="228">
        <f>ventas_b_mes9[[#This Row],[IMPORTE NETO]]*0.21</f>
        <v>3662.3915999999995</v>
      </c>
      <c r="J835" s="229"/>
      <c r="K835" s="229"/>
      <c r="L835" s="229">
        <v>21102.351599999998</v>
      </c>
      <c r="M835" s="55"/>
    </row>
    <row r="836" spans="2:13" x14ac:dyDescent="0.3">
      <c r="B836" s="223">
        <v>44907</v>
      </c>
      <c r="C836" s="224">
        <v>6</v>
      </c>
      <c r="D836" s="225">
        <v>10</v>
      </c>
      <c r="E836" s="226">
        <v>44373</v>
      </c>
      <c r="F836" s="227"/>
      <c r="G836" s="1" t="str">
        <f>IFERROR(IF(ventas_b_mes9[[#This Row],[CUIT]]="","-",VLOOKUP(ventas_b_mes9[[#This Row],[CUIT]],Lista_CUIT[#All],2,0)),"CUIT NO CARGADO")</f>
        <v>-</v>
      </c>
      <c r="H836" s="60">
        <f>ventas_b_mes9[[#This Row],[TOTAL]]/1.21</f>
        <v>14106.53</v>
      </c>
      <c r="I836" s="228">
        <f>ventas_b_mes9[[#This Row],[IMPORTE NETO]]*0.21</f>
        <v>2962.3713000000002</v>
      </c>
      <c r="J836" s="229"/>
      <c r="K836" s="229"/>
      <c r="L836" s="229">
        <v>17068.901300000001</v>
      </c>
      <c r="M836" s="55"/>
    </row>
    <row r="837" spans="2:13" x14ac:dyDescent="0.3">
      <c r="B837" s="223">
        <v>44907</v>
      </c>
      <c r="C837" s="224">
        <v>6</v>
      </c>
      <c r="D837" s="225">
        <v>10</v>
      </c>
      <c r="E837" s="226">
        <v>44374</v>
      </c>
      <c r="F837" s="227"/>
      <c r="G837" s="1" t="str">
        <f>IFERROR(IF(ventas_b_mes9[[#This Row],[CUIT]]="","-",VLOOKUP(ventas_b_mes9[[#This Row],[CUIT]],Lista_CUIT[#All],2,0)),"CUIT NO CARGADO")</f>
        <v>-</v>
      </c>
      <c r="H837" s="60">
        <f>ventas_b_mes9[[#This Row],[TOTAL]]/1.21</f>
        <v>11185.12</v>
      </c>
      <c r="I837" s="228">
        <f>ventas_b_mes9[[#This Row],[IMPORTE NETO]]*0.21</f>
        <v>2348.8751999999999</v>
      </c>
      <c r="J837" s="229"/>
      <c r="K837" s="229"/>
      <c r="L837" s="229">
        <v>13533.995200000001</v>
      </c>
      <c r="M837" s="55"/>
    </row>
    <row r="838" spans="2:13" x14ac:dyDescent="0.3">
      <c r="B838" s="223">
        <v>44907</v>
      </c>
      <c r="C838" s="224">
        <v>6</v>
      </c>
      <c r="D838" s="225">
        <v>10</v>
      </c>
      <c r="E838" s="226">
        <v>44375</v>
      </c>
      <c r="F838" s="227"/>
      <c r="G838" s="1" t="str">
        <f>IFERROR(IF(ventas_b_mes9[[#This Row],[CUIT]]="","-",VLOOKUP(ventas_b_mes9[[#This Row],[CUIT]],Lista_CUIT[#All],2,0)),"CUIT NO CARGADO")</f>
        <v>-</v>
      </c>
      <c r="H838" s="60">
        <f>ventas_b_mes9[[#This Row],[TOTAL]]/1.21</f>
        <v>10330.58</v>
      </c>
      <c r="I838" s="228">
        <f>ventas_b_mes9[[#This Row],[IMPORTE NETO]]*0.21</f>
        <v>2169.4218000000001</v>
      </c>
      <c r="J838" s="229"/>
      <c r="K838" s="229"/>
      <c r="L838" s="229">
        <v>12500.0018</v>
      </c>
      <c r="M838" s="55"/>
    </row>
    <row r="839" spans="2:13" x14ac:dyDescent="0.3">
      <c r="B839" s="223">
        <v>44907</v>
      </c>
      <c r="C839" s="224">
        <v>6</v>
      </c>
      <c r="D839" s="225">
        <v>10</v>
      </c>
      <c r="E839" s="226">
        <v>44376</v>
      </c>
      <c r="F839" s="227"/>
      <c r="G839" s="1" t="str">
        <f>IFERROR(IF(ventas_b_mes9[[#This Row],[CUIT]]="","-",VLOOKUP(ventas_b_mes9[[#This Row],[CUIT]],Lista_CUIT[#All],2,0)),"CUIT NO CARGADO")</f>
        <v>-</v>
      </c>
      <c r="H839" s="60">
        <f>ventas_b_mes9[[#This Row],[TOTAL]]/1.21</f>
        <v>9081.82</v>
      </c>
      <c r="I839" s="228">
        <f>ventas_b_mes9[[#This Row],[IMPORTE NETO]]*0.21</f>
        <v>1907.1822</v>
      </c>
      <c r="J839" s="229"/>
      <c r="K839" s="229"/>
      <c r="L839" s="229">
        <v>10989.002199999999</v>
      </c>
      <c r="M839" s="55"/>
    </row>
    <row r="840" spans="2:13" x14ac:dyDescent="0.3">
      <c r="B840" s="223">
        <v>44907</v>
      </c>
      <c r="C840" s="224">
        <v>6</v>
      </c>
      <c r="D840" s="225">
        <v>10</v>
      </c>
      <c r="E840" s="226">
        <v>44377</v>
      </c>
      <c r="F840" s="227"/>
      <c r="G840" s="1" t="str">
        <f>IFERROR(IF(ventas_b_mes9[[#This Row],[CUIT]]="","-",VLOOKUP(ventas_b_mes9[[#This Row],[CUIT]],Lista_CUIT[#All],2,0)),"CUIT NO CARGADO")</f>
        <v>-</v>
      </c>
      <c r="H840" s="60">
        <f>ventas_b_mes9[[#This Row],[TOTAL]]/1.21</f>
        <v>2528.9299999999998</v>
      </c>
      <c r="I840" s="228">
        <f>ventas_b_mes9[[#This Row],[IMPORTE NETO]]*0.21</f>
        <v>531.07529999999997</v>
      </c>
      <c r="J840" s="229"/>
      <c r="K840" s="229"/>
      <c r="L840" s="229">
        <v>3060.0052999999998</v>
      </c>
      <c r="M840" s="55"/>
    </row>
    <row r="841" spans="2:13" x14ac:dyDescent="0.3">
      <c r="B841" s="223">
        <v>44907</v>
      </c>
      <c r="C841" s="224">
        <v>6</v>
      </c>
      <c r="D841" s="225">
        <v>10</v>
      </c>
      <c r="E841" s="226">
        <v>44378</v>
      </c>
      <c r="F841" s="227"/>
      <c r="G841" s="1" t="str">
        <f>IFERROR(IF(ventas_b_mes9[[#This Row],[CUIT]]="","-",VLOOKUP(ventas_b_mes9[[#This Row],[CUIT]],Lista_CUIT[#All],2,0)),"CUIT NO CARGADO")</f>
        <v>-</v>
      </c>
      <c r="H841" s="60">
        <f>ventas_b_mes9[[#This Row],[TOTAL]]/1.21</f>
        <v>4760.33</v>
      </c>
      <c r="I841" s="228">
        <f>ventas_b_mes9[[#This Row],[IMPORTE NETO]]*0.21</f>
        <v>999.66929999999991</v>
      </c>
      <c r="J841" s="229"/>
      <c r="K841" s="229"/>
      <c r="L841" s="229">
        <v>5759.9992999999995</v>
      </c>
      <c r="M841" s="55"/>
    </row>
    <row r="842" spans="2:13" x14ac:dyDescent="0.3">
      <c r="B842" s="223">
        <v>44907</v>
      </c>
      <c r="C842" s="224">
        <v>6</v>
      </c>
      <c r="D842" s="225">
        <v>10</v>
      </c>
      <c r="E842" s="226">
        <v>44379</v>
      </c>
      <c r="F842" s="227"/>
      <c r="G842" s="1" t="str">
        <f>IFERROR(IF(ventas_b_mes9[[#This Row],[CUIT]]="","-",VLOOKUP(ventas_b_mes9[[#This Row],[CUIT]],Lista_CUIT[#All],2,0)),"CUIT NO CARGADO")</f>
        <v>-</v>
      </c>
      <c r="H842" s="60">
        <f>ventas_b_mes9[[#This Row],[TOTAL]]/1.21</f>
        <v>5702.48</v>
      </c>
      <c r="I842" s="228">
        <f>ventas_b_mes9[[#This Row],[IMPORTE NETO]]*0.21</f>
        <v>1197.5207999999998</v>
      </c>
      <c r="J842" s="229"/>
      <c r="K842" s="229"/>
      <c r="L842" s="229">
        <v>6900.0007999999998</v>
      </c>
      <c r="M842" s="55"/>
    </row>
    <row r="843" spans="2:13" x14ac:dyDescent="0.3">
      <c r="B843" s="223">
        <v>44907</v>
      </c>
      <c r="C843" s="224">
        <v>6</v>
      </c>
      <c r="D843" s="225">
        <v>10</v>
      </c>
      <c r="E843" s="226">
        <v>44380</v>
      </c>
      <c r="F843" s="227"/>
      <c r="G843" s="1" t="str">
        <f>IFERROR(IF(ventas_b_mes9[[#This Row],[CUIT]]="","-",VLOOKUP(ventas_b_mes9[[#This Row],[CUIT]],Lista_CUIT[#All],2,0)),"CUIT NO CARGADO")</f>
        <v>-</v>
      </c>
      <c r="H843" s="60">
        <f>ventas_b_mes9[[#This Row],[TOTAL]]/1.21</f>
        <v>2148.7600000000002</v>
      </c>
      <c r="I843" s="228">
        <f>ventas_b_mes9[[#This Row],[IMPORTE NETO]]*0.21</f>
        <v>451.23960000000005</v>
      </c>
      <c r="J843" s="229"/>
      <c r="K843" s="229"/>
      <c r="L843" s="229">
        <v>2599.9996000000001</v>
      </c>
      <c r="M843" s="55"/>
    </row>
    <row r="844" spans="2:13" x14ac:dyDescent="0.3">
      <c r="B844" s="223">
        <v>44907</v>
      </c>
      <c r="C844" s="224">
        <v>6</v>
      </c>
      <c r="D844" s="225">
        <v>10</v>
      </c>
      <c r="E844" s="226">
        <v>44381</v>
      </c>
      <c r="F844" s="227"/>
      <c r="G844" s="1" t="str">
        <f>IFERROR(IF(ventas_b_mes9[[#This Row],[CUIT]]="","-",VLOOKUP(ventas_b_mes9[[#This Row],[CUIT]],Lista_CUIT[#All],2,0)),"CUIT NO CARGADO")</f>
        <v>-</v>
      </c>
      <c r="H844" s="60">
        <f>ventas_b_mes9[[#This Row],[TOTAL]]/1.21</f>
        <v>4958.68</v>
      </c>
      <c r="I844" s="228">
        <f>ventas_b_mes9[[#This Row],[IMPORTE NETO]]*0.21</f>
        <v>1041.3227999999999</v>
      </c>
      <c r="J844" s="229"/>
      <c r="K844" s="229"/>
      <c r="L844" s="229">
        <v>6000.0028000000002</v>
      </c>
      <c r="M844" s="55"/>
    </row>
    <row r="845" spans="2:13" x14ac:dyDescent="0.3">
      <c r="B845" s="223">
        <v>44907</v>
      </c>
      <c r="C845" s="224">
        <v>6</v>
      </c>
      <c r="D845" s="225">
        <v>10</v>
      </c>
      <c r="E845" s="226">
        <v>44382</v>
      </c>
      <c r="F845" s="227"/>
      <c r="G845" s="1" t="str">
        <f>IFERROR(IF(ventas_b_mes9[[#This Row],[CUIT]]="","-",VLOOKUP(ventas_b_mes9[[#This Row],[CUIT]],Lista_CUIT[#All],2,0)),"CUIT NO CARGADO")</f>
        <v>-</v>
      </c>
      <c r="H845" s="60">
        <f>ventas_b_mes9[[#This Row],[TOTAL]]/1.21</f>
        <v>4958.68</v>
      </c>
      <c r="I845" s="228">
        <f>ventas_b_mes9[[#This Row],[IMPORTE NETO]]*0.21</f>
        <v>1041.3227999999999</v>
      </c>
      <c r="J845" s="229"/>
      <c r="K845" s="229"/>
      <c r="L845" s="229">
        <v>6000.0028000000002</v>
      </c>
      <c r="M845" s="55"/>
    </row>
    <row r="846" spans="2:13" x14ac:dyDescent="0.3">
      <c r="B846" s="223">
        <v>44907</v>
      </c>
      <c r="C846" s="224">
        <v>6</v>
      </c>
      <c r="D846" s="225">
        <v>10</v>
      </c>
      <c r="E846" s="226">
        <v>44383</v>
      </c>
      <c r="F846" s="227"/>
      <c r="G846" s="1" t="str">
        <f>IFERROR(IF(ventas_b_mes9[[#This Row],[CUIT]]="","-",VLOOKUP(ventas_b_mes9[[#This Row],[CUIT]],Lista_CUIT[#All],2,0)),"CUIT NO CARGADO")</f>
        <v>-</v>
      </c>
      <c r="H846" s="60">
        <f>ventas_b_mes9[[#This Row],[TOTAL]]/1.21</f>
        <v>10859.09</v>
      </c>
      <c r="I846" s="228">
        <f>ventas_b_mes9[[#This Row],[IMPORTE NETO]]*0.21</f>
        <v>2280.4088999999999</v>
      </c>
      <c r="J846" s="229"/>
      <c r="K846" s="229"/>
      <c r="L846" s="229">
        <v>13139.498900000001</v>
      </c>
      <c r="M846" s="55"/>
    </row>
    <row r="847" spans="2:13" x14ac:dyDescent="0.3">
      <c r="B847" s="223">
        <v>44907</v>
      </c>
      <c r="C847" s="224">
        <v>6</v>
      </c>
      <c r="D847" s="225">
        <v>10</v>
      </c>
      <c r="E847" s="226">
        <v>44384</v>
      </c>
      <c r="F847" s="227"/>
      <c r="G847" s="1" t="str">
        <f>IFERROR(IF(ventas_b_mes9[[#This Row],[CUIT]]="","-",VLOOKUP(ventas_b_mes9[[#This Row],[CUIT]],Lista_CUIT[#All],2,0)),"CUIT NO CARGADO")</f>
        <v>-</v>
      </c>
      <c r="H847" s="60">
        <f>ventas_b_mes9[[#This Row],[TOTAL]]/1.21</f>
        <v>12062.4</v>
      </c>
      <c r="I847" s="228">
        <f>ventas_b_mes9[[#This Row],[IMPORTE NETO]]*0.21</f>
        <v>2533.1039999999998</v>
      </c>
      <c r="J847" s="229"/>
      <c r="K847" s="229"/>
      <c r="L847" s="229">
        <v>14595.503999999999</v>
      </c>
      <c r="M847" s="55"/>
    </row>
    <row r="848" spans="2:13" x14ac:dyDescent="0.3">
      <c r="B848" s="223">
        <v>44907</v>
      </c>
      <c r="C848" s="224">
        <v>6</v>
      </c>
      <c r="D848" s="225">
        <v>10</v>
      </c>
      <c r="E848" s="226">
        <v>44385</v>
      </c>
      <c r="F848" s="227"/>
      <c r="G848" s="1" t="str">
        <f>IFERROR(IF(ventas_b_mes9[[#This Row],[CUIT]]="","-",VLOOKUP(ventas_b_mes9[[#This Row],[CUIT]],Lista_CUIT[#All],2,0)),"CUIT NO CARGADO")</f>
        <v>-</v>
      </c>
      <c r="H848" s="60">
        <f>ventas_b_mes9[[#This Row],[TOTAL]]/1.21</f>
        <v>1978.51</v>
      </c>
      <c r="I848" s="228">
        <f>ventas_b_mes9[[#This Row],[IMPORTE NETO]]*0.21</f>
        <v>415.4871</v>
      </c>
      <c r="J848" s="229"/>
      <c r="K848" s="229"/>
      <c r="L848" s="229">
        <v>2393.9971</v>
      </c>
      <c r="M848" s="55"/>
    </row>
    <row r="849" spans="2:13" x14ac:dyDescent="0.3">
      <c r="B849" s="223">
        <v>44907</v>
      </c>
      <c r="C849" s="224">
        <v>6</v>
      </c>
      <c r="D849" s="225">
        <v>12</v>
      </c>
      <c r="E849" s="226">
        <v>22966</v>
      </c>
      <c r="F849" s="227"/>
      <c r="G849" s="1" t="str">
        <f>IFERROR(IF(ventas_b_mes9[[#This Row],[CUIT]]="","-",VLOOKUP(ventas_b_mes9[[#This Row],[CUIT]],Lista_CUIT[#All],2,0)),"CUIT NO CARGADO")</f>
        <v>-</v>
      </c>
      <c r="H849" s="60">
        <f>ventas_b_mes9[[#This Row],[TOTAL]]/1.21</f>
        <v>3966.94</v>
      </c>
      <c r="I849" s="228">
        <f>ventas_b_mes9[[#This Row],[IMPORTE NETO]]*0.21</f>
        <v>833.05740000000003</v>
      </c>
      <c r="J849" s="229"/>
      <c r="K849" s="229"/>
      <c r="L849" s="229">
        <v>4799.9974000000002</v>
      </c>
      <c r="M849" s="55"/>
    </row>
    <row r="850" spans="2:13" x14ac:dyDescent="0.3">
      <c r="B850" s="223">
        <v>44907</v>
      </c>
      <c r="C850" s="224">
        <v>6</v>
      </c>
      <c r="D850" s="225">
        <v>12</v>
      </c>
      <c r="E850" s="226">
        <v>22967</v>
      </c>
      <c r="F850" s="227"/>
      <c r="G850" s="1" t="str">
        <f>IFERROR(IF(ventas_b_mes9[[#This Row],[CUIT]]="","-",VLOOKUP(ventas_b_mes9[[#This Row],[CUIT]],Lista_CUIT[#All],2,0)),"CUIT NO CARGADO")</f>
        <v>-</v>
      </c>
      <c r="H850" s="60">
        <f>ventas_b_mes9[[#This Row],[TOTAL]]/1.21</f>
        <v>4958.68</v>
      </c>
      <c r="I850" s="228">
        <f>ventas_b_mes9[[#This Row],[IMPORTE NETO]]*0.21</f>
        <v>1041.3227999999999</v>
      </c>
      <c r="J850" s="229"/>
      <c r="K850" s="229"/>
      <c r="L850" s="229">
        <v>6000.0028000000002</v>
      </c>
      <c r="M850" s="55"/>
    </row>
    <row r="851" spans="2:13" x14ac:dyDescent="0.3">
      <c r="B851" s="223">
        <v>44907</v>
      </c>
      <c r="C851" s="224">
        <v>6</v>
      </c>
      <c r="D851" s="225">
        <v>12</v>
      </c>
      <c r="E851" s="226">
        <v>22968</v>
      </c>
      <c r="F851" s="227"/>
      <c r="G851" s="1" t="str">
        <f>IFERROR(IF(ventas_b_mes9[[#This Row],[CUIT]]="","-",VLOOKUP(ventas_b_mes9[[#This Row],[CUIT]],Lista_CUIT[#All],2,0)),"CUIT NO CARGADO")</f>
        <v>-</v>
      </c>
      <c r="H851" s="60">
        <f>ventas_b_mes9[[#This Row],[TOTAL]]/1.21</f>
        <v>13223.14</v>
      </c>
      <c r="I851" s="228">
        <f>ventas_b_mes9[[#This Row],[IMPORTE NETO]]*0.21</f>
        <v>2776.8593999999998</v>
      </c>
      <c r="J851" s="229"/>
      <c r="K851" s="229"/>
      <c r="L851" s="229">
        <v>15999.999399999999</v>
      </c>
      <c r="M851" s="55"/>
    </row>
    <row r="852" spans="2:13" x14ac:dyDescent="0.3">
      <c r="B852" s="223">
        <v>44907</v>
      </c>
      <c r="C852" s="224">
        <v>6</v>
      </c>
      <c r="D852" s="225">
        <v>12</v>
      </c>
      <c r="E852" s="226">
        <v>22969</v>
      </c>
      <c r="F852" s="227"/>
      <c r="G852" s="1" t="str">
        <f>IFERROR(IF(ventas_b_mes9[[#This Row],[CUIT]]="","-",VLOOKUP(ventas_b_mes9[[#This Row],[CUIT]],Lista_CUIT[#All],2,0)),"CUIT NO CARGADO")</f>
        <v>-</v>
      </c>
      <c r="H852" s="60">
        <f>ventas_b_mes9[[#This Row],[TOTAL]]/1.21</f>
        <v>6916.53</v>
      </c>
      <c r="I852" s="228">
        <f>ventas_b_mes9[[#This Row],[IMPORTE NETO]]*0.21</f>
        <v>1452.4712999999999</v>
      </c>
      <c r="J852" s="229"/>
      <c r="K852" s="229"/>
      <c r="L852" s="229">
        <v>8369.0012999999999</v>
      </c>
      <c r="M852" s="55"/>
    </row>
    <row r="853" spans="2:13" x14ac:dyDescent="0.3">
      <c r="B853" s="223">
        <v>44907</v>
      </c>
      <c r="C853" s="224">
        <v>6</v>
      </c>
      <c r="D853" s="225">
        <v>12</v>
      </c>
      <c r="E853" s="226">
        <v>22970</v>
      </c>
      <c r="F853" s="227"/>
      <c r="G853" s="1" t="str">
        <f>IFERROR(IF(ventas_b_mes9[[#This Row],[CUIT]]="","-",VLOOKUP(ventas_b_mes9[[#This Row],[CUIT]],Lista_CUIT[#All],2,0)),"CUIT NO CARGADO")</f>
        <v>-</v>
      </c>
      <c r="H853" s="60">
        <f>ventas_b_mes9[[#This Row],[TOTAL]]/1.21</f>
        <v>6611.57</v>
      </c>
      <c r="I853" s="228">
        <f>ventas_b_mes9[[#This Row],[IMPORTE NETO]]*0.21</f>
        <v>1388.4296999999999</v>
      </c>
      <c r="J853" s="229"/>
      <c r="K853" s="229"/>
      <c r="L853" s="229">
        <v>7999.9996999999994</v>
      </c>
      <c r="M853" s="55"/>
    </row>
    <row r="854" spans="2:13" x14ac:dyDescent="0.3">
      <c r="B854" s="223">
        <v>44907</v>
      </c>
      <c r="C854" s="224">
        <v>6</v>
      </c>
      <c r="D854" s="225">
        <v>12</v>
      </c>
      <c r="E854" s="226">
        <v>22971</v>
      </c>
      <c r="F854" s="227"/>
      <c r="G854" s="1" t="str">
        <f>IFERROR(IF(ventas_b_mes9[[#This Row],[CUIT]]="","-",VLOOKUP(ventas_b_mes9[[#This Row],[CUIT]],Lista_CUIT[#All],2,0)),"CUIT NO CARGADO")</f>
        <v>-</v>
      </c>
      <c r="H854" s="60">
        <f>ventas_b_mes9[[#This Row],[TOTAL]]/1.21</f>
        <v>1603.31</v>
      </c>
      <c r="I854" s="228">
        <f>ventas_b_mes9[[#This Row],[IMPORTE NETO]]*0.21</f>
        <v>336.69509999999997</v>
      </c>
      <c r="J854" s="229"/>
      <c r="K854" s="229"/>
      <c r="L854" s="229">
        <v>1940.0050999999999</v>
      </c>
      <c r="M854" s="55"/>
    </row>
    <row r="855" spans="2:13" x14ac:dyDescent="0.3">
      <c r="B855" s="223">
        <v>44907</v>
      </c>
      <c r="C855" s="224">
        <v>6</v>
      </c>
      <c r="D855" s="225">
        <v>12</v>
      </c>
      <c r="E855" s="226">
        <v>22972</v>
      </c>
      <c r="F855" s="227"/>
      <c r="G855" s="1" t="str">
        <f>IFERROR(IF(ventas_b_mes9[[#This Row],[CUIT]]="","-",VLOOKUP(ventas_b_mes9[[#This Row],[CUIT]],Lista_CUIT[#All],2,0)),"CUIT NO CARGADO")</f>
        <v>-</v>
      </c>
      <c r="H855" s="60">
        <f>ventas_b_mes9[[#This Row],[TOTAL]]/1.21</f>
        <v>4958.68</v>
      </c>
      <c r="I855" s="228">
        <f>ventas_b_mes9[[#This Row],[IMPORTE NETO]]*0.21</f>
        <v>1041.3227999999999</v>
      </c>
      <c r="J855" s="229"/>
      <c r="K855" s="229"/>
      <c r="L855" s="229">
        <v>6000.0028000000002</v>
      </c>
      <c r="M855" s="55"/>
    </row>
    <row r="856" spans="2:13" x14ac:dyDescent="0.3">
      <c r="B856" s="223">
        <v>44907</v>
      </c>
      <c r="C856" s="224">
        <v>6</v>
      </c>
      <c r="D856" s="225">
        <v>12</v>
      </c>
      <c r="E856" s="226">
        <v>22973</v>
      </c>
      <c r="F856" s="227"/>
      <c r="G856" s="1" t="str">
        <f>IFERROR(IF(ventas_b_mes9[[#This Row],[CUIT]]="","-",VLOOKUP(ventas_b_mes9[[#This Row],[CUIT]],Lista_CUIT[#All],2,0)),"CUIT NO CARGADO")</f>
        <v>-</v>
      </c>
      <c r="H856" s="60">
        <f>ventas_b_mes9[[#This Row],[TOTAL]]/1.21</f>
        <v>12166.14</v>
      </c>
      <c r="I856" s="228">
        <f>ventas_b_mes9[[#This Row],[IMPORTE NETO]]*0.21</f>
        <v>2554.8893999999996</v>
      </c>
      <c r="J856" s="229"/>
      <c r="K856" s="229"/>
      <c r="L856" s="229">
        <v>14721.029399999999</v>
      </c>
      <c r="M856" s="55"/>
    </row>
    <row r="857" spans="2:13" x14ac:dyDescent="0.3">
      <c r="B857" s="223">
        <v>44907</v>
      </c>
      <c r="C857" s="224">
        <v>6</v>
      </c>
      <c r="D857" s="225">
        <v>12</v>
      </c>
      <c r="E857" s="226">
        <v>22974</v>
      </c>
      <c r="F857" s="227"/>
      <c r="G857" s="1" t="str">
        <f>IFERROR(IF(ventas_b_mes9[[#This Row],[CUIT]]="","-",VLOOKUP(ventas_b_mes9[[#This Row],[CUIT]],Lista_CUIT[#All],2,0)),"CUIT NO CARGADO")</f>
        <v>-</v>
      </c>
      <c r="H857" s="60">
        <f>ventas_b_mes9[[#This Row],[TOTAL]]/1.21</f>
        <v>4611.57</v>
      </c>
      <c r="I857" s="228">
        <f>ventas_b_mes9[[#This Row],[IMPORTE NETO]]*0.21</f>
        <v>968.42969999999991</v>
      </c>
      <c r="J857" s="229"/>
      <c r="K857" s="229"/>
      <c r="L857" s="229">
        <v>5579.9996999999994</v>
      </c>
      <c r="M857" s="55"/>
    </row>
    <row r="858" spans="2:13" x14ac:dyDescent="0.3">
      <c r="B858" s="223">
        <v>44907</v>
      </c>
      <c r="C858" s="224">
        <v>6</v>
      </c>
      <c r="D858" s="225">
        <v>12</v>
      </c>
      <c r="E858" s="226">
        <v>22975</v>
      </c>
      <c r="F858" s="227"/>
      <c r="G858" s="1" t="str">
        <f>IFERROR(IF(ventas_b_mes9[[#This Row],[CUIT]]="","-",VLOOKUP(ventas_b_mes9[[#This Row],[CUIT]],Lista_CUIT[#All],2,0)),"CUIT NO CARGADO")</f>
        <v>-</v>
      </c>
      <c r="H858" s="60">
        <f>ventas_b_mes9[[#This Row],[TOTAL]]/1.21</f>
        <v>26205.78</v>
      </c>
      <c r="I858" s="228">
        <f>ventas_b_mes9[[#This Row],[IMPORTE NETO]]*0.21</f>
        <v>5503.2137999999995</v>
      </c>
      <c r="J858" s="229"/>
      <c r="K858" s="229"/>
      <c r="L858" s="229">
        <v>31708.993799999997</v>
      </c>
      <c r="M858" s="55"/>
    </row>
    <row r="859" spans="2:13" x14ac:dyDescent="0.3">
      <c r="B859" s="223">
        <v>44907</v>
      </c>
      <c r="C859" s="224">
        <v>6</v>
      </c>
      <c r="D859" s="225">
        <v>12</v>
      </c>
      <c r="E859" s="226">
        <v>22976</v>
      </c>
      <c r="F859" s="227"/>
      <c r="G859" s="1" t="str">
        <f>IFERROR(IF(ventas_b_mes9[[#This Row],[CUIT]]="","-",VLOOKUP(ventas_b_mes9[[#This Row],[CUIT]],Lista_CUIT[#All],2,0)),"CUIT NO CARGADO")</f>
        <v>-</v>
      </c>
      <c r="H859" s="60">
        <f>ventas_b_mes9[[#This Row],[TOTAL]]/1.21</f>
        <v>2066.12</v>
      </c>
      <c r="I859" s="228">
        <f>ventas_b_mes9[[#This Row],[IMPORTE NETO]]*0.21</f>
        <v>433.88519999999994</v>
      </c>
      <c r="J859" s="229"/>
      <c r="K859" s="229"/>
      <c r="L859" s="229">
        <v>2500.0051999999996</v>
      </c>
      <c r="M859" s="55"/>
    </row>
    <row r="860" spans="2:13" x14ac:dyDescent="0.3">
      <c r="B860" s="223">
        <v>44908</v>
      </c>
      <c r="C860" s="224">
        <v>6</v>
      </c>
      <c r="D860" s="225">
        <v>11</v>
      </c>
      <c r="E860" s="226">
        <v>30507</v>
      </c>
      <c r="F860" s="227"/>
      <c r="G860" s="1" t="str">
        <f>IFERROR(IF(ventas_b_mes9[[#This Row],[CUIT]]="","-",VLOOKUP(ventas_b_mes9[[#This Row],[CUIT]],Lista_CUIT[#All],2,0)),"CUIT NO CARGADO")</f>
        <v>-</v>
      </c>
      <c r="H860" s="60">
        <f>ventas_b_mes9[[#This Row],[TOTAL]]/1.21</f>
        <v>6876.0299999999988</v>
      </c>
      <c r="I860" s="228">
        <f>ventas_b_mes9[[#This Row],[IMPORTE NETO]]*0.21</f>
        <v>1443.9662999999996</v>
      </c>
      <c r="J860" s="229"/>
      <c r="K860" s="229"/>
      <c r="L860" s="229">
        <v>8319.9962999999989</v>
      </c>
      <c r="M860" s="55"/>
    </row>
    <row r="861" spans="2:13" x14ac:dyDescent="0.3">
      <c r="B861" s="223">
        <v>44908</v>
      </c>
      <c r="C861" s="224">
        <v>6</v>
      </c>
      <c r="D861" s="225">
        <v>11</v>
      </c>
      <c r="E861" s="226">
        <v>30508</v>
      </c>
      <c r="F861" s="227"/>
      <c r="G861" s="1" t="str">
        <f>IFERROR(IF(ventas_b_mes9[[#This Row],[CUIT]]="","-",VLOOKUP(ventas_b_mes9[[#This Row],[CUIT]],Lista_CUIT[#All],2,0)),"CUIT NO CARGADO")</f>
        <v>-</v>
      </c>
      <c r="H861" s="60">
        <f>ventas_b_mes9[[#This Row],[TOTAL]]/1.21</f>
        <v>7132.2199999999993</v>
      </c>
      <c r="I861" s="228">
        <f>ventas_b_mes9[[#This Row],[IMPORTE NETO]]*0.21</f>
        <v>1497.7661999999998</v>
      </c>
      <c r="J861" s="229"/>
      <c r="K861" s="229"/>
      <c r="L861" s="229">
        <v>8629.9861999999994</v>
      </c>
      <c r="M861" s="55"/>
    </row>
    <row r="862" spans="2:13" x14ac:dyDescent="0.3">
      <c r="B862" s="223">
        <v>44908</v>
      </c>
      <c r="C862" s="224">
        <v>6</v>
      </c>
      <c r="D862" s="225">
        <v>11</v>
      </c>
      <c r="E862" s="226">
        <v>30509</v>
      </c>
      <c r="F862" s="227"/>
      <c r="G862" s="1" t="str">
        <f>IFERROR(IF(ventas_b_mes9[[#This Row],[CUIT]]="","-",VLOOKUP(ventas_b_mes9[[#This Row],[CUIT]],Lista_CUIT[#All],2,0)),"CUIT NO CARGADO")</f>
        <v>-</v>
      </c>
      <c r="H862" s="60">
        <f>ventas_b_mes9[[#This Row],[TOTAL]]/1.21</f>
        <v>7603.31</v>
      </c>
      <c r="I862" s="228">
        <f>ventas_b_mes9[[#This Row],[IMPORTE NETO]]*0.21</f>
        <v>1596.6950999999999</v>
      </c>
      <c r="J862" s="229"/>
      <c r="K862" s="229"/>
      <c r="L862" s="229">
        <v>9200.0051000000003</v>
      </c>
      <c r="M862" s="55"/>
    </row>
    <row r="863" spans="2:13" x14ac:dyDescent="0.3">
      <c r="B863" s="223">
        <v>44908</v>
      </c>
      <c r="C863" s="224">
        <v>6</v>
      </c>
      <c r="D863" s="225">
        <v>11</v>
      </c>
      <c r="E863" s="226">
        <v>30510</v>
      </c>
      <c r="F863" s="227"/>
      <c r="G863" s="1" t="str">
        <f>IFERROR(IF(ventas_b_mes9[[#This Row],[CUIT]]="","-",VLOOKUP(ventas_b_mes9[[#This Row],[CUIT]],Lista_CUIT[#All],2,0)),"CUIT NO CARGADO")</f>
        <v>-</v>
      </c>
      <c r="H863" s="60">
        <f>ventas_b_mes9[[#This Row],[TOTAL]]/1.21</f>
        <v>1818.18</v>
      </c>
      <c r="I863" s="228">
        <f>ventas_b_mes9[[#This Row],[IMPORTE NETO]]*0.21</f>
        <v>381.81779999999998</v>
      </c>
      <c r="J863" s="229"/>
      <c r="K863" s="229"/>
      <c r="L863" s="229">
        <v>2199.9978000000001</v>
      </c>
      <c r="M863" s="55"/>
    </row>
    <row r="864" spans="2:13" x14ac:dyDescent="0.3">
      <c r="B864" s="223">
        <v>44908</v>
      </c>
      <c r="C864" s="224">
        <v>6</v>
      </c>
      <c r="D864" s="225">
        <v>11</v>
      </c>
      <c r="E864" s="226">
        <v>30511</v>
      </c>
      <c r="F864" s="227"/>
      <c r="G864" s="1" t="str">
        <f>IFERROR(IF(ventas_b_mes9[[#This Row],[CUIT]]="","-",VLOOKUP(ventas_b_mes9[[#This Row],[CUIT]],Lista_CUIT[#All],2,0)),"CUIT NO CARGADO")</f>
        <v>-</v>
      </c>
      <c r="H864" s="60">
        <f>ventas_b_mes9[[#This Row],[TOTAL]]/1.21</f>
        <v>4467.78</v>
      </c>
      <c r="I864" s="228">
        <f>ventas_b_mes9[[#This Row],[IMPORTE NETO]]*0.21</f>
        <v>938.23379999999986</v>
      </c>
      <c r="J864" s="229"/>
      <c r="K864" s="229"/>
      <c r="L864" s="229">
        <v>5406.0137999999997</v>
      </c>
      <c r="M864" s="55"/>
    </row>
    <row r="865" spans="2:13" x14ac:dyDescent="0.3">
      <c r="B865" s="223">
        <v>44908</v>
      </c>
      <c r="C865" s="224">
        <v>6</v>
      </c>
      <c r="D865" s="225">
        <v>11</v>
      </c>
      <c r="E865" s="226">
        <v>30512</v>
      </c>
      <c r="F865" s="227"/>
      <c r="G865" s="1" t="str">
        <f>IFERROR(IF(ventas_b_mes9[[#This Row],[CUIT]]="","-",VLOOKUP(ventas_b_mes9[[#This Row],[CUIT]],Lista_CUIT[#All],2,0)),"CUIT NO CARGADO")</f>
        <v>-</v>
      </c>
      <c r="H865" s="60">
        <f>ventas_b_mes9[[#This Row],[TOTAL]]/1.21</f>
        <v>16495.87</v>
      </c>
      <c r="I865" s="228">
        <f>ventas_b_mes9[[#This Row],[IMPORTE NETO]]*0.21</f>
        <v>3464.1326999999997</v>
      </c>
      <c r="J865" s="229"/>
      <c r="K865" s="229"/>
      <c r="L865" s="229">
        <v>19960.002699999997</v>
      </c>
      <c r="M865" s="55"/>
    </row>
    <row r="866" spans="2:13" x14ac:dyDescent="0.3">
      <c r="B866" s="223">
        <v>44908</v>
      </c>
      <c r="C866" s="224">
        <v>6</v>
      </c>
      <c r="D866" s="225">
        <v>11</v>
      </c>
      <c r="E866" s="226">
        <v>30513</v>
      </c>
      <c r="F866" s="227"/>
      <c r="G866" s="1" t="str">
        <f>IFERROR(IF(ventas_b_mes9[[#This Row],[CUIT]]="","-",VLOOKUP(ventas_b_mes9[[#This Row],[CUIT]],Lista_CUIT[#All],2,0)),"CUIT NO CARGADO")</f>
        <v>-</v>
      </c>
      <c r="H866" s="60">
        <f>ventas_b_mes9[[#This Row],[TOTAL]]/1.21</f>
        <v>10410.74</v>
      </c>
      <c r="I866" s="228">
        <f>ventas_b_mes9[[#This Row],[IMPORTE NETO]]*0.21</f>
        <v>2186.2554</v>
      </c>
      <c r="J866" s="229"/>
      <c r="K866" s="229"/>
      <c r="L866" s="229">
        <v>12596.9954</v>
      </c>
      <c r="M866" s="55"/>
    </row>
    <row r="867" spans="2:13" x14ac:dyDescent="0.3">
      <c r="B867" s="223">
        <v>44908</v>
      </c>
      <c r="C867" s="224">
        <v>6</v>
      </c>
      <c r="D867" s="225">
        <v>11</v>
      </c>
      <c r="E867" s="226">
        <v>30514</v>
      </c>
      <c r="F867" s="227"/>
      <c r="G867" s="1" t="str">
        <f>IFERROR(IF(ventas_b_mes9[[#This Row],[CUIT]]="","-",VLOOKUP(ventas_b_mes9[[#This Row],[CUIT]],Lista_CUIT[#All],2,0)),"CUIT NO CARGADO")</f>
        <v>-</v>
      </c>
      <c r="H867" s="60">
        <f>ventas_b_mes9[[#This Row],[TOTAL]]/1.21</f>
        <v>3471.07</v>
      </c>
      <c r="I867" s="228">
        <f>ventas_b_mes9[[#This Row],[IMPORTE NETO]]*0.21</f>
        <v>728.92470000000003</v>
      </c>
      <c r="J867" s="229"/>
      <c r="K867" s="229"/>
      <c r="L867" s="229">
        <v>4199.9947000000002</v>
      </c>
      <c r="M867" s="55"/>
    </row>
    <row r="868" spans="2:13" x14ac:dyDescent="0.3">
      <c r="B868" s="223">
        <v>44908</v>
      </c>
      <c r="C868" s="224">
        <v>6</v>
      </c>
      <c r="D868" s="225">
        <v>11</v>
      </c>
      <c r="E868" s="226">
        <v>30515</v>
      </c>
      <c r="F868" s="227"/>
      <c r="G868" s="1" t="str">
        <f>IFERROR(IF(ventas_b_mes9[[#This Row],[CUIT]]="","-",VLOOKUP(ventas_b_mes9[[#This Row],[CUIT]],Lista_CUIT[#All],2,0)),"CUIT NO CARGADO")</f>
        <v>-</v>
      </c>
      <c r="H868" s="60">
        <f>ventas_b_mes9[[#This Row],[TOTAL]]/1.21</f>
        <v>3287.6000000000004</v>
      </c>
      <c r="I868" s="228">
        <f>ventas_b_mes9[[#This Row],[IMPORTE NETO]]*0.21</f>
        <v>690.39600000000007</v>
      </c>
      <c r="J868" s="229"/>
      <c r="K868" s="229"/>
      <c r="L868" s="229">
        <v>3977.9960000000001</v>
      </c>
      <c r="M868" s="55"/>
    </row>
    <row r="869" spans="2:13" x14ac:dyDescent="0.3">
      <c r="B869" s="223">
        <v>44908</v>
      </c>
      <c r="C869" s="224">
        <v>6</v>
      </c>
      <c r="D869" s="225">
        <v>11</v>
      </c>
      <c r="E869" s="226">
        <v>30516</v>
      </c>
      <c r="F869" s="227"/>
      <c r="G869" s="1" t="str">
        <f>IFERROR(IF(ventas_b_mes9[[#This Row],[CUIT]]="","-",VLOOKUP(ventas_b_mes9[[#This Row],[CUIT]],Lista_CUIT[#All],2,0)),"CUIT NO CARGADO")</f>
        <v>-</v>
      </c>
      <c r="H869" s="60">
        <f>ventas_b_mes9[[#This Row],[TOTAL]]/1.21</f>
        <v>2082.65</v>
      </c>
      <c r="I869" s="228">
        <f>ventas_b_mes9[[#This Row],[IMPORTE NETO]]*0.21</f>
        <v>437.35649999999998</v>
      </c>
      <c r="J869" s="229"/>
      <c r="K869" s="229"/>
      <c r="L869" s="229">
        <v>2520.0065</v>
      </c>
      <c r="M869" s="55"/>
    </row>
    <row r="870" spans="2:13" x14ac:dyDescent="0.3">
      <c r="B870" s="223">
        <v>44908</v>
      </c>
      <c r="C870" s="224">
        <v>6</v>
      </c>
      <c r="D870" s="225">
        <v>11</v>
      </c>
      <c r="E870" s="226">
        <v>30517</v>
      </c>
      <c r="F870" s="227"/>
      <c r="G870" s="1" t="str">
        <f>IFERROR(IF(ventas_b_mes9[[#This Row],[CUIT]]="","-",VLOOKUP(ventas_b_mes9[[#This Row],[CUIT]],Lista_CUIT[#All],2,0)),"CUIT NO CARGADO")</f>
        <v>-</v>
      </c>
      <c r="H870" s="60">
        <f>ventas_b_mes9[[#This Row],[TOTAL]]/1.21</f>
        <v>6363.64</v>
      </c>
      <c r="I870" s="228">
        <f>ventas_b_mes9[[#This Row],[IMPORTE NETO]]*0.21</f>
        <v>1336.3643999999999</v>
      </c>
      <c r="J870" s="229"/>
      <c r="K870" s="229"/>
      <c r="L870" s="229">
        <v>7700.0043999999998</v>
      </c>
      <c r="M870" s="55"/>
    </row>
    <row r="871" spans="2:13" x14ac:dyDescent="0.3">
      <c r="B871" s="223">
        <v>44908</v>
      </c>
      <c r="C871" s="224">
        <v>6</v>
      </c>
      <c r="D871" s="225">
        <v>11</v>
      </c>
      <c r="E871" s="226">
        <v>30518</v>
      </c>
      <c r="F871" s="227"/>
      <c r="G871" s="1" t="str">
        <f>IFERROR(IF(ventas_b_mes9[[#This Row],[CUIT]]="","-",VLOOKUP(ventas_b_mes9[[#This Row],[CUIT]],Lista_CUIT[#All],2,0)),"CUIT NO CARGADO")</f>
        <v>-</v>
      </c>
      <c r="H871" s="60">
        <f>ventas_b_mes9[[#This Row],[TOTAL]]/1.21</f>
        <v>2173.5500000000002</v>
      </c>
      <c r="I871" s="228">
        <f>ventas_b_mes9[[#This Row],[IMPORTE NETO]]*0.21</f>
        <v>456.44550000000004</v>
      </c>
      <c r="J871" s="229"/>
      <c r="K871" s="229"/>
      <c r="L871" s="229">
        <v>2629.9955</v>
      </c>
      <c r="M871" s="55"/>
    </row>
    <row r="872" spans="2:13" x14ac:dyDescent="0.3">
      <c r="B872" s="223">
        <v>44908</v>
      </c>
      <c r="C872" s="224">
        <v>6</v>
      </c>
      <c r="D872" s="225">
        <v>13</v>
      </c>
      <c r="E872" s="226">
        <v>27066</v>
      </c>
      <c r="F872" s="227"/>
      <c r="G872" s="1" t="str">
        <f>IFERROR(IF(ventas_b_mes9[[#This Row],[CUIT]]="","-",VLOOKUP(ventas_b_mes9[[#This Row],[CUIT]],Lista_CUIT[#All],2,0)),"CUIT NO CARGADO")</f>
        <v>-</v>
      </c>
      <c r="H872" s="60">
        <f>ventas_b_mes9[[#This Row],[TOTAL]]/1.21</f>
        <v>2685.95</v>
      </c>
      <c r="I872" s="228">
        <f>ventas_b_mes9[[#This Row],[IMPORTE NETO]]*0.21</f>
        <v>564.04949999999997</v>
      </c>
      <c r="J872" s="229"/>
      <c r="K872" s="229"/>
      <c r="L872" s="229">
        <v>3249.9994999999999</v>
      </c>
      <c r="M872" s="55"/>
    </row>
    <row r="873" spans="2:13" x14ac:dyDescent="0.3">
      <c r="B873" s="223">
        <v>44908</v>
      </c>
      <c r="C873" s="224">
        <v>6</v>
      </c>
      <c r="D873" s="225">
        <v>13</v>
      </c>
      <c r="E873" s="226">
        <v>27067</v>
      </c>
      <c r="F873" s="227"/>
      <c r="G873" s="1" t="str">
        <f>IFERROR(IF(ventas_b_mes9[[#This Row],[CUIT]]="","-",VLOOKUP(ventas_b_mes9[[#This Row],[CUIT]],Lista_CUIT[#All],2,0)),"CUIT NO CARGADO")</f>
        <v>-</v>
      </c>
      <c r="H873" s="60">
        <f>ventas_b_mes9[[#This Row],[TOTAL]]/1.21</f>
        <v>3867.75</v>
      </c>
      <c r="I873" s="228">
        <f>ventas_b_mes9[[#This Row],[IMPORTE NETO]]*0.21</f>
        <v>812.22749999999996</v>
      </c>
      <c r="J873" s="229"/>
      <c r="K873" s="229"/>
      <c r="L873" s="229">
        <v>4679.9775</v>
      </c>
      <c r="M873" s="55"/>
    </row>
    <row r="874" spans="2:13" x14ac:dyDescent="0.3">
      <c r="B874" s="223">
        <v>44908</v>
      </c>
      <c r="C874" s="224">
        <v>6</v>
      </c>
      <c r="D874" s="225">
        <v>13</v>
      </c>
      <c r="E874" s="226">
        <v>27068</v>
      </c>
      <c r="F874" s="227"/>
      <c r="G874" s="1" t="str">
        <f>IFERROR(IF(ventas_b_mes9[[#This Row],[CUIT]]="","-",VLOOKUP(ventas_b_mes9[[#This Row],[CUIT]],Lista_CUIT[#All],2,0)),"CUIT NO CARGADO")</f>
        <v>-</v>
      </c>
      <c r="H874" s="60">
        <f>ventas_b_mes9[[#This Row],[TOTAL]]/1.21</f>
        <v>4652.9000000000005</v>
      </c>
      <c r="I874" s="228">
        <f>ventas_b_mes9[[#This Row],[IMPORTE NETO]]*0.21</f>
        <v>977.10900000000004</v>
      </c>
      <c r="J874" s="229"/>
      <c r="K874" s="229"/>
      <c r="L874" s="229">
        <v>5630.009</v>
      </c>
      <c r="M874" s="55"/>
    </row>
    <row r="875" spans="2:13" x14ac:dyDescent="0.3">
      <c r="B875" s="223">
        <v>44908</v>
      </c>
      <c r="C875" s="224">
        <v>6</v>
      </c>
      <c r="D875" s="225">
        <v>13</v>
      </c>
      <c r="E875" s="226">
        <v>27069</v>
      </c>
      <c r="F875" s="227"/>
      <c r="G875" s="1" t="str">
        <f>IFERROR(IF(ventas_b_mes9[[#This Row],[CUIT]]="","-",VLOOKUP(ventas_b_mes9[[#This Row],[CUIT]],Lista_CUIT[#All],2,0)),"CUIT NO CARGADO")</f>
        <v>-</v>
      </c>
      <c r="H875" s="60">
        <f>ventas_b_mes9[[#This Row],[TOTAL]]/1.21</f>
        <v>6444.63</v>
      </c>
      <c r="I875" s="228">
        <f>ventas_b_mes9[[#This Row],[IMPORTE NETO]]*0.21</f>
        <v>1353.3723</v>
      </c>
      <c r="J875" s="229"/>
      <c r="K875" s="229"/>
      <c r="L875" s="229">
        <v>7798.0023000000001</v>
      </c>
      <c r="M875" s="55"/>
    </row>
    <row r="876" spans="2:13" x14ac:dyDescent="0.3">
      <c r="B876" s="223">
        <v>44908</v>
      </c>
      <c r="C876" s="224">
        <v>6</v>
      </c>
      <c r="D876" s="225">
        <v>15</v>
      </c>
      <c r="E876" s="226">
        <v>7443</v>
      </c>
      <c r="F876" s="227">
        <v>38268441</v>
      </c>
      <c r="G876" s="1" t="str">
        <f>IFERROR(IF(ventas_b_mes9[[#This Row],[CUIT]]="","-",VLOOKUP(ventas_b_mes9[[#This Row],[CUIT]],Lista_CUIT[#All],2,0)),"CUIT NO CARGADO")</f>
        <v>MARQUEZ, MAYRA (alumna)</v>
      </c>
      <c r="H876" s="60">
        <f>ventas_b_mes9[[#This Row],[TOTAL]]/1.21</f>
        <v>4958.68</v>
      </c>
      <c r="I876" s="228">
        <f>ventas_b_mes9[[#This Row],[IMPORTE NETO]]*0.21</f>
        <v>1041.3227999999999</v>
      </c>
      <c r="J876" s="229"/>
      <c r="K876" s="229"/>
      <c r="L876" s="229">
        <v>6000.0028000000002</v>
      </c>
      <c r="M876" s="55"/>
    </row>
    <row r="877" spans="2:13" x14ac:dyDescent="0.3">
      <c r="B877" s="223">
        <v>44908</v>
      </c>
      <c r="C877" s="224">
        <v>6</v>
      </c>
      <c r="D877" s="225">
        <v>15</v>
      </c>
      <c r="E877" s="226">
        <v>7444</v>
      </c>
      <c r="F877" s="227"/>
      <c r="G877" s="1" t="str">
        <f>IFERROR(IF(ventas_b_mes9[[#This Row],[CUIT]]="","-",VLOOKUP(ventas_b_mes9[[#This Row],[CUIT]],Lista_CUIT[#All],2,0)),"CUIT NO CARGADO")</f>
        <v>-</v>
      </c>
      <c r="H877" s="60">
        <f>ventas_b_mes9[[#This Row],[TOTAL]]/1.21</f>
        <v>1603.31</v>
      </c>
      <c r="I877" s="228">
        <f>ventas_b_mes9[[#This Row],[IMPORTE NETO]]*0.21</f>
        <v>336.69509999999997</v>
      </c>
      <c r="J877" s="229"/>
      <c r="K877" s="229"/>
      <c r="L877" s="229">
        <v>1940.0050999999999</v>
      </c>
      <c r="M877" s="55"/>
    </row>
    <row r="878" spans="2:13" x14ac:dyDescent="0.3">
      <c r="B878" s="223">
        <v>44908</v>
      </c>
      <c r="C878" s="224">
        <v>6</v>
      </c>
      <c r="D878" s="225">
        <v>15</v>
      </c>
      <c r="E878" s="226">
        <v>7445</v>
      </c>
      <c r="F878" s="227">
        <v>13262270</v>
      </c>
      <c r="G878" s="1" t="str">
        <f>IFERROR(IF(ventas_b_mes9[[#This Row],[CUIT]]="","-",VLOOKUP(ventas_b_mes9[[#This Row],[CUIT]],Lista_CUIT[#All],2,0)),"CUIT NO CARGADO")</f>
        <v>GENOUD,Cristina</v>
      </c>
      <c r="H878" s="60">
        <f>ventas_b_mes9[[#This Row],[TOTAL]]/1.21</f>
        <v>10832.25</v>
      </c>
      <c r="I878" s="228">
        <f>ventas_b_mes9[[#This Row],[IMPORTE NETO]]*0.21</f>
        <v>2274.7725</v>
      </c>
      <c r="J878" s="229"/>
      <c r="K878" s="229"/>
      <c r="L878" s="229">
        <v>13107.022499999999</v>
      </c>
      <c r="M878" s="55"/>
    </row>
    <row r="879" spans="2:13" x14ac:dyDescent="0.3">
      <c r="B879" s="223">
        <v>44908</v>
      </c>
      <c r="C879" s="224">
        <v>6</v>
      </c>
      <c r="D879" s="225">
        <v>10</v>
      </c>
      <c r="E879" s="226">
        <v>44386</v>
      </c>
      <c r="F879" s="227"/>
      <c r="G879" s="1" t="str">
        <f>IFERROR(IF(ventas_b_mes9[[#This Row],[CUIT]]="","-",VLOOKUP(ventas_b_mes9[[#This Row],[CUIT]],Lista_CUIT[#All],2,0)),"CUIT NO CARGADO")</f>
        <v>-</v>
      </c>
      <c r="H879" s="60">
        <f>ventas_b_mes9[[#This Row],[TOTAL]]/1.21</f>
        <v>6033.06</v>
      </c>
      <c r="I879" s="228">
        <f>ventas_b_mes9[[#This Row],[IMPORTE NETO]]*0.21</f>
        <v>1266.9426000000001</v>
      </c>
      <c r="J879" s="229"/>
      <c r="K879" s="229"/>
      <c r="L879" s="229">
        <v>7300.0026000000007</v>
      </c>
      <c r="M879" s="55"/>
    </row>
    <row r="880" spans="2:13" x14ac:dyDescent="0.3">
      <c r="B880" s="223">
        <v>44908</v>
      </c>
      <c r="C880" s="224">
        <v>6</v>
      </c>
      <c r="D880" s="225">
        <v>10</v>
      </c>
      <c r="E880" s="226">
        <v>44387</v>
      </c>
      <c r="F880" s="227"/>
      <c r="G880" s="1" t="str">
        <f>IFERROR(IF(ventas_b_mes9[[#This Row],[CUIT]]="","-",VLOOKUP(ventas_b_mes9[[#This Row],[CUIT]],Lista_CUIT[#All],2,0)),"CUIT NO CARGADO")</f>
        <v>-</v>
      </c>
      <c r="H880" s="60">
        <f>ventas_b_mes9[[#This Row],[TOTAL]]/1.21</f>
        <v>16604.59</v>
      </c>
      <c r="I880" s="228">
        <f>ventas_b_mes9[[#This Row],[IMPORTE NETO]]*0.21</f>
        <v>3486.9638999999997</v>
      </c>
      <c r="J880" s="229"/>
      <c r="K880" s="229"/>
      <c r="L880" s="229">
        <v>20091.553899999999</v>
      </c>
      <c r="M880" s="55"/>
    </row>
    <row r="881" spans="2:13" x14ac:dyDescent="0.3">
      <c r="B881" s="223">
        <v>44908</v>
      </c>
      <c r="C881" s="224">
        <v>6</v>
      </c>
      <c r="D881" s="225">
        <v>10</v>
      </c>
      <c r="E881" s="226">
        <v>44388</v>
      </c>
      <c r="F881" s="227"/>
      <c r="G881" s="1" t="str">
        <f>IFERROR(IF(ventas_b_mes9[[#This Row],[CUIT]]="","-",VLOOKUP(ventas_b_mes9[[#This Row],[CUIT]],Lista_CUIT[#All],2,0)),"CUIT NO CARGADO")</f>
        <v>-</v>
      </c>
      <c r="H881" s="60">
        <f>ventas_b_mes9[[#This Row],[TOTAL]]/1.21</f>
        <v>6198.35</v>
      </c>
      <c r="I881" s="228">
        <f>ventas_b_mes9[[#This Row],[IMPORTE NETO]]*0.21</f>
        <v>1301.6535000000001</v>
      </c>
      <c r="J881" s="229"/>
      <c r="K881" s="229"/>
      <c r="L881" s="229">
        <v>7500.0035000000007</v>
      </c>
      <c r="M881" s="55"/>
    </row>
    <row r="882" spans="2:13" x14ac:dyDescent="0.3">
      <c r="B882" s="223">
        <v>44908</v>
      </c>
      <c r="C882" s="224">
        <v>6</v>
      </c>
      <c r="D882" s="225">
        <v>10</v>
      </c>
      <c r="E882" s="226">
        <v>44389</v>
      </c>
      <c r="F882" s="227"/>
      <c r="G882" s="1" t="str">
        <f>IFERROR(IF(ventas_b_mes9[[#This Row],[CUIT]]="","-",VLOOKUP(ventas_b_mes9[[#This Row],[CUIT]],Lista_CUIT[#All],2,0)),"CUIT NO CARGADO")</f>
        <v>-</v>
      </c>
      <c r="H882" s="60">
        <f>ventas_b_mes9[[#This Row],[TOTAL]]/1.21</f>
        <v>3471.07</v>
      </c>
      <c r="I882" s="228">
        <f>ventas_b_mes9[[#This Row],[IMPORTE NETO]]*0.21</f>
        <v>728.92470000000003</v>
      </c>
      <c r="J882" s="229"/>
      <c r="K882" s="229"/>
      <c r="L882" s="229">
        <v>4199.9947000000002</v>
      </c>
      <c r="M882" s="55"/>
    </row>
    <row r="883" spans="2:13" x14ac:dyDescent="0.3">
      <c r="B883" s="223">
        <v>44908</v>
      </c>
      <c r="C883" s="224">
        <v>6</v>
      </c>
      <c r="D883" s="225">
        <v>10</v>
      </c>
      <c r="E883" s="226">
        <v>44390</v>
      </c>
      <c r="F883" s="227"/>
      <c r="G883" s="1" t="str">
        <f>IFERROR(IF(ventas_b_mes9[[#This Row],[CUIT]]="","-",VLOOKUP(ventas_b_mes9[[#This Row],[CUIT]],Lista_CUIT[#All],2,0)),"CUIT NO CARGADO")</f>
        <v>-</v>
      </c>
      <c r="H883" s="60">
        <f>ventas_b_mes9[[#This Row],[TOTAL]]/1.21</f>
        <v>13652.89</v>
      </c>
      <c r="I883" s="228">
        <f>ventas_b_mes9[[#This Row],[IMPORTE NETO]]*0.21</f>
        <v>2867.1068999999998</v>
      </c>
      <c r="J883" s="229"/>
      <c r="K883" s="229"/>
      <c r="L883" s="229">
        <v>16519.996899999998</v>
      </c>
      <c r="M883" s="55"/>
    </row>
    <row r="884" spans="2:13" x14ac:dyDescent="0.3">
      <c r="B884" s="223">
        <v>44908</v>
      </c>
      <c r="C884" s="224">
        <v>6</v>
      </c>
      <c r="D884" s="225">
        <v>10</v>
      </c>
      <c r="E884" s="226">
        <v>44391</v>
      </c>
      <c r="F884" s="227"/>
      <c r="G884" s="1" t="str">
        <f>IFERROR(IF(ventas_b_mes9[[#This Row],[CUIT]]="","-",VLOOKUP(ventas_b_mes9[[#This Row],[CUIT]],Lista_CUIT[#All],2,0)),"CUIT NO CARGADO")</f>
        <v>-</v>
      </c>
      <c r="H884" s="60">
        <f>ventas_b_mes9[[#This Row],[TOTAL]]/1.21</f>
        <v>5206.6099999999997</v>
      </c>
      <c r="I884" s="228">
        <f>ventas_b_mes9[[#This Row],[IMPORTE NETO]]*0.21</f>
        <v>1093.3880999999999</v>
      </c>
      <c r="J884" s="229"/>
      <c r="K884" s="229"/>
      <c r="L884" s="229">
        <v>6299.9980999999998</v>
      </c>
      <c r="M884" s="55"/>
    </row>
    <row r="885" spans="2:13" x14ac:dyDescent="0.3">
      <c r="B885" s="223">
        <v>44908</v>
      </c>
      <c r="C885" s="224">
        <v>6</v>
      </c>
      <c r="D885" s="225">
        <v>10</v>
      </c>
      <c r="E885" s="226">
        <v>44392</v>
      </c>
      <c r="F885" s="227"/>
      <c r="G885" s="1" t="str">
        <f>IFERROR(IF(ventas_b_mes9[[#This Row],[CUIT]]="","-",VLOOKUP(ventas_b_mes9[[#This Row],[CUIT]],Lista_CUIT[#All],2,0)),"CUIT NO CARGADO")</f>
        <v>-</v>
      </c>
      <c r="H885" s="60">
        <f>ventas_b_mes9[[#This Row],[TOTAL]]/1.21</f>
        <v>2766.94</v>
      </c>
      <c r="I885" s="228">
        <f>ventas_b_mes9[[#This Row],[IMPORTE NETO]]*0.21</f>
        <v>581.05740000000003</v>
      </c>
      <c r="J885" s="229"/>
      <c r="K885" s="229"/>
      <c r="L885" s="229">
        <v>3347.9974000000002</v>
      </c>
      <c r="M885" s="55"/>
    </row>
    <row r="886" spans="2:13" x14ac:dyDescent="0.3">
      <c r="B886" s="223">
        <v>44908</v>
      </c>
      <c r="C886" s="224">
        <v>6</v>
      </c>
      <c r="D886" s="225">
        <v>10</v>
      </c>
      <c r="E886" s="226">
        <v>44393</v>
      </c>
      <c r="F886" s="227"/>
      <c r="G886" s="1" t="str">
        <f>IFERROR(IF(ventas_b_mes9[[#This Row],[CUIT]]="","-",VLOOKUP(ventas_b_mes9[[#This Row],[CUIT]],Lista_CUIT[#All],2,0)),"CUIT NO CARGADO")</f>
        <v>-</v>
      </c>
      <c r="H886" s="60">
        <f>ventas_b_mes9[[#This Row],[TOTAL]]/1.21</f>
        <v>611.57000000000005</v>
      </c>
      <c r="I886" s="228">
        <f>ventas_b_mes9[[#This Row],[IMPORTE NETO]]*0.21</f>
        <v>128.4297</v>
      </c>
      <c r="J886" s="229"/>
      <c r="K886" s="229"/>
      <c r="L886" s="229">
        <v>739.99970000000008</v>
      </c>
      <c r="M886" s="55"/>
    </row>
    <row r="887" spans="2:13" x14ac:dyDescent="0.3">
      <c r="B887" s="223">
        <v>44908</v>
      </c>
      <c r="C887" s="224">
        <v>6</v>
      </c>
      <c r="D887" s="225">
        <v>10</v>
      </c>
      <c r="E887" s="226">
        <v>44394</v>
      </c>
      <c r="F887" s="227"/>
      <c r="G887" s="1" t="str">
        <f>IFERROR(IF(ventas_b_mes9[[#This Row],[CUIT]]="","-",VLOOKUP(ventas_b_mes9[[#This Row],[CUIT]],Lista_CUIT[#All],2,0)),"CUIT NO CARGADO")</f>
        <v>-</v>
      </c>
      <c r="H887" s="60">
        <f>ventas_b_mes9[[#This Row],[TOTAL]]/1.21</f>
        <v>7107.44</v>
      </c>
      <c r="I887" s="228">
        <f>ventas_b_mes9[[#This Row],[IMPORTE NETO]]*0.21</f>
        <v>1492.5623999999998</v>
      </c>
      <c r="J887" s="229"/>
      <c r="K887" s="229"/>
      <c r="L887" s="229">
        <v>8600.0023999999994</v>
      </c>
      <c r="M887" s="55"/>
    </row>
    <row r="888" spans="2:13" x14ac:dyDescent="0.3">
      <c r="B888" s="223">
        <v>44908</v>
      </c>
      <c r="C888" s="224">
        <v>6</v>
      </c>
      <c r="D888" s="225">
        <v>10</v>
      </c>
      <c r="E888" s="226">
        <v>44395</v>
      </c>
      <c r="F888" s="227"/>
      <c r="G888" s="1" t="str">
        <f>IFERROR(IF(ventas_b_mes9[[#This Row],[CUIT]]="","-",VLOOKUP(ventas_b_mes9[[#This Row],[CUIT]],Lista_CUIT[#All],2,0)),"CUIT NO CARGADO")</f>
        <v>-</v>
      </c>
      <c r="H888" s="60">
        <f>ventas_b_mes9[[#This Row],[TOTAL]]/1.21</f>
        <v>12694.210000000001</v>
      </c>
      <c r="I888" s="228">
        <f>ventas_b_mes9[[#This Row],[IMPORTE NETO]]*0.21</f>
        <v>2665.7841000000003</v>
      </c>
      <c r="J888" s="229"/>
      <c r="K888" s="229"/>
      <c r="L888" s="229">
        <v>15359.9941</v>
      </c>
      <c r="M888" s="55"/>
    </row>
    <row r="889" spans="2:13" x14ac:dyDescent="0.3">
      <c r="B889" s="223">
        <v>44908</v>
      </c>
      <c r="C889" s="224">
        <v>6</v>
      </c>
      <c r="D889" s="225">
        <v>10</v>
      </c>
      <c r="E889" s="226">
        <v>44396</v>
      </c>
      <c r="F889" s="227"/>
      <c r="G889" s="1" t="str">
        <f>IFERROR(IF(ventas_b_mes9[[#This Row],[CUIT]]="","-",VLOOKUP(ventas_b_mes9[[#This Row],[CUIT]],Lista_CUIT[#All],2,0)),"CUIT NO CARGADO")</f>
        <v>-</v>
      </c>
      <c r="H889" s="60">
        <f>ventas_b_mes9[[#This Row],[TOTAL]]/1.21</f>
        <v>1256.2</v>
      </c>
      <c r="I889" s="228">
        <f>ventas_b_mes9[[#This Row],[IMPORTE NETO]]*0.21</f>
        <v>263.80200000000002</v>
      </c>
      <c r="J889" s="229"/>
      <c r="K889" s="229"/>
      <c r="L889" s="229">
        <v>1520.002</v>
      </c>
      <c r="M889" s="55"/>
    </row>
    <row r="890" spans="2:13" x14ac:dyDescent="0.3">
      <c r="B890" s="223">
        <v>44908</v>
      </c>
      <c r="C890" s="224">
        <v>6</v>
      </c>
      <c r="D890" s="225">
        <v>10</v>
      </c>
      <c r="E890" s="226">
        <v>44397</v>
      </c>
      <c r="F890" s="227"/>
      <c r="G890" s="1" t="str">
        <f>IFERROR(IF(ventas_b_mes9[[#This Row],[CUIT]]="","-",VLOOKUP(ventas_b_mes9[[#This Row],[CUIT]],Lista_CUIT[#All],2,0)),"CUIT NO CARGADO")</f>
        <v>-</v>
      </c>
      <c r="H890" s="60">
        <f>ventas_b_mes9[[#This Row],[TOTAL]]/1.21</f>
        <v>12669.42</v>
      </c>
      <c r="I890" s="228">
        <f>ventas_b_mes9[[#This Row],[IMPORTE NETO]]*0.21</f>
        <v>2660.5781999999999</v>
      </c>
      <c r="J890" s="229"/>
      <c r="K890" s="229"/>
      <c r="L890" s="229">
        <v>15329.9982</v>
      </c>
      <c r="M890" s="55"/>
    </row>
    <row r="891" spans="2:13" x14ac:dyDescent="0.3">
      <c r="B891" s="223">
        <v>44908</v>
      </c>
      <c r="C891" s="224">
        <v>6</v>
      </c>
      <c r="D891" s="225">
        <v>12</v>
      </c>
      <c r="E891" s="226">
        <v>22977</v>
      </c>
      <c r="F891" s="227"/>
      <c r="G891" s="1" t="str">
        <f>IFERROR(IF(ventas_b_mes9[[#This Row],[CUIT]]="","-",VLOOKUP(ventas_b_mes9[[#This Row],[CUIT]],Lista_CUIT[#All],2,0)),"CUIT NO CARGADO")</f>
        <v>-</v>
      </c>
      <c r="H891" s="60">
        <f>ventas_b_mes9[[#This Row],[TOTAL]]/1.21</f>
        <v>706.61</v>
      </c>
      <c r="I891" s="228">
        <f>ventas_b_mes9[[#This Row],[IMPORTE NETO]]*0.21</f>
        <v>148.38810000000001</v>
      </c>
      <c r="J891" s="229"/>
      <c r="K891" s="229"/>
      <c r="L891" s="229">
        <v>854.99810000000002</v>
      </c>
      <c r="M891" s="55"/>
    </row>
    <row r="892" spans="2:13" x14ac:dyDescent="0.3">
      <c r="B892" s="223" t="s">
        <v>2589</v>
      </c>
      <c r="C892" s="224">
        <v>6</v>
      </c>
      <c r="D892" s="225">
        <v>12</v>
      </c>
      <c r="E892" s="226">
        <v>22978</v>
      </c>
      <c r="F892" s="227"/>
      <c r="G892" s="1" t="str">
        <f>IFERROR(IF(ventas_b_mes9[[#This Row],[CUIT]]="","-",VLOOKUP(ventas_b_mes9[[#This Row],[CUIT]],Lista_CUIT[#All],2,0)),"CUIT NO CARGADO")</f>
        <v>-</v>
      </c>
      <c r="H892" s="60">
        <f>ventas_b_mes9[[#This Row],[TOTAL]]/1.21</f>
        <v>7408.27</v>
      </c>
      <c r="I892" s="228">
        <f>ventas_b_mes9[[#This Row],[IMPORTE NETO]]*0.21</f>
        <v>1555.7366999999999</v>
      </c>
      <c r="J892" s="229"/>
      <c r="K892" s="229"/>
      <c r="L892" s="229">
        <v>8964.0066999999999</v>
      </c>
      <c r="M892" s="55"/>
    </row>
    <row r="893" spans="2:13" x14ac:dyDescent="0.3">
      <c r="B893" s="223" t="s">
        <v>2589</v>
      </c>
      <c r="C893" s="224">
        <v>6</v>
      </c>
      <c r="D893" s="225">
        <v>12</v>
      </c>
      <c r="E893" s="226">
        <v>22979</v>
      </c>
      <c r="F893" s="227"/>
      <c r="G893" s="1" t="str">
        <f>IFERROR(IF(ventas_b_mes9[[#This Row],[CUIT]]="","-",VLOOKUP(ventas_b_mes9[[#This Row],[CUIT]],Lista_CUIT[#All],2,0)),"CUIT NO CARGADO")</f>
        <v>-</v>
      </c>
      <c r="H893" s="60">
        <f>ventas_b_mes9[[#This Row],[TOTAL]]/1.21</f>
        <v>7396.69</v>
      </c>
      <c r="I893" s="228">
        <f>ventas_b_mes9[[#This Row],[IMPORTE NETO]]*0.21</f>
        <v>1553.3048999999999</v>
      </c>
      <c r="J893" s="229"/>
      <c r="K893" s="229"/>
      <c r="L893" s="229">
        <v>8949.9948999999997</v>
      </c>
      <c r="M893" s="55"/>
    </row>
    <row r="894" spans="2:13" x14ac:dyDescent="0.3">
      <c r="B894" s="223" t="s">
        <v>2589</v>
      </c>
      <c r="C894" s="224">
        <v>6</v>
      </c>
      <c r="D894" s="225">
        <v>12</v>
      </c>
      <c r="E894" s="226">
        <v>22980</v>
      </c>
      <c r="F894" s="227"/>
      <c r="G894" s="1" t="str">
        <f>IFERROR(IF(ventas_b_mes9[[#This Row],[CUIT]]="","-",VLOOKUP(ventas_b_mes9[[#This Row],[CUIT]],Lista_CUIT[#All],2,0)),"CUIT NO CARGADO")</f>
        <v>-</v>
      </c>
      <c r="H894" s="60">
        <f>ventas_b_mes9[[#This Row],[TOTAL]]/1.21</f>
        <v>2082.65</v>
      </c>
      <c r="I894" s="228">
        <f>ventas_b_mes9[[#This Row],[IMPORTE NETO]]*0.21</f>
        <v>437.35649999999998</v>
      </c>
      <c r="J894" s="229"/>
      <c r="K894" s="229"/>
      <c r="L894" s="229">
        <v>2520.0065</v>
      </c>
      <c r="M894" s="55"/>
    </row>
    <row r="895" spans="2:13" x14ac:dyDescent="0.3">
      <c r="B895" s="223" t="s">
        <v>2589</v>
      </c>
      <c r="C895" s="224">
        <v>6</v>
      </c>
      <c r="D895" s="225">
        <v>12</v>
      </c>
      <c r="E895" s="226">
        <v>22981</v>
      </c>
      <c r="F895" s="227"/>
      <c r="G895" s="1" t="str">
        <f>IFERROR(IF(ventas_b_mes9[[#This Row],[CUIT]]="","-",VLOOKUP(ventas_b_mes9[[#This Row],[CUIT]],Lista_CUIT[#All],2,0)),"CUIT NO CARGADO")</f>
        <v>-</v>
      </c>
      <c r="H895" s="60">
        <f>ventas_b_mes9[[#This Row],[TOTAL]]/1.21</f>
        <v>18922.330000000002</v>
      </c>
      <c r="I895" s="228">
        <f>ventas_b_mes9[[#This Row],[IMPORTE NETO]]*0.21</f>
        <v>3973.6893</v>
      </c>
      <c r="J895" s="229"/>
      <c r="K895" s="229"/>
      <c r="L895" s="229">
        <v>22896.0193</v>
      </c>
      <c r="M895" s="55"/>
    </row>
    <row r="896" spans="2:13" x14ac:dyDescent="0.3">
      <c r="B896" s="223" t="s">
        <v>2589</v>
      </c>
      <c r="C896" s="224">
        <v>6</v>
      </c>
      <c r="D896" s="225">
        <v>12</v>
      </c>
      <c r="E896" s="226">
        <v>22982</v>
      </c>
      <c r="F896" s="227"/>
      <c r="G896" s="1" t="str">
        <f>IFERROR(IF(ventas_b_mes9[[#This Row],[CUIT]]="","-",VLOOKUP(ventas_b_mes9[[#This Row],[CUIT]],Lista_CUIT[#All],2,0)),"CUIT NO CARGADO")</f>
        <v>-</v>
      </c>
      <c r="H896" s="60">
        <f>ventas_b_mes9[[#This Row],[TOTAL]]/1.21</f>
        <v>1606.61</v>
      </c>
      <c r="I896" s="228">
        <f>ventas_b_mes9[[#This Row],[IMPORTE NETO]]*0.21</f>
        <v>337.38809999999995</v>
      </c>
      <c r="J896" s="229"/>
      <c r="K896" s="229"/>
      <c r="L896" s="229">
        <v>1943.9980999999998</v>
      </c>
      <c r="M896" s="55"/>
    </row>
    <row r="897" spans="2:13" x14ac:dyDescent="0.3">
      <c r="B897" s="223" t="s">
        <v>2589</v>
      </c>
      <c r="C897" s="224">
        <v>6</v>
      </c>
      <c r="D897" s="225">
        <v>12</v>
      </c>
      <c r="E897" s="226">
        <v>22983</v>
      </c>
      <c r="F897" s="227"/>
      <c r="G897" s="1" t="str">
        <f>IFERROR(IF(ventas_b_mes9[[#This Row],[CUIT]]="","-",VLOOKUP(ventas_b_mes9[[#This Row],[CUIT]],Lista_CUIT[#All],2,0)),"CUIT NO CARGADO")</f>
        <v>-</v>
      </c>
      <c r="H897" s="60">
        <f>ventas_b_mes9[[#This Row],[TOTAL]]/1.21</f>
        <v>1264.46</v>
      </c>
      <c r="I897" s="228">
        <f>ventas_b_mes9[[#This Row],[IMPORTE NETO]]*0.21</f>
        <v>265.53660000000002</v>
      </c>
      <c r="J897" s="229"/>
      <c r="K897" s="229"/>
      <c r="L897" s="229">
        <v>1529.9965999999999</v>
      </c>
      <c r="M897" s="55"/>
    </row>
    <row r="898" spans="2:13" x14ac:dyDescent="0.3">
      <c r="B898" s="223" t="s">
        <v>2589</v>
      </c>
      <c r="C898" s="224">
        <v>6</v>
      </c>
      <c r="D898" s="225">
        <v>12</v>
      </c>
      <c r="E898" s="226">
        <v>22984</v>
      </c>
      <c r="F898" s="227"/>
      <c r="G898" s="1" t="str">
        <f>IFERROR(IF(ventas_b_mes9[[#This Row],[CUIT]]="","-",VLOOKUP(ventas_b_mes9[[#This Row],[CUIT]],Lista_CUIT[#All],2,0)),"CUIT NO CARGADO")</f>
        <v>-</v>
      </c>
      <c r="H898" s="60">
        <f>ventas_b_mes9[[#This Row],[TOTAL]]/1.21</f>
        <v>8000</v>
      </c>
      <c r="I898" s="228">
        <f>ventas_b_mes9[[#This Row],[IMPORTE NETO]]*0.21</f>
        <v>1680</v>
      </c>
      <c r="J898" s="229"/>
      <c r="K898" s="229"/>
      <c r="L898" s="229">
        <v>9680</v>
      </c>
      <c r="M898" s="55"/>
    </row>
    <row r="899" spans="2:13" x14ac:dyDescent="0.3">
      <c r="B899" s="223" t="s">
        <v>2589</v>
      </c>
      <c r="C899" s="224">
        <v>6</v>
      </c>
      <c r="D899" s="225">
        <v>12</v>
      </c>
      <c r="E899" s="226">
        <v>22985</v>
      </c>
      <c r="F899" s="227"/>
      <c r="G899" s="1" t="str">
        <f>IFERROR(IF(ventas_b_mes9[[#This Row],[CUIT]]="","-",VLOOKUP(ventas_b_mes9[[#This Row],[CUIT]],Lista_CUIT[#All],2,0)),"CUIT NO CARGADO")</f>
        <v>-</v>
      </c>
      <c r="H899" s="60">
        <f>ventas_b_mes9[[#This Row],[TOTAL]]/1.21</f>
        <v>10673.55</v>
      </c>
      <c r="I899" s="228">
        <f>ventas_b_mes9[[#This Row],[IMPORTE NETO]]*0.21</f>
        <v>2241.4454999999998</v>
      </c>
      <c r="J899" s="229"/>
      <c r="K899" s="229"/>
      <c r="L899" s="229">
        <v>12914.995499999999</v>
      </c>
      <c r="M899" s="55"/>
    </row>
    <row r="900" spans="2:13" x14ac:dyDescent="0.3">
      <c r="B900" s="223" t="s">
        <v>2589</v>
      </c>
      <c r="C900" s="224">
        <v>6</v>
      </c>
      <c r="D900" s="225">
        <v>12</v>
      </c>
      <c r="E900" s="226">
        <v>22986</v>
      </c>
      <c r="F900" s="227"/>
      <c r="G900" s="1" t="str">
        <f>IFERROR(IF(ventas_b_mes9[[#This Row],[CUIT]]="","-",VLOOKUP(ventas_b_mes9[[#This Row],[CUIT]],Lista_CUIT[#All],2,0)),"CUIT NO CARGADO")</f>
        <v>-</v>
      </c>
      <c r="H900" s="60">
        <f>ventas_b_mes9[[#This Row],[TOTAL]]/1.21</f>
        <v>3512.4</v>
      </c>
      <c r="I900" s="228">
        <f>ventas_b_mes9[[#This Row],[IMPORTE NETO]]*0.21</f>
        <v>737.60400000000004</v>
      </c>
      <c r="J900" s="229"/>
      <c r="K900" s="229"/>
      <c r="L900" s="229">
        <v>4250.0039999999999</v>
      </c>
      <c r="M900" s="55"/>
    </row>
    <row r="901" spans="2:13" x14ac:dyDescent="0.3">
      <c r="B901" s="223" t="s">
        <v>2589</v>
      </c>
      <c r="C901" s="224">
        <v>6</v>
      </c>
      <c r="D901" s="225">
        <v>12</v>
      </c>
      <c r="E901" s="226">
        <v>22987</v>
      </c>
      <c r="F901" s="227"/>
      <c r="G901" s="1" t="str">
        <f>IFERROR(IF(ventas_b_mes9[[#This Row],[CUIT]]="","-",VLOOKUP(ventas_b_mes9[[#This Row],[CUIT]],Lista_CUIT[#All],2,0)),"CUIT NO CARGADO")</f>
        <v>-</v>
      </c>
      <c r="H901" s="60">
        <f>ventas_b_mes9[[#This Row],[TOTAL]]/1.21</f>
        <v>4958.68</v>
      </c>
      <c r="I901" s="228">
        <f>ventas_b_mes9[[#This Row],[IMPORTE NETO]]*0.21</f>
        <v>1041.3227999999999</v>
      </c>
      <c r="J901" s="229"/>
      <c r="K901" s="229"/>
      <c r="L901" s="229">
        <v>6000.0028000000002</v>
      </c>
      <c r="M901" s="55"/>
    </row>
    <row r="902" spans="2:13" x14ac:dyDescent="0.3">
      <c r="B902" s="223" t="s">
        <v>2589</v>
      </c>
      <c r="C902" s="224">
        <v>6</v>
      </c>
      <c r="D902" s="225">
        <v>12</v>
      </c>
      <c r="E902" s="226">
        <v>22988</v>
      </c>
      <c r="F902" s="227"/>
      <c r="G902" s="1" t="str">
        <f>IFERROR(IF(ventas_b_mes9[[#This Row],[CUIT]]="","-",VLOOKUP(ventas_b_mes9[[#This Row],[CUIT]],Lista_CUIT[#All],2,0)),"CUIT NO CARGADO")</f>
        <v>-</v>
      </c>
      <c r="H902" s="60">
        <f>ventas_b_mes9[[#This Row],[TOTAL]]/1.21</f>
        <v>2186.7800000000002</v>
      </c>
      <c r="I902" s="228">
        <f>ventas_b_mes9[[#This Row],[IMPORTE NETO]]*0.21</f>
        <v>459.22380000000004</v>
      </c>
      <c r="J902" s="229"/>
      <c r="K902" s="229"/>
      <c r="L902" s="229">
        <v>2646.0038000000004</v>
      </c>
      <c r="M902" s="55"/>
    </row>
    <row r="903" spans="2:13" x14ac:dyDescent="0.3">
      <c r="B903" s="223" t="s">
        <v>2589</v>
      </c>
      <c r="C903" s="224">
        <v>6</v>
      </c>
      <c r="D903" s="225">
        <v>12</v>
      </c>
      <c r="E903" s="226">
        <v>22989</v>
      </c>
      <c r="F903" s="227"/>
      <c r="G903" s="1" t="str">
        <f>IFERROR(IF(ventas_b_mes9[[#This Row],[CUIT]]="","-",VLOOKUP(ventas_b_mes9[[#This Row],[CUIT]],Lista_CUIT[#All],2,0)),"CUIT NO CARGADO")</f>
        <v>-</v>
      </c>
      <c r="H903" s="60">
        <f>ventas_b_mes9[[#This Row],[TOTAL]]/1.21</f>
        <v>4710.76</v>
      </c>
      <c r="I903" s="228">
        <f>ventas_b_mes9[[#This Row],[IMPORTE NETO]]*0.21</f>
        <v>989.25959999999998</v>
      </c>
      <c r="J903" s="229"/>
      <c r="K903" s="229"/>
      <c r="L903" s="229">
        <v>5700.0196000000005</v>
      </c>
      <c r="M903" s="55"/>
    </row>
    <row r="904" spans="2:13" x14ac:dyDescent="0.3">
      <c r="B904" s="223" t="s">
        <v>2589</v>
      </c>
      <c r="C904" s="224">
        <v>6</v>
      </c>
      <c r="D904" s="225">
        <v>12</v>
      </c>
      <c r="E904" s="226">
        <v>22990</v>
      </c>
      <c r="F904" s="227"/>
      <c r="G904" s="1" t="str">
        <f>IFERROR(IF(ventas_b_mes9[[#This Row],[CUIT]]="","-",VLOOKUP(ventas_b_mes9[[#This Row],[CUIT]],Lista_CUIT[#All],2,0)),"CUIT NO CARGADO")</f>
        <v>-</v>
      </c>
      <c r="H904" s="60">
        <f>ventas_b_mes9[[#This Row],[TOTAL]]/1.21</f>
        <v>3636.36</v>
      </c>
      <c r="I904" s="228">
        <f>ventas_b_mes9[[#This Row],[IMPORTE NETO]]*0.21</f>
        <v>763.63559999999995</v>
      </c>
      <c r="J904" s="229"/>
      <c r="K904" s="229"/>
      <c r="L904" s="229">
        <v>4399.9956000000002</v>
      </c>
      <c r="M904" s="55"/>
    </row>
    <row r="905" spans="2:13" x14ac:dyDescent="0.3">
      <c r="B905" s="223" t="s">
        <v>2589</v>
      </c>
      <c r="C905" s="224">
        <v>6</v>
      </c>
      <c r="D905" s="225">
        <v>12</v>
      </c>
      <c r="E905" s="226">
        <v>22991</v>
      </c>
      <c r="F905" s="227"/>
      <c r="G905" s="1" t="str">
        <f>IFERROR(IF(ventas_b_mes9[[#This Row],[CUIT]]="","-",VLOOKUP(ventas_b_mes9[[#This Row],[CUIT]],Lista_CUIT[#All],2,0)),"CUIT NO CARGADO")</f>
        <v>-</v>
      </c>
      <c r="H905" s="60">
        <f>ventas_b_mes9[[#This Row],[TOTAL]]/1.21</f>
        <v>3115.7</v>
      </c>
      <c r="I905" s="228">
        <f>ventas_b_mes9[[#This Row],[IMPORTE NETO]]*0.21</f>
        <v>654.29699999999991</v>
      </c>
      <c r="J905" s="229"/>
      <c r="K905" s="229"/>
      <c r="L905" s="229">
        <v>3769.9969999999998</v>
      </c>
      <c r="M905" s="55"/>
    </row>
    <row r="906" spans="2:13" x14ac:dyDescent="0.3">
      <c r="B906" s="223" t="s">
        <v>2589</v>
      </c>
      <c r="C906" s="224">
        <v>6</v>
      </c>
      <c r="D906" s="225">
        <v>12</v>
      </c>
      <c r="E906" s="226">
        <v>22992</v>
      </c>
      <c r="F906" s="227"/>
      <c r="G906" s="1" t="str">
        <f>IFERROR(IF(ventas_b_mes9[[#This Row],[CUIT]]="","-",VLOOKUP(ventas_b_mes9[[#This Row],[CUIT]],Lista_CUIT[#All],2,0)),"CUIT NO CARGADO")</f>
        <v>-</v>
      </c>
      <c r="H906" s="60">
        <f>ventas_b_mes9[[#This Row],[TOTAL]]/1.21</f>
        <v>15231.42</v>
      </c>
      <c r="I906" s="228">
        <f>ventas_b_mes9[[#This Row],[IMPORTE NETO]]*0.21</f>
        <v>3198.5981999999999</v>
      </c>
      <c r="J906" s="229"/>
      <c r="K906" s="229"/>
      <c r="L906" s="229">
        <v>18430.018199999999</v>
      </c>
      <c r="M906" s="55"/>
    </row>
    <row r="907" spans="2:13" x14ac:dyDescent="0.3">
      <c r="B907" s="223" t="s">
        <v>2589</v>
      </c>
      <c r="C907" s="224">
        <v>6</v>
      </c>
      <c r="D907" s="225">
        <v>12</v>
      </c>
      <c r="E907" s="226">
        <v>22993</v>
      </c>
      <c r="F907" s="227"/>
      <c r="G907" s="1" t="str">
        <f>IFERROR(IF(ventas_b_mes9[[#This Row],[CUIT]]="","-",VLOOKUP(ventas_b_mes9[[#This Row],[CUIT]],Lista_CUIT[#All],2,0)),"CUIT NO CARGADO")</f>
        <v>-</v>
      </c>
      <c r="H907" s="60">
        <f>ventas_b_mes9[[#This Row],[TOTAL]]/1.21</f>
        <v>2446.2800000000002</v>
      </c>
      <c r="I907" s="228">
        <f>ventas_b_mes9[[#This Row],[IMPORTE NETO]]*0.21</f>
        <v>513.71879999999999</v>
      </c>
      <c r="J907" s="229"/>
      <c r="K907" s="229"/>
      <c r="L907" s="229">
        <v>2959.9988000000003</v>
      </c>
      <c r="M907" s="55"/>
    </row>
    <row r="908" spans="2:13" x14ac:dyDescent="0.3">
      <c r="B908" s="223" t="s">
        <v>2589</v>
      </c>
      <c r="C908" s="224">
        <v>6</v>
      </c>
      <c r="D908" s="225">
        <v>12</v>
      </c>
      <c r="E908" s="226">
        <v>22994</v>
      </c>
      <c r="F908" s="227"/>
      <c r="G908" s="1" t="str">
        <f>IFERROR(IF(ventas_b_mes9[[#This Row],[CUIT]]="","-",VLOOKUP(ventas_b_mes9[[#This Row],[CUIT]],Lista_CUIT[#All],2,0)),"CUIT NO CARGADO")</f>
        <v>-</v>
      </c>
      <c r="H908" s="60">
        <f>ventas_b_mes9[[#This Row],[TOTAL]]/1.21</f>
        <v>2479.34</v>
      </c>
      <c r="I908" s="228">
        <f>ventas_b_mes9[[#This Row],[IMPORTE NETO]]*0.21</f>
        <v>520.66139999999996</v>
      </c>
      <c r="J908" s="229"/>
      <c r="K908" s="229"/>
      <c r="L908" s="229">
        <v>3000.0014000000001</v>
      </c>
      <c r="M908" s="55"/>
    </row>
    <row r="909" spans="2:13" x14ac:dyDescent="0.3">
      <c r="B909" s="223" t="s">
        <v>2589</v>
      </c>
      <c r="C909" s="224">
        <v>6</v>
      </c>
      <c r="D909" s="225">
        <v>12</v>
      </c>
      <c r="E909" s="226">
        <v>22995</v>
      </c>
      <c r="F909" s="227"/>
      <c r="G909" s="1" t="str">
        <f>IFERROR(IF(ventas_b_mes9[[#This Row],[CUIT]]="","-",VLOOKUP(ventas_b_mes9[[#This Row],[CUIT]],Lista_CUIT[#All],2,0)),"CUIT NO CARGADO")</f>
        <v>-</v>
      </c>
      <c r="H909" s="60">
        <f>ventas_b_mes9[[#This Row],[TOTAL]]/1.21</f>
        <v>12223.16</v>
      </c>
      <c r="I909" s="228">
        <f>ventas_b_mes9[[#This Row],[IMPORTE NETO]]*0.21</f>
        <v>2566.8635999999997</v>
      </c>
      <c r="J909" s="229"/>
      <c r="K909" s="229"/>
      <c r="L909" s="229">
        <v>14790.0236</v>
      </c>
      <c r="M909" s="55"/>
    </row>
    <row r="910" spans="2:13" x14ac:dyDescent="0.3">
      <c r="B910" s="223" t="s">
        <v>2590</v>
      </c>
      <c r="C910" s="224">
        <v>6</v>
      </c>
      <c r="D910" s="225">
        <v>11</v>
      </c>
      <c r="E910" s="226">
        <v>30519</v>
      </c>
      <c r="F910" s="227"/>
      <c r="G910" s="1" t="str">
        <f>IFERROR(IF(ventas_b_mes9[[#This Row],[CUIT]]="","-",VLOOKUP(ventas_b_mes9[[#This Row],[CUIT]],Lista_CUIT[#All],2,0)),"CUIT NO CARGADO")</f>
        <v>-</v>
      </c>
      <c r="H910" s="60">
        <f>ventas_b_mes9[[#This Row],[TOTAL]]/1.21</f>
        <v>516.53</v>
      </c>
      <c r="I910" s="228">
        <f>ventas_b_mes9[[#This Row],[IMPORTE NETO]]*0.21</f>
        <v>108.47129999999999</v>
      </c>
      <c r="J910" s="229"/>
      <c r="K910" s="229"/>
      <c r="L910" s="229">
        <v>625.0012999999999</v>
      </c>
      <c r="M910" s="55"/>
    </row>
    <row r="911" spans="2:13" x14ac:dyDescent="0.3">
      <c r="B911" s="223" t="s">
        <v>2590</v>
      </c>
      <c r="C911" s="224">
        <v>6</v>
      </c>
      <c r="D911" s="225">
        <v>11</v>
      </c>
      <c r="E911" s="226">
        <v>30520</v>
      </c>
      <c r="F911" s="227"/>
      <c r="G911" s="1" t="str">
        <f>IFERROR(IF(ventas_b_mes9[[#This Row],[CUIT]]="","-",VLOOKUP(ventas_b_mes9[[#This Row],[CUIT]],Lista_CUIT[#All],2,0)),"CUIT NO CARGADO")</f>
        <v>-</v>
      </c>
      <c r="H911" s="60">
        <f>ventas_b_mes9[[#This Row],[TOTAL]]/1.21</f>
        <v>7109.1100000000006</v>
      </c>
      <c r="I911" s="228">
        <f>ventas_b_mes9[[#This Row],[IMPORTE NETO]]*0.21</f>
        <v>1492.9131</v>
      </c>
      <c r="J911" s="229"/>
      <c r="K911" s="229"/>
      <c r="L911" s="229">
        <v>8602.0231000000003</v>
      </c>
      <c r="M911" s="55"/>
    </row>
    <row r="912" spans="2:13" x14ac:dyDescent="0.3">
      <c r="B912" s="223" t="s">
        <v>2590</v>
      </c>
      <c r="C912" s="224">
        <v>6</v>
      </c>
      <c r="D912" s="225">
        <v>11</v>
      </c>
      <c r="E912" s="226">
        <v>30521</v>
      </c>
      <c r="F912" s="227"/>
      <c r="G912" s="1" t="str">
        <f>IFERROR(IF(ventas_b_mes9[[#This Row],[CUIT]]="","-",VLOOKUP(ventas_b_mes9[[#This Row],[CUIT]],Lista_CUIT[#All],2,0)),"CUIT NO CARGADO")</f>
        <v>-</v>
      </c>
      <c r="H912" s="60">
        <f>ventas_b_mes9[[#This Row],[TOTAL]]/1.21</f>
        <v>5310.77</v>
      </c>
      <c r="I912" s="228">
        <f>ventas_b_mes9[[#This Row],[IMPORTE NETO]]*0.21</f>
        <v>1115.2617</v>
      </c>
      <c r="J912" s="229"/>
      <c r="K912" s="229"/>
      <c r="L912" s="229">
        <v>6426.0317000000005</v>
      </c>
      <c r="M912" s="55"/>
    </row>
    <row r="913" spans="2:13" x14ac:dyDescent="0.3">
      <c r="B913" s="223" t="s">
        <v>2590</v>
      </c>
      <c r="C913" s="224">
        <v>6</v>
      </c>
      <c r="D913" s="225">
        <v>11</v>
      </c>
      <c r="E913" s="226">
        <v>30522</v>
      </c>
      <c r="F913" s="227"/>
      <c r="G913" s="1" t="str">
        <f>IFERROR(IF(ventas_b_mes9[[#This Row],[CUIT]]="","-",VLOOKUP(ventas_b_mes9[[#This Row],[CUIT]],Lista_CUIT[#All],2,0)),"CUIT NO CARGADO")</f>
        <v>-</v>
      </c>
      <c r="H913" s="60">
        <f>ventas_b_mes9[[#This Row],[TOTAL]]/1.21</f>
        <v>4397.5200000000004</v>
      </c>
      <c r="I913" s="228">
        <f>ventas_b_mes9[[#This Row],[IMPORTE NETO]]*0.21</f>
        <v>923.47920000000011</v>
      </c>
      <c r="J913" s="229"/>
      <c r="K913" s="229"/>
      <c r="L913" s="229">
        <v>5320.9992000000002</v>
      </c>
      <c r="M913" s="55"/>
    </row>
    <row r="914" spans="2:13" x14ac:dyDescent="0.3">
      <c r="B914" s="223" t="s">
        <v>2590</v>
      </c>
      <c r="C914" s="224">
        <v>6</v>
      </c>
      <c r="D914" s="225">
        <v>11</v>
      </c>
      <c r="E914" s="226">
        <v>30523</v>
      </c>
      <c r="F914" s="227"/>
      <c r="G914" s="1" t="str">
        <f>IFERROR(IF(ventas_b_mes9[[#This Row],[CUIT]]="","-",VLOOKUP(ventas_b_mes9[[#This Row],[CUIT]],Lista_CUIT[#All],2,0)),"CUIT NO CARGADO")</f>
        <v>-</v>
      </c>
      <c r="H914" s="60">
        <f>ventas_b_mes9[[#This Row],[TOTAL]]/1.21</f>
        <v>4115.7</v>
      </c>
      <c r="I914" s="228">
        <f>ventas_b_mes9[[#This Row],[IMPORTE NETO]]*0.21</f>
        <v>864.29699999999991</v>
      </c>
      <c r="J914" s="229"/>
      <c r="K914" s="229"/>
      <c r="L914" s="229">
        <v>4979.9969999999994</v>
      </c>
      <c r="M914" s="55"/>
    </row>
    <row r="915" spans="2:13" x14ac:dyDescent="0.3">
      <c r="B915" s="223" t="s">
        <v>2590</v>
      </c>
      <c r="C915" s="224">
        <v>6</v>
      </c>
      <c r="D915" s="225">
        <v>11</v>
      </c>
      <c r="E915" s="226">
        <v>30524</v>
      </c>
      <c r="F915" s="227"/>
      <c r="G915" s="1" t="str">
        <f>IFERROR(IF(ventas_b_mes9[[#This Row],[CUIT]]="","-",VLOOKUP(ventas_b_mes9[[#This Row],[CUIT]],Lista_CUIT[#All],2,0)),"CUIT NO CARGADO")</f>
        <v>-</v>
      </c>
      <c r="H915" s="60">
        <f>ventas_b_mes9[[#This Row],[TOTAL]]/1.21</f>
        <v>1760.33</v>
      </c>
      <c r="I915" s="228">
        <f>ventas_b_mes9[[#This Row],[IMPORTE NETO]]*0.21</f>
        <v>369.66929999999996</v>
      </c>
      <c r="J915" s="229"/>
      <c r="K915" s="229"/>
      <c r="L915" s="229">
        <v>2129.9992999999999</v>
      </c>
      <c r="M915" s="55"/>
    </row>
    <row r="916" spans="2:13" x14ac:dyDescent="0.3">
      <c r="B916" s="223" t="s">
        <v>2590</v>
      </c>
      <c r="C916" s="224">
        <v>6</v>
      </c>
      <c r="D916" s="225">
        <v>11</v>
      </c>
      <c r="E916" s="226">
        <v>30525</v>
      </c>
      <c r="F916" s="227"/>
      <c r="G916" s="1" t="str">
        <f>IFERROR(IF(ventas_b_mes9[[#This Row],[CUIT]]="","-",VLOOKUP(ventas_b_mes9[[#This Row],[CUIT]],Lista_CUIT[#All],2,0)),"CUIT NO CARGADO")</f>
        <v>-</v>
      </c>
      <c r="H916" s="60">
        <f>ventas_b_mes9[[#This Row],[TOTAL]]/1.21</f>
        <v>4790.91</v>
      </c>
      <c r="I916" s="228">
        <f>ventas_b_mes9[[#This Row],[IMPORTE NETO]]*0.21</f>
        <v>1006.0911</v>
      </c>
      <c r="J916" s="229"/>
      <c r="K916" s="229"/>
      <c r="L916" s="229">
        <v>5797.0010999999995</v>
      </c>
      <c r="M916" s="55"/>
    </row>
    <row r="917" spans="2:13" x14ac:dyDescent="0.3">
      <c r="B917" s="223" t="s">
        <v>2590</v>
      </c>
      <c r="C917" s="224">
        <v>6</v>
      </c>
      <c r="D917" s="225">
        <v>11</v>
      </c>
      <c r="E917" s="226">
        <v>30526</v>
      </c>
      <c r="F917" s="227"/>
      <c r="G917" s="1" t="str">
        <f>IFERROR(IF(ventas_b_mes9[[#This Row],[CUIT]]="","-",VLOOKUP(ventas_b_mes9[[#This Row],[CUIT]],Lista_CUIT[#All],2,0)),"CUIT NO CARGADO")</f>
        <v>-</v>
      </c>
      <c r="H917" s="60">
        <f>ventas_b_mes9[[#This Row],[TOTAL]]/1.21</f>
        <v>351.24</v>
      </c>
      <c r="I917" s="228">
        <f>ventas_b_mes9[[#This Row],[IMPORTE NETO]]*0.21</f>
        <v>73.760400000000004</v>
      </c>
      <c r="J917" s="229"/>
      <c r="K917" s="229"/>
      <c r="L917" s="229">
        <v>425.00040000000001</v>
      </c>
      <c r="M917" s="55"/>
    </row>
    <row r="918" spans="2:13" x14ac:dyDescent="0.3">
      <c r="B918" s="223" t="s">
        <v>2590</v>
      </c>
      <c r="C918" s="224">
        <v>6</v>
      </c>
      <c r="D918" s="225">
        <v>11</v>
      </c>
      <c r="E918" s="226">
        <v>30527</v>
      </c>
      <c r="F918" s="227"/>
      <c r="G918" s="1" t="str">
        <f>IFERROR(IF(ventas_b_mes9[[#This Row],[CUIT]]="","-",VLOOKUP(ventas_b_mes9[[#This Row],[CUIT]],Lista_CUIT[#All],2,0)),"CUIT NO CARGADO")</f>
        <v>-</v>
      </c>
      <c r="H918" s="60">
        <f>ventas_b_mes9[[#This Row],[TOTAL]]/1.21</f>
        <v>9049.59</v>
      </c>
      <c r="I918" s="228">
        <f>ventas_b_mes9[[#This Row],[IMPORTE NETO]]*0.21</f>
        <v>1900.4139</v>
      </c>
      <c r="J918" s="229"/>
      <c r="K918" s="229"/>
      <c r="L918" s="229">
        <v>10950.0039</v>
      </c>
      <c r="M918" s="55"/>
    </row>
    <row r="919" spans="2:13" x14ac:dyDescent="0.3">
      <c r="B919" s="223" t="s">
        <v>2590</v>
      </c>
      <c r="C919" s="224">
        <v>6</v>
      </c>
      <c r="D919" s="225">
        <v>11</v>
      </c>
      <c r="E919" s="226">
        <v>30528</v>
      </c>
      <c r="F919" s="227"/>
      <c r="G919" s="1" t="str">
        <f>IFERROR(IF(ventas_b_mes9[[#This Row],[CUIT]]="","-",VLOOKUP(ventas_b_mes9[[#This Row],[CUIT]],Lista_CUIT[#All],2,0)),"CUIT NO CARGADO")</f>
        <v>-</v>
      </c>
      <c r="H919" s="60">
        <f>ventas_b_mes9[[#This Row],[TOTAL]]/1.21</f>
        <v>10330.58</v>
      </c>
      <c r="I919" s="228">
        <f>ventas_b_mes9[[#This Row],[IMPORTE NETO]]*0.21</f>
        <v>2169.4218000000001</v>
      </c>
      <c r="J919" s="229"/>
      <c r="K919" s="229"/>
      <c r="L919" s="229">
        <v>12500.0018</v>
      </c>
      <c r="M919" s="55"/>
    </row>
    <row r="920" spans="2:13" x14ac:dyDescent="0.3">
      <c r="B920" s="223" t="s">
        <v>2590</v>
      </c>
      <c r="C920" s="224">
        <v>6</v>
      </c>
      <c r="D920" s="225">
        <v>11</v>
      </c>
      <c r="E920" s="226">
        <v>30529</v>
      </c>
      <c r="F920" s="227"/>
      <c r="G920" s="1" t="str">
        <f>IFERROR(IF(ventas_b_mes9[[#This Row],[CUIT]]="","-",VLOOKUP(ventas_b_mes9[[#This Row],[CUIT]],Lista_CUIT[#All],2,0)),"CUIT NO CARGADO")</f>
        <v>-</v>
      </c>
      <c r="H920" s="60">
        <f>ventas_b_mes9[[#This Row],[TOTAL]]/1.21</f>
        <v>1818.18</v>
      </c>
      <c r="I920" s="228">
        <f>ventas_b_mes9[[#This Row],[IMPORTE NETO]]*0.21</f>
        <v>381.81779999999998</v>
      </c>
      <c r="J920" s="229"/>
      <c r="K920" s="229"/>
      <c r="L920" s="229">
        <v>2199.9978000000001</v>
      </c>
      <c r="M920" s="55"/>
    </row>
    <row r="921" spans="2:13" x14ac:dyDescent="0.3">
      <c r="B921" s="223" t="s">
        <v>2590</v>
      </c>
      <c r="C921" s="224">
        <v>6</v>
      </c>
      <c r="D921" s="225">
        <v>11</v>
      </c>
      <c r="E921" s="226">
        <v>30530</v>
      </c>
      <c r="F921" s="227"/>
      <c r="G921" s="1" t="str">
        <f>IFERROR(IF(ventas_b_mes9[[#This Row],[CUIT]]="","-",VLOOKUP(ventas_b_mes9[[#This Row],[CUIT]],Lista_CUIT[#All],2,0)),"CUIT NO CARGADO")</f>
        <v>-</v>
      </c>
      <c r="H921" s="60">
        <f>ventas_b_mes9[[#This Row],[TOTAL]]/1.21</f>
        <v>10330.6</v>
      </c>
      <c r="I921" s="228">
        <f>ventas_b_mes9[[#This Row],[IMPORTE NETO]]*0.21</f>
        <v>2169.4259999999999</v>
      </c>
      <c r="J921" s="229"/>
      <c r="K921" s="229"/>
      <c r="L921" s="229">
        <v>12500.026</v>
      </c>
      <c r="M921" s="55"/>
    </row>
    <row r="922" spans="2:13" x14ac:dyDescent="0.3">
      <c r="B922" s="223" t="s">
        <v>2590</v>
      </c>
      <c r="C922" s="224">
        <v>6</v>
      </c>
      <c r="D922" s="225">
        <v>11</v>
      </c>
      <c r="E922" s="226">
        <v>30531</v>
      </c>
      <c r="F922" s="227"/>
      <c r="G922" s="1" t="str">
        <f>IFERROR(IF(ventas_b_mes9[[#This Row],[CUIT]]="","-",VLOOKUP(ventas_b_mes9[[#This Row],[CUIT]],Lista_CUIT[#All],2,0)),"CUIT NO CARGADO")</f>
        <v>-</v>
      </c>
      <c r="H922" s="60">
        <f>ventas_b_mes9[[#This Row],[TOTAL]]/1.21</f>
        <v>6363.64</v>
      </c>
      <c r="I922" s="228">
        <f>ventas_b_mes9[[#This Row],[IMPORTE NETO]]*0.21</f>
        <v>1336.3643999999999</v>
      </c>
      <c r="J922" s="229"/>
      <c r="K922" s="229"/>
      <c r="L922" s="229">
        <v>7700.0043999999998</v>
      </c>
      <c r="M922" s="55"/>
    </row>
    <row r="923" spans="2:13" x14ac:dyDescent="0.3">
      <c r="B923" s="223" t="s">
        <v>2590</v>
      </c>
      <c r="C923" s="224">
        <v>6</v>
      </c>
      <c r="D923" s="225">
        <v>11</v>
      </c>
      <c r="E923" s="226">
        <v>30532</v>
      </c>
      <c r="F923" s="227"/>
      <c r="G923" s="1" t="str">
        <f>IFERROR(IF(ventas_b_mes9[[#This Row],[CUIT]]="","-",VLOOKUP(ventas_b_mes9[[#This Row],[CUIT]],Lista_CUIT[#All],2,0)),"CUIT NO CARGADO")</f>
        <v>-</v>
      </c>
      <c r="H923" s="60">
        <f>ventas_b_mes9[[#This Row],[TOTAL]]/1.21</f>
        <v>1818.18</v>
      </c>
      <c r="I923" s="228">
        <f>ventas_b_mes9[[#This Row],[IMPORTE NETO]]*0.21</f>
        <v>381.81779999999998</v>
      </c>
      <c r="J923" s="229"/>
      <c r="K923" s="229"/>
      <c r="L923" s="229">
        <v>2199.9978000000001</v>
      </c>
      <c r="M923" s="55"/>
    </row>
    <row r="924" spans="2:13" x14ac:dyDescent="0.3">
      <c r="B924" s="223" t="s">
        <v>2590</v>
      </c>
      <c r="C924" s="224">
        <v>6</v>
      </c>
      <c r="D924" s="225">
        <v>11</v>
      </c>
      <c r="E924" s="226">
        <v>30533</v>
      </c>
      <c r="F924" s="227"/>
      <c r="G924" s="1" t="str">
        <f>IFERROR(IF(ventas_b_mes9[[#This Row],[CUIT]]="","-",VLOOKUP(ventas_b_mes9[[#This Row],[CUIT]],Lista_CUIT[#All],2,0)),"CUIT NO CARGADO")</f>
        <v>-</v>
      </c>
      <c r="H924" s="60">
        <f>ventas_b_mes9[[#This Row],[TOTAL]]/1.21</f>
        <v>1818.18</v>
      </c>
      <c r="I924" s="228">
        <f>ventas_b_mes9[[#This Row],[IMPORTE NETO]]*0.21</f>
        <v>381.81779999999998</v>
      </c>
      <c r="J924" s="229"/>
      <c r="K924" s="229"/>
      <c r="L924" s="229">
        <v>2199.9978000000001</v>
      </c>
      <c r="M924" s="55"/>
    </row>
    <row r="925" spans="2:13" x14ac:dyDescent="0.3">
      <c r="B925" s="223" t="s">
        <v>2590</v>
      </c>
      <c r="C925" s="224">
        <v>6</v>
      </c>
      <c r="D925" s="225">
        <v>11</v>
      </c>
      <c r="E925" s="226">
        <v>30534</v>
      </c>
      <c r="F925" s="227"/>
      <c r="G925" s="1" t="str">
        <f>IFERROR(IF(ventas_b_mes9[[#This Row],[CUIT]]="","-",VLOOKUP(ventas_b_mes9[[#This Row],[CUIT]],Lista_CUIT[#All],2,0)),"CUIT NO CARGADO")</f>
        <v>-</v>
      </c>
      <c r="H925" s="60">
        <f>ventas_b_mes9[[#This Row],[TOTAL]]/1.21</f>
        <v>1818.18</v>
      </c>
      <c r="I925" s="228">
        <f>ventas_b_mes9[[#This Row],[IMPORTE NETO]]*0.21</f>
        <v>381.81779999999998</v>
      </c>
      <c r="J925" s="229"/>
      <c r="K925" s="229"/>
      <c r="L925" s="229">
        <v>2199.9978000000001</v>
      </c>
      <c r="M925" s="55"/>
    </row>
    <row r="926" spans="2:13" x14ac:dyDescent="0.3">
      <c r="B926" s="223" t="s">
        <v>2590</v>
      </c>
      <c r="C926" s="224">
        <v>6</v>
      </c>
      <c r="D926" s="225">
        <v>11</v>
      </c>
      <c r="E926" s="226">
        <v>30535</v>
      </c>
      <c r="F926" s="227"/>
      <c r="G926" s="1" t="str">
        <f>IFERROR(IF(ventas_b_mes9[[#This Row],[CUIT]]="","-",VLOOKUP(ventas_b_mes9[[#This Row],[CUIT]],Lista_CUIT[#All],2,0)),"CUIT NO CARGADO")</f>
        <v>-</v>
      </c>
      <c r="H926" s="60">
        <f>ventas_b_mes9[[#This Row],[TOTAL]]/1.21</f>
        <v>1818.18</v>
      </c>
      <c r="I926" s="228">
        <f>ventas_b_mes9[[#This Row],[IMPORTE NETO]]*0.21</f>
        <v>381.81779999999998</v>
      </c>
      <c r="J926" s="229"/>
      <c r="K926" s="229"/>
      <c r="L926" s="229">
        <v>2199.9978000000001</v>
      </c>
      <c r="M926" s="55"/>
    </row>
    <row r="927" spans="2:13" x14ac:dyDescent="0.3">
      <c r="B927" s="223" t="s">
        <v>2590</v>
      </c>
      <c r="C927" s="224">
        <v>6</v>
      </c>
      <c r="D927" s="225">
        <v>11</v>
      </c>
      <c r="E927" s="226">
        <v>30536</v>
      </c>
      <c r="F927" s="227"/>
      <c r="G927" s="1" t="str">
        <f>IFERROR(IF(ventas_b_mes9[[#This Row],[CUIT]]="","-",VLOOKUP(ventas_b_mes9[[#This Row],[CUIT]],Lista_CUIT[#All],2,0)),"CUIT NO CARGADO")</f>
        <v>-</v>
      </c>
      <c r="H927" s="60">
        <f>ventas_b_mes9[[#This Row],[TOTAL]]/1.21</f>
        <v>1818.18</v>
      </c>
      <c r="I927" s="228">
        <f>ventas_b_mes9[[#This Row],[IMPORTE NETO]]*0.21</f>
        <v>381.81779999999998</v>
      </c>
      <c r="J927" s="229"/>
      <c r="K927" s="229"/>
      <c r="L927" s="229">
        <v>2199.9978000000001</v>
      </c>
      <c r="M927" s="55"/>
    </row>
    <row r="928" spans="2:13" x14ac:dyDescent="0.3">
      <c r="B928" s="223" t="s">
        <v>2590</v>
      </c>
      <c r="C928" s="224">
        <v>6</v>
      </c>
      <c r="D928" s="225">
        <v>13</v>
      </c>
      <c r="E928" s="226">
        <v>27070</v>
      </c>
      <c r="F928" s="227"/>
      <c r="G928" s="1" t="str">
        <f>IFERROR(IF(ventas_b_mes9[[#This Row],[CUIT]]="","-",VLOOKUP(ventas_b_mes9[[#This Row],[CUIT]],Lista_CUIT[#All],2,0)),"CUIT NO CARGADO")</f>
        <v>-</v>
      </c>
      <c r="H928" s="60">
        <f>ventas_b_mes9[[#This Row],[TOTAL]]/1.21</f>
        <v>2983.47</v>
      </c>
      <c r="I928" s="228">
        <f>ventas_b_mes9[[#This Row],[IMPORTE NETO]]*0.21</f>
        <v>626.52869999999996</v>
      </c>
      <c r="J928" s="229"/>
      <c r="K928" s="229"/>
      <c r="L928" s="229">
        <v>3609.9986999999996</v>
      </c>
      <c r="M928" s="55"/>
    </row>
    <row r="929" spans="2:13" x14ac:dyDescent="0.3">
      <c r="B929" s="223" t="s">
        <v>2590</v>
      </c>
      <c r="C929" s="224">
        <v>6</v>
      </c>
      <c r="D929" s="225">
        <v>13</v>
      </c>
      <c r="E929" s="226">
        <v>27071</v>
      </c>
      <c r="F929" s="227"/>
      <c r="G929" s="1" t="str">
        <f>IFERROR(IF(ventas_b_mes9[[#This Row],[CUIT]]="","-",VLOOKUP(ventas_b_mes9[[#This Row],[CUIT]],Lista_CUIT[#All],2,0)),"CUIT NO CARGADO")</f>
        <v>-</v>
      </c>
      <c r="H929" s="60">
        <f>ventas_b_mes9[[#This Row],[TOTAL]]/1.21</f>
        <v>9727.26</v>
      </c>
      <c r="I929" s="228">
        <f>ventas_b_mes9[[#This Row],[IMPORTE NETO]]*0.21</f>
        <v>2042.7246</v>
      </c>
      <c r="J929" s="229"/>
      <c r="K929" s="229"/>
      <c r="L929" s="229">
        <v>11769.9846</v>
      </c>
      <c r="M929" s="55"/>
    </row>
    <row r="930" spans="2:13" x14ac:dyDescent="0.3">
      <c r="B930" s="223" t="s">
        <v>2590</v>
      </c>
      <c r="C930" s="224">
        <v>6</v>
      </c>
      <c r="D930" s="225">
        <v>13</v>
      </c>
      <c r="E930" s="226">
        <v>27072</v>
      </c>
      <c r="F930" s="227"/>
      <c r="G930" s="1" t="str">
        <f>IFERROR(IF(ventas_b_mes9[[#This Row],[CUIT]]="","-",VLOOKUP(ventas_b_mes9[[#This Row],[CUIT]],Lista_CUIT[#All],2,0)),"CUIT NO CARGADO")</f>
        <v>-</v>
      </c>
      <c r="H930" s="60">
        <f>ventas_b_mes9[[#This Row],[TOTAL]]/1.21</f>
        <v>6776.86</v>
      </c>
      <c r="I930" s="228">
        <f>ventas_b_mes9[[#This Row],[IMPORTE NETO]]*0.21</f>
        <v>1423.1405999999999</v>
      </c>
      <c r="J930" s="229"/>
      <c r="K930" s="229"/>
      <c r="L930" s="229">
        <v>8200.0005999999994</v>
      </c>
      <c r="M930" s="55"/>
    </row>
    <row r="931" spans="2:13" x14ac:dyDescent="0.3">
      <c r="B931" s="223" t="s">
        <v>2590</v>
      </c>
      <c r="C931" s="224">
        <v>6</v>
      </c>
      <c r="D931" s="225">
        <v>13</v>
      </c>
      <c r="E931" s="226">
        <v>27073</v>
      </c>
      <c r="F931" s="227"/>
      <c r="G931" s="1" t="str">
        <f>IFERROR(IF(ventas_b_mes9[[#This Row],[CUIT]]="","-",VLOOKUP(ventas_b_mes9[[#This Row],[CUIT]],Lista_CUIT[#All],2,0)),"CUIT NO CARGADO")</f>
        <v>-</v>
      </c>
      <c r="H931" s="60">
        <f>ventas_b_mes9[[#This Row],[TOTAL]]/1.21</f>
        <v>10210.33</v>
      </c>
      <c r="I931" s="228">
        <f>ventas_b_mes9[[#This Row],[IMPORTE NETO]]*0.21</f>
        <v>2144.1693</v>
      </c>
      <c r="J931" s="229"/>
      <c r="K931" s="229"/>
      <c r="L931" s="229">
        <v>12354.499299999999</v>
      </c>
      <c r="M931" s="55"/>
    </row>
    <row r="932" spans="2:13" x14ac:dyDescent="0.3">
      <c r="B932" s="223" t="s">
        <v>2590</v>
      </c>
      <c r="C932" s="224">
        <v>6</v>
      </c>
      <c r="D932" s="225">
        <v>13</v>
      </c>
      <c r="E932" s="226">
        <v>27074</v>
      </c>
      <c r="F932" s="227"/>
      <c r="G932" s="1" t="str">
        <f>IFERROR(IF(ventas_b_mes9[[#This Row],[CUIT]]="","-",VLOOKUP(ventas_b_mes9[[#This Row],[CUIT]],Lista_CUIT[#All],2,0)),"CUIT NO CARGADO")</f>
        <v>-</v>
      </c>
      <c r="H932" s="60">
        <f>ventas_b_mes9[[#This Row],[TOTAL]]/1.21</f>
        <v>413.22</v>
      </c>
      <c r="I932" s="228">
        <f>ventas_b_mes9[[#This Row],[IMPORTE NETO]]*0.21</f>
        <v>86.776200000000003</v>
      </c>
      <c r="J932" s="229"/>
      <c r="K932" s="229"/>
      <c r="L932" s="229">
        <v>499.99620000000004</v>
      </c>
      <c r="M932" s="55"/>
    </row>
    <row r="933" spans="2:13" x14ac:dyDescent="0.3">
      <c r="B933" s="223" t="s">
        <v>2590</v>
      </c>
      <c r="C933" s="224">
        <v>6</v>
      </c>
      <c r="D933" s="225">
        <v>13</v>
      </c>
      <c r="E933" s="226">
        <v>27075</v>
      </c>
      <c r="F933" s="227"/>
      <c r="G933" s="1" t="str">
        <f>IFERROR(IF(ventas_b_mes9[[#This Row],[CUIT]]="","-",VLOOKUP(ventas_b_mes9[[#This Row],[CUIT]],Lista_CUIT[#All],2,0)),"CUIT NO CARGADO")</f>
        <v>-</v>
      </c>
      <c r="H933" s="60">
        <f>ventas_b_mes9[[#This Row],[TOTAL]]/1.21</f>
        <v>4454.54</v>
      </c>
      <c r="I933" s="228">
        <f>ventas_b_mes9[[#This Row],[IMPORTE NETO]]*0.21</f>
        <v>935.45339999999999</v>
      </c>
      <c r="J933" s="229"/>
      <c r="K933" s="229"/>
      <c r="L933" s="229">
        <v>5389.9934000000003</v>
      </c>
      <c r="M933" s="55"/>
    </row>
    <row r="934" spans="2:13" x14ac:dyDescent="0.3">
      <c r="B934" s="223" t="s">
        <v>2590</v>
      </c>
      <c r="C934" s="224">
        <v>6</v>
      </c>
      <c r="D934" s="225">
        <v>13</v>
      </c>
      <c r="E934" s="226">
        <v>27076</v>
      </c>
      <c r="F934" s="227"/>
      <c r="G934" s="1" t="str">
        <f>IFERROR(IF(ventas_b_mes9[[#This Row],[CUIT]]="","-",VLOOKUP(ventas_b_mes9[[#This Row],[CUIT]],Lista_CUIT[#All],2,0)),"CUIT NO CARGADO")</f>
        <v>-</v>
      </c>
      <c r="H934" s="60">
        <f>ventas_b_mes9[[#This Row],[TOTAL]]/1.21</f>
        <v>9338.85</v>
      </c>
      <c r="I934" s="228">
        <f>ventas_b_mes9[[#This Row],[IMPORTE NETO]]*0.21</f>
        <v>1961.1585</v>
      </c>
      <c r="J934" s="229"/>
      <c r="K934" s="229"/>
      <c r="L934" s="229">
        <v>11300.0085</v>
      </c>
      <c r="M934" s="55"/>
    </row>
    <row r="935" spans="2:13" x14ac:dyDescent="0.3">
      <c r="B935" s="223" t="s">
        <v>2590</v>
      </c>
      <c r="C935" s="224">
        <v>6</v>
      </c>
      <c r="D935" s="225">
        <v>13</v>
      </c>
      <c r="E935" s="226">
        <v>27077</v>
      </c>
      <c r="F935" s="227"/>
      <c r="G935" s="1" t="str">
        <f>IFERROR(IF(ventas_b_mes9[[#This Row],[CUIT]]="","-",VLOOKUP(ventas_b_mes9[[#This Row],[CUIT]],Lista_CUIT[#All],2,0)),"CUIT NO CARGADO")</f>
        <v>-</v>
      </c>
      <c r="H935" s="60">
        <f>ventas_b_mes9[[#This Row],[TOTAL]]/1.21</f>
        <v>1190.08</v>
      </c>
      <c r="I935" s="228">
        <f>ventas_b_mes9[[#This Row],[IMPORTE NETO]]*0.21</f>
        <v>249.91679999999997</v>
      </c>
      <c r="J935" s="229"/>
      <c r="K935" s="229"/>
      <c r="L935" s="229">
        <v>1439.9967999999999</v>
      </c>
      <c r="M935" s="55"/>
    </row>
    <row r="936" spans="2:13" x14ac:dyDescent="0.3">
      <c r="B936" s="223" t="s">
        <v>2590</v>
      </c>
      <c r="C936" s="224">
        <v>6</v>
      </c>
      <c r="D936" s="225">
        <v>13</v>
      </c>
      <c r="E936" s="226">
        <v>27078</v>
      </c>
      <c r="F936" s="227"/>
      <c r="G936" s="1" t="str">
        <f>IFERROR(IF(ventas_b_mes9[[#This Row],[CUIT]]="","-",VLOOKUP(ventas_b_mes9[[#This Row],[CUIT]],Lista_CUIT[#All],2,0)),"CUIT NO CARGADO")</f>
        <v>-</v>
      </c>
      <c r="H936" s="60">
        <f>ventas_b_mes9[[#This Row],[TOTAL]]/1.21</f>
        <v>6413.23</v>
      </c>
      <c r="I936" s="228">
        <f>ventas_b_mes9[[#This Row],[IMPORTE NETO]]*0.21</f>
        <v>1346.7782999999999</v>
      </c>
      <c r="J936" s="229"/>
      <c r="K936" s="229"/>
      <c r="L936" s="229">
        <v>7760.0082999999995</v>
      </c>
      <c r="M936" s="55"/>
    </row>
    <row r="937" spans="2:13" x14ac:dyDescent="0.3">
      <c r="B937" s="223" t="s">
        <v>2590</v>
      </c>
      <c r="C937" s="224">
        <v>6</v>
      </c>
      <c r="D937" s="225">
        <v>13</v>
      </c>
      <c r="E937" s="226">
        <v>27079</v>
      </c>
      <c r="F937" s="227"/>
      <c r="G937" s="1" t="str">
        <f>IFERROR(IF(ventas_b_mes9[[#This Row],[CUIT]]="","-",VLOOKUP(ventas_b_mes9[[#This Row],[CUIT]],Lista_CUIT[#All],2,0)),"CUIT NO CARGADO")</f>
        <v>-</v>
      </c>
      <c r="H937" s="60">
        <f>ventas_b_mes9[[#This Row],[TOTAL]]/1.21</f>
        <v>7289.26</v>
      </c>
      <c r="I937" s="228">
        <f>ventas_b_mes9[[#This Row],[IMPORTE NETO]]*0.21</f>
        <v>1530.7446</v>
      </c>
      <c r="J937" s="229"/>
      <c r="K937" s="229"/>
      <c r="L937" s="229">
        <v>8820.0046000000002</v>
      </c>
      <c r="M937" s="55"/>
    </row>
    <row r="938" spans="2:13" x14ac:dyDescent="0.3">
      <c r="B938" s="223" t="s">
        <v>2590</v>
      </c>
      <c r="C938" s="224">
        <v>6</v>
      </c>
      <c r="D938" s="225">
        <v>13</v>
      </c>
      <c r="E938" s="226">
        <v>27080</v>
      </c>
      <c r="F938" s="227"/>
      <c r="G938" s="1" t="str">
        <f>IFERROR(IF(ventas_b_mes9[[#This Row],[CUIT]]="","-",VLOOKUP(ventas_b_mes9[[#This Row],[CUIT]],Lista_CUIT[#All],2,0)),"CUIT NO CARGADO")</f>
        <v>-</v>
      </c>
      <c r="H938" s="60">
        <f>ventas_b_mes9[[#This Row],[TOTAL]]/1.21</f>
        <v>3719.0100000000007</v>
      </c>
      <c r="I938" s="228">
        <f>ventas_b_mes9[[#This Row],[IMPORTE NETO]]*0.21</f>
        <v>780.99210000000016</v>
      </c>
      <c r="J938" s="229"/>
      <c r="K938" s="229"/>
      <c r="L938" s="229">
        <v>4500.0021000000006</v>
      </c>
      <c r="M938" s="55"/>
    </row>
    <row r="939" spans="2:13" x14ac:dyDescent="0.3">
      <c r="B939" s="223" t="s">
        <v>2590</v>
      </c>
      <c r="C939" s="224">
        <v>6</v>
      </c>
      <c r="D939" s="225">
        <v>13</v>
      </c>
      <c r="E939" s="226">
        <v>27081</v>
      </c>
      <c r="F939" s="227"/>
      <c r="G939" s="1" t="str">
        <f>IFERROR(IF(ventas_b_mes9[[#This Row],[CUIT]]="","-",VLOOKUP(ventas_b_mes9[[#This Row],[CUIT]],Lista_CUIT[#All],2,0)),"CUIT NO CARGADO")</f>
        <v>-</v>
      </c>
      <c r="H939" s="60">
        <f>ventas_b_mes9[[#This Row],[TOTAL]]/1.21</f>
        <v>15330.57</v>
      </c>
      <c r="I939" s="228">
        <f>ventas_b_mes9[[#This Row],[IMPORTE NETO]]*0.21</f>
        <v>3219.4196999999999</v>
      </c>
      <c r="J939" s="229"/>
      <c r="K939" s="229"/>
      <c r="L939" s="229">
        <v>18549.989699999998</v>
      </c>
      <c r="M939" s="55"/>
    </row>
    <row r="940" spans="2:13" x14ac:dyDescent="0.3">
      <c r="B940" s="223" t="s">
        <v>2590</v>
      </c>
      <c r="C940" s="224">
        <v>6</v>
      </c>
      <c r="D940" s="225">
        <v>13</v>
      </c>
      <c r="E940" s="226">
        <v>27082</v>
      </c>
      <c r="F940" s="227"/>
      <c r="G940" s="1" t="str">
        <f>IFERROR(IF(ventas_b_mes9[[#This Row],[CUIT]]="","-",VLOOKUP(ventas_b_mes9[[#This Row],[CUIT]],Lista_CUIT[#All],2,0)),"CUIT NO CARGADO")</f>
        <v>-</v>
      </c>
      <c r="H940" s="60">
        <f>ventas_b_mes9[[#This Row],[TOTAL]]/1.21</f>
        <v>6479.34</v>
      </c>
      <c r="I940" s="228">
        <f>ventas_b_mes9[[#This Row],[IMPORTE NETO]]*0.21</f>
        <v>1360.6614</v>
      </c>
      <c r="J940" s="229"/>
      <c r="K940" s="229"/>
      <c r="L940" s="229">
        <v>7840.0014000000001</v>
      </c>
      <c r="M940" s="55"/>
    </row>
    <row r="941" spans="2:13" x14ac:dyDescent="0.3">
      <c r="B941" s="223" t="s">
        <v>2590</v>
      </c>
      <c r="C941" s="224">
        <v>6</v>
      </c>
      <c r="D941" s="225">
        <v>15</v>
      </c>
      <c r="E941" s="226">
        <v>7446</v>
      </c>
      <c r="F941" s="227">
        <v>25231635</v>
      </c>
      <c r="G941" s="1" t="str">
        <f>IFERROR(IF(ventas_b_mes9[[#This Row],[CUIT]]="","-",VLOOKUP(ventas_b_mes9[[#This Row],[CUIT]],Lista_CUIT[#All],2,0)),"CUIT NO CARGADO")</f>
        <v>AGOSTINI, SILVIA (ALUMNA)</v>
      </c>
      <c r="H941" s="60">
        <f>ventas_b_mes9[[#This Row],[TOTAL]]/1.21</f>
        <v>4958.68</v>
      </c>
      <c r="I941" s="228">
        <f>ventas_b_mes9[[#This Row],[IMPORTE NETO]]*0.21</f>
        <v>1041.3227999999999</v>
      </c>
      <c r="J941" s="229"/>
      <c r="K941" s="229"/>
      <c r="L941" s="229">
        <v>6000.0028000000002</v>
      </c>
      <c r="M941" s="55"/>
    </row>
    <row r="942" spans="2:13" x14ac:dyDescent="0.3">
      <c r="B942" s="223" t="s">
        <v>2590</v>
      </c>
      <c r="C942" s="224">
        <v>6</v>
      </c>
      <c r="D942" s="225">
        <v>15</v>
      </c>
      <c r="E942" s="226">
        <v>7447</v>
      </c>
      <c r="F942" s="227">
        <v>25231635</v>
      </c>
      <c r="G942" s="1" t="str">
        <f>IFERROR(IF(ventas_b_mes9[[#This Row],[CUIT]]="","-",VLOOKUP(ventas_b_mes9[[#This Row],[CUIT]],Lista_CUIT[#All],2,0)),"CUIT NO CARGADO")</f>
        <v>AGOSTINI, SILVIA (ALUMNA)</v>
      </c>
      <c r="H942" s="60">
        <f>ventas_b_mes9[[#This Row],[TOTAL]]/1.21</f>
        <v>4958.68</v>
      </c>
      <c r="I942" s="228">
        <f>ventas_b_mes9[[#This Row],[IMPORTE NETO]]*0.21</f>
        <v>1041.3227999999999</v>
      </c>
      <c r="J942" s="229"/>
      <c r="K942" s="229"/>
      <c r="L942" s="229">
        <v>6000.0028000000002</v>
      </c>
      <c r="M942" s="55"/>
    </row>
    <row r="943" spans="2:13" x14ac:dyDescent="0.3">
      <c r="B943" s="223" t="s">
        <v>2590</v>
      </c>
      <c r="C943" s="224">
        <v>6</v>
      </c>
      <c r="D943" s="225">
        <v>15</v>
      </c>
      <c r="E943" s="226">
        <v>7448</v>
      </c>
      <c r="F943" s="227">
        <v>25231635</v>
      </c>
      <c r="G943" s="1" t="str">
        <f>IFERROR(IF(ventas_b_mes9[[#This Row],[CUIT]]="","-",VLOOKUP(ventas_b_mes9[[#This Row],[CUIT]],Lista_CUIT[#All],2,0)),"CUIT NO CARGADO")</f>
        <v>AGOSTINI, SILVIA (ALUMNA)</v>
      </c>
      <c r="H943" s="60">
        <f>ventas_b_mes9[[#This Row],[TOTAL]]/1.21</f>
        <v>2479.34</v>
      </c>
      <c r="I943" s="228">
        <f>ventas_b_mes9[[#This Row],[IMPORTE NETO]]*0.21</f>
        <v>520.66139999999996</v>
      </c>
      <c r="J943" s="229"/>
      <c r="K943" s="229"/>
      <c r="L943" s="229">
        <v>3000.0014000000001</v>
      </c>
      <c r="M943" s="55"/>
    </row>
    <row r="944" spans="2:13" x14ac:dyDescent="0.3">
      <c r="B944" s="223" t="s">
        <v>2590</v>
      </c>
      <c r="C944" s="224">
        <v>6</v>
      </c>
      <c r="D944" s="225">
        <v>15</v>
      </c>
      <c r="E944" s="226">
        <v>7449</v>
      </c>
      <c r="F944" s="227">
        <v>25231635</v>
      </c>
      <c r="G944" s="1" t="str">
        <f>IFERROR(IF(ventas_b_mes9[[#This Row],[CUIT]]="","-",VLOOKUP(ventas_b_mes9[[#This Row],[CUIT]],Lista_CUIT[#All],2,0)),"CUIT NO CARGADO")</f>
        <v>AGOSTINI, SILVIA (ALUMNA)</v>
      </c>
      <c r="H944" s="60">
        <f>ventas_b_mes9[[#This Row],[TOTAL]]/1.21</f>
        <v>2479.34</v>
      </c>
      <c r="I944" s="228">
        <f>ventas_b_mes9[[#This Row],[IMPORTE NETO]]*0.21</f>
        <v>520.66139999999996</v>
      </c>
      <c r="J944" s="229"/>
      <c r="K944" s="229"/>
      <c r="L944" s="229">
        <v>3000.0014000000001</v>
      </c>
      <c r="M944" s="55"/>
    </row>
    <row r="945" spans="2:13" x14ac:dyDescent="0.3">
      <c r="B945" s="223" t="s">
        <v>2590</v>
      </c>
      <c r="C945" s="224">
        <v>6</v>
      </c>
      <c r="D945" s="225">
        <v>15</v>
      </c>
      <c r="E945" s="226">
        <v>7450</v>
      </c>
      <c r="F945" s="227">
        <v>25231635</v>
      </c>
      <c r="G945" s="1" t="str">
        <f>IFERROR(IF(ventas_b_mes9[[#This Row],[CUIT]]="","-",VLOOKUP(ventas_b_mes9[[#This Row],[CUIT]],Lista_CUIT[#All],2,0)),"CUIT NO CARGADO")</f>
        <v>AGOSTINI, SILVIA (ALUMNA)</v>
      </c>
      <c r="H945" s="60">
        <f>ventas_b_mes9[[#This Row],[TOTAL]]/1.21</f>
        <v>10938.84</v>
      </c>
      <c r="I945" s="228">
        <f>ventas_b_mes9[[#This Row],[IMPORTE NETO]]*0.21</f>
        <v>2297.1563999999998</v>
      </c>
      <c r="J945" s="229"/>
      <c r="K945" s="229"/>
      <c r="L945" s="229">
        <v>13235.9964</v>
      </c>
      <c r="M945" s="55"/>
    </row>
    <row r="946" spans="2:13" x14ac:dyDescent="0.3">
      <c r="B946" s="223" t="s">
        <v>2590</v>
      </c>
      <c r="C946" s="224">
        <v>6</v>
      </c>
      <c r="D946" s="225">
        <v>15</v>
      </c>
      <c r="E946" s="226">
        <v>7451</v>
      </c>
      <c r="F946" s="227">
        <v>30921865</v>
      </c>
      <c r="G946" s="1" t="str">
        <f>IFERROR(IF(ventas_b_mes9[[#This Row],[CUIT]]="","-",VLOOKUP(ventas_b_mes9[[#This Row],[CUIT]],Lista_CUIT[#All],2,0)),"CUIT NO CARGADO")</f>
        <v>RIVERO, LORENA (ALUMNA)</v>
      </c>
      <c r="H946" s="60">
        <f>ventas_b_mes9[[#This Row],[TOTAL]]/1.21</f>
        <v>4958.68</v>
      </c>
      <c r="I946" s="228">
        <f>ventas_b_mes9[[#This Row],[IMPORTE NETO]]*0.21</f>
        <v>1041.3227999999999</v>
      </c>
      <c r="J946" s="229"/>
      <c r="K946" s="229"/>
      <c r="L946" s="229">
        <v>6000.0028000000002</v>
      </c>
      <c r="M946" s="55"/>
    </row>
    <row r="947" spans="2:13" x14ac:dyDescent="0.3">
      <c r="B947" s="223" t="s">
        <v>2590</v>
      </c>
      <c r="C947" s="224">
        <v>6</v>
      </c>
      <c r="D947" s="225">
        <v>15</v>
      </c>
      <c r="E947" s="226">
        <v>7452</v>
      </c>
      <c r="F947" s="227">
        <v>22993607</v>
      </c>
      <c r="G947" s="1" t="str">
        <f>IFERROR(IF(ventas_b_mes9[[#This Row],[CUIT]]="","-",VLOOKUP(ventas_b_mes9[[#This Row],[CUIT]],Lista_CUIT[#All],2,0)),"CUIT NO CARGADO")</f>
        <v>MONTENEGRO,LEONOR</v>
      </c>
      <c r="H947" s="60">
        <f>ventas_b_mes9[[#This Row],[TOTAL]]/1.21</f>
        <v>4512.3900000000003</v>
      </c>
      <c r="I947" s="228">
        <f>ventas_b_mes9[[#This Row],[IMPORTE NETO]]*0.21</f>
        <v>947.6019</v>
      </c>
      <c r="J947" s="229"/>
      <c r="K947" s="229"/>
      <c r="L947" s="229">
        <v>5459.9919</v>
      </c>
      <c r="M947" s="55"/>
    </row>
    <row r="948" spans="2:13" x14ac:dyDescent="0.3">
      <c r="B948" s="223" t="s">
        <v>2590</v>
      </c>
      <c r="C948" s="224">
        <v>6</v>
      </c>
      <c r="D948" s="225">
        <v>15</v>
      </c>
      <c r="E948" s="226">
        <v>7453</v>
      </c>
      <c r="F948" s="227">
        <v>22993607</v>
      </c>
      <c r="G948" s="1" t="str">
        <f>IFERROR(IF(ventas_b_mes9[[#This Row],[CUIT]]="","-",VLOOKUP(ventas_b_mes9[[#This Row],[CUIT]],Lista_CUIT[#All],2,0)),"CUIT NO CARGADO")</f>
        <v>MONTENEGRO,LEONOR</v>
      </c>
      <c r="H948" s="60">
        <f>ventas_b_mes9[[#This Row],[TOTAL]]/1.21</f>
        <v>1483.47</v>
      </c>
      <c r="I948" s="228">
        <f>ventas_b_mes9[[#This Row],[IMPORTE NETO]]*0.21</f>
        <v>311.52870000000001</v>
      </c>
      <c r="J948" s="229"/>
      <c r="K948" s="229"/>
      <c r="L948" s="229">
        <v>1794.9987000000001</v>
      </c>
      <c r="M948" s="55"/>
    </row>
    <row r="949" spans="2:13" x14ac:dyDescent="0.3">
      <c r="B949" s="223" t="s">
        <v>2590</v>
      </c>
      <c r="C949" s="224">
        <v>6</v>
      </c>
      <c r="D949" s="225">
        <v>15</v>
      </c>
      <c r="E949" s="226">
        <v>7454</v>
      </c>
      <c r="F949" s="227">
        <v>302514571</v>
      </c>
      <c r="G949" s="1" t="str">
        <f>IFERROR(IF(ventas_b_mes9[[#This Row],[CUIT]]="","-",VLOOKUP(ventas_b_mes9[[#This Row],[CUIT]],Lista_CUIT[#All],2,0)),"CUIT NO CARGADO")</f>
        <v>CUIT NO CARGADO</v>
      </c>
      <c r="H949" s="60">
        <f>ventas_b_mes9[[#This Row],[TOTAL]]/1.21</f>
        <v>3877.69</v>
      </c>
      <c r="I949" s="228">
        <f>ventas_b_mes9[[#This Row],[IMPORTE NETO]]*0.21</f>
        <v>814.31489999999997</v>
      </c>
      <c r="J949" s="229"/>
      <c r="K949" s="229"/>
      <c r="L949" s="229">
        <v>4692.0048999999999</v>
      </c>
      <c r="M949" s="55"/>
    </row>
    <row r="950" spans="2:13" x14ac:dyDescent="0.3">
      <c r="B950" s="223" t="s">
        <v>2590</v>
      </c>
      <c r="C950" s="224">
        <v>6</v>
      </c>
      <c r="D950" s="225">
        <v>15</v>
      </c>
      <c r="E950" s="226">
        <v>7455</v>
      </c>
      <c r="F950" s="227">
        <v>24871779</v>
      </c>
      <c r="G950" s="1" t="str">
        <f>IFERROR(IF(ventas_b_mes9[[#This Row],[CUIT]]="","-",VLOOKUP(ventas_b_mes9[[#This Row],[CUIT]],Lista_CUIT[#All],2,0)),"CUIT NO CARGADO")</f>
        <v>FERRANTE, MARIELA BARBARA</v>
      </c>
      <c r="H950" s="60">
        <f>ventas_b_mes9[[#This Row],[TOTAL]]/1.21</f>
        <v>4545.45</v>
      </c>
      <c r="I950" s="228">
        <f>ventas_b_mes9[[#This Row],[IMPORTE NETO]]*0.21</f>
        <v>954.54449999999997</v>
      </c>
      <c r="J950" s="229"/>
      <c r="K950" s="229"/>
      <c r="L950" s="229">
        <v>5499.9944999999998</v>
      </c>
      <c r="M950" s="55"/>
    </row>
    <row r="951" spans="2:13" x14ac:dyDescent="0.3">
      <c r="B951" s="223" t="s">
        <v>2590</v>
      </c>
      <c r="C951" s="224">
        <v>6</v>
      </c>
      <c r="D951" s="225">
        <v>15</v>
      </c>
      <c r="E951" s="226">
        <v>7456</v>
      </c>
      <c r="F951" s="227">
        <v>42942625</v>
      </c>
      <c r="G951" s="1" t="str">
        <f>IFERROR(IF(ventas_b_mes9[[#This Row],[CUIT]]="","-",VLOOKUP(ventas_b_mes9[[#This Row],[CUIT]],Lista_CUIT[#All],2,0)),"CUIT NO CARGADO")</f>
        <v>CUIT NO CARGADO</v>
      </c>
      <c r="H951" s="60">
        <f>ventas_b_mes9[[#This Row],[TOTAL]]/1.21</f>
        <v>4545.45</v>
      </c>
      <c r="I951" s="228">
        <f>ventas_b_mes9[[#This Row],[IMPORTE NETO]]*0.21</f>
        <v>954.54449999999997</v>
      </c>
      <c r="J951" s="229"/>
      <c r="K951" s="229"/>
      <c r="L951" s="229">
        <v>5499.9944999999998</v>
      </c>
      <c r="M951" s="55"/>
    </row>
    <row r="952" spans="2:13" x14ac:dyDescent="0.3">
      <c r="B952" s="223" t="s">
        <v>2590</v>
      </c>
      <c r="C952" s="224">
        <v>6</v>
      </c>
      <c r="D952" s="225">
        <v>15</v>
      </c>
      <c r="E952" s="226">
        <v>7457</v>
      </c>
      <c r="F952" s="227">
        <v>25121194</v>
      </c>
      <c r="G952" s="1" t="str">
        <f>IFERROR(IF(ventas_b_mes9[[#This Row],[CUIT]]="","-",VLOOKUP(ventas_b_mes9[[#This Row],[CUIT]],Lista_CUIT[#All],2,0)),"CUIT NO CARGADO")</f>
        <v>VIEGAS, LORENA (ALUMNA)</v>
      </c>
      <c r="H952" s="60">
        <f>ventas_b_mes9[[#This Row],[TOTAL]]/1.21</f>
        <v>2429.75</v>
      </c>
      <c r="I952" s="228">
        <f>ventas_b_mes9[[#This Row],[IMPORTE NETO]]*0.21</f>
        <v>510.2475</v>
      </c>
      <c r="J952" s="229"/>
      <c r="K952" s="229"/>
      <c r="L952" s="229">
        <v>2939.9974999999999</v>
      </c>
      <c r="M952" s="55"/>
    </row>
    <row r="953" spans="2:13" x14ac:dyDescent="0.3">
      <c r="B953" s="223" t="s">
        <v>2590</v>
      </c>
      <c r="C953" s="224">
        <v>6</v>
      </c>
      <c r="D953" s="225">
        <v>15</v>
      </c>
      <c r="E953" s="226">
        <v>7458</v>
      </c>
      <c r="F953" s="227">
        <v>16826280</v>
      </c>
      <c r="G953" s="1" t="str">
        <f>IFERROR(IF(ventas_b_mes9[[#This Row],[CUIT]]="","-",VLOOKUP(ventas_b_mes9[[#This Row],[CUIT]],Lista_CUIT[#All],2,0)),"CUIT NO CARGADO")</f>
        <v>MENSI,ANA</v>
      </c>
      <c r="H953" s="60">
        <f>ventas_b_mes9[[#This Row],[TOTAL]]/1.21</f>
        <v>6266.13</v>
      </c>
      <c r="I953" s="228">
        <f>ventas_b_mes9[[#This Row],[IMPORTE NETO]]*0.21</f>
        <v>1315.8872999999999</v>
      </c>
      <c r="J953" s="229"/>
      <c r="K953" s="229"/>
      <c r="L953" s="229">
        <v>7582.0172999999995</v>
      </c>
      <c r="M953" s="55"/>
    </row>
    <row r="954" spans="2:13" x14ac:dyDescent="0.3">
      <c r="B954" s="223" t="s">
        <v>2590</v>
      </c>
      <c r="C954" s="224">
        <v>6</v>
      </c>
      <c r="D954" s="225">
        <v>10</v>
      </c>
      <c r="E954" s="226">
        <v>44398</v>
      </c>
      <c r="F954" s="227"/>
      <c r="G954" s="1" t="str">
        <f>IFERROR(IF(ventas_b_mes9[[#This Row],[CUIT]]="","-",VLOOKUP(ventas_b_mes9[[#This Row],[CUIT]],Lista_CUIT[#All],2,0)),"CUIT NO CARGADO")</f>
        <v>-</v>
      </c>
      <c r="H954" s="60">
        <f>ventas_b_mes9[[#This Row],[TOTAL]]/1.21</f>
        <v>10403.299999999999</v>
      </c>
      <c r="I954" s="228">
        <f>ventas_b_mes9[[#This Row],[IMPORTE NETO]]*0.21</f>
        <v>2184.6929999999998</v>
      </c>
      <c r="J954" s="229"/>
      <c r="K954" s="229"/>
      <c r="L954" s="229">
        <v>12587.992999999999</v>
      </c>
      <c r="M954" s="55"/>
    </row>
    <row r="955" spans="2:13" x14ac:dyDescent="0.3">
      <c r="B955" s="223" t="s">
        <v>2590</v>
      </c>
      <c r="C955" s="224">
        <v>6</v>
      </c>
      <c r="D955" s="225">
        <v>10</v>
      </c>
      <c r="E955" s="226">
        <v>44399</v>
      </c>
      <c r="F955" s="227"/>
      <c r="G955" s="1" t="str">
        <f>IFERROR(IF(ventas_b_mes9[[#This Row],[CUIT]]="","-",VLOOKUP(ventas_b_mes9[[#This Row],[CUIT]],Lista_CUIT[#All],2,0)),"CUIT NO CARGADO")</f>
        <v>-</v>
      </c>
      <c r="H955" s="60">
        <f>ventas_b_mes9[[#This Row],[TOTAL]]/1.21</f>
        <v>5647.93</v>
      </c>
      <c r="I955" s="228">
        <f>ventas_b_mes9[[#This Row],[IMPORTE NETO]]*0.21</f>
        <v>1186.0653</v>
      </c>
      <c r="J955" s="229"/>
      <c r="K955" s="229"/>
      <c r="L955" s="229">
        <v>6833.9953000000005</v>
      </c>
      <c r="M955" s="55"/>
    </row>
    <row r="956" spans="2:13" x14ac:dyDescent="0.3">
      <c r="B956" s="223" t="s">
        <v>2590</v>
      </c>
      <c r="C956" s="224">
        <v>6</v>
      </c>
      <c r="D956" s="225">
        <v>10</v>
      </c>
      <c r="E956" s="226">
        <v>44400</v>
      </c>
      <c r="F956" s="227"/>
      <c r="G956" s="1" t="str">
        <f>IFERROR(IF(ventas_b_mes9[[#This Row],[CUIT]]="","-",VLOOKUP(ventas_b_mes9[[#This Row],[CUIT]],Lista_CUIT[#All],2,0)),"CUIT NO CARGADO")</f>
        <v>-</v>
      </c>
      <c r="H956" s="60">
        <f>ventas_b_mes9[[#This Row],[TOTAL]]/1.21</f>
        <v>6611.57</v>
      </c>
      <c r="I956" s="228">
        <f>ventas_b_mes9[[#This Row],[IMPORTE NETO]]*0.21</f>
        <v>1388.4296999999999</v>
      </c>
      <c r="J956" s="229"/>
      <c r="K956" s="229"/>
      <c r="L956" s="229">
        <v>7999.9996999999994</v>
      </c>
      <c r="M956" s="55"/>
    </row>
    <row r="957" spans="2:13" x14ac:dyDescent="0.3">
      <c r="B957" s="223" t="s">
        <v>2590</v>
      </c>
      <c r="C957" s="224">
        <v>6</v>
      </c>
      <c r="D957" s="225">
        <v>10</v>
      </c>
      <c r="E957" s="226">
        <v>44401</v>
      </c>
      <c r="F957" s="227"/>
      <c r="G957" s="1" t="str">
        <f>IFERROR(IF(ventas_b_mes9[[#This Row],[CUIT]]="","-",VLOOKUP(ventas_b_mes9[[#This Row],[CUIT]],Lista_CUIT[#All],2,0)),"CUIT NO CARGADO")</f>
        <v>-</v>
      </c>
      <c r="H957" s="60">
        <f>ventas_b_mes9[[#This Row],[TOTAL]]/1.21</f>
        <v>1400.83</v>
      </c>
      <c r="I957" s="228">
        <f>ventas_b_mes9[[#This Row],[IMPORTE NETO]]*0.21</f>
        <v>294.17429999999996</v>
      </c>
      <c r="J957" s="229"/>
      <c r="K957" s="229"/>
      <c r="L957" s="229">
        <v>1695.0042999999998</v>
      </c>
      <c r="M957" s="55"/>
    </row>
    <row r="958" spans="2:13" x14ac:dyDescent="0.3">
      <c r="B958" s="223" t="s">
        <v>2590</v>
      </c>
      <c r="C958" s="224">
        <v>6</v>
      </c>
      <c r="D958" s="225">
        <v>10</v>
      </c>
      <c r="E958" s="226">
        <v>44402</v>
      </c>
      <c r="F958" s="227"/>
      <c r="G958" s="1" t="str">
        <f>IFERROR(IF(ventas_b_mes9[[#This Row],[CUIT]]="","-",VLOOKUP(ventas_b_mes9[[#This Row],[CUIT]],Lista_CUIT[#All],2,0)),"CUIT NO CARGADO")</f>
        <v>-</v>
      </c>
      <c r="H958" s="60">
        <f>ventas_b_mes9[[#This Row],[TOTAL]]/1.21</f>
        <v>9338.84</v>
      </c>
      <c r="I958" s="228">
        <f>ventas_b_mes9[[#This Row],[IMPORTE NETO]]*0.21</f>
        <v>1961.1563999999998</v>
      </c>
      <c r="J958" s="229"/>
      <c r="K958" s="229"/>
      <c r="L958" s="229">
        <v>11299.9964</v>
      </c>
      <c r="M958" s="55"/>
    </row>
    <row r="959" spans="2:13" x14ac:dyDescent="0.3">
      <c r="B959" s="223" t="s">
        <v>2590</v>
      </c>
      <c r="C959" s="224">
        <v>6</v>
      </c>
      <c r="D959" s="225">
        <v>10</v>
      </c>
      <c r="E959" s="226">
        <v>44403</v>
      </c>
      <c r="F959" s="227"/>
      <c r="G959" s="1" t="str">
        <f>IFERROR(IF(ventas_b_mes9[[#This Row],[CUIT]]="","-",VLOOKUP(ventas_b_mes9[[#This Row],[CUIT]],Lista_CUIT[#All],2,0)),"CUIT NO CARGADO")</f>
        <v>-</v>
      </c>
      <c r="H959" s="60">
        <f>ventas_b_mes9[[#This Row],[TOTAL]]/1.21</f>
        <v>10206.61</v>
      </c>
      <c r="I959" s="228">
        <f>ventas_b_mes9[[#This Row],[IMPORTE NETO]]*0.21</f>
        <v>2143.3881000000001</v>
      </c>
      <c r="J959" s="229"/>
      <c r="K959" s="229"/>
      <c r="L959" s="229">
        <v>12349.998100000001</v>
      </c>
      <c r="M959" s="55"/>
    </row>
    <row r="960" spans="2:13" x14ac:dyDescent="0.3">
      <c r="B960" s="223" t="s">
        <v>2590</v>
      </c>
      <c r="C960" s="224">
        <v>6</v>
      </c>
      <c r="D960" s="225">
        <v>10</v>
      </c>
      <c r="E960" s="226">
        <v>44404</v>
      </c>
      <c r="F960" s="227"/>
      <c r="G960" s="1" t="str">
        <f>IFERROR(IF(ventas_b_mes9[[#This Row],[CUIT]]="","-",VLOOKUP(ventas_b_mes9[[#This Row],[CUIT]],Lista_CUIT[#All],2,0)),"CUIT NO CARGADO")</f>
        <v>-</v>
      </c>
      <c r="H960" s="60">
        <f>ventas_b_mes9[[#This Row],[TOTAL]]/1.21</f>
        <v>1652.89</v>
      </c>
      <c r="I960" s="228">
        <f>ventas_b_mes9[[#This Row],[IMPORTE NETO]]*0.21</f>
        <v>347.1069</v>
      </c>
      <c r="J960" s="229"/>
      <c r="K960" s="229"/>
      <c r="L960" s="229">
        <v>1999.9969000000001</v>
      </c>
      <c r="M960" s="55"/>
    </row>
    <row r="961" spans="2:13" x14ac:dyDescent="0.3">
      <c r="B961" s="223" t="s">
        <v>2590</v>
      </c>
      <c r="C961" s="224">
        <v>6</v>
      </c>
      <c r="D961" s="225">
        <v>10</v>
      </c>
      <c r="E961" s="226">
        <v>44405</v>
      </c>
      <c r="F961" s="227"/>
      <c r="G961" s="1" t="str">
        <f>IFERROR(IF(ventas_b_mes9[[#This Row],[CUIT]]="","-",VLOOKUP(ventas_b_mes9[[#This Row],[CUIT]],Lista_CUIT[#All],2,0)),"CUIT NO CARGADO")</f>
        <v>-</v>
      </c>
      <c r="H961" s="60">
        <f>ventas_b_mes9[[#This Row],[TOTAL]]/1.21</f>
        <v>2066.12</v>
      </c>
      <c r="I961" s="228">
        <f>ventas_b_mes9[[#This Row],[IMPORTE NETO]]*0.21</f>
        <v>433.88519999999994</v>
      </c>
      <c r="J961" s="229"/>
      <c r="K961" s="229"/>
      <c r="L961" s="229">
        <v>2500.0051999999996</v>
      </c>
      <c r="M961" s="55"/>
    </row>
    <row r="962" spans="2:13" x14ac:dyDescent="0.3">
      <c r="B962" s="223" t="s">
        <v>2590</v>
      </c>
      <c r="C962" s="224">
        <v>6</v>
      </c>
      <c r="D962" s="225">
        <v>10</v>
      </c>
      <c r="E962" s="226">
        <v>44406</v>
      </c>
      <c r="F962" s="227"/>
      <c r="G962" s="1" t="str">
        <f>IFERROR(IF(ventas_b_mes9[[#This Row],[CUIT]]="","-",VLOOKUP(ventas_b_mes9[[#This Row],[CUIT]],Lista_CUIT[#All],2,0)),"CUIT NO CARGADO")</f>
        <v>-</v>
      </c>
      <c r="H962" s="60">
        <f>ventas_b_mes9[[#This Row],[TOTAL]]/1.21</f>
        <v>2066.12</v>
      </c>
      <c r="I962" s="228">
        <f>ventas_b_mes9[[#This Row],[IMPORTE NETO]]*0.21</f>
        <v>433.88519999999994</v>
      </c>
      <c r="J962" s="229"/>
      <c r="K962" s="229"/>
      <c r="L962" s="229">
        <v>2500.0051999999996</v>
      </c>
      <c r="M962" s="55"/>
    </row>
    <row r="963" spans="2:13" x14ac:dyDescent="0.3">
      <c r="B963" s="223" t="s">
        <v>2590</v>
      </c>
      <c r="C963" s="224">
        <v>6</v>
      </c>
      <c r="D963" s="225">
        <v>10</v>
      </c>
      <c r="E963" s="226">
        <v>44407</v>
      </c>
      <c r="F963" s="227"/>
      <c r="G963" s="1" t="str">
        <f>IFERROR(IF(ventas_b_mes9[[#This Row],[CUIT]]="","-",VLOOKUP(ventas_b_mes9[[#This Row],[CUIT]],Lista_CUIT[#All],2,0)),"CUIT NO CARGADO")</f>
        <v>-</v>
      </c>
      <c r="H963" s="60">
        <f>ventas_b_mes9[[#This Row],[TOTAL]]/1.21</f>
        <v>4958.68</v>
      </c>
      <c r="I963" s="228">
        <f>ventas_b_mes9[[#This Row],[IMPORTE NETO]]*0.21</f>
        <v>1041.3227999999999</v>
      </c>
      <c r="J963" s="229"/>
      <c r="K963" s="229"/>
      <c r="L963" s="229">
        <v>6000.0028000000002</v>
      </c>
      <c r="M963" s="55"/>
    </row>
    <row r="964" spans="2:13" x14ac:dyDescent="0.3">
      <c r="B964" s="223" t="s">
        <v>2590</v>
      </c>
      <c r="C964" s="224">
        <v>6</v>
      </c>
      <c r="D964" s="225">
        <v>10</v>
      </c>
      <c r="E964" s="226">
        <v>44408</v>
      </c>
      <c r="F964" s="227"/>
      <c r="G964" s="1" t="str">
        <f>IFERROR(IF(ventas_b_mes9[[#This Row],[CUIT]]="","-",VLOOKUP(ventas_b_mes9[[#This Row],[CUIT]],Lista_CUIT[#All],2,0)),"CUIT NO CARGADO")</f>
        <v>-</v>
      </c>
      <c r="H964" s="60">
        <f>ventas_b_mes9[[#This Row],[TOTAL]]/1.21</f>
        <v>4958.68</v>
      </c>
      <c r="I964" s="228">
        <f>ventas_b_mes9[[#This Row],[IMPORTE NETO]]*0.21</f>
        <v>1041.3227999999999</v>
      </c>
      <c r="J964" s="229"/>
      <c r="K964" s="229"/>
      <c r="L964" s="229">
        <v>6000.0028000000002</v>
      </c>
      <c r="M964" s="55"/>
    </row>
    <row r="965" spans="2:13" x14ac:dyDescent="0.3">
      <c r="B965" s="223" t="s">
        <v>2590</v>
      </c>
      <c r="C965" s="224">
        <v>6</v>
      </c>
      <c r="D965" s="225">
        <v>10</v>
      </c>
      <c r="E965" s="226">
        <v>44409</v>
      </c>
      <c r="F965" s="227"/>
      <c r="G965" s="1" t="str">
        <f>IFERROR(IF(ventas_b_mes9[[#This Row],[CUIT]]="","-",VLOOKUP(ventas_b_mes9[[#This Row],[CUIT]],Lista_CUIT[#All],2,0)),"CUIT NO CARGADO")</f>
        <v>-</v>
      </c>
      <c r="H965" s="60">
        <f>ventas_b_mes9[[#This Row],[TOTAL]]/1.21</f>
        <v>9586.7800000000007</v>
      </c>
      <c r="I965" s="228">
        <f>ventas_b_mes9[[#This Row],[IMPORTE NETO]]*0.21</f>
        <v>2013.2238</v>
      </c>
      <c r="J965" s="229"/>
      <c r="K965" s="229"/>
      <c r="L965" s="229">
        <v>11600.0038</v>
      </c>
      <c r="M965" s="55"/>
    </row>
    <row r="966" spans="2:13" x14ac:dyDescent="0.3">
      <c r="B966" s="223" t="s">
        <v>2590</v>
      </c>
      <c r="C966" s="224">
        <v>6</v>
      </c>
      <c r="D966" s="225">
        <v>10</v>
      </c>
      <c r="E966" s="226">
        <v>44410</v>
      </c>
      <c r="F966" s="227"/>
      <c r="G966" s="1" t="str">
        <f>IFERROR(IF(ventas_b_mes9[[#This Row],[CUIT]]="","-",VLOOKUP(ventas_b_mes9[[#This Row],[CUIT]],Lista_CUIT[#All],2,0)),"CUIT NO CARGADO")</f>
        <v>-</v>
      </c>
      <c r="H966" s="60">
        <f>ventas_b_mes9[[#This Row],[TOTAL]]/1.21</f>
        <v>4545.45</v>
      </c>
      <c r="I966" s="228">
        <f>ventas_b_mes9[[#This Row],[IMPORTE NETO]]*0.21</f>
        <v>954.54449999999997</v>
      </c>
      <c r="J966" s="229"/>
      <c r="K966" s="229"/>
      <c r="L966" s="229">
        <v>5499.9944999999998</v>
      </c>
      <c r="M966" s="55"/>
    </row>
    <row r="967" spans="2:13" x14ac:dyDescent="0.3">
      <c r="B967" s="223" t="s">
        <v>2590</v>
      </c>
      <c r="C967" s="224">
        <v>6</v>
      </c>
      <c r="D967" s="225">
        <v>10</v>
      </c>
      <c r="E967" s="226">
        <v>44411</v>
      </c>
      <c r="F967" s="227"/>
      <c r="G967" s="1" t="str">
        <f>IFERROR(IF(ventas_b_mes9[[#This Row],[CUIT]]="","-",VLOOKUP(ventas_b_mes9[[#This Row],[CUIT]],Lista_CUIT[#All],2,0)),"CUIT NO CARGADO")</f>
        <v>-</v>
      </c>
      <c r="H967" s="60">
        <f>ventas_b_mes9[[#This Row],[TOTAL]]/1.21</f>
        <v>2148.7600000000002</v>
      </c>
      <c r="I967" s="228">
        <f>ventas_b_mes9[[#This Row],[IMPORTE NETO]]*0.21</f>
        <v>451.23960000000005</v>
      </c>
      <c r="J967" s="229"/>
      <c r="K967" s="229"/>
      <c r="L967" s="229">
        <v>2599.9996000000001</v>
      </c>
      <c r="M967" s="55"/>
    </row>
    <row r="968" spans="2:13" x14ac:dyDescent="0.3">
      <c r="B968" s="223" t="s">
        <v>2590</v>
      </c>
      <c r="C968" s="224">
        <v>6</v>
      </c>
      <c r="D968" s="225">
        <v>10</v>
      </c>
      <c r="E968" s="226">
        <v>44412</v>
      </c>
      <c r="F968" s="227"/>
      <c r="G968" s="1" t="str">
        <f>IFERROR(IF(ventas_b_mes9[[#This Row],[CUIT]]="","-",VLOOKUP(ventas_b_mes9[[#This Row],[CUIT]],Lista_CUIT[#All],2,0)),"CUIT NO CARGADO")</f>
        <v>-</v>
      </c>
      <c r="H968" s="60">
        <f>ventas_b_mes9[[#This Row],[TOTAL]]/1.21</f>
        <v>4462.8100000000004</v>
      </c>
      <c r="I968" s="228">
        <f>ventas_b_mes9[[#This Row],[IMPORTE NETO]]*0.21</f>
        <v>937.19010000000003</v>
      </c>
      <c r="J968" s="229"/>
      <c r="K968" s="229"/>
      <c r="L968" s="229">
        <v>5400.0001000000002</v>
      </c>
      <c r="M968" s="55"/>
    </row>
    <row r="969" spans="2:13" x14ac:dyDescent="0.3">
      <c r="B969" s="223" t="s">
        <v>2590</v>
      </c>
      <c r="C969" s="224">
        <v>6</v>
      </c>
      <c r="D969" s="225">
        <v>10</v>
      </c>
      <c r="E969" s="226">
        <v>44413</v>
      </c>
      <c r="F969" s="227"/>
      <c r="G969" s="1" t="str">
        <f>IFERROR(IF(ventas_b_mes9[[#This Row],[CUIT]]="","-",VLOOKUP(ventas_b_mes9[[#This Row],[CUIT]],Lista_CUIT[#All],2,0)),"CUIT NO CARGADO")</f>
        <v>-</v>
      </c>
      <c r="H969" s="60">
        <f>ventas_b_mes9[[#This Row],[TOTAL]]/1.21</f>
        <v>13190.080000000002</v>
      </c>
      <c r="I969" s="228">
        <f>ventas_b_mes9[[#This Row],[IMPORTE NETO]]*0.21</f>
        <v>2769.9168000000004</v>
      </c>
      <c r="J969" s="229"/>
      <c r="K969" s="229"/>
      <c r="L969" s="229">
        <v>15959.996800000001</v>
      </c>
      <c r="M969" s="55"/>
    </row>
    <row r="970" spans="2:13" x14ac:dyDescent="0.3">
      <c r="B970" s="223" t="s">
        <v>2590</v>
      </c>
      <c r="C970" s="224">
        <v>6</v>
      </c>
      <c r="D970" s="225">
        <v>10</v>
      </c>
      <c r="E970" s="226">
        <v>44414</v>
      </c>
      <c r="F970" s="227"/>
      <c r="G970" s="1" t="str">
        <f>IFERROR(IF(ventas_b_mes9[[#This Row],[CUIT]]="","-",VLOOKUP(ventas_b_mes9[[#This Row],[CUIT]],Lista_CUIT[#All],2,0)),"CUIT NO CARGADO")</f>
        <v>-</v>
      </c>
      <c r="H970" s="60">
        <f>ventas_b_mes9[[#This Row],[TOTAL]]/1.21</f>
        <v>7371.9</v>
      </c>
      <c r="I970" s="228">
        <f>ventas_b_mes9[[#This Row],[IMPORTE NETO]]*0.21</f>
        <v>1548.0989999999999</v>
      </c>
      <c r="J970" s="229"/>
      <c r="K970" s="229"/>
      <c r="L970" s="229">
        <v>8919.9989999999998</v>
      </c>
      <c r="M970" s="55"/>
    </row>
    <row r="971" spans="2:13" x14ac:dyDescent="0.3">
      <c r="B971" s="223" t="s">
        <v>2590</v>
      </c>
      <c r="C971" s="224">
        <v>6</v>
      </c>
      <c r="D971" s="225">
        <v>12</v>
      </c>
      <c r="E971" s="226">
        <v>22996</v>
      </c>
      <c r="F971" s="227"/>
      <c r="G971" s="1" t="str">
        <f>IFERROR(IF(ventas_b_mes9[[#This Row],[CUIT]]="","-",VLOOKUP(ventas_b_mes9[[#This Row],[CUIT]],Lista_CUIT[#All],2,0)),"CUIT NO CARGADO")</f>
        <v>-</v>
      </c>
      <c r="H971" s="60">
        <f>ventas_b_mes9[[#This Row],[TOTAL]]/1.21</f>
        <v>6148.76</v>
      </c>
      <c r="I971" s="228">
        <f>ventas_b_mes9[[#This Row],[IMPORTE NETO]]*0.21</f>
        <v>1291.2396000000001</v>
      </c>
      <c r="J971" s="229"/>
      <c r="K971" s="229"/>
      <c r="L971" s="229">
        <v>7439.9996000000001</v>
      </c>
      <c r="M971" s="55"/>
    </row>
    <row r="972" spans="2:13" x14ac:dyDescent="0.3">
      <c r="B972" s="223" t="s">
        <v>2590</v>
      </c>
      <c r="C972" s="224">
        <v>6</v>
      </c>
      <c r="D972" s="225">
        <v>12</v>
      </c>
      <c r="E972" s="226">
        <v>22997</v>
      </c>
      <c r="F972" s="227"/>
      <c r="G972" s="1" t="str">
        <f>IFERROR(IF(ventas_b_mes9[[#This Row],[CUIT]]="","-",VLOOKUP(ventas_b_mes9[[#This Row],[CUIT]],Lista_CUIT[#All],2,0)),"CUIT NO CARGADO")</f>
        <v>-</v>
      </c>
      <c r="H972" s="60">
        <f>ventas_b_mes9[[#This Row],[TOTAL]]/1.21</f>
        <v>1000</v>
      </c>
      <c r="I972" s="228">
        <f>ventas_b_mes9[[#This Row],[IMPORTE NETO]]*0.21</f>
        <v>210</v>
      </c>
      <c r="J972" s="229"/>
      <c r="K972" s="229"/>
      <c r="L972" s="229">
        <v>1210</v>
      </c>
      <c r="M972" s="55"/>
    </row>
    <row r="973" spans="2:13" x14ac:dyDescent="0.3">
      <c r="B973" s="223" t="s">
        <v>2590</v>
      </c>
      <c r="C973" s="224">
        <v>6</v>
      </c>
      <c r="D973" s="225">
        <v>12</v>
      </c>
      <c r="E973" s="226">
        <v>22998</v>
      </c>
      <c r="F973" s="227"/>
      <c r="G973" s="1" t="str">
        <f>IFERROR(IF(ventas_b_mes9[[#This Row],[CUIT]]="","-",VLOOKUP(ventas_b_mes9[[#This Row],[CUIT]],Lista_CUIT[#All],2,0)),"CUIT NO CARGADO")</f>
        <v>-</v>
      </c>
      <c r="H973" s="60">
        <f>ventas_b_mes9[[#This Row],[TOTAL]]/1.21</f>
        <v>4545.45</v>
      </c>
      <c r="I973" s="228">
        <f>ventas_b_mes9[[#This Row],[IMPORTE NETO]]*0.21</f>
        <v>954.54449999999997</v>
      </c>
      <c r="J973" s="229"/>
      <c r="K973" s="229"/>
      <c r="L973" s="229">
        <v>5499.9944999999998</v>
      </c>
      <c r="M973" s="55"/>
    </row>
    <row r="974" spans="2:13" x14ac:dyDescent="0.3">
      <c r="B974" s="223" t="s">
        <v>2590</v>
      </c>
      <c r="C974" s="224">
        <v>6</v>
      </c>
      <c r="D974" s="225">
        <v>12</v>
      </c>
      <c r="E974" s="226">
        <v>22999</v>
      </c>
      <c r="F974" s="227"/>
      <c r="G974" s="1" t="str">
        <f>IFERROR(IF(ventas_b_mes9[[#This Row],[CUIT]]="","-",VLOOKUP(ventas_b_mes9[[#This Row],[CUIT]],Lista_CUIT[#All],2,0)),"CUIT NO CARGADO")</f>
        <v>-</v>
      </c>
      <c r="H974" s="60">
        <f>ventas_b_mes9[[#This Row],[TOTAL]]/1.21</f>
        <v>10115.719999999999</v>
      </c>
      <c r="I974" s="228">
        <f>ventas_b_mes9[[#This Row],[IMPORTE NETO]]*0.21</f>
        <v>2124.3011999999999</v>
      </c>
      <c r="J974" s="229"/>
      <c r="K974" s="229"/>
      <c r="L974" s="229">
        <v>12240.021199999999</v>
      </c>
      <c r="M974" s="55"/>
    </row>
    <row r="975" spans="2:13" x14ac:dyDescent="0.3">
      <c r="B975" s="223" t="s">
        <v>2590</v>
      </c>
      <c r="C975" s="224">
        <v>6</v>
      </c>
      <c r="D975" s="225">
        <v>12</v>
      </c>
      <c r="E975" s="226">
        <v>23000</v>
      </c>
      <c r="F975" s="227"/>
      <c r="G975" s="1" t="str">
        <f>IFERROR(IF(ventas_b_mes9[[#This Row],[CUIT]]="","-",VLOOKUP(ventas_b_mes9[[#This Row],[CUIT]],Lista_CUIT[#All],2,0)),"CUIT NO CARGADO")</f>
        <v>-</v>
      </c>
      <c r="H975" s="60">
        <f>ventas_b_mes9[[#This Row],[TOTAL]]/1.21</f>
        <v>4958.68</v>
      </c>
      <c r="I975" s="228">
        <f>ventas_b_mes9[[#This Row],[IMPORTE NETO]]*0.21</f>
        <v>1041.3227999999999</v>
      </c>
      <c r="J975" s="229"/>
      <c r="K975" s="229"/>
      <c r="L975" s="229">
        <v>6000.0028000000002</v>
      </c>
      <c r="M975" s="55"/>
    </row>
    <row r="976" spans="2:13" x14ac:dyDescent="0.3">
      <c r="B976" s="223" t="s">
        <v>2590</v>
      </c>
      <c r="C976" s="224">
        <v>6</v>
      </c>
      <c r="D976" s="225">
        <v>12</v>
      </c>
      <c r="E976" s="226">
        <v>23001</v>
      </c>
      <c r="F976" s="227"/>
      <c r="G976" s="1" t="str">
        <f>IFERROR(IF(ventas_b_mes9[[#This Row],[CUIT]]="","-",VLOOKUP(ventas_b_mes9[[#This Row],[CUIT]],Lista_CUIT[#All],2,0)),"CUIT NO CARGADO")</f>
        <v>-</v>
      </c>
      <c r="H976" s="60">
        <f>ventas_b_mes9[[#This Row],[TOTAL]]/1.21</f>
        <v>4958.68</v>
      </c>
      <c r="I976" s="228">
        <f>ventas_b_mes9[[#This Row],[IMPORTE NETO]]*0.21</f>
        <v>1041.3227999999999</v>
      </c>
      <c r="J976" s="229"/>
      <c r="K976" s="229"/>
      <c r="L976" s="229">
        <v>6000.0028000000002</v>
      </c>
      <c r="M976" s="55"/>
    </row>
    <row r="977" spans="2:13" x14ac:dyDescent="0.3">
      <c r="B977" s="223" t="s">
        <v>2590</v>
      </c>
      <c r="C977" s="224">
        <v>6</v>
      </c>
      <c r="D977" s="225">
        <v>12</v>
      </c>
      <c r="E977" s="226">
        <v>23002</v>
      </c>
      <c r="F977" s="227"/>
      <c r="G977" s="1" t="str">
        <f>IFERROR(IF(ventas_b_mes9[[#This Row],[CUIT]]="","-",VLOOKUP(ventas_b_mes9[[#This Row],[CUIT]],Lista_CUIT[#All],2,0)),"CUIT NO CARGADO")</f>
        <v>-</v>
      </c>
      <c r="H977" s="60">
        <f>ventas_b_mes9[[#This Row],[TOTAL]]/1.21</f>
        <v>4958.68</v>
      </c>
      <c r="I977" s="228">
        <f>ventas_b_mes9[[#This Row],[IMPORTE NETO]]*0.21</f>
        <v>1041.3227999999999</v>
      </c>
      <c r="J977" s="229"/>
      <c r="K977" s="229"/>
      <c r="L977" s="229">
        <v>6000.0028000000002</v>
      </c>
      <c r="M977" s="55"/>
    </row>
    <row r="978" spans="2:13" x14ac:dyDescent="0.3">
      <c r="B978" s="223" t="s">
        <v>2590</v>
      </c>
      <c r="C978" s="224">
        <v>6</v>
      </c>
      <c r="D978" s="225">
        <v>12</v>
      </c>
      <c r="E978" s="226">
        <v>23003</v>
      </c>
      <c r="F978" s="227"/>
      <c r="G978" s="1" t="str">
        <f>IFERROR(IF(ventas_b_mes9[[#This Row],[CUIT]]="","-",VLOOKUP(ventas_b_mes9[[#This Row],[CUIT]],Lista_CUIT[#All],2,0)),"CUIT NO CARGADO")</f>
        <v>-</v>
      </c>
      <c r="H978" s="60">
        <f>ventas_b_mes9[[#This Row],[TOTAL]]/1.21</f>
        <v>1487.6</v>
      </c>
      <c r="I978" s="228">
        <f>ventas_b_mes9[[#This Row],[IMPORTE NETO]]*0.21</f>
        <v>312.39599999999996</v>
      </c>
      <c r="J978" s="229"/>
      <c r="K978" s="229"/>
      <c r="L978" s="229">
        <v>1799.9959999999999</v>
      </c>
      <c r="M978" s="55"/>
    </row>
    <row r="979" spans="2:13" x14ac:dyDescent="0.3">
      <c r="B979" s="223" t="s">
        <v>2591</v>
      </c>
      <c r="C979" s="224">
        <v>6</v>
      </c>
      <c r="D979" s="225">
        <v>11</v>
      </c>
      <c r="E979" s="226">
        <v>30537</v>
      </c>
      <c r="F979" s="227"/>
      <c r="G979" s="1" t="str">
        <f>IFERROR(IF(ventas_b_mes9[[#This Row],[CUIT]]="","-",VLOOKUP(ventas_b_mes9[[#This Row],[CUIT]],Lista_CUIT[#All],2,0)),"CUIT NO CARGADO")</f>
        <v>-</v>
      </c>
      <c r="H979" s="60">
        <f>ventas_b_mes9[[#This Row],[TOTAL]]/1.21</f>
        <v>4545.45</v>
      </c>
      <c r="I979" s="228">
        <f>ventas_b_mes9[[#This Row],[IMPORTE NETO]]*0.21</f>
        <v>954.54449999999997</v>
      </c>
      <c r="J979" s="229"/>
      <c r="K979" s="229"/>
      <c r="L979" s="229">
        <v>5499.9944999999998</v>
      </c>
      <c r="M979" s="55"/>
    </row>
    <row r="980" spans="2:13" x14ac:dyDescent="0.3">
      <c r="B980" s="223" t="s">
        <v>2591</v>
      </c>
      <c r="C980" s="224">
        <v>6</v>
      </c>
      <c r="D980" s="225">
        <v>13</v>
      </c>
      <c r="E980" s="226">
        <v>27083</v>
      </c>
      <c r="F980" s="227"/>
      <c r="G980" s="1" t="str">
        <f>IFERROR(IF(ventas_b_mes9[[#This Row],[CUIT]]="","-",VLOOKUP(ventas_b_mes9[[#This Row],[CUIT]],Lista_CUIT[#All],2,0)),"CUIT NO CARGADO")</f>
        <v>-</v>
      </c>
      <c r="H980" s="60">
        <f>ventas_b_mes9[[#This Row],[TOTAL]]/1.21</f>
        <v>1636.36</v>
      </c>
      <c r="I980" s="228">
        <f>ventas_b_mes9[[#This Row],[IMPORTE NETO]]*0.21</f>
        <v>343.63559999999995</v>
      </c>
      <c r="J980" s="229"/>
      <c r="K980" s="229"/>
      <c r="L980" s="229">
        <v>1979.9955999999997</v>
      </c>
      <c r="M980" s="55"/>
    </row>
    <row r="981" spans="2:13" x14ac:dyDescent="0.3">
      <c r="B981" s="223" t="s">
        <v>2591</v>
      </c>
      <c r="C981" s="224">
        <v>6</v>
      </c>
      <c r="D981" s="225">
        <v>13</v>
      </c>
      <c r="E981" s="226">
        <v>27084</v>
      </c>
      <c r="F981" s="227"/>
      <c r="G981" s="1" t="str">
        <f>IFERROR(IF(ventas_b_mes9[[#This Row],[CUIT]]="","-",VLOOKUP(ventas_b_mes9[[#This Row],[CUIT]],Lista_CUIT[#All],2,0)),"CUIT NO CARGADO")</f>
        <v>-</v>
      </c>
      <c r="H981" s="60">
        <f>ventas_b_mes9[[#This Row],[TOTAL]]/1.21</f>
        <v>4710.75</v>
      </c>
      <c r="I981" s="228">
        <f>ventas_b_mes9[[#This Row],[IMPORTE NETO]]*0.21</f>
        <v>989.25749999999994</v>
      </c>
      <c r="J981" s="229"/>
      <c r="K981" s="229"/>
      <c r="L981" s="229">
        <v>5700.0074999999997</v>
      </c>
      <c r="M981" s="55"/>
    </row>
    <row r="982" spans="2:13" x14ac:dyDescent="0.3">
      <c r="B982" s="223" t="s">
        <v>2591</v>
      </c>
      <c r="C982" s="224">
        <v>6</v>
      </c>
      <c r="D982" s="225">
        <v>13</v>
      </c>
      <c r="E982" s="226">
        <v>27085</v>
      </c>
      <c r="F982" s="227"/>
      <c r="G982" s="1" t="str">
        <f>IFERROR(IF(ventas_b_mes9[[#This Row],[CUIT]]="","-",VLOOKUP(ventas_b_mes9[[#This Row],[CUIT]],Lista_CUIT[#All],2,0)),"CUIT NO CARGADO")</f>
        <v>-</v>
      </c>
      <c r="H982" s="60">
        <f>ventas_b_mes9[[#This Row],[TOTAL]]/1.21</f>
        <v>632.23</v>
      </c>
      <c r="I982" s="228">
        <f>ventas_b_mes9[[#This Row],[IMPORTE NETO]]*0.21</f>
        <v>132.76830000000001</v>
      </c>
      <c r="J982" s="229"/>
      <c r="K982" s="229"/>
      <c r="L982" s="229">
        <v>764.99829999999997</v>
      </c>
      <c r="M982" s="55"/>
    </row>
    <row r="983" spans="2:13" x14ac:dyDescent="0.3">
      <c r="B983" s="223" t="s">
        <v>2591</v>
      </c>
      <c r="C983" s="224">
        <v>6</v>
      </c>
      <c r="D983" s="225">
        <v>13</v>
      </c>
      <c r="E983" s="226">
        <v>27086</v>
      </c>
      <c r="F983" s="227"/>
      <c r="G983" s="1" t="str">
        <f>IFERROR(IF(ventas_b_mes9[[#This Row],[CUIT]]="","-",VLOOKUP(ventas_b_mes9[[#This Row],[CUIT]],Lista_CUIT[#All],2,0)),"CUIT NO CARGADO")</f>
        <v>-</v>
      </c>
      <c r="H983" s="60">
        <f>ventas_b_mes9[[#This Row],[TOTAL]]/1.21</f>
        <v>227.27000000000004</v>
      </c>
      <c r="I983" s="228">
        <f>ventas_b_mes9[[#This Row],[IMPORTE NETO]]*0.21</f>
        <v>47.726700000000008</v>
      </c>
      <c r="J983" s="229"/>
      <c r="K983" s="229"/>
      <c r="L983" s="229">
        <v>274.99670000000003</v>
      </c>
      <c r="M983" s="55"/>
    </row>
    <row r="984" spans="2:13" x14ac:dyDescent="0.3">
      <c r="B984" s="223" t="s">
        <v>2591</v>
      </c>
      <c r="C984" s="224">
        <v>6</v>
      </c>
      <c r="D984" s="225">
        <v>13</v>
      </c>
      <c r="E984" s="226">
        <v>27087</v>
      </c>
      <c r="F984" s="227"/>
      <c r="G984" s="1" t="str">
        <f>IFERROR(IF(ventas_b_mes9[[#This Row],[CUIT]]="","-",VLOOKUP(ventas_b_mes9[[#This Row],[CUIT]],Lista_CUIT[#All],2,0)),"CUIT NO CARGADO")</f>
        <v>-</v>
      </c>
      <c r="H984" s="60">
        <f>ventas_b_mes9[[#This Row],[TOTAL]]/1.21</f>
        <v>2148.7600000000002</v>
      </c>
      <c r="I984" s="228">
        <f>ventas_b_mes9[[#This Row],[IMPORTE NETO]]*0.21</f>
        <v>451.23960000000005</v>
      </c>
      <c r="J984" s="229"/>
      <c r="K984" s="229"/>
      <c r="L984" s="229">
        <v>2599.9996000000001</v>
      </c>
      <c r="M984" s="55"/>
    </row>
    <row r="985" spans="2:13" x14ac:dyDescent="0.3">
      <c r="B985" s="223" t="s">
        <v>2591</v>
      </c>
      <c r="C985" s="224">
        <v>6</v>
      </c>
      <c r="D985" s="225">
        <v>13</v>
      </c>
      <c r="E985" s="226">
        <v>27088</v>
      </c>
      <c r="F985" s="227"/>
      <c r="G985" s="1" t="str">
        <f>IFERROR(IF(ventas_b_mes9[[#This Row],[CUIT]]="","-",VLOOKUP(ventas_b_mes9[[#This Row],[CUIT]],Lista_CUIT[#All],2,0)),"CUIT NO CARGADO")</f>
        <v>-</v>
      </c>
      <c r="H985" s="60">
        <f>ventas_b_mes9[[#This Row],[TOTAL]]/1.21</f>
        <v>2148.7600000000002</v>
      </c>
      <c r="I985" s="228">
        <f>ventas_b_mes9[[#This Row],[IMPORTE NETO]]*0.21</f>
        <v>451.23960000000005</v>
      </c>
      <c r="J985" s="229"/>
      <c r="K985" s="229"/>
      <c r="L985" s="229">
        <v>2599.9996000000001</v>
      </c>
      <c r="M985" s="55"/>
    </row>
    <row r="986" spans="2:13" x14ac:dyDescent="0.3">
      <c r="B986" s="223" t="s">
        <v>2591</v>
      </c>
      <c r="C986" s="224">
        <v>6</v>
      </c>
      <c r="D986" s="225">
        <v>13</v>
      </c>
      <c r="E986" s="226">
        <v>27089</v>
      </c>
      <c r="F986" s="227"/>
      <c r="G986" s="1" t="str">
        <f>IFERROR(IF(ventas_b_mes9[[#This Row],[CUIT]]="","-",VLOOKUP(ventas_b_mes9[[#This Row],[CUIT]],Lista_CUIT[#All],2,0)),"CUIT NO CARGADO")</f>
        <v>-</v>
      </c>
      <c r="H986" s="60">
        <f>ventas_b_mes9[[#This Row],[TOTAL]]/1.21</f>
        <v>2066.12</v>
      </c>
      <c r="I986" s="228">
        <f>ventas_b_mes9[[#This Row],[IMPORTE NETO]]*0.21</f>
        <v>433.88519999999994</v>
      </c>
      <c r="J986" s="229"/>
      <c r="K986" s="229"/>
      <c r="L986" s="229">
        <v>2500.0051999999996</v>
      </c>
      <c r="M986" s="55"/>
    </row>
    <row r="987" spans="2:13" x14ac:dyDescent="0.3">
      <c r="B987" s="223" t="s">
        <v>2591</v>
      </c>
      <c r="C987" s="224">
        <v>6</v>
      </c>
      <c r="D987" s="225">
        <v>11</v>
      </c>
      <c r="E987" s="226">
        <v>30538</v>
      </c>
      <c r="F987" s="227"/>
      <c r="G987" s="1" t="str">
        <f>IFERROR(IF(ventas_b_mes9[[#This Row],[CUIT]]="","-",VLOOKUP(ventas_b_mes9[[#This Row],[CUIT]],Lista_CUIT[#All],2,0)),"CUIT NO CARGADO")</f>
        <v>-</v>
      </c>
      <c r="H987" s="60">
        <f>ventas_b_mes9[[#This Row],[TOTAL]]/1.21</f>
        <v>4586.78</v>
      </c>
      <c r="I987" s="228">
        <f>ventas_b_mes9[[#This Row],[IMPORTE NETO]]*0.21</f>
        <v>963.22379999999987</v>
      </c>
      <c r="J987" s="229"/>
      <c r="K987" s="229"/>
      <c r="L987" s="229">
        <v>5550.0037999999995</v>
      </c>
      <c r="M987" s="55"/>
    </row>
    <row r="988" spans="2:13" x14ac:dyDescent="0.3">
      <c r="B988" s="223" t="s">
        <v>2591</v>
      </c>
      <c r="C988" s="224">
        <v>6</v>
      </c>
      <c r="D988" s="225">
        <v>11</v>
      </c>
      <c r="E988" s="226">
        <v>30539</v>
      </c>
      <c r="F988" s="227"/>
      <c r="G988" s="1" t="str">
        <f>IFERROR(IF(ventas_b_mes9[[#This Row],[CUIT]]="","-",VLOOKUP(ventas_b_mes9[[#This Row],[CUIT]],Lista_CUIT[#All],2,0)),"CUIT NO CARGADO")</f>
        <v>-</v>
      </c>
      <c r="H988" s="60">
        <f>ventas_b_mes9[[#This Row],[TOTAL]]/1.21</f>
        <v>4090.91</v>
      </c>
      <c r="I988" s="228">
        <f>ventas_b_mes9[[#This Row],[IMPORTE NETO]]*0.21</f>
        <v>859.09109999999998</v>
      </c>
      <c r="J988" s="229"/>
      <c r="K988" s="229"/>
      <c r="L988" s="229">
        <v>4950.0010999999995</v>
      </c>
      <c r="M988" s="55"/>
    </row>
    <row r="989" spans="2:13" x14ac:dyDescent="0.3">
      <c r="B989" s="223" t="s">
        <v>2591</v>
      </c>
      <c r="C989" s="224">
        <v>6</v>
      </c>
      <c r="D989" s="225">
        <v>11</v>
      </c>
      <c r="E989" s="226">
        <v>30540</v>
      </c>
      <c r="F989" s="227"/>
      <c r="G989" s="1" t="str">
        <f>IFERROR(IF(ventas_b_mes9[[#This Row],[CUIT]]="","-",VLOOKUP(ventas_b_mes9[[#This Row],[CUIT]],Lista_CUIT[#All],2,0)),"CUIT NO CARGADO")</f>
        <v>-</v>
      </c>
      <c r="H989" s="60">
        <f>ventas_b_mes9[[#This Row],[TOTAL]]/1.21</f>
        <v>1983.47</v>
      </c>
      <c r="I989" s="228">
        <f>ventas_b_mes9[[#This Row],[IMPORTE NETO]]*0.21</f>
        <v>416.52870000000001</v>
      </c>
      <c r="J989" s="229"/>
      <c r="K989" s="229"/>
      <c r="L989" s="229">
        <v>2399.9987000000001</v>
      </c>
      <c r="M989" s="55"/>
    </row>
    <row r="990" spans="2:13" x14ac:dyDescent="0.3">
      <c r="B990" s="223" t="s">
        <v>2591</v>
      </c>
      <c r="C990" s="224">
        <v>6</v>
      </c>
      <c r="D990" s="225">
        <v>11</v>
      </c>
      <c r="E990" s="226">
        <v>30541</v>
      </c>
      <c r="F990" s="227"/>
      <c r="G990" s="1" t="str">
        <f>IFERROR(IF(ventas_b_mes9[[#This Row],[CUIT]]="","-",VLOOKUP(ventas_b_mes9[[#This Row],[CUIT]],Lista_CUIT[#All],2,0)),"CUIT NO CARGADO")</f>
        <v>-</v>
      </c>
      <c r="H990" s="60">
        <f>ventas_b_mes9[[#This Row],[TOTAL]]/1.21</f>
        <v>7953.55</v>
      </c>
      <c r="I990" s="228">
        <f>ventas_b_mes9[[#This Row],[IMPORTE NETO]]*0.21</f>
        <v>1670.2455</v>
      </c>
      <c r="J990" s="229"/>
      <c r="K990" s="229"/>
      <c r="L990" s="229">
        <v>9623.7955000000002</v>
      </c>
      <c r="M990" s="55"/>
    </row>
    <row r="991" spans="2:13" x14ac:dyDescent="0.3">
      <c r="B991" s="223" t="s">
        <v>2591</v>
      </c>
      <c r="C991" s="224">
        <v>6</v>
      </c>
      <c r="D991" s="225">
        <v>11</v>
      </c>
      <c r="E991" s="226">
        <v>30542</v>
      </c>
      <c r="F991" s="227"/>
      <c r="G991" s="1" t="str">
        <f>IFERROR(IF(ventas_b_mes9[[#This Row],[CUIT]]="","-",VLOOKUP(ventas_b_mes9[[#This Row],[CUIT]],Lista_CUIT[#All],2,0)),"CUIT NO CARGADO")</f>
        <v>-</v>
      </c>
      <c r="H991" s="60">
        <f>ventas_b_mes9[[#This Row],[TOTAL]]/1.21</f>
        <v>2380.17</v>
      </c>
      <c r="I991" s="228">
        <f>ventas_b_mes9[[#This Row],[IMPORTE NETO]]*0.21</f>
        <v>499.83569999999997</v>
      </c>
      <c r="J991" s="229"/>
      <c r="K991" s="229"/>
      <c r="L991" s="229">
        <v>2880.0057000000002</v>
      </c>
      <c r="M991" s="55"/>
    </row>
    <row r="992" spans="2:13" x14ac:dyDescent="0.3">
      <c r="B992" s="223" t="s">
        <v>2591</v>
      </c>
      <c r="C992" s="224">
        <v>6</v>
      </c>
      <c r="D992" s="225">
        <v>11</v>
      </c>
      <c r="E992" s="226">
        <v>30543</v>
      </c>
      <c r="F992" s="227"/>
      <c r="G992" s="1" t="str">
        <f>IFERROR(IF(ventas_b_mes9[[#This Row],[CUIT]]="","-",VLOOKUP(ventas_b_mes9[[#This Row],[CUIT]],Lista_CUIT[#All],2,0)),"CUIT NO CARGADO")</f>
        <v>-</v>
      </c>
      <c r="H992" s="60">
        <f>ventas_b_mes9[[#This Row],[TOTAL]]/1.21</f>
        <v>4314.07</v>
      </c>
      <c r="I992" s="228">
        <f>ventas_b_mes9[[#This Row],[IMPORTE NETO]]*0.21</f>
        <v>905.95469999999989</v>
      </c>
      <c r="J992" s="229"/>
      <c r="K992" s="229"/>
      <c r="L992" s="229">
        <v>5220.0246999999999</v>
      </c>
      <c r="M992" s="55"/>
    </row>
    <row r="993" spans="2:13" x14ac:dyDescent="0.3">
      <c r="B993" s="223" t="s">
        <v>2591</v>
      </c>
      <c r="C993" s="224">
        <v>6</v>
      </c>
      <c r="D993" s="225">
        <v>11</v>
      </c>
      <c r="E993" s="226">
        <v>30544</v>
      </c>
      <c r="F993" s="227"/>
      <c r="G993" s="1" t="str">
        <f>IFERROR(IF(ventas_b_mes9[[#This Row],[CUIT]]="","-",VLOOKUP(ventas_b_mes9[[#This Row],[CUIT]],Lista_CUIT[#All],2,0)),"CUIT NO CARGADO")</f>
        <v>-</v>
      </c>
      <c r="H993" s="60">
        <f>ventas_b_mes9[[#This Row],[TOTAL]]/1.21</f>
        <v>2566.12</v>
      </c>
      <c r="I993" s="228">
        <f>ventas_b_mes9[[#This Row],[IMPORTE NETO]]*0.21</f>
        <v>538.88519999999994</v>
      </c>
      <c r="J993" s="229"/>
      <c r="K993" s="229"/>
      <c r="L993" s="229">
        <v>3105.0051999999996</v>
      </c>
      <c r="M993" s="55"/>
    </row>
    <row r="994" spans="2:13" x14ac:dyDescent="0.3">
      <c r="B994" s="223" t="s">
        <v>2591</v>
      </c>
      <c r="C994" s="224">
        <v>6</v>
      </c>
      <c r="D994" s="225">
        <v>11</v>
      </c>
      <c r="E994" s="226">
        <v>30545</v>
      </c>
      <c r="F994" s="227"/>
      <c r="G994" s="1" t="str">
        <f>IFERROR(IF(ventas_b_mes9[[#This Row],[CUIT]]="","-",VLOOKUP(ventas_b_mes9[[#This Row],[CUIT]],Lista_CUIT[#All],2,0)),"CUIT NO CARGADO")</f>
        <v>-</v>
      </c>
      <c r="H994" s="60">
        <f>ventas_b_mes9[[#This Row],[TOTAL]]/1.21</f>
        <v>6961.9900000000007</v>
      </c>
      <c r="I994" s="228">
        <f>ventas_b_mes9[[#This Row],[IMPORTE NETO]]*0.21</f>
        <v>1462.0179000000001</v>
      </c>
      <c r="J994" s="229"/>
      <c r="K994" s="229"/>
      <c r="L994" s="229">
        <v>8424.0079000000005</v>
      </c>
      <c r="M994" s="55"/>
    </row>
    <row r="995" spans="2:13" x14ac:dyDescent="0.3">
      <c r="B995" s="223" t="s">
        <v>2591</v>
      </c>
      <c r="C995" s="224">
        <v>6</v>
      </c>
      <c r="D995" s="225">
        <v>11</v>
      </c>
      <c r="E995" s="226">
        <v>30546</v>
      </c>
      <c r="F995" s="227"/>
      <c r="G995" s="1" t="str">
        <f>IFERROR(IF(ventas_b_mes9[[#This Row],[CUIT]]="","-",VLOOKUP(ventas_b_mes9[[#This Row],[CUIT]],Lista_CUIT[#All],2,0)),"CUIT NO CARGADO")</f>
        <v>-</v>
      </c>
      <c r="H995" s="60">
        <f>ventas_b_mes9[[#This Row],[TOTAL]]/1.21</f>
        <v>3709.0900000000006</v>
      </c>
      <c r="I995" s="228">
        <f>ventas_b_mes9[[#This Row],[IMPORTE NETO]]*0.21</f>
        <v>778.90890000000013</v>
      </c>
      <c r="J995" s="229"/>
      <c r="K995" s="229"/>
      <c r="L995" s="229">
        <v>4487.9989000000005</v>
      </c>
      <c r="M995" s="55"/>
    </row>
    <row r="996" spans="2:13" x14ac:dyDescent="0.3">
      <c r="B996" s="223" t="s">
        <v>2591</v>
      </c>
      <c r="C996" s="224">
        <v>6</v>
      </c>
      <c r="D996" s="225">
        <v>11</v>
      </c>
      <c r="E996" s="226">
        <v>30547</v>
      </c>
      <c r="F996" s="227"/>
      <c r="G996" s="1" t="str">
        <f>IFERROR(IF(ventas_b_mes9[[#This Row],[CUIT]]="","-",VLOOKUP(ventas_b_mes9[[#This Row],[CUIT]],Lista_CUIT[#All],2,0)),"CUIT NO CARGADO")</f>
        <v>-</v>
      </c>
      <c r="H996" s="60">
        <f>ventas_b_mes9[[#This Row],[TOTAL]]/1.21</f>
        <v>5619.8300000000008</v>
      </c>
      <c r="I996" s="228">
        <f>ventas_b_mes9[[#This Row],[IMPORTE NETO]]*0.21</f>
        <v>1180.1643000000001</v>
      </c>
      <c r="J996" s="229"/>
      <c r="K996" s="229"/>
      <c r="L996" s="229">
        <v>6799.9943000000003</v>
      </c>
      <c r="M996" s="55"/>
    </row>
    <row r="997" spans="2:13" x14ac:dyDescent="0.3">
      <c r="B997" s="223" t="s">
        <v>2591</v>
      </c>
      <c r="C997" s="224">
        <v>6</v>
      </c>
      <c r="D997" s="225">
        <v>11</v>
      </c>
      <c r="E997" s="226">
        <v>30548</v>
      </c>
      <c r="F997" s="227"/>
      <c r="G997" s="1" t="str">
        <f>IFERROR(IF(ventas_b_mes9[[#This Row],[CUIT]]="","-",VLOOKUP(ventas_b_mes9[[#This Row],[CUIT]],Lista_CUIT[#All],2,0)),"CUIT NO CARGADO")</f>
        <v>-</v>
      </c>
      <c r="H997" s="60">
        <f>ventas_b_mes9[[#This Row],[TOTAL]]/1.21</f>
        <v>13926.02</v>
      </c>
      <c r="I997" s="228">
        <f>ventas_b_mes9[[#This Row],[IMPORTE NETO]]*0.21</f>
        <v>2924.4641999999999</v>
      </c>
      <c r="J997" s="229"/>
      <c r="K997" s="229"/>
      <c r="L997" s="229">
        <v>16850.484199999999</v>
      </c>
      <c r="M997" s="55"/>
    </row>
    <row r="998" spans="2:13" x14ac:dyDescent="0.3">
      <c r="B998" s="223" t="s">
        <v>2591</v>
      </c>
      <c r="C998" s="224">
        <v>6</v>
      </c>
      <c r="D998" s="225">
        <v>11</v>
      </c>
      <c r="E998" s="226">
        <v>30549</v>
      </c>
      <c r="F998" s="227"/>
      <c r="G998" s="1" t="str">
        <f>IFERROR(IF(ventas_b_mes9[[#This Row],[CUIT]]="","-",VLOOKUP(ventas_b_mes9[[#This Row],[CUIT]],Lista_CUIT[#All],2,0)),"CUIT NO CARGADO")</f>
        <v>-</v>
      </c>
      <c r="H998" s="60">
        <f>ventas_b_mes9[[#This Row],[TOTAL]]/1.21</f>
        <v>9020.66</v>
      </c>
      <c r="I998" s="228">
        <f>ventas_b_mes9[[#This Row],[IMPORTE NETO]]*0.21</f>
        <v>1894.3385999999998</v>
      </c>
      <c r="J998" s="229"/>
      <c r="K998" s="229"/>
      <c r="L998" s="229">
        <v>10914.998599999999</v>
      </c>
      <c r="M998" s="55"/>
    </row>
    <row r="999" spans="2:13" x14ac:dyDescent="0.3">
      <c r="B999" s="223" t="s">
        <v>2591</v>
      </c>
      <c r="C999" s="224">
        <v>6</v>
      </c>
      <c r="D999" s="225">
        <v>11</v>
      </c>
      <c r="E999" s="226">
        <v>30550</v>
      </c>
      <c r="F999" s="227"/>
      <c r="G999" s="1" t="str">
        <f>IFERROR(IF(ventas_b_mes9[[#This Row],[CUIT]]="","-",VLOOKUP(ventas_b_mes9[[#This Row],[CUIT]],Lista_CUIT[#All],2,0)),"CUIT NO CARGADO")</f>
        <v>-</v>
      </c>
      <c r="H999" s="60">
        <f>ventas_b_mes9[[#This Row],[TOTAL]]/1.21</f>
        <v>3329.75</v>
      </c>
      <c r="I999" s="228">
        <f>ventas_b_mes9[[#This Row],[IMPORTE NETO]]*0.21</f>
        <v>699.24749999999995</v>
      </c>
      <c r="J999" s="229"/>
      <c r="K999" s="229"/>
      <c r="L999" s="229">
        <v>4028.9974999999999</v>
      </c>
      <c r="M999" s="55"/>
    </row>
    <row r="1000" spans="2:13" x14ac:dyDescent="0.3">
      <c r="B1000" s="223" t="s">
        <v>2591</v>
      </c>
      <c r="C1000" s="224">
        <v>6</v>
      </c>
      <c r="D1000" s="225">
        <v>11</v>
      </c>
      <c r="E1000" s="226">
        <v>30551</v>
      </c>
      <c r="F1000" s="227"/>
      <c r="G1000" s="1" t="str">
        <f>IFERROR(IF(ventas_b_mes9[[#This Row],[CUIT]]="","-",VLOOKUP(ventas_b_mes9[[#This Row],[CUIT]],Lista_CUIT[#All],2,0)),"CUIT NO CARGADO")</f>
        <v>-</v>
      </c>
      <c r="H1000" s="60">
        <f>ventas_b_mes9[[#This Row],[TOTAL]]/1.21</f>
        <v>28630.59</v>
      </c>
      <c r="I1000" s="228">
        <f>ventas_b_mes9[[#This Row],[IMPORTE NETO]]*0.21</f>
        <v>6012.4238999999998</v>
      </c>
      <c r="J1000" s="229"/>
      <c r="K1000" s="229"/>
      <c r="L1000" s="229">
        <v>34643.013899999998</v>
      </c>
      <c r="M1000" s="55"/>
    </row>
    <row r="1001" spans="2:13" x14ac:dyDescent="0.3">
      <c r="B1001" s="223" t="s">
        <v>2591</v>
      </c>
      <c r="C1001" s="224">
        <v>6</v>
      </c>
      <c r="D1001" s="225">
        <v>15</v>
      </c>
      <c r="E1001" s="226">
        <v>7459</v>
      </c>
      <c r="F1001" s="227"/>
      <c r="G1001" s="1" t="str">
        <f>IFERROR(IF(ventas_b_mes9[[#This Row],[CUIT]]="","-",VLOOKUP(ventas_b_mes9[[#This Row],[CUIT]],Lista_CUIT[#All],2,0)),"CUIT NO CARGADO")</f>
        <v>-</v>
      </c>
      <c r="H1001" s="60">
        <f>ventas_b_mes9[[#This Row],[TOTAL]]/1.21</f>
        <v>4958.68</v>
      </c>
      <c r="I1001" s="228">
        <f>ventas_b_mes9[[#This Row],[IMPORTE NETO]]*0.21</f>
        <v>1041.3227999999999</v>
      </c>
      <c r="J1001" s="229"/>
      <c r="K1001" s="229"/>
      <c r="L1001" s="229">
        <v>6000.0028000000002</v>
      </c>
      <c r="M1001" s="55"/>
    </row>
    <row r="1002" spans="2:13" x14ac:dyDescent="0.3">
      <c r="B1002" s="223" t="s">
        <v>2591</v>
      </c>
      <c r="C1002" s="224">
        <v>6</v>
      </c>
      <c r="D1002" s="225">
        <v>15</v>
      </c>
      <c r="E1002" s="226">
        <v>7460</v>
      </c>
      <c r="F1002" s="227"/>
      <c r="G1002" s="1" t="str">
        <f>IFERROR(IF(ventas_b_mes9[[#This Row],[CUIT]]="","-",VLOOKUP(ventas_b_mes9[[#This Row],[CUIT]],Lista_CUIT[#All],2,0)),"CUIT NO CARGADO")</f>
        <v>-</v>
      </c>
      <c r="H1002" s="60">
        <f>ventas_b_mes9[[#This Row],[TOTAL]]/1.21</f>
        <v>2033.06</v>
      </c>
      <c r="I1002" s="228">
        <f>ventas_b_mes9[[#This Row],[IMPORTE NETO]]*0.21</f>
        <v>426.94259999999997</v>
      </c>
      <c r="J1002" s="229"/>
      <c r="K1002" s="229"/>
      <c r="L1002" s="229">
        <v>2460.0025999999998</v>
      </c>
      <c r="M1002" s="55"/>
    </row>
    <row r="1003" spans="2:13" x14ac:dyDescent="0.3">
      <c r="B1003" s="223" t="s">
        <v>2591</v>
      </c>
      <c r="C1003" s="224">
        <v>6</v>
      </c>
      <c r="D1003" s="225">
        <v>15</v>
      </c>
      <c r="E1003" s="226">
        <v>7461</v>
      </c>
      <c r="F1003" s="227"/>
      <c r="G1003" s="1" t="str">
        <f>IFERROR(IF(ventas_b_mes9[[#This Row],[CUIT]]="","-",VLOOKUP(ventas_b_mes9[[#This Row],[CUIT]],Lista_CUIT[#All],2,0)),"CUIT NO CARGADO")</f>
        <v>-</v>
      </c>
      <c r="H1003" s="60">
        <f>ventas_b_mes9[[#This Row],[TOTAL]]/1.21</f>
        <v>47823.23000000001</v>
      </c>
      <c r="I1003" s="228">
        <f>ventas_b_mes9[[#This Row],[IMPORTE NETO]]*0.21</f>
        <v>10042.878300000002</v>
      </c>
      <c r="J1003" s="229"/>
      <c r="K1003" s="229"/>
      <c r="L1003" s="229">
        <v>57866.108300000007</v>
      </c>
      <c r="M1003" s="55"/>
    </row>
    <row r="1004" spans="2:13" x14ac:dyDescent="0.3">
      <c r="B1004" s="223" t="s">
        <v>2591</v>
      </c>
      <c r="C1004" s="224">
        <v>6</v>
      </c>
      <c r="D1004" s="225">
        <v>15</v>
      </c>
      <c r="E1004" s="226">
        <v>7462</v>
      </c>
      <c r="F1004" s="227"/>
      <c r="G1004" s="1" t="str">
        <f>IFERROR(IF(ventas_b_mes9[[#This Row],[CUIT]]="","-",VLOOKUP(ventas_b_mes9[[#This Row],[CUIT]],Lista_CUIT[#All],2,0)),"CUIT NO CARGADO")</f>
        <v>-</v>
      </c>
      <c r="H1004" s="60">
        <f>ventas_b_mes9[[#This Row],[TOTAL]]/1.21</f>
        <v>6033.06</v>
      </c>
      <c r="I1004" s="228">
        <f>ventas_b_mes9[[#This Row],[IMPORTE NETO]]*0.21</f>
        <v>1266.9426000000001</v>
      </c>
      <c r="J1004" s="229"/>
      <c r="K1004" s="229"/>
      <c r="L1004" s="229">
        <v>7300.0026000000007</v>
      </c>
      <c r="M1004" s="55"/>
    </row>
    <row r="1005" spans="2:13" x14ac:dyDescent="0.3">
      <c r="B1005" s="223" t="s">
        <v>2591</v>
      </c>
      <c r="C1005" s="224">
        <v>6</v>
      </c>
      <c r="D1005" s="225">
        <v>15</v>
      </c>
      <c r="E1005" s="226">
        <v>7463</v>
      </c>
      <c r="F1005" s="227"/>
      <c r="G1005" s="1" t="str">
        <f>IFERROR(IF(ventas_b_mes9[[#This Row],[CUIT]]="","-",VLOOKUP(ventas_b_mes9[[#This Row],[CUIT]],Lista_CUIT[#All],2,0)),"CUIT NO CARGADO")</f>
        <v>-</v>
      </c>
      <c r="H1005" s="60">
        <f>ventas_b_mes9[[#This Row],[TOTAL]]/1.21</f>
        <v>5652.9000000000005</v>
      </c>
      <c r="I1005" s="228">
        <f>ventas_b_mes9[[#This Row],[IMPORTE NETO]]*0.21</f>
        <v>1187.1090000000002</v>
      </c>
      <c r="J1005" s="229"/>
      <c r="K1005" s="229"/>
      <c r="L1005" s="229">
        <v>6840.009</v>
      </c>
      <c r="M1005" s="55"/>
    </row>
    <row r="1006" spans="2:13" x14ac:dyDescent="0.3">
      <c r="B1006" s="223" t="s">
        <v>2591</v>
      </c>
      <c r="C1006" s="224">
        <v>6</v>
      </c>
      <c r="D1006" s="225">
        <v>15</v>
      </c>
      <c r="E1006" s="226">
        <v>7464</v>
      </c>
      <c r="F1006" s="227"/>
      <c r="G1006" s="1" t="str">
        <f>IFERROR(IF(ventas_b_mes9[[#This Row],[CUIT]]="","-",VLOOKUP(ventas_b_mes9[[#This Row],[CUIT]],Lista_CUIT[#All],2,0)),"CUIT NO CARGADO")</f>
        <v>-</v>
      </c>
      <c r="H1006" s="60">
        <f>ventas_b_mes9[[#This Row],[TOTAL]]/1.21</f>
        <v>3421.5000000000005</v>
      </c>
      <c r="I1006" s="228">
        <f>ventas_b_mes9[[#This Row],[IMPORTE NETO]]*0.21</f>
        <v>718.5150000000001</v>
      </c>
      <c r="J1006" s="229"/>
      <c r="K1006" s="229"/>
      <c r="L1006" s="229">
        <v>4140.0150000000003</v>
      </c>
      <c r="M1006" s="55"/>
    </row>
    <row r="1007" spans="2:13" x14ac:dyDescent="0.3">
      <c r="B1007" s="223" t="s">
        <v>2591</v>
      </c>
      <c r="C1007" s="224">
        <v>6</v>
      </c>
      <c r="D1007" s="225">
        <v>15</v>
      </c>
      <c r="E1007" s="226">
        <v>7465</v>
      </c>
      <c r="F1007" s="227"/>
      <c r="G1007" s="1" t="str">
        <f>IFERROR(IF(ventas_b_mes9[[#This Row],[CUIT]]="","-",VLOOKUP(ventas_b_mes9[[#This Row],[CUIT]],Lista_CUIT[#All],2,0)),"CUIT NO CARGADO")</f>
        <v>-</v>
      </c>
      <c r="H1007" s="60">
        <f>ventas_b_mes9[[#This Row],[TOTAL]]/1.21</f>
        <v>2082.65</v>
      </c>
      <c r="I1007" s="228">
        <f>ventas_b_mes9[[#This Row],[IMPORTE NETO]]*0.21</f>
        <v>437.35649999999998</v>
      </c>
      <c r="J1007" s="229"/>
      <c r="K1007" s="229"/>
      <c r="L1007" s="229">
        <v>2520.0065</v>
      </c>
      <c r="M1007" s="55"/>
    </row>
    <row r="1008" spans="2:13" x14ac:dyDescent="0.3">
      <c r="B1008" s="223" t="s">
        <v>2591</v>
      </c>
      <c r="C1008" s="224">
        <v>6</v>
      </c>
      <c r="D1008" s="225">
        <v>10</v>
      </c>
      <c r="E1008" s="226">
        <v>44415</v>
      </c>
      <c r="F1008" s="227"/>
      <c r="G1008" s="1" t="str">
        <f>IFERROR(IF(ventas_b_mes9[[#This Row],[CUIT]]="","-",VLOOKUP(ventas_b_mes9[[#This Row],[CUIT]],Lista_CUIT[#All],2,0)),"CUIT NO CARGADO")</f>
        <v>-</v>
      </c>
      <c r="H1008" s="60">
        <f>ventas_b_mes9[[#This Row],[TOTAL]]/1.21</f>
        <v>2148.7600000000002</v>
      </c>
      <c r="I1008" s="228">
        <f>ventas_b_mes9[[#This Row],[IMPORTE NETO]]*0.21</f>
        <v>451.23960000000005</v>
      </c>
      <c r="J1008" s="229"/>
      <c r="K1008" s="229"/>
      <c r="L1008" s="229">
        <v>2599.9996000000001</v>
      </c>
      <c r="M1008" s="55"/>
    </row>
    <row r="1009" spans="2:13" x14ac:dyDescent="0.3">
      <c r="B1009" s="223" t="s">
        <v>2591</v>
      </c>
      <c r="C1009" s="224">
        <v>6</v>
      </c>
      <c r="D1009" s="225">
        <v>10</v>
      </c>
      <c r="E1009" s="226">
        <v>44416</v>
      </c>
      <c r="F1009" s="227"/>
      <c r="G1009" s="1" t="str">
        <f>IFERROR(IF(ventas_b_mes9[[#This Row],[CUIT]]="","-",VLOOKUP(ventas_b_mes9[[#This Row],[CUIT]],Lista_CUIT[#All],2,0)),"CUIT NO CARGADO")</f>
        <v>-</v>
      </c>
      <c r="H1009" s="60">
        <f>ventas_b_mes9[[#This Row],[TOTAL]]/1.21</f>
        <v>58074.38</v>
      </c>
      <c r="I1009" s="228">
        <f>ventas_b_mes9[[#This Row],[IMPORTE NETO]]*0.21</f>
        <v>12195.619799999999</v>
      </c>
      <c r="J1009" s="229"/>
      <c r="K1009" s="229"/>
      <c r="L1009" s="229">
        <v>70269.999799999991</v>
      </c>
      <c r="M1009" s="55"/>
    </row>
    <row r="1010" spans="2:13" x14ac:dyDescent="0.3">
      <c r="B1010" s="223" t="s">
        <v>2591</v>
      </c>
      <c r="C1010" s="224">
        <v>6</v>
      </c>
      <c r="D1010" s="225">
        <v>10</v>
      </c>
      <c r="E1010" s="226">
        <v>44417</v>
      </c>
      <c r="F1010" s="227"/>
      <c r="G1010" s="1" t="str">
        <f>IFERROR(IF(ventas_b_mes9[[#This Row],[CUIT]]="","-",VLOOKUP(ventas_b_mes9[[#This Row],[CUIT]],Lista_CUIT[#All],2,0)),"CUIT NO CARGADO")</f>
        <v>-</v>
      </c>
      <c r="H1010" s="60">
        <f>ventas_b_mes9[[#This Row],[TOTAL]]/1.21</f>
        <v>7438.0200000000013</v>
      </c>
      <c r="I1010" s="228">
        <f>ventas_b_mes9[[#This Row],[IMPORTE NETO]]*0.21</f>
        <v>1561.9842000000003</v>
      </c>
      <c r="J1010" s="229"/>
      <c r="K1010" s="229"/>
      <c r="L1010" s="229">
        <v>9000.0042000000012</v>
      </c>
      <c r="M1010" s="55"/>
    </row>
    <row r="1011" spans="2:13" x14ac:dyDescent="0.3">
      <c r="B1011" s="223" t="s">
        <v>2591</v>
      </c>
      <c r="C1011" s="224">
        <v>6</v>
      </c>
      <c r="D1011" s="225">
        <v>10</v>
      </c>
      <c r="E1011" s="226">
        <v>44418</v>
      </c>
      <c r="F1011" s="227"/>
      <c r="G1011" s="1" t="str">
        <f>IFERROR(IF(ventas_b_mes9[[#This Row],[CUIT]]="","-",VLOOKUP(ventas_b_mes9[[#This Row],[CUIT]],Lista_CUIT[#All],2,0)),"CUIT NO CARGADO")</f>
        <v>-</v>
      </c>
      <c r="H1011" s="60">
        <f>ventas_b_mes9[[#This Row],[TOTAL]]/1.21</f>
        <v>26842.98</v>
      </c>
      <c r="I1011" s="228">
        <f>ventas_b_mes9[[#This Row],[IMPORTE NETO]]*0.21</f>
        <v>5637.0257999999994</v>
      </c>
      <c r="J1011" s="229"/>
      <c r="K1011" s="229"/>
      <c r="L1011" s="229">
        <v>32480.005799999999</v>
      </c>
      <c r="M1011" s="55"/>
    </row>
    <row r="1012" spans="2:13" x14ac:dyDescent="0.3">
      <c r="B1012" s="223" t="s">
        <v>2591</v>
      </c>
      <c r="C1012" s="224">
        <v>6</v>
      </c>
      <c r="D1012" s="225">
        <v>10</v>
      </c>
      <c r="E1012" s="226">
        <v>44419</v>
      </c>
      <c r="F1012" s="227"/>
      <c r="G1012" s="1" t="str">
        <f>IFERROR(IF(ventas_b_mes9[[#This Row],[CUIT]]="","-",VLOOKUP(ventas_b_mes9[[#This Row],[CUIT]],Lista_CUIT[#All],2,0)),"CUIT NO CARGADO")</f>
        <v>-</v>
      </c>
      <c r="H1012" s="60">
        <f>ventas_b_mes9[[#This Row],[TOTAL]]/1.21</f>
        <v>2148.7600000000002</v>
      </c>
      <c r="I1012" s="228">
        <f>ventas_b_mes9[[#This Row],[IMPORTE NETO]]*0.21</f>
        <v>451.23960000000005</v>
      </c>
      <c r="J1012" s="229"/>
      <c r="K1012" s="229"/>
      <c r="L1012" s="229">
        <v>2599.9996000000001</v>
      </c>
      <c r="M1012" s="55"/>
    </row>
    <row r="1013" spans="2:13" x14ac:dyDescent="0.3">
      <c r="B1013" s="223" t="s">
        <v>2591</v>
      </c>
      <c r="C1013" s="224">
        <v>6</v>
      </c>
      <c r="D1013" s="225">
        <v>10</v>
      </c>
      <c r="E1013" s="226">
        <v>44420</v>
      </c>
      <c r="F1013" s="227"/>
      <c r="G1013" s="1" t="str">
        <f>IFERROR(IF(ventas_b_mes9[[#This Row],[CUIT]]="","-",VLOOKUP(ventas_b_mes9[[#This Row],[CUIT]],Lista_CUIT[#All],2,0)),"CUIT NO CARGADO")</f>
        <v>-</v>
      </c>
      <c r="H1013" s="60">
        <f>ventas_b_mes9[[#This Row],[TOTAL]]/1.21</f>
        <v>5063.6400000000003</v>
      </c>
      <c r="I1013" s="228">
        <f>ventas_b_mes9[[#This Row],[IMPORTE NETO]]*0.21</f>
        <v>1063.3643999999999</v>
      </c>
      <c r="J1013" s="229"/>
      <c r="K1013" s="229"/>
      <c r="L1013" s="229">
        <v>6127.0043999999998</v>
      </c>
      <c r="M1013" s="55"/>
    </row>
    <row r="1014" spans="2:13" x14ac:dyDescent="0.3">
      <c r="B1014" s="223" t="s">
        <v>2591</v>
      </c>
      <c r="C1014" s="224">
        <v>6</v>
      </c>
      <c r="D1014" s="225">
        <v>10</v>
      </c>
      <c r="E1014" s="226">
        <v>44421</v>
      </c>
      <c r="F1014" s="227"/>
      <c r="G1014" s="1" t="str">
        <f>IFERROR(IF(ventas_b_mes9[[#This Row],[CUIT]]="","-",VLOOKUP(ventas_b_mes9[[#This Row],[CUIT]],Lista_CUIT[#All],2,0)),"CUIT NO CARGADO")</f>
        <v>-</v>
      </c>
      <c r="H1014" s="60">
        <f>ventas_b_mes9[[#This Row],[TOTAL]]/1.21</f>
        <v>4958.68</v>
      </c>
      <c r="I1014" s="228">
        <f>ventas_b_mes9[[#This Row],[IMPORTE NETO]]*0.21</f>
        <v>1041.3227999999999</v>
      </c>
      <c r="J1014" s="229"/>
      <c r="K1014" s="229"/>
      <c r="L1014" s="229">
        <v>6000.0028000000002</v>
      </c>
      <c r="M1014" s="55"/>
    </row>
    <row r="1015" spans="2:13" x14ac:dyDescent="0.3">
      <c r="B1015" s="223" t="s">
        <v>2591</v>
      </c>
      <c r="C1015" s="224">
        <v>6</v>
      </c>
      <c r="D1015" s="225">
        <v>10</v>
      </c>
      <c r="E1015" s="226">
        <v>44422</v>
      </c>
      <c r="F1015" s="227"/>
      <c r="G1015" s="1" t="str">
        <f>IFERROR(IF(ventas_b_mes9[[#This Row],[CUIT]]="","-",VLOOKUP(ventas_b_mes9[[#This Row],[CUIT]],Lista_CUIT[#All],2,0)),"CUIT NO CARGADO")</f>
        <v>-</v>
      </c>
      <c r="H1015" s="60">
        <f>ventas_b_mes9[[#This Row],[TOTAL]]/1.21</f>
        <v>5964.4600000000009</v>
      </c>
      <c r="I1015" s="228">
        <f>ventas_b_mes9[[#This Row],[IMPORTE NETO]]*0.21</f>
        <v>1252.5366000000001</v>
      </c>
      <c r="J1015" s="229"/>
      <c r="K1015" s="229"/>
      <c r="L1015" s="229">
        <v>7216.9966000000004</v>
      </c>
      <c r="M1015" s="55"/>
    </row>
    <row r="1016" spans="2:13" x14ac:dyDescent="0.3">
      <c r="B1016" s="223" t="s">
        <v>2591</v>
      </c>
      <c r="C1016" s="224">
        <v>6</v>
      </c>
      <c r="D1016" s="225">
        <v>10</v>
      </c>
      <c r="E1016" s="226">
        <v>44423</v>
      </c>
      <c r="F1016" s="227"/>
      <c r="G1016" s="1" t="str">
        <f>IFERROR(IF(ventas_b_mes9[[#This Row],[CUIT]]="","-",VLOOKUP(ventas_b_mes9[[#This Row],[CUIT]],Lista_CUIT[#All],2,0)),"CUIT NO CARGADO")</f>
        <v>-</v>
      </c>
      <c r="H1016" s="60">
        <f>ventas_b_mes9[[#This Row],[TOTAL]]/1.21</f>
        <v>14157.02</v>
      </c>
      <c r="I1016" s="228">
        <f>ventas_b_mes9[[#This Row],[IMPORTE NETO]]*0.21</f>
        <v>2972.9742000000001</v>
      </c>
      <c r="J1016" s="229"/>
      <c r="K1016" s="229"/>
      <c r="L1016" s="229">
        <v>17129.994200000001</v>
      </c>
      <c r="M1016" s="55"/>
    </row>
    <row r="1017" spans="2:13" x14ac:dyDescent="0.3">
      <c r="B1017" s="223" t="s">
        <v>2591</v>
      </c>
      <c r="C1017" s="224">
        <v>6</v>
      </c>
      <c r="D1017" s="225">
        <v>10</v>
      </c>
      <c r="E1017" s="226">
        <v>44424</v>
      </c>
      <c r="F1017" s="227"/>
      <c r="G1017" s="1" t="str">
        <f>IFERROR(IF(ventas_b_mes9[[#This Row],[CUIT]]="","-",VLOOKUP(ventas_b_mes9[[#This Row],[CUIT]],Lista_CUIT[#All],2,0)),"CUIT NO CARGADO")</f>
        <v>-</v>
      </c>
      <c r="H1017" s="60">
        <f>ventas_b_mes9[[#This Row],[TOTAL]]/1.21</f>
        <v>13338.84</v>
      </c>
      <c r="I1017" s="228">
        <f>ventas_b_mes9[[#This Row],[IMPORTE NETO]]*0.21</f>
        <v>2801.1563999999998</v>
      </c>
      <c r="J1017" s="229"/>
      <c r="K1017" s="229"/>
      <c r="L1017" s="229">
        <v>16139.9964</v>
      </c>
      <c r="M1017" s="55"/>
    </row>
    <row r="1018" spans="2:13" x14ac:dyDescent="0.3">
      <c r="B1018" s="223" t="s">
        <v>2591</v>
      </c>
      <c r="C1018" s="224">
        <v>6</v>
      </c>
      <c r="D1018" s="225">
        <v>10</v>
      </c>
      <c r="E1018" s="226">
        <v>44425</v>
      </c>
      <c r="F1018" s="227"/>
      <c r="G1018" s="1" t="str">
        <f>IFERROR(IF(ventas_b_mes9[[#This Row],[CUIT]]="","-",VLOOKUP(ventas_b_mes9[[#This Row],[CUIT]],Lista_CUIT[#All],2,0)),"CUIT NO CARGADO")</f>
        <v>-</v>
      </c>
      <c r="H1018" s="60">
        <f>ventas_b_mes9[[#This Row],[TOTAL]]/1.21</f>
        <v>3946.28</v>
      </c>
      <c r="I1018" s="228">
        <f>ventas_b_mes9[[#This Row],[IMPORTE NETO]]*0.21</f>
        <v>828.71879999999999</v>
      </c>
      <c r="J1018" s="229"/>
      <c r="K1018" s="229"/>
      <c r="L1018" s="229">
        <v>4774.9988000000003</v>
      </c>
      <c r="M1018" s="55"/>
    </row>
    <row r="1019" spans="2:13" x14ac:dyDescent="0.3">
      <c r="B1019" s="223" t="s">
        <v>2591</v>
      </c>
      <c r="C1019" s="224">
        <v>6</v>
      </c>
      <c r="D1019" s="225">
        <v>10</v>
      </c>
      <c r="E1019" s="226">
        <v>44426</v>
      </c>
      <c r="F1019" s="227"/>
      <c r="G1019" s="1" t="str">
        <f>IFERROR(IF(ventas_b_mes9[[#This Row],[CUIT]]="","-",VLOOKUP(ventas_b_mes9[[#This Row],[CUIT]],Lista_CUIT[#All],2,0)),"CUIT NO CARGADO")</f>
        <v>-</v>
      </c>
      <c r="H1019" s="60">
        <f>ventas_b_mes9[[#This Row],[TOTAL]]/1.21</f>
        <v>3884.3000000000006</v>
      </c>
      <c r="I1019" s="228">
        <f>ventas_b_mes9[[#This Row],[IMPORTE NETO]]*0.21</f>
        <v>815.70300000000009</v>
      </c>
      <c r="J1019" s="229"/>
      <c r="K1019" s="229"/>
      <c r="L1019" s="229">
        <v>4700.0030000000006</v>
      </c>
      <c r="M1019" s="55"/>
    </row>
    <row r="1020" spans="2:13" x14ac:dyDescent="0.3">
      <c r="B1020" s="223" t="s">
        <v>2591</v>
      </c>
      <c r="C1020" s="224">
        <v>6</v>
      </c>
      <c r="D1020" s="225">
        <v>10</v>
      </c>
      <c r="E1020" s="226">
        <v>44427</v>
      </c>
      <c r="F1020" s="227"/>
      <c r="G1020" s="1" t="str">
        <f>IFERROR(IF(ventas_b_mes9[[#This Row],[CUIT]]="","-",VLOOKUP(ventas_b_mes9[[#This Row],[CUIT]],Lista_CUIT[#All],2,0)),"CUIT NO CARGADO")</f>
        <v>-</v>
      </c>
      <c r="H1020" s="60">
        <f>ventas_b_mes9[[#This Row],[TOTAL]]/1.21</f>
        <v>30388.43</v>
      </c>
      <c r="I1020" s="228">
        <f>ventas_b_mes9[[#This Row],[IMPORTE NETO]]*0.21</f>
        <v>6381.5702999999994</v>
      </c>
      <c r="J1020" s="229"/>
      <c r="K1020" s="229"/>
      <c r="L1020" s="229">
        <v>36770.0003</v>
      </c>
      <c r="M1020" s="55"/>
    </row>
    <row r="1021" spans="2:13" x14ac:dyDescent="0.3">
      <c r="B1021" s="223" t="s">
        <v>2591</v>
      </c>
      <c r="C1021" s="224">
        <v>6</v>
      </c>
      <c r="D1021" s="225">
        <v>10</v>
      </c>
      <c r="E1021" s="226">
        <v>44428</v>
      </c>
      <c r="F1021" s="227"/>
      <c r="G1021" s="1" t="str">
        <f>IFERROR(IF(ventas_b_mes9[[#This Row],[CUIT]]="","-",VLOOKUP(ventas_b_mes9[[#This Row],[CUIT]],Lista_CUIT[#All],2,0)),"CUIT NO CARGADO")</f>
        <v>-</v>
      </c>
      <c r="H1021" s="60">
        <f>ventas_b_mes9[[#This Row],[TOTAL]]/1.21</f>
        <v>5147.93</v>
      </c>
      <c r="I1021" s="228">
        <f>ventas_b_mes9[[#This Row],[IMPORTE NETO]]*0.21</f>
        <v>1081.0653</v>
      </c>
      <c r="J1021" s="229"/>
      <c r="K1021" s="229"/>
      <c r="L1021" s="229">
        <v>6228.9953000000005</v>
      </c>
      <c r="M1021" s="55"/>
    </row>
    <row r="1022" spans="2:13" x14ac:dyDescent="0.3">
      <c r="B1022" s="223" t="s">
        <v>2591</v>
      </c>
      <c r="C1022" s="224">
        <v>6</v>
      </c>
      <c r="D1022" s="225">
        <v>10</v>
      </c>
      <c r="E1022" s="226">
        <v>44429</v>
      </c>
      <c r="F1022" s="227"/>
      <c r="G1022" s="1" t="str">
        <f>IFERROR(IF(ventas_b_mes9[[#This Row],[CUIT]]="","-",VLOOKUP(ventas_b_mes9[[#This Row],[CUIT]],Lista_CUIT[#All],2,0)),"CUIT NO CARGADO")</f>
        <v>-</v>
      </c>
      <c r="H1022" s="60">
        <f>ventas_b_mes9[[#This Row],[TOTAL]]/1.21</f>
        <v>1933.88</v>
      </c>
      <c r="I1022" s="228">
        <f>ventas_b_mes9[[#This Row],[IMPORTE NETO]]*0.21</f>
        <v>406.1148</v>
      </c>
      <c r="J1022" s="229"/>
      <c r="K1022" s="229"/>
      <c r="L1022" s="229">
        <v>2339.9947999999999</v>
      </c>
      <c r="M1022" s="55"/>
    </row>
    <row r="1023" spans="2:13" x14ac:dyDescent="0.3">
      <c r="B1023" s="223" t="s">
        <v>2591</v>
      </c>
      <c r="C1023" s="224">
        <v>6</v>
      </c>
      <c r="D1023" s="225">
        <v>12</v>
      </c>
      <c r="E1023" s="226">
        <v>23004</v>
      </c>
      <c r="F1023" s="227"/>
      <c r="G1023" s="1" t="str">
        <f>IFERROR(IF(ventas_b_mes9[[#This Row],[CUIT]]="","-",VLOOKUP(ventas_b_mes9[[#This Row],[CUIT]],Lista_CUIT[#All],2,0)),"CUIT NO CARGADO")</f>
        <v>-</v>
      </c>
      <c r="H1023" s="60">
        <f>ventas_b_mes9[[#This Row],[TOTAL]]/1.21</f>
        <v>4958.68</v>
      </c>
      <c r="I1023" s="228">
        <f>ventas_b_mes9[[#This Row],[IMPORTE NETO]]*0.21</f>
        <v>1041.3227999999999</v>
      </c>
      <c r="J1023" s="229"/>
      <c r="K1023" s="229"/>
      <c r="L1023" s="229">
        <v>6000.0028000000002</v>
      </c>
      <c r="M1023" s="55"/>
    </row>
    <row r="1024" spans="2:13" x14ac:dyDescent="0.3">
      <c r="B1024" s="223" t="s">
        <v>2591</v>
      </c>
      <c r="C1024" s="224">
        <v>6</v>
      </c>
      <c r="D1024" s="225">
        <v>12</v>
      </c>
      <c r="E1024" s="226">
        <v>23005</v>
      </c>
      <c r="F1024" s="227"/>
      <c r="G1024" s="1" t="str">
        <f>IFERROR(IF(ventas_b_mes9[[#This Row],[CUIT]]="","-",VLOOKUP(ventas_b_mes9[[#This Row],[CUIT]],Lista_CUIT[#All],2,0)),"CUIT NO CARGADO")</f>
        <v>-</v>
      </c>
      <c r="H1024" s="60">
        <f>ventas_b_mes9[[#This Row],[TOTAL]]/1.21</f>
        <v>2148.7600000000002</v>
      </c>
      <c r="I1024" s="228">
        <f>ventas_b_mes9[[#This Row],[IMPORTE NETO]]*0.21</f>
        <v>451.23960000000005</v>
      </c>
      <c r="J1024" s="229"/>
      <c r="K1024" s="229"/>
      <c r="L1024" s="229">
        <v>2599.9996000000001</v>
      </c>
      <c r="M1024" s="55"/>
    </row>
    <row r="1025" spans="2:13" x14ac:dyDescent="0.3">
      <c r="B1025" s="223" t="s">
        <v>2591</v>
      </c>
      <c r="C1025" s="224">
        <v>6</v>
      </c>
      <c r="D1025" s="225">
        <v>12</v>
      </c>
      <c r="E1025" s="226">
        <v>23006</v>
      </c>
      <c r="F1025" s="227"/>
      <c r="G1025" s="1" t="str">
        <f>IFERROR(IF(ventas_b_mes9[[#This Row],[CUIT]]="","-",VLOOKUP(ventas_b_mes9[[#This Row],[CUIT]],Lista_CUIT[#All],2,0)),"CUIT NO CARGADO")</f>
        <v>-</v>
      </c>
      <c r="H1025" s="60">
        <f>ventas_b_mes9[[#This Row],[TOTAL]]/1.21</f>
        <v>2148.7600000000002</v>
      </c>
      <c r="I1025" s="228">
        <f>ventas_b_mes9[[#This Row],[IMPORTE NETO]]*0.21</f>
        <v>451.23960000000005</v>
      </c>
      <c r="J1025" s="229"/>
      <c r="K1025" s="229"/>
      <c r="L1025" s="229">
        <v>2599.9996000000001</v>
      </c>
      <c r="M1025" s="55"/>
    </row>
    <row r="1026" spans="2:13" x14ac:dyDescent="0.3">
      <c r="B1026" s="223" t="s">
        <v>2591</v>
      </c>
      <c r="C1026" s="224">
        <v>6</v>
      </c>
      <c r="D1026" s="225">
        <v>12</v>
      </c>
      <c r="E1026" s="226">
        <v>23007</v>
      </c>
      <c r="F1026" s="227"/>
      <c r="G1026" s="1" t="str">
        <f>IFERROR(IF(ventas_b_mes9[[#This Row],[CUIT]]="","-",VLOOKUP(ventas_b_mes9[[#This Row],[CUIT]],Lista_CUIT[#All],2,0)),"CUIT NO CARGADO")</f>
        <v>-</v>
      </c>
      <c r="H1026" s="60">
        <f>ventas_b_mes9[[#This Row],[TOTAL]]/1.21</f>
        <v>6611.57</v>
      </c>
      <c r="I1026" s="228">
        <f>ventas_b_mes9[[#This Row],[IMPORTE NETO]]*0.21</f>
        <v>1388.4296999999999</v>
      </c>
      <c r="J1026" s="229"/>
      <c r="K1026" s="229"/>
      <c r="L1026" s="229">
        <v>7999.9996999999994</v>
      </c>
      <c r="M1026" s="55"/>
    </row>
    <row r="1027" spans="2:13" x14ac:dyDescent="0.3">
      <c r="B1027" s="223" t="s">
        <v>2591</v>
      </c>
      <c r="C1027" s="224">
        <v>6</v>
      </c>
      <c r="D1027" s="225">
        <v>12</v>
      </c>
      <c r="E1027" s="226">
        <v>23008</v>
      </c>
      <c r="F1027" s="227"/>
      <c r="G1027" s="1" t="str">
        <f>IFERROR(IF(ventas_b_mes9[[#This Row],[CUIT]]="","-",VLOOKUP(ventas_b_mes9[[#This Row],[CUIT]],Lista_CUIT[#All],2,0)),"CUIT NO CARGADO")</f>
        <v>-</v>
      </c>
      <c r="H1027" s="60">
        <f>ventas_b_mes9[[#This Row],[TOTAL]]/1.21</f>
        <v>5310.74</v>
      </c>
      <c r="I1027" s="228">
        <f>ventas_b_mes9[[#This Row],[IMPORTE NETO]]*0.21</f>
        <v>1115.2554</v>
      </c>
      <c r="J1027" s="229"/>
      <c r="K1027" s="229"/>
      <c r="L1027" s="229">
        <v>6425.9953999999998</v>
      </c>
      <c r="M1027" s="55"/>
    </row>
    <row r="1028" spans="2:13" x14ac:dyDescent="0.3">
      <c r="B1028" s="223" t="s">
        <v>2591</v>
      </c>
      <c r="C1028" s="224">
        <v>6</v>
      </c>
      <c r="D1028" s="225">
        <v>12</v>
      </c>
      <c r="E1028" s="226">
        <v>23009</v>
      </c>
      <c r="F1028" s="227"/>
      <c r="G1028" s="1" t="str">
        <f>IFERROR(IF(ventas_b_mes9[[#This Row],[CUIT]]="","-",VLOOKUP(ventas_b_mes9[[#This Row],[CUIT]],Lista_CUIT[#All],2,0)),"CUIT NO CARGADO")</f>
        <v>-</v>
      </c>
      <c r="H1028" s="60">
        <f>ventas_b_mes9[[#This Row],[TOTAL]]/1.21</f>
        <v>1939.67</v>
      </c>
      <c r="I1028" s="228">
        <f>ventas_b_mes9[[#This Row],[IMPORTE NETO]]*0.21</f>
        <v>407.33069999999998</v>
      </c>
      <c r="J1028" s="229"/>
      <c r="K1028" s="229"/>
      <c r="L1028" s="229">
        <v>2347.0007000000001</v>
      </c>
      <c r="M1028" s="55"/>
    </row>
    <row r="1029" spans="2:13" x14ac:dyDescent="0.3">
      <c r="B1029" s="223" t="s">
        <v>2591</v>
      </c>
      <c r="C1029" s="224">
        <v>6</v>
      </c>
      <c r="D1029" s="225">
        <v>12</v>
      </c>
      <c r="E1029" s="226">
        <v>23010</v>
      </c>
      <c r="F1029" s="227"/>
      <c r="G1029" s="1" t="str">
        <f>IFERROR(IF(ventas_b_mes9[[#This Row],[CUIT]]="","-",VLOOKUP(ventas_b_mes9[[#This Row],[CUIT]],Lista_CUIT[#All],2,0)),"CUIT NO CARGADO")</f>
        <v>-</v>
      </c>
      <c r="H1029" s="60">
        <f>ventas_b_mes9[[#This Row],[TOTAL]]/1.21</f>
        <v>7834.7100000000009</v>
      </c>
      <c r="I1029" s="228">
        <f>ventas_b_mes9[[#This Row],[IMPORTE NETO]]*0.21</f>
        <v>1645.2891000000002</v>
      </c>
      <c r="J1029" s="229"/>
      <c r="K1029" s="229"/>
      <c r="L1029" s="229">
        <v>9479.9991000000009</v>
      </c>
      <c r="M1029" s="55"/>
    </row>
    <row r="1030" spans="2:13" x14ac:dyDescent="0.3">
      <c r="B1030" s="223" t="s">
        <v>2591</v>
      </c>
      <c r="C1030" s="224">
        <v>6</v>
      </c>
      <c r="D1030" s="225">
        <v>12</v>
      </c>
      <c r="E1030" s="226">
        <v>23011</v>
      </c>
      <c r="F1030" s="227"/>
      <c r="G1030" s="1" t="str">
        <f>IFERROR(IF(ventas_b_mes9[[#This Row],[CUIT]]="","-",VLOOKUP(ventas_b_mes9[[#This Row],[CUIT]],Lista_CUIT[#All],2,0)),"CUIT NO CARGADO")</f>
        <v>-</v>
      </c>
      <c r="H1030" s="60">
        <f>ventas_b_mes9[[#This Row],[TOTAL]]/1.21</f>
        <v>3203.32</v>
      </c>
      <c r="I1030" s="228">
        <f>ventas_b_mes9[[#This Row],[IMPORTE NETO]]*0.21</f>
        <v>672.69720000000007</v>
      </c>
      <c r="J1030" s="229"/>
      <c r="K1030" s="229"/>
      <c r="L1030" s="229">
        <v>3876.0172000000002</v>
      </c>
      <c r="M1030" s="55"/>
    </row>
    <row r="1031" spans="2:13" x14ac:dyDescent="0.3">
      <c r="B1031" s="223" t="s">
        <v>2591</v>
      </c>
      <c r="C1031" s="224">
        <v>6</v>
      </c>
      <c r="D1031" s="225">
        <v>12</v>
      </c>
      <c r="E1031" s="226">
        <v>23012</v>
      </c>
      <c r="F1031" s="227"/>
      <c r="G1031" s="1" t="str">
        <f>IFERROR(IF(ventas_b_mes9[[#This Row],[CUIT]]="","-",VLOOKUP(ventas_b_mes9[[#This Row],[CUIT]],Lista_CUIT[#All],2,0)),"CUIT NO CARGADO")</f>
        <v>-</v>
      </c>
      <c r="H1031" s="60">
        <f>ventas_b_mes9[[#This Row],[TOTAL]]/1.21</f>
        <v>3272.73</v>
      </c>
      <c r="I1031" s="228">
        <f>ventas_b_mes9[[#This Row],[IMPORTE NETO]]*0.21</f>
        <v>687.27329999999995</v>
      </c>
      <c r="J1031" s="229"/>
      <c r="K1031" s="229"/>
      <c r="L1031" s="229">
        <v>3960.0032999999999</v>
      </c>
      <c r="M1031" s="55"/>
    </row>
    <row r="1032" spans="2:13" x14ac:dyDescent="0.3">
      <c r="B1032" s="223" t="s">
        <v>2591</v>
      </c>
      <c r="C1032" s="224">
        <v>6</v>
      </c>
      <c r="D1032" s="225">
        <v>12</v>
      </c>
      <c r="E1032" s="226">
        <v>23013</v>
      </c>
      <c r="F1032" s="227"/>
      <c r="G1032" s="1" t="str">
        <f>IFERROR(IF(ventas_b_mes9[[#This Row],[CUIT]]="","-",VLOOKUP(ventas_b_mes9[[#This Row],[CUIT]],Lista_CUIT[#All],2,0)),"CUIT NO CARGADO")</f>
        <v>-</v>
      </c>
      <c r="H1032" s="60">
        <f>ventas_b_mes9[[#This Row],[TOTAL]]/1.21</f>
        <v>16760.330000000002</v>
      </c>
      <c r="I1032" s="228">
        <f>ventas_b_mes9[[#This Row],[IMPORTE NETO]]*0.21</f>
        <v>3519.6693</v>
      </c>
      <c r="J1032" s="229"/>
      <c r="K1032" s="229"/>
      <c r="L1032" s="229">
        <v>20279.999300000003</v>
      </c>
      <c r="M1032" s="55"/>
    </row>
    <row r="1033" spans="2:13" x14ac:dyDescent="0.3">
      <c r="B1033" s="223" t="s">
        <v>2591</v>
      </c>
      <c r="C1033" s="224">
        <v>6</v>
      </c>
      <c r="D1033" s="225">
        <v>12</v>
      </c>
      <c r="E1033" s="226">
        <v>23014</v>
      </c>
      <c r="F1033" s="227"/>
      <c r="G1033" s="1" t="str">
        <f>IFERROR(IF(ventas_b_mes9[[#This Row],[CUIT]]="","-",VLOOKUP(ventas_b_mes9[[#This Row],[CUIT]],Lista_CUIT[#All],2,0)),"CUIT NO CARGADO")</f>
        <v>-</v>
      </c>
      <c r="H1033" s="60">
        <f>ventas_b_mes9[[#This Row],[TOTAL]]/1.21</f>
        <v>685.95</v>
      </c>
      <c r="I1033" s="228">
        <f>ventas_b_mes9[[#This Row],[IMPORTE NETO]]*0.21</f>
        <v>144.04949999999999</v>
      </c>
      <c r="J1033" s="229"/>
      <c r="K1033" s="229"/>
      <c r="L1033" s="229">
        <v>829.99950000000001</v>
      </c>
      <c r="M1033" s="55"/>
    </row>
    <row r="1034" spans="2:13" x14ac:dyDescent="0.3">
      <c r="B1034" s="223" t="s">
        <v>2591</v>
      </c>
      <c r="C1034" s="224">
        <v>6</v>
      </c>
      <c r="D1034" s="225">
        <v>12</v>
      </c>
      <c r="E1034" s="226">
        <v>23015</v>
      </c>
      <c r="F1034" s="227"/>
      <c r="G1034" s="1" t="str">
        <f>IFERROR(IF(ventas_b_mes9[[#This Row],[CUIT]]="","-",VLOOKUP(ventas_b_mes9[[#This Row],[CUIT]],Lista_CUIT[#All],2,0)),"CUIT NO CARGADO")</f>
        <v>-</v>
      </c>
      <c r="H1034" s="60">
        <f>ventas_b_mes9[[#This Row],[TOTAL]]/1.21</f>
        <v>6448.7700000000013</v>
      </c>
      <c r="I1034" s="228">
        <f>ventas_b_mes9[[#This Row],[IMPORTE NETO]]*0.21</f>
        <v>1354.2417000000003</v>
      </c>
      <c r="J1034" s="229"/>
      <c r="K1034" s="229"/>
      <c r="L1034" s="229">
        <v>7803.0117000000009</v>
      </c>
      <c r="M1034" s="55"/>
    </row>
    <row r="1035" spans="2:13" x14ac:dyDescent="0.3">
      <c r="B1035" s="223" t="s">
        <v>2591</v>
      </c>
      <c r="C1035" s="224">
        <v>6</v>
      </c>
      <c r="D1035" s="225">
        <v>12</v>
      </c>
      <c r="E1035" s="226">
        <v>23016</v>
      </c>
      <c r="F1035" s="227"/>
      <c r="G1035" s="1" t="str">
        <f>IFERROR(IF(ventas_b_mes9[[#This Row],[CUIT]]="","-",VLOOKUP(ventas_b_mes9[[#This Row],[CUIT]],Lista_CUIT[#All],2,0)),"CUIT NO CARGADO")</f>
        <v>-</v>
      </c>
      <c r="H1035" s="60">
        <f>ventas_b_mes9[[#This Row],[TOTAL]]/1.21</f>
        <v>11786.79</v>
      </c>
      <c r="I1035" s="228">
        <f>ventas_b_mes9[[#This Row],[IMPORTE NETO]]*0.21</f>
        <v>2475.2258999999999</v>
      </c>
      <c r="J1035" s="229"/>
      <c r="K1035" s="229"/>
      <c r="L1035" s="229">
        <v>14262.0159</v>
      </c>
      <c r="M1035" s="55"/>
    </row>
    <row r="1036" spans="2:13" x14ac:dyDescent="0.3">
      <c r="B1036" s="223" t="s">
        <v>2591</v>
      </c>
      <c r="C1036" s="224">
        <v>6</v>
      </c>
      <c r="D1036" s="225">
        <v>12</v>
      </c>
      <c r="E1036" s="226">
        <v>23017</v>
      </c>
      <c r="F1036" s="227"/>
      <c r="G1036" s="1" t="str">
        <f>IFERROR(IF(ventas_b_mes9[[#This Row],[CUIT]]="","-",VLOOKUP(ventas_b_mes9[[#This Row],[CUIT]],Lista_CUIT[#All],2,0)),"CUIT NO CARGADO")</f>
        <v>-</v>
      </c>
      <c r="H1036" s="60">
        <f>ventas_b_mes9[[#This Row],[TOTAL]]/1.21</f>
        <v>6542.1600000000008</v>
      </c>
      <c r="I1036" s="228">
        <f>ventas_b_mes9[[#This Row],[IMPORTE NETO]]*0.21</f>
        <v>1373.8536000000001</v>
      </c>
      <c r="J1036" s="229"/>
      <c r="K1036" s="229"/>
      <c r="L1036" s="229">
        <v>7916.0136000000002</v>
      </c>
      <c r="M1036" s="55"/>
    </row>
    <row r="1037" spans="2:13" x14ac:dyDescent="0.3">
      <c r="B1037" s="223" t="s">
        <v>2591</v>
      </c>
      <c r="C1037" s="224">
        <v>6</v>
      </c>
      <c r="D1037" s="225">
        <v>12</v>
      </c>
      <c r="E1037" s="226">
        <v>23018</v>
      </c>
      <c r="F1037" s="227"/>
      <c r="G1037" s="1" t="str">
        <f>IFERROR(IF(ventas_b_mes9[[#This Row],[CUIT]]="","-",VLOOKUP(ventas_b_mes9[[#This Row],[CUIT]],Lista_CUIT[#All],2,0)),"CUIT NO CARGADO")</f>
        <v>-</v>
      </c>
      <c r="H1037" s="60">
        <f>ventas_b_mes9[[#This Row],[TOTAL]]/1.21</f>
        <v>5785.12</v>
      </c>
      <c r="I1037" s="228">
        <f>ventas_b_mes9[[#This Row],[IMPORTE NETO]]*0.21</f>
        <v>1214.8751999999999</v>
      </c>
      <c r="J1037" s="229"/>
      <c r="K1037" s="229"/>
      <c r="L1037" s="229">
        <v>6999.9951999999994</v>
      </c>
      <c r="M1037" s="55"/>
    </row>
    <row r="1038" spans="2:13" x14ac:dyDescent="0.3">
      <c r="B1038" s="223" t="s">
        <v>2591</v>
      </c>
      <c r="C1038" s="224">
        <v>6</v>
      </c>
      <c r="D1038" s="225">
        <v>12</v>
      </c>
      <c r="E1038" s="226">
        <v>23019</v>
      </c>
      <c r="F1038" s="227"/>
      <c r="G1038" s="1" t="str">
        <f>IFERROR(IF(ventas_b_mes9[[#This Row],[CUIT]]="","-",VLOOKUP(ventas_b_mes9[[#This Row],[CUIT]],Lista_CUIT[#All],2,0)),"CUIT NO CARGADO")</f>
        <v>-</v>
      </c>
      <c r="H1038" s="60">
        <f>ventas_b_mes9[[#This Row],[TOTAL]]/1.21</f>
        <v>5366.96</v>
      </c>
      <c r="I1038" s="228">
        <f>ventas_b_mes9[[#This Row],[IMPORTE NETO]]*0.21</f>
        <v>1127.0616</v>
      </c>
      <c r="J1038" s="229"/>
      <c r="K1038" s="229"/>
      <c r="L1038" s="229">
        <v>6494.0216</v>
      </c>
      <c r="M1038" s="55"/>
    </row>
    <row r="1039" spans="2:13" x14ac:dyDescent="0.3">
      <c r="B1039" s="223" t="s">
        <v>2591</v>
      </c>
      <c r="C1039" s="224">
        <v>6</v>
      </c>
      <c r="D1039" s="225">
        <v>12</v>
      </c>
      <c r="E1039" s="226">
        <v>23020</v>
      </c>
      <c r="F1039" s="227"/>
      <c r="G1039" s="1" t="str">
        <f>IFERROR(IF(ventas_b_mes9[[#This Row],[CUIT]]="","-",VLOOKUP(ventas_b_mes9[[#This Row],[CUIT]],Lista_CUIT[#All],2,0)),"CUIT NO CARGADO")</f>
        <v>-</v>
      </c>
      <c r="H1039" s="60">
        <f>ventas_b_mes9[[#This Row],[TOTAL]]/1.21</f>
        <v>3329.75</v>
      </c>
      <c r="I1039" s="228">
        <f>ventas_b_mes9[[#This Row],[IMPORTE NETO]]*0.21</f>
        <v>699.24749999999995</v>
      </c>
      <c r="J1039" s="229"/>
      <c r="K1039" s="229"/>
      <c r="L1039" s="229">
        <v>4028.9974999999999</v>
      </c>
      <c r="M1039" s="55"/>
    </row>
    <row r="1040" spans="2:13" x14ac:dyDescent="0.3">
      <c r="B1040" s="223" t="s">
        <v>2591</v>
      </c>
      <c r="C1040" s="224">
        <v>6</v>
      </c>
      <c r="D1040" s="225">
        <v>12</v>
      </c>
      <c r="E1040" s="226">
        <v>23021</v>
      </c>
      <c r="F1040" s="227"/>
      <c r="G1040" s="1" t="str">
        <f>IFERROR(IF(ventas_b_mes9[[#This Row],[CUIT]]="","-",VLOOKUP(ventas_b_mes9[[#This Row],[CUIT]],Lista_CUIT[#All],2,0)),"CUIT NO CARGADO")</f>
        <v>-</v>
      </c>
      <c r="H1040" s="60">
        <f>ventas_b_mes9[[#This Row],[TOTAL]]/1.21</f>
        <v>2186.7800000000002</v>
      </c>
      <c r="I1040" s="228">
        <f>ventas_b_mes9[[#This Row],[IMPORTE NETO]]*0.21</f>
        <v>459.22380000000004</v>
      </c>
      <c r="J1040" s="229"/>
      <c r="K1040" s="229"/>
      <c r="L1040" s="229">
        <v>2646.0038000000004</v>
      </c>
      <c r="M1040" s="55"/>
    </row>
    <row r="1041" spans="2:13" x14ac:dyDescent="0.3">
      <c r="B1041" s="223" t="s">
        <v>2591</v>
      </c>
      <c r="C1041" s="224">
        <v>6</v>
      </c>
      <c r="D1041" s="225">
        <v>12</v>
      </c>
      <c r="E1041" s="226">
        <v>23022</v>
      </c>
      <c r="F1041" s="227"/>
      <c r="G1041" s="1" t="str">
        <f>IFERROR(IF(ventas_b_mes9[[#This Row],[CUIT]]="","-",VLOOKUP(ventas_b_mes9[[#This Row],[CUIT]],Lista_CUIT[#All],2,0)),"CUIT NO CARGADO")</f>
        <v>-</v>
      </c>
      <c r="H1041" s="60">
        <f>ventas_b_mes9[[#This Row],[TOTAL]]/1.21</f>
        <v>5851.24</v>
      </c>
      <c r="I1041" s="228">
        <f>ventas_b_mes9[[#This Row],[IMPORTE NETO]]*0.21</f>
        <v>1228.7603999999999</v>
      </c>
      <c r="J1041" s="229"/>
      <c r="K1041" s="229"/>
      <c r="L1041" s="229">
        <v>7080.0003999999999</v>
      </c>
      <c r="M1041" s="55"/>
    </row>
    <row r="1042" spans="2:13" x14ac:dyDescent="0.3">
      <c r="B1042" s="223" t="s">
        <v>2591</v>
      </c>
      <c r="C1042" s="224">
        <v>6</v>
      </c>
      <c r="D1042" s="225">
        <v>12</v>
      </c>
      <c r="E1042" s="226">
        <v>23023</v>
      </c>
      <c r="F1042" s="227"/>
      <c r="G1042" s="1" t="str">
        <f>IFERROR(IF(ventas_b_mes9[[#This Row],[CUIT]]="","-",VLOOKUP(ventas_b_mes9[[#This Row],[CUIT]],Lista_CUIT[#All],2,0)),"CUIT NO CARGADO")</f>
        <v>-</v>
      </c>
      <c r="H1042" s="60">
        <f>ventas_b_mes9[[#This Row],[TOTAL]]/1.21</f>
        <v>7338.84</v>
      </c>
      <c r="I1042" s="228">
        <f>ventas_b_mes9[[#This Row],[IMPORTE NETO]]*0.21</f>
        <v>1541.1564000000001</v>
      </c>
      <c r="J1042" s="229"/>
      <c r="K1042" s="229"/>
      <c r="L1042" s="229">
        <v>8879.9964</v>
      </c>
      <c r="M1042" s="55"/>
    </row>
    <row r="1043" spans="2:13" x14ac:dyDescent="0.3">
      <c r="B1043" s="223" t="s">
        <v>2591</v>
      </c>
      <c r="C1043" s="224">
        <v>6</v>
      </c>
      <c r="D1043" s="225">
        <v>12</v>
      </c>
      <c r="E1043" s="226">
        <v>23024</v>
      </c>
      <c r="F1043" s="227"/>
      <c r="G1043" s="1" t="str">
        <f>IFERROR(IF(ventas_b_mes9[[#This Row],[CUIT]]="","-",VLOOKUP(ventas_b_mes9[[#This Row],[CUIT]],Lista_CUIT[#All],2,0)),"CUIT NO CARGADO")</f>
        <v>-</v>
      </c>
      <c r="H1043" s="60">
        <f>ventas_b_mes9[[#This Row],[TOTAL]]/1.21</f>
        <v>3933.8800000000006</v>
      </c>
      <c r="I1043" s="228">
        <f>ventas_b_mes9[[#This Row],[IMPORTE NETO]]*0.21</f>
        <v>826.11480000000006</v>
      </c>
      <c r="J1043" s="229"/>
      <c r="K1043" s="229"/>
      <c r="L1043" s="229">
        <v>4759.9948000000004</v>
      </c>
      <c r="M1043" s="55"/>
    </row>
    <row r="1044" spans="2:13" x14ac:dyDescent="0.3">
      <c r="B1044" s="223" t="s">
        <v>2591</v>
      </c>
      <c r="C1044" s="224">
        <v>6</v>
      </c>
      <c r="D1044" s="225">
        <v>12</v>
      </c>
      <c r="E1044" s="226">
        <v>23025</v>
      </c>
      <c r="F1044" s="227"/>
      <c r="G1044" s="1" t="str">
        <f>IFERROR(IF(ventas_b_mes9[[#This Row],[CUIT]]="","-",VLOOKUP(ventas_b_mes9[[#This Row],[CUIT]],Lista_CUIT[#All],2,0)),"CUIT NO CARGADO")</f>
        <v>-</v>
      </c>
      <c r="H1044" s="60">
        <f>ventas_b_mes9[[#This Row],[TOTAL]]/1.21</f>
        <v>1983.47</v>
      </c>
      <c r="I1044" s="228">
        <f>ventas_b_mes9[[#This Row],[IMPORTE NETO]]*0.21</f>
        <v>416.52870000000001</v>
      </c>
      <c r="J1044" s="229"/>
      <c r="K1044" s="229"/>
      <c r="L1044" s="229">
        <v>2399.9987000000001</v>
      </c>
      <c r="M1044" s="55"/>
    </row>
    <row r="1045" spans="2:13" x14ac:dyDescent="0.3">
      <c r="B1045" s="223" t="s">
        <v>2591</v>
      </c>
      <c r="C1045" s="224">
        <v>6</v>
      </c>
      <c r="D1045" s="225">
        <v>12</v>
      </c>
      <c r="E1045" s="226">
        <v>23026</v>
      </c>
      <c r="F1045" s="227"/>
      <c r="G1045" s="1" t="str">
        <f>IFERROR(IF(ventas_b_mes9[[#This Row],[CUIT]]="","-",VLOOKUP(ventas_b_mes9[[#This Row],[CUIT]],Lista_CUIT[#All],2,0)),"CUIT NO CARGADO")</f>
        <v>-</v>
      </c>
      <c r="H1045" s="60">
        <f>ventas_b_mes9[[#This Row],[TOTAL]]/1.21</f>
        <v>1983.47</v>
      </c>
      <c r="I1045" s="228">
        <f>ventas_b_mes9[[#This Row],[IMPORTE NETO]]*0.21</f>
        <v>416.52870000000001</v>
      </c>
      <c r="J1045" s="229"/>
      <c r="K1045" s="229"/>
      <c r="L1045" s="229">
        <v>2399.9987000000001</v>
      </c>
      <c r="M1045" s="55"/>
    </row>
    <row r="1046" spans="2:13" x14ac:dyDescent="0.3">
      <c r="B1046" s="223" t="s">
        <v>2591</v>
      </c>
      <c r="C1046" s="224">
        <v>6</v>
      </c>
      <c r="D1046" s="225">
        <v>12</v>
      </c>
      <c r="E1046" s="226">
        <v>23027</v>
      </c>
      <c r="F1046" s="227"/>
      <c r="G1046" s="1" t="str">
        <f>IFERROR(IF(ventas_b_mes9[[#This Row],[CUIT]]="","-",VLOOKUP(ventas_b_mes9[[#This Row],[CUIT]],Lista_CUIT[#All],2,0)),"CUIT NO CARGADO")</f>
        <v>-</v>
      </c>
      <c r="H1046" s="60">
        <f>ventas_b_mes9[[#This Row],[TOTAL]]/1.21</f>
        <v>3966.94</v>
      </c>
      <c r="I1046" s="228">
        <f>ventas_b_mes9[[#This Row],[IMPORTE NETO]]*0.21</f>
        <v>833.05740000000003</v>
      </c>
      <c r="J1046" s="229"/>
      <c r="K1046" s="229"/>
      <c r="L1046" s="229">
        <v>4799.9974000000002</v>
      </c>
      <c r="M1046" s="55"/>
    </row>
    <row r="1047" spans="2:13" x14ac:dyDescent="0.3">
      <c r="B1047" s="223" t="s">
        <v>2591</v>
      </c>
      <c r="C1047" s="224">
        <v>6</v>
      </c>
      <c r="D1047" s="225">
        <v>12</v>
      </c>
      <c r="E1047" s="226">
        <v>23028</v>
      </c>
      <c r="F1047" s="227"/>
      <c r="G1047" s="1" t="str">
        <f>IFERROR(IF(ventas_b_mes9[[#This Row],[CUIT]]="","-",VLOOKUP(ventas_b_mes9[[#This Row],[CUIT]],Lista_CUIT[#All],2,0)),"CUIT NO CARGADO")</f>
        <v>-</v>
      </c>
      <c r="H1047" s="60">
        <f>ventas_b_mes9[[#This Row],[TOTAL]]/1.21</f>
        <v>1983.47</v>
      </c>
      <c r="I1047" s="228">
        <f>ventas_b_mes9[[#This Row],[IMPORTE NETO]]*0.21</f>
        <v>416.52870000000001</v>
      </c>
      <c r="J1047" s="229"/>
      <c r="K1047" s="229"/>
      <c r="L1047" s="229">
        <v>2399.9987000000001</v>
      </c>
      <c r="M1047" s="55"/>
    </row>
    <row r="1048" spans="2:13" x14ac:dyDescent="0.3">
      <c r="B1048" s="223" t="s">
        <v>2591</v>
      </c>
      <c r="C1048" s="224">
        <v>6</v>
      </c>
      <c r="D1048" s="225">
        <v>12</v>
      </c>
      <c r="E1048" s="226">
        <v>23029</v>
      </c>
      <c r="F1048" s="227"/>
      <c r="G1048" s="1" t="str">
        <f>IFERROR(IF(ventas_b_mes9[[#This Row],[CUIT]]="","-",VLOOKUP(ventas_b_mes9[[#This Row],[CUIT]],Lista_CUIT[#All],2,0)),"CUIT NO CARGADO")</f>
        <v>-</v>
      </c>
      <c r="H1048" s="60">
        <f>ventas_b_mes9[[#This Row],[TOTAL]]/1.21</f>
        <v>4578.5200000000004</v>
      </c>
      <c r="I1048" s="228">
        <f>ventas_b_mes9[[#This Row],[IMPORTE NETO]]*0.21</f>
        <v>961.4892000000001</v>
      </c>
      <c r="J1048" s="229"/>
      <c r="K1048" s="229"/>
      <c r="L1048" s="229">
        <v>5540.0092000000004</v>
      </c>
      <c r="M1048" s="55"/>
    </row>
    <row r="1049" spans="2:13" x14ac:dyDescent="0.3">
      <c r="B1049" s="223" t="s">
        <v>2591</v>
      </c>
      <c r="C1049" s="224">
        <v>6</v>
      </c>
      <c r="D1049" s="225">
        <v>12</v>
      </c>
      <c r="E1049" s="226">
        <v>23030</v>
      </c>
      <c r="F1049" s="227"/>
      <c r="G1049" s="1" t="str">
        <f>IFERROR(IF(ventas_b_mes9[[#This Row],[CUIT]]="","-",VLOOKUP(ventas_b_mes9[[#This Row],[CUIT]],Lista_CUIT[#All],2,0)),"CUIT NO CARGADO")</f>
        <v>-</v>
      </c>
      <c r="H1049" s="60">
        <f>ventas_b_mes9[[#This Row],[TOTAL]]/1.21</f>
        <v>7951.2500000000009</v>
      </c>
      <c r="I1049" s="228">
        <f>ventas_b_mes9[[#This Row],[IMPORTE NETO]]*0.21</f>
        <v>1669.7625</v>
      </c>
      <c r="J1049" s="229"/>
      <c r="K1049" s="229"/>
      <c r="L1049" s="229">
        <v>9621.0125000000007</v>
      </c>
      <c r="M1049" s="55"/>
    </row>
    <row r="1050" spans="2:13" x14ac:dyDescent="0.3">
      <c r="B1050" s="223" t="s">
        <v>2591</v>
      </c>
      <c r="C1050" s="224">
        <v>6</v>
      </c>
      <c r="D1050" s="225">
        <v>12</v>
      </c>
      <c r="E1050" s="226">
        <v>23031</v>
      </c>
      <c r="F1050" s="227"/>
      <c r="G1050" s="1" t="str">
        <f>IFERROR(IF(ventas_b_mes9[[#This Row],[CUIT]]="","-",VLOOKUP(ventas_b_mes9[[#This Row],[CUIT]],Lista_CUIT[#All],2,0)),"CUIT NO CARGADO")</f>
        <v>-</v>
      </c>
      <c r="H1050" s="60">
        <f>ventas_b_mes9[[#This Row],[TOTAL]]/1.21</f>
        <v>11327.27</v>
      </c>
      <c r="I1050" s="228">
        <f>ventas_b_mes9[[#This Row],[IMPORTE NETO]]*0.21</f>
        <v>2378.7267000000002</v>
      </c>
      <c r="J1050" s="229"/>
      <c r="K1050" s="229"/>
      <c r="L1050" s="229">
        <v>13705.9967</v>
      </c>
      <c r="M1050" s="55"/>
    </row>
    <row r="1051" spans="2:13" x14ac:dyDescent="0.3">
      <c r="B1051" s="223" t="s">
        <v>2591</v>
      </c>
      <c r="C1051" s="224">
        <v>6</v>
      </c>
      <c r="D1051" s="225">
        <v>12</v>
      </c>
      <c r="E1051" s="226">
        <v>23032</v>
      </c>
      <c r="F1051" s="227"/>
      <c r="G1051" s="1" t="str">
        <f>IFERROR(IF(ventas_b_mes9[[#This Row],[CUIT]]="","-",VLOOKUP(ventas_b_mes9[[#This Row],[CUIT]],Lista_CUIT[#All],2,0)),"CUIT NO CARGADO")</f>
        <v>-</v>
      </c>
      <c r="H1051" s="60">
        <f>ventas_b_mes9[[#This Row],[TOTAL]]/1.21</f>
        <v>4958.68</v>
      </c>
      <c r="I1051" s="228">
        <f>ventas_b_mes9[[#This Row],[IMPORTE NETO]]*0.21</f>
        <v>1041.3227999999999</v>
      </c>
      <c r="J1051" s="229"/>
      <c r="K1051" s="229"/>
      <c r="L1051" s="229">
        <v>6000.0028000000002</v>
      </c>
      <c r="M1051" s="55"/>
    </row>
    <row r="1052" spans="2:13" x14ac:dyDescent="0.3">
      <c r="B1052" s="223" t="s">
        <v>2591</v>
      </c>
      <c r="C1052" s="224">
        <v>6</v>
      </c>
      <c r="D1052" s="225">
        <v>12</v>
      </c>
      <c r="E1052" s="226">
        <v>23033</v>
      </c>
      <c r="F1052" s="227"/>
      <c r="G1052" s="1" t="str">
        <f>IFERROR(IF(ventas_b_mes9[[#This Row],[CUIT]]="","-",VLOOKUP(ventas_b_mes9[[#This Row],[CUIT]],Lista_CUIT[#All],2,0)),"CUIT NO CARGADO")</f>
        <v>-</v>
      </c>
      <c r="H1052" s="60">
        <f>ventas_b_mes9[[#This Row],[TOTAL]]/1.21</f>
        <v>5366.96</v>
      </c>
      <c r="I1052" s="228">
        <f>ventas_b_mes9[[#This Row],[IMPORTE NETO]]*0.21</f>
        <v>1127.0616</v>
      </c>
      <c r="J1052" s="229"/>
      <c r="K1052" s="229"/>
      <c r="L1052" s="229">
        <v>6494.0216</v>
      </c>
      <c r="M1052" s="55"/>
    </row>
    <row r="1053" spans="2:13" x14ac:dyDescent="0.3">
      <c r="B1053" s="223" t="s">
        <v>2592</v>
      </c>
      <c r="C1053" s="224">
        <v>6</v>
      </c>
      <c r="D1053" s="225">
        <v>13</v>
      </c>
      <c r="E1053" s="226">
        <v>27090</v>
      </c>
      <c r="F1053" s="227"/>
      <c r="G1053" s="1" t="str">
        <f>IFERROR(IF(ventas_b_mes9[[#This Row],[CUIT]]="","-",VLOOKUP(ventas_b_mes9[[#This Row],[CUIT]],Lista_CUIT[#All],2,0)),"CUIT NO CARGADO")</f>
        <v>-</v>
      </c>
      <c r="H1053" s="60">
        <f>ventas_b_mes9[[#This Row],[TOTAL]]/1.21</f>
        <v>3272.73</v>
      </c>
      <c r="I1053" s="228">
        <f>ventas_b_mes9[[#This Row],[IMPORTE NETO]]*0.21</f>
        <v>687.27329999999995</v>
      </c>
      <c r="J1053" s="229"/>
      <c r="K1053" s="229"/>
      <c r="L1053" s="229">
        <v>3960.0032999999999</v>
      </c>
      <c r="M1053" s="55"/>
    </row>
    <row r="1054" spans="2:13" x14ac:dyDescent="0.3">
      <c r="B1054" s="223" t="s">
        <v>2592</v>
      </c>
      <c r="C1054" s="224">
        <v>6</v>
      </c>
      <c r="D1054" s="225">
        <v>13</v>
      </c>
      <c r="E1054" s="226">
        <v>27091</v>
      </c>
      <c r="F1054" s="227"/>
      <c r="G1054" s="1" t="str">
        <f>IFERROR(IF(ventas_b_mes9[[#This Row],[CUIT]]="","-",VLOOKUP(ventas_b_mes9[[#This Row],[CUIT]],Lista_CUIT[#All],2,0)),"CUIT NO CARGADO")</f>
        <v>-</v>
      </c>
      <c r="H1054" s="60">
        <f>ventas_b_mes9[[#This Row],[TOTAL]]/1.21</f>
        <v>5206.6099999999997</v>
      </c>
      <c r="I1054" s="228">
        <f>ventas_b_mes9[[#This Row],[IMPORTE NETO]]*0.21</f>
        <v>1093.3880999999999</v>
      </c>
      <c r="J1054" s="229"/>
      <c r="K1054" s="229"/>
      <c r="L1054" s="229">
        <v>6299.9980999999998</v>
      </c>
      <c r="M1054" s="55"/>
    </row>
    <row r="1055" spans="2:13" x14ac:dyDescent="0.3">
      <c r="B1055" s="223" t="s">
        <v>2592</v>
      </c>
      <c r="C1055" s="224">
        <v>6</v>
      </c>
      <c r="D1055" s="225">
        <v>13</v>
      </c>
      <c r="E1055" s="226">
        <v>27092</v>
      </c>
      <c r="F1055" s="227"/>
      <c r="G1055" s="1" t="str">
        <f>IFERROR(IF(ventas_b_mes9[[#This Row],[CUIT]]="","-",VLOOKUP(ventas_b_mes9[[#This Row],[CUIT]],Lista_CUIT[#All],2,0)),"CUIT NO CARGADO")</f>
        <v>-</v>
      </c>
      <c r="H1055" s="60">
        <f>ventas_b_mes9[[#This Row],[TOTAL]]/1.21</f>
        <v>8876.0300000000007</v>
      </c>
      <c r="I1055" s="228">
        <f>ventas_b_mes9[[#This Row],[IMPORTE NETO]]*0.21</f>
        <v>1863.9663</v>
      </c>
      <c r="J1055" s="229"/>
      <c r="K1055" s="229"/>
      <c r="L1055" s="229">
        <v>10739.996300000001</v>
      </c>
      <c r="M1055" s="55"/>
    </row>
    <row r="1056" spans="2:13" x14ac:dyDescent="0.3">
      <c r="B1056" s="223" t="s">
        <v>2592</v>
      </c>
      <c r="C1056" s="224">
        <v>6</v>
      </c>
      <c r="D1056" s="225">
        <v>13</v>
      </c>
      <c r="E1056" s="226">
        <v>27093</v>
      </c>
      <c r="F1056" s="227"/>
      <c r="G1056" s="1" t="str">
        <f>IFERROR(IF(ventas_b_mes9[[#This Row],[CUIT]]="","-",VLOOKUP(ventas_b_mes9[[#This Row],[CUIT]],Lista_CUIT[#All],2,0)),"CUIT NO CARGADO")</f>
        <v>-</v>
      </c>
      <c r="H1056" s="60">
        <f>ventas_b_mes9[[#This Row],[TOTAL]]/1.21</f>
        <v>2231.41</v>
      </c>
      <c r="I1056" s="228">
        <f>ventas_b_mes9[[#This Row],[IMPORTE NETO]]*0.21</f>
        <v>468.59609999999998</v>
      </c>
      <c r="J1056" s="229"/>
      <c r="K1056" s="229"/>
      <c r="L1056" s="229">
        <v>2700.0060999999996</v>
      </c>
      <c r="M1056" s="55"/>
    </row>
    <row r="1057" spans="2:13" x14ac:dyDescent="0.3">
      <c r="B1057" s="223" t="s">
        <v>2592</v>
      </c>
      <c r="C1057" s="224">
        <v>6</v>
      </c>
      <c r="D1057" s="225">
        <v>13</v>
      </c>
      <c r="E1057" s="226">
        <v>27094</v>
      </c>
      <c r="F1057" s="227"/>
      <c r="G1057" s="1" t="str">
        <f>IFERROR(IF(ventas_b_mes9[[#This Row],[CUIT]]="","-",VLOOKUP(ventas_b_mes9[[#This Row],[CUIT]],Lista_CUIT[#All],2,0)),"CUIT NO CARGADO")</f>
        <v>-</v>
      </c>
      <c r="H1057" s="60">
        <f>ventas_b_mes9[[#This Row],[TOTAL]]/1.21</f>
        <v>7549.58</v>
      </c>
      <c r="I1057" s="228">
        <f>ventas_b_mes9[[#This Row],[IMPORTE NETO]]*0.21</f>
        <v>1585.4117999999999</v>
      </c>
      <c r="J1057" s="229"/>
      <c r="K1057" s="229"/>
      <c r="L1057" s="229">
        <v>9134.9917999999998</v>
      </c>
      <c r="M1057" s="55"/>
    </row>
    <row r="1058" spans="2:13" x14ac:dyDescent="0.3">
      <c r="B1058" s="223" t="s">
        <v>2592</v>
      </c>
      <c r="C1058" s="224">
        <v>6</v>
      </c>
      <c r="D1058" s="225">
        <v>13</v>
      </c>
      <c r="E1058" s="226">
        <v>27095</v>
      </c>
      <c r="F1058" s="227"/>
      <c r="G1058" s="1" t="str">
        <f>IFERROR(IF(ventas_b_mes9[[#This Row],[CUIT]]="","-",VLOOKUP(ventas_b_mes9[[#This Row],[CUIT]],Lista_CUIT[#All],2,0)),"CUIT NO CARGADO")</f>
        <v>-</v>
      </c>
      <c r="H1058" s="60">
        <f>ventas_b_mes9[[#This Row],[TOTAL]]/1.21</f>
        <v>13993.43</v>
      </c>
      <c r="I1058" s="228">
        <f>ventas_b_mes9[[#This Row],[IMPORTE NETO]]*0.21</f>
        <v>2938.6203</v>
      </c>
      <c r="J1058" s="229"/>
      <c r="K1058" s="229"/>
      <c r="L1058" s="229">
        <v>16932.050299999999</v>
      </c>
      <c r="M1058" s="55"/>
    </row>
    <row r="1059" spans="2:13" x14ac:dyDescent="0.3">
      <c r="B1059" s="223" t="s">
        <v>2592</v>
      </c>
      <c r="C1059" s="224">
        <v>6</v>
      </c>
      <c r="D1059" s="225">
        <v>13</v>
      </c>
      <c r="E1059" s="226">
        <v>27096</v>
      </c>
      <c r="F1059" s="227"/>
      <c r="G1059" s="1" t="str">
        <f>IFERROR(IF(ventas_b_mes9[[#This Row],[CUIT]]="","-",VLOOKUP(ventas_b_mes9[[#This Row],[CUIT]],Lista_CUIT[#All],2,0)),"CUIT NO CARGADO")</f>
        <v>-</v>
      </c>
      <c r="H1059" s="60">
        <f>ventas_b_mes9[[#This Row],[TOTAL]]/1.21</f>
        <v>10568.600000000002</v>
      </c>
      <c r="I1059" s="228">
        <f>ventas_b_mes9[[#This Row],[IMPORTE NETO]]*0.21</f>
        <v>2219.4060000000004</v>
      </c>
      <c r="J1059" s="229"/>
      <c r="K1059" s="229"/>
      <c r="L1059" s="229">
        <v>12788.006000000001</v>
      </c>
      <c r="M1059" s="55"/>
    </row>
    <row r="1060" spans="2:13" x14ac:dyDescent="0.3">
      <c r="B1060" s="223" t="s">
        <v>2592</v>
      </c>
      <c r="C1060" s="224">
        <v>6</v>
      </c>
      <c r="D1060" s="225">
        <v>13</v>
      </c>
      <c r="E1060" s="226">
        <v>27097</v>
      </c>
      <c r="F1060" s="227"/>
      <c r="G1060" s="1" t="str">
        <f>IFERROR(IF(ventas_b_mes9[[#This Row],[CUIT]]="","-",VLOOKUP(ventas_b_mes9[[#This Row],[CUIT]],Lista_CUIT[#All],2,0)),"CUIT NO CARGADO")</f>
        <v>-</v>
      </c>
      <c r="H1060" s="60">
        <f>ventas_b_mes9[[#This Row],[TOTAL]]/1.21</f>
        <v>2148.7600000000002</v>
      </c>
      <c r="I1060" s="228">
        <f>ventas_b_mes9[[#This Row],[IMPORTE NETO]]*0.21</f>
        <v>451.23960000000005</v>
      </c>
      <c r="J1060" s="229"/>
      <c r="K1060" s="229"/>
      <c r="L1060" s="229">
        <v>2599.9996000000001</v>
      </c>
      <c r="M1060" s="55"/>
    </row>
    <row r="1061" spans="2:13" x14ac:dyDescent="0.3">
      <c r="B1061" s="223" t="s">
        <v>2592</v>
      </c>
      <c r="C1061" s="224">
        <v>6</v>
      </c>
      <c r="D1061" s="225">
        <v>13</v>
      </c>
      <c r="E1061" s="226">
        <v>27098</v>
      </c>
      <c r="F1061" s="227"/>
      <c r="G1061" s="1" t="str">
        <f>IFERROR(IF(ventas_b_mes9[[#This Row],[CUIT]]="","-",VLOOKUP(ventas_b_mes9[[#This Row],[CUIT]],Lista_CUIT[#All],2,0)),"CUIT NO CARGADO")</f>
        <v>-</v>
      </c>
      <c r="H1061" s="60">
        <f>ventas_b_mes9[[#This Row],[TOTAL]]/1.21</f>
        <v>3487.61</v>
      </c>
      <c r="I1061" s="228">
        <f>ventas_b_mes9[[#This Row],[IMPORTE NETO]]*0.21</f>
        <v>732.3981</v>
      </c>
      <c r="J1061" s="229"/>
      <c r="K1061" s="229"/>
      <c r="L1061" s="229">
        <v>4220.0081</v>
      </c>
      <c r="M1061" s="55"/>
    </row>
    <row r="1062" spans="2:13" x14ac:dyDescent="0.3">
      <c r="B1062" s="223" t="s">
        <v>2592</v>
      </c>
      <c r="C1062" s="224">
        <v>6</v>
      </c>
      <c r="D1062" s="225">
        <v>13</v>
      </c>
      <c r="E1062" s="226">
        <v>27099</v>
      </c>
      <c r="F1062" s="227"/>
      <c r="G1062" s="1" t="str">
        <f>IFERROR(IF(ventas_b_mes9[[#This Row],[CUIT]]="","-",VLOOKUP(ventas_b_mes9[[#This Row],[CUIT]],Lista_CUIT[#All],2,0)),"CUIT NO CARGADO")</f>
        <v>-</v>
      </c>
      <c r="H1062" s="60">
        <f>ventas_b_mes9[[#This Row],[TOTAL]]/1.21</f>
        <v>4611.57</v>
      </c>
      <c r="I1062" s="228">
        <f>ventas_b_mes9[[#This Row],[IMPORTE NETO]]*0.21</f>
        <v>968.42969999999991</v>
      </c>
      <c r="J1062" s="229"/>
      <c r="K1062" s="229"/>
      <c r="L1062" s="229">
        <v>5579.9996999999994</v>
      </c>
      <c r="M1062" s="55"/>
    </row>
    <row r="1063" spans="2:13" x14ac:dyDescent="0.3">
      <c r="B1063" s="223" t="s">
        <v>2592</v>
      </c>
      <c r="C1063" s="224">
        <v>6</v>
      </c>
      <c r="D1063" s="225">
        <v>13</v>
      </c>
      <c r="E1063" s="226">
        <v>27100</v>
      </c>
      <c r="F1063" s="227"/>
      <c r="G1063" s="1" t="str">
        <f>IFERROR(IF(ventas_b_mes9[[#This Row],[CUIT]]="","-",VLOOKUP(ventas_b_mes9[[#This Row],[CUIT]],Lista_CUIT[#All],2,0)),"CUIT NO CARGADO")</f>
        <v>-</v>
      </c>
      <c r="H1063" s="60">
        <f>ventas_b_mes9[[#This Row],[TOTAL]]/1.21</f>
        <v>5766.94</v>
      </c>
      <c r="I1063" s="228">
        <f>ventas_b_mes9[[#This Row],[IMPORTE NETO]]*0.21</f>
        <v>1211.0573999999999</v>
      </c>
      <c r="J1063" s="229"/>
      <c r="K1063" s="229"/>
      <c r="L1063" s="229">
        <v>6977.9973999999993</v>
      </c>
      <c r="M1063" s="55"/>
    </row>
    <row r="1064" spans="2:13" x14ac:dyDescent="0.3">
      <c r="B1064" s="223" t="s">
        <v>2592</v>
      </c>
      <c r="C1064" s="224">
        <v>6</v>
      </c>
      <c r="D1064" s="225">
        <v>13</v>
      </c>
      <c r="E1064" s="226">
        <v>27101</v>
      </c>
      <c r="F1064" s="227"/>
      <c r="G1064" s="1" t="str">
        <f>IFERROR(IF(ventas_b_mes9[[#This Row],[CUIT]]="","-",VLOOKUP(ventas_b_mes9[[#This Row],[CUIT]],Lista_CUIT[#All],2,0)),"CUIT NO CARGADO")</f>
        <v>-</v>
      </c>
      <c r="H1064" s="60">
        <f>ventas_b_mes9[[#This Row],[TOTAL]]/1.21</f>
        <v>4958.68</v>
      </c>
      <c r="I1064" s="228">
        <f>ventas_b_mes9[[#This Row],[IMPORTE NETO]]*0.21</f>
        <v>1041.3227999999999</v>
      </c>
      <c r="J1064" s="229"/>
      <c r="K1064" s="229"/>
      <c r="L1064" s="229">
        <v>6000.0028000000002</v>
      </c>
      <c r="M1064" s="55"/>
    </row>
    <row r="1065" spans="2:13" x14ac:dyDescent="0.3">
      <c r="B1065" s="223" t="s">
        <v>2592</v>
      </c>
      <c r="C1065" s="224">
        <v>6</v>
      </c>
      <c r="D1065" s="225">
        <v>13</v>
      </c>
      <c r="E1065" s="226">
        <v>27102</v>
      </c>
      <c r="F1065" s="227"/>
      <c r="G1065" s="1" t="str">
        <f>IFERROR(IF(ventas_b_mes9[[#This Row],[CUIT]]="","-",VLOOKUP(ventas_b_mes9[[#This Row],[CUIT]],Lista_CUIT[#All],2,0)),"CUIT NO CARGADO")</f>
        <v>-</v>
      </c>
      <c r="H1065" s="60">
        <f>ventas_b_mes9[[#This Row],[TOTAL]]/1.21</f>
        <v>2933.88</v>
      </c>
      <c r="I1065" s="228">
        <f>ventas_b_mes9[[#This Row],[IMPORTE NETO]]*0.21</f>
        <v>616.11479999999995</v>
      </c>
      <c r="J1065" s="229"/>
      <c r="K1065" s="229"/>
      <c r="L1065" s="229">
        <v>3549.9947999999999</v>
      </c>
      <c r="M1065" s="55"/>
    </row>
    <row r="1066" spans="2:13" x14ac:dyDescent="0.3">
      <c r="B1066" s="223" t="s">
        <v>2592</v>
      </c>
      <c r="C1066" s="224">
        <v>6</v>
      </c>
      <c r="D1066" s="225">
        <v>13</v>
      </c>
      <c r="E1066" s="226">
        <v>27103</v>
      </c>
      <c r="F1066" s="227"/>
      <c r="G1066" s="1" t="str">
        <f>IFERROR(IF(ventas_b_mes9[[#This Row],[CUIT]]="","-",VLOOKUP(ventas_b_mes9[[#This Row],[CUIT]],Lista_CUIT[#All],2,0)),"CUIT NO CARGADO")</f>
        <v>-</v>
      </c>
      <c r="H1066" s="60">
        <f>ventas_b_mes9[[#This Row],[TOTAL]]/1.21</f>
        <v>6063.65</v>
      </c>
      <c r="I1066" s="228">
        <f>ventas_b_mes9[[#This Row],[IMPORTE NETO]]*0.21</f>
        <v>1273.3664999999999</v>
      </c>
      <c r="J1066" s="229"/>
      <c r="K1066" s="229"/>
      <c r="L1066" s="229">
        <v>7337.0164999999997</v>
      </c>
      <c r="M1066" s="55"/>
    </row>
    <row r="1067" spans="2:13" x14ac:dyDescent="0.3">
      <c r="B1067" s="223" t="s">
        <v>2592</v>
      </c>
      <c r="C1067" s="224">
        <v>6</v>
      </c>
      <c r="D1067" s="225">
        <v>13</v>
      </c>
      <c r="E1067" s="226">
        <v>27104</v>
      </c>
      <c r="F1067" s="227"/>
      <c r="G1067" s="1" t="str">
        <f>IFERROR(IF(ventas_b_mes9[[#This Row],[CUIT]]="","-",VLOOKUP(ventas_b_mes9[[#This Row],[CUIT]],Lista_CUIT[#All],2,0)),"CUIT NO CARGADO")</f>
        <v>-</v>
      </c>
      <c r="H1067" s="60">
        <f>ventas_b_mes9[[#This Row],[TOTAL]]/1.21</f>
        <v>991.74</v>
      </c>
      <c r="I1067" s="228">
        <f>ventas_b_mes9[[#This Row],[IMPORTE NETO]]*0.21</f>
        <v>208.2654</v>
      </c>
      <c r="J1067" s="229"/>
      <c r="K1067" s="229"/>
      <c r="L1067" s="229">
        <v>1200.0054</v>
      </c>
      <c r="M1067" s="55"/>
    </row>
    <row r="1068" spans="2:13" x14ac:dyDescent="0.3">
      <c r="B1068" s="223" t="s">
        <v>2592</v>
      </c>
      <c r="C1068" s="224">
        <v>6</v>
      </c>
      <c r="D1068" s="225">
        <v>13</v>
      </c>
      <c r="E1068" s="226">
        <v>27105</v>
      </c>
      <c r="F1068" s="227"/>
      <c r="G1068" s="1" t="str">
        <f>IFERROR(IF(ventas_b_mes9[[#This Row],[CUIT]]="","-",VLOOKUP(ventas_b_mes9[[#This Row],[CUIT]],Lista_CUIT[#All],2,0)),"CUIT NO CARGADO")</f>
        <v>-</v>
      </c>
      <c r="H1068" s="60">
        <f>ventas_b_mes9[[#This Row],[TOTAL]]/1.21</f>
        <v>4958.68</v>
      </c>
      <c r="I1068" s="228">
        <f>ventas_b_mes9[[#This Row],[IMPORTE NETO]]*0.21</f>
        <v>1041.3227999999999</v>
      </c>
      <c r="J1068" s="229"/>
      <c r="K1068" s="229"/>
      <c r="L1068" s="229">
        <v>6000.0028000000002</v>
      </c>
      <c r="M1068" s="55"/>
    </row>
    <row r="1069" spans="2:13" x14ac:dyDescent="0.3">
      <c r="B1069" s="223" t="s">
        <v>2592</v>
      </c>
      <c r="C1069" s="224">
        <v>6</v>
      </c>
      <c r="D1069" s="225">
        <v>13</v>
      </c>
      <c r="E1069" s="226">
        <v>27106</v>
      </c>
      <c r="F1069" s="227"/>
      <c r="G1069" s="1" t="str">
        <f>IFERROR(IF(ventas_b_mes9[[#This Row],[CUIT]]="","-",VLOOKUP(ventas_b_mes9[[#This Row],[CUIT]],Lista_CUIT[#All],2,0)),"CUIT NO CARGADO")</f>
        <v>-</v>
      </c>
      <c r="H1069" s="60">
        <f>ventas_b_mes9[[#This Row],[TOTAL]]/1.21</f>
        <v>4958.68</v>
      </c>
      <c r="I1069" s="228">
        <f>ventas_b_mes9[[#This Row],[IMPORTE NETO]]*0.21</f>
        <v>1041.3227999999999</v>
      </c>
      <c r="J1069" s="229"/>
      <c r="K1069" s="229"/>
      <c r="L1069" s="229">
        <v>6000.0028000000002</v>
      </c>
      <c r="M1069" s="55"/>
    </row>
    <row r="1070" spans="2:13" x14ac:dyDescent="0.3">
      <c r="B1070" s="223" t="s">
        <v>2592</v>
      </c>
      <c r="C1070" s="224">
        <v>6</v>
      </c>
      <c r="D1070" s="225">
        <v>13</v>
      </c>
      <c r="E1070" s="226">
        <v>27107</v>
      </c>
      <c r="F1070" s="227"/>
      <c r="G1070" s="1" t="str">
        <f>IFERROR(IF(ventas_b_mes9[[#This Row],[CUIT]]="","-",VLOOKUP(ventas_b_mes9[[#This Row],[CUIT]],Lista_CUIT[#All],2,0)),"CUIT NO CARGADO")</f>
        <v>-</v>
      </c>
      <c r="H1070" s="60">
        <f>ventas_b_mes9[[#This Row],[TOTAL]]/1.21</f>
        <v>2148.7600000000002</v>
      </c>
      <c r="I1070" s="228">
        <f>ventas_b_mes9[[#This Row],[IMPORTE NETO]]*0.21</f>
        <v>451.23960000000005</v>
      </c>
      <c r="J1070" s="229"/>
      <c r="K1070" s="229"/>
      <c r="L1070" s="229">
        <v>2599.9996000000001</v>
      </c>
      <c r="M1070" s="55"/>
    </row>
    <row r="1071" spans="2:13" x14ac:dyDescent="0.3">
      <c r="B1071" s="223" t="s">
        <v>2592</v>
      </c>
      <c r="C1071" s="224">
        <v>6</v>
      </c>
      <c r="D1071" s="225">
        <v>13</v>
      </c>
      <c r="E1071" s="226">
        <v>27108</v>
      </c>
      <c r="F1071" s="227"/>
      <c r="G1071" s="1" t="str">
        <f>IFERROR(IF(ventas_b_mes9[[#This Row],[CUIT]]="","-",VLOOKUP(ventas_b_mes9[[#This Row],[CUIT]],Lista_CUIT[#All],2,0)),"CUIT NO CARGADO")</f>
        <v>-</v>
      </c>
      <c r="H1071" s="60">
        <f>ventas_b_mes9[[#This Row],[TOTAL]]/1.21</f>
        <v>7851.24</v>
      </c>
      <c r="I1071" s="228">
        <f>ventas_b_mes9[[#This Row],[IMPORTE NETO]]*0.21</f>
        <v>1648.7603999999999</v>
      </c>
      <c r="J1071" s="229"/>
      <c r="K1071" s="229"/>
      <c r="L1071" s="229">
        <v>9500.000399999999</v>
      </c>
      <c r="M1071" s="55"/>
    </row>
    <row r="1072" spans="2:13" x14ac:dyDescent="0.3">
      <c r="B1072" s="223" t="s">
        <v>2592</v>
      </c>
      <c r="C1072" s="224">
        <v>6</v>
      </c>
      <c r="D1072" s="225">
        <v>13</v>
      </c>
      <c r="E1072" s="226">
        <v>27109</v>
      </c>
      <c r="F1072" s="227"/>
      <c r="G1072" s="1" t="str">
        <f>IFERROR(IF(ventas_b_mes9[[#This Row],[CUIT]]="","-",VLOOKUP(ventas_b_mes9[[#This Row],[CUIT]],Lista_CUIT[#All],2,0)),"CUIT NO CARGADO")</f>
        <v>-</v>
      </c>
      <c r="H1072" s="60">
        <f>ventas_b_mes9[[#This Row],[TOTAL]]/1.21</f>
        <v>4958.68</v>
      </c>
      <c r="I1072" s="228">
        <f>ventas_b_mes9[[#This Row],[IMPORTE NETO]]*0.21</f>
        <v>1041.3227999999999</v>
      </c>
      <c r="J1072" s="229"/>
      <c r="K1072" s="229"/>
      <c r="L1072" s="229">
        <v>6000.0028000000002</v>
      </c>
      <c r="M1072" s="55"/>
    </row>
    <row r="1073" spans="2:13" x14ac:dyDescent="0.3">
      <c r="B1073" s="223" t="s">
        <v>2592</v>
      </c>
      <c r="C1073" s="224">
        <v>6</v>
      </c>
      <c r="D1073" s="225">
        <v>11</v>
      </c>
      <c r="E1073" s="226">
        <v>30552</v>
      </c>
      <c r="F1073" s="227"/>
      <c r="G1073" s="1" t="str">
        <f>IFERROR(IF(ventas_b_mes9[[#This Row],[CUIT]]="","-",VLOOKUP(ventas_b_mes9[[#This Row],[CUIT]],Lista_CUIT[#All],2,0)),"CUIT NO CARGADO")</f>
        <v>-</v>
      </c>
      <c r="H1073" s="60">
        <f>ventas_b_mes9[[#This Row],[TOTAL]]/1.21</f>
        <v>4545.45</v>
      </c>
      <c r="I1073" s="228">
        <f>ventas_b_mes9[[#This Row],[IMPORTE NETO]]*0.21</f>
        <v>954.54449999999997</v>
      </c>
      <c r="J1073" s="229"/>
      <c r="K1073" s="229"/>
      <c r="L1073" s="229">
        <v>5499.9944999999998</v>
      </c>
      <c r="M1073" s="55"/>
    </row>
    <row r="1074" spans="2:13" x14ac:dyDescent="0.3">
      <c r="B1074" s="223" t="s">
        <v>2592</v>
      </c>
      <c r="C1074" s="224">
        <v>6</v>
      </c>
      <c r="D1074" s="225">
        <v>11</v>
      </c>
      <c r="E1074" s="226">
        <v>30553</v>
      </c>
      <c r="F1074" s="227"/>
      <c r="G1074" s="1" t="str">
        <f>IFERROR(IF(ventas_b_mes9[[#This Row],[CUIT]]="","-",VLOOKUP(ventas_b_mes9[[#This Row],[CUIT]],Lista_CUIT[#All],2,0)),"CUIT NO CARGADO")</f>
        <v>-</v>
      </c>
      <c r="H1074" s="60">
        <f>ventas_b_mes9[[#This Row],[TOTAL]]/1.21</f>
        <v>6363.64</v>
      </c>
      <c r="I1074" s="228">
        <f>ventas_b_mes9[[#This Row],[IMPORTE NETO]]*0.21</f>
        <v>1336.3643999999999</v>
      </c>
      <c r="J1074" s="229"/>
      <c r="K1074" s="229"/>
      <c r="L1074" s="229">
        <v>7700.0043999999998</v>
      </c>
      <c r="M1074" s="55"/>
    </row>
    <row r="1075" spans="2:13" x14ac:dyDescent="0.3">
      <c r="B1075" s="223" t="s">
        <v>2592</v>
      </c>
      <c r="C1075" s="224">
        <v>6</v>
      </c>
      <c r="D1075" s="225">
        <v>11</v>
      </c>
      <c r="E1075" s="226">
        <v>30554</v>
      </c>
      <c r="F1075" s="227"/>
      <c r="G1075" s="1" t="str">
        <f>IFERROR(IF(ventas_b_mes9[[#This Row],[CUIT]]="","-",VLOOKUP(ventas_b_mes9[[#This Row],[CUIT]],Lista_CUIT[#All],2,0)),"CUIT NO CARGADO")</f>
        <v>-</v>
      </c>
      <c r="H1075" s="60">
        <f>ventas_b_mes9[[#This Row],[TOTAL]]/1.21</f>
        <v>1636.36</v>
      </c>
      <c r="I1075" s="228">
        <f>ventas_b_mes9[[#This Row],[IMPORTE NETO]]*0.21</f>
        <v>343.63559999999995</v>
      </c>
      <c r="J1075" s="229"/>
      <c r="K1075" s="229"/>
      <c r="L1075" s="229">
        <v>1979.9955999999997</v>
      </c>
      <c r="M1075" s="55"/>
    </row>
    <row r="1076" spans="2:13" x14ac:dyDescent="0.3">
      <c r="B1076" s="223" t="s">
        <v>2592</v>
      </c>
      <c r="C1076" s="224">
        <v>6</v>
      </c>
      <c r="D1076" s="225">
        <v>11</v>
      </c>
      <c r="E1076" s="226">
        <v>30555</v>
      </c>
      <c r="F1076" s="227"/>
      <c r="G1076" s="1" t="str">
        <f>IFERROR(IF(ventas_b_mes9[[#This Row],[CUIT]]="","-",VLOOKUP(ventas_b_mes9[[#This Row],[CUIT]],Lista_CUIT[#All],2,0)),"CUIT NO CARGADO")</f>
        <v>-</v>
      </c>
      <c r="H1076" s="60">
        <f>ventas_b_mes9[[#This Row],[TOTAL]]/1.21</f>
        <v>11464.5</v>
      </c>
      <c r="I1076" s="228">
        <f>ventas_b_mes9[[#This Row],[IMPORTE NETO]]*0.21</f>
        <v>2407.5450000000001</v>
      </c>
      <c r="J1076" s="229"/>
      <c r="K1076" s="229"/>
      <c r="L1076" s="229">
        <v>13872.045</v>
      </c>
      <c r="M1076" s="55"/>
    </row>
    <row r="1077" spans="2:13" x14ac:dyDescent="0.3">
      <c r="B1077" s="223" t="s">
        <v>2592</v>
      </c>
      <c r="C1077" s="224">
        <v>6</v>
      </c>
      <c r="D1077" s="225">
        <v>11</v>
      </c>
      <c r="E1077" s="226">
        <v>30556</v>
      </c>
      <c r="F1077" s="227"/>
      <c r="G1077" s="1" t="str">
        <f>IFERROR(IF(ventas_b_mes9[[#This Row],[CUIT]]="","-",VLOOKUP(ventas_b_mes9[[#This Row],[CUIT]],Lista_CUIT[#All],2,0)),"CUIT NO CARGADO")</f>
        <v>-</v>
      </c>
      <c r="H1077" s="60">
        <f>ventas_b_mes9[[#This Row],[TOTAL]]/1.21</f>
        <v>28386.799999999999</v>
      </c>
      <c r="I1077" s="228">
        <f>ventas_b_mes9[[#This Row],[IMPORTE NETO]]*0.21</f>
        <v>5961.2280000000001</v>
      </c>
      <c r="J1077" s="229"/>
      <c r="K1077" s="229"/>
      <c r="L1077" s="229">
        <v>34348.027999999998</v>
      </c>
      <c r="M1077" s="55"/>
    </row>
    <row r="1078" spans="2:13" x14ac:dyDescent="0.3">
      <c r="B1078" s="223" t="s">
        <v>2592</v>
      </c>
      <c r="C1078" s="224">
        <v>6</v>
      </c>
      <c r="D1078" s="225">
        <v>11</v>
      </c>
      <c r="E1078" s="226">
        <v>30557</v>
      </c>
      <c r="F1078" s="227"/>
      <c r="G1078" s="1" t="str">
        <f>IFERROR(IF(ventas_b_mes9[[#This Row],[CUIT]]="","-",VLOOKUP(ventas_b_mes9[[#This Row],[CUIT]],Lista_CUIT[#All],2,0)),"CUIT NO CARGADO")</f>
        <v>-</v>
      </c>
      <c r="H1078" s="60">
        <f>ventas_b_mes9[[#This Row],[TOTAL]]/1.21</f>
        <v>1404.96</v>
      </c>
      <c r="I1078" s="228">
        <f>ventas_b_mes9[[#This Row],[IMPORTE NETO]]*0.21</f>
        <v>295.04160000000002</v>
      </c>
      <c r="J1078" s="229"/>
      <c r="K1078" s="229"/>
      <c r="L1078" s="229">
        <v>1700.0016000000001</v>
      </c>
      <c r="M1078" s="55"/>
    </row>
    <row r="1079" spans="2:13" x14ac:dyDescent="0.3">
      <c r="B1079" s="223" t="s">
        <v>2592</v>
      </c>
      <c r="C1079" s="224">
        <v>6</v>
      </c>
      <c r="D1079" s="225">
        <v>11</v>
      </c>
      <c r="E1079" s="226">
        <v>30558</v>
      </c>
      <c r="F1079" s="227"/>
      <c r="G1079" s="1" t="str">
        <f>IFERROR(IF(ventas_b_mes9[[#This Row],[CUIT]]="","-",VLOOKUP(ventas_b_mes9[[#This Row],[CUIT]],Lista_CUIT[#All],2,0)),"CUIT NO CARGADO")</f>
        <v>-</v>
      </c>
      <c r="H1079" s="60">
        <f>ventas_b_mes9[[#This Row],[TOTAL]]/1.21</f>
        <v>7952.08</v>
      </c>
      <c r="I1079" s="228">
        <f>ventas_b_mes9[[#This Row],[IMPORTE NETO]]*0.21</f>
        <v>1669.9367999999999</v>
      </c>
      <c r="J1079" s="229"/>
      <c r="K1079" s="229"/>
      <c r="L1079" s="229">
        <v>9622.0167999999994</v>
      </c>
      <c r="M1079" s="55"/>
    </row>
    <row r="1080" spans="2:13" x14ac:dyDescent="0.3">
      <c r="B1080" s="223" t="s">
        <v>2592</v>
      </c>
      <c r="C1080" s="224">
        <v>6</v>
      </c>
      <c r="D1080" s="225">
        <v>11</v>
      </c>
      <c r="E1080" s="226">
        <v>30559</v>
      </c>
      <c r="F1080" s="227"/>
      <c r="G1080" s="1" t="str">
        <f>IFERROR(IF(ventas_b_mes9[[#This Row],[CUIT]]="","-",VLOOKUP(ventas_b_mes9[[#This Row],[CUIT]],Lista_CUIT[#All],2,0)),"CUIT NO CARGADO")</f>
        <v>-</v>
      </c>
      <c r="H1080" s="60">
        <f>ventas_b_mes9[[#This Row],[TOTAL]]/1.21</f>
        <v>5423.15</v>
      </c>
      <c r="I1080" s="228">
        <f>ventas_b_mes9[[#This Row],[IMPORTE NETO]]*0.21</f>
        <v>1138.8615</v>
      </c>
      <c r="J1080" s="229"/>
      <c r="K1080" s="229"/>
      <c r="L1080" s="229">
        <v>6562.0114999999996</v>
      </c>
      <c r="M1080" s="55"/>
    </row>
    <row r="1081" spans="2:13" x14ac:dyDescent="0.3">
      <c r="B1081" s="223" t="s">
        <v>2592</v>
      </c>
      <c r="C1081" s="224">
        <v>6</v>
      </c>
      <c r="D1081" s="225">
        <v>11</v>
      </c>
      <c r="E1081" s="226">
        <v>30560</v>
      </c>
      <c r="F1081" s="227"/>
      <c r="G1081" s="1" t="str">
        <f>IFERROR(IF(ventas_b_mes9[[#This Row],[CUIT]]="","-",VLOOKUP(ventas_b_mes9[[#This Row],[CUIT]],Lista_CUIT[#All],2,0)),"CUIT NO CARGADO")</f>
        <v>-</v>
      </c>
      <c r="H1081" s="60">
        <f>ventas_b_mes9[[#This Row],[TOTAL]]/1.21</f>
        <v>1404.96</v>
      </c>
      <c r="I1081" s="228">
        <f>ventas_b_mes9[[#This Row],[IMPORTE NETO]]*0.21</f>
        <v>295.04160000000002</v>
      </c>
      <c r="J1081" s="229"/>
      <c r="K1081" s="229"/>
      <c r="L1081" s="229">
        <v>1700.0016000000001</v>
      </c>
      <c r="M1081" s="55"/>
    </row>
    <row r="1082" spans="2:13" x14ac:dyDescent="0.3">
      <c r="B1082" s="223" t="s">
        <v>2592</v>
      </c>
      <c r="C1082" s="224">
        <v>6</v>
      </c>
      <c r="D1082" s="225">
        <v>11</v>
      </c>
      <c r="E1082" s="226">
        <v>30561</v>
      </c>
      <c r="F1082" s="227"/>
      <c r="G1082" s="1" t="str">
        <f>IFERROR(IF(ventas_b_mes9[[#This Row],[CUIT]]="","-",VLOOKUP(ventas_b_mes9[[#This Row],[CUIT]],Lista_CUIT[#All],2,0)),"CUIT NO CARGADO")</f>
        <v>-</v>
      </c>
      <c r="H1082" s="60">
        <f>ventas_b_mes9[[#This Row],[TOTAL]]/1.21</f>
        <v>8863.64</v>
      </c>
      <c r="I1082" s="228">
        <f>ventas_b_mes9[[#This Row],[IMPORTE NETO]]*0.21</f>
        <v>1861.3643999999997</v>
      </c>
      <c r="J1082" s="229"/>
      <c r="K1082" s="229"/>
      <c r="L1082" s="229">
        <v>10725.0044</v>
      </c>
      <c r="M1082" s="55"/>
    </row>
    <row r="1083" spans="2:13" x14ac:dyDescent="0.3">
      <c r="B1083" s="223" t="s">
        <v>2592</v>
      </c>
      <c r="C1083" s="224">
        <v>6</v>
      </c>
      <c r="D1083" s="225">
        <v>15</v>
      </c>
      <c r="E1083" s="226">
        <v>7466</v>
      </c>
      <c r="F1083" s="227"/>
      <c r="G1083" s="1" t="str">
        <f>IFERROR(IF(ventas_b_mes9[[#This Row],[CUIT]]="","-",VLOOKUP(ventas_b_mes9[[#This Row],[CUIT]],Lista_CUIT[#All],2,0)),"CUIT NO CARGADO")</f>
        <v>-</v>
      </c>
      <c r="H1083" s="60">
        <f>ventas_b_mes9[[#This Row],[TOTAL]]/1.21</f>
        <v>2992.56</v>
      </c>
      <c r="I1083" s="228">
        <f>ventas_b_mes9[[#This Row],[IMPORTE NETO]]*0.21</f>
        <v>628.43759999999997</v>
      </c>
      <c r="J1083" s="229"/>
      <c r="K1083" s="229"/>
      <c r="L1083" s="229">
        <v>3620.9975999999997</v>
      </c>
      <c r="M1083" s="55"/>
    </row>
    <row r="1084" spans="2:13" x14ac:dyDescent="0.3">
      <c r="B1084" s="223" t="s">
        <v>2592</v>
      </c>
      <c r="C1084" s="224">
        <v>6</v>
      </c>
      <c r="D1084" s="225">
        <v>15</v>
      </c>
      <c r="E1084" s="226">
        <v>7467</v>
      </c>
      <c r="F1084" s="227"/>
      <c r="G1084" s="1" t="str">
        <f>IFERROR(IF(ventas_b_mes9[[#This Row],[CUIT]]="","-",VLOOKUP(ventas_b_mes9[[#This Row],[CUIT]],Lista_CUIT[#All],2,0)),"CUIT NO CARGADO")</f>
        <v>-</v>
      </c>
      <c r="H1084" s="60">
        <f>ventas_b_mes9[[#This Row],[TOTAL]]/1.21</f>
        <v>10375.209999999999</v>
      </c>
      <c r="I1084" s="228">
        <f>ventas_b_mes9[[#This Row],[IMPORTE NETO]]*0.21</f>
        <v>2178.7940999999996</v>
      </c>
      <c r="J1084" s="229"/>
      <c r="K1084" s="229"/>
      <c r="L1084" s="229">
        <v>12554.004099999998</v>
      </c>
      <c r="M1084" s="55"/>
    </row>
    <row r="1085" spans="2:13" x14ac:dyDescent="0.3">
      <c r="B1085" s="223" t="s">
        <v>2592</v>
      </c>
      <c r="C1085" s="224">
        <v>6</v>
      </c>
      <c r="D1085" s="225">
        <v>15</v>
      </c>
      <c r="E1085" s="226">
        <v>7468</v>
      </c>
      <c r="F1085" s="227"/>
      <c r="G1085" s="1" t="str">
        <f>IFERROR(IF(ventas_b_mes9[[#This Row],[CUIT]]="","-",VLOOKUP(ventas_b_mes9[[#This Row],[CUIT]],Lista_CUIT[#All],2,0)),"CUIT NO CARGADO")</f>
        <v>-</v>
      </c>
      <c r="H1085" s="60">
        <f>ventas_b_mes9[[#This Row],[TOTAL]]/1.21</f>
        <v>9652.89</v>
      </c>
      <c r="I1085" s="228">
        <f>ventas_b_mes9[[#This Row],[IMPORTE NETO]]*0.21</f>
        <v>2027.1068999999998</v>
      </c>
      <c r="J1085" s="229"/>
      <c r="K1085" s="229"/>
      <c r="L1085" s="229">
        <v>11679.996899999998</v>
      </c>
      <c r="M1085" s="55"/>
    </row>
    <row r="1086" spans="2:13" x14ac:dyDescent="0.3">
      <c r="B1086" s="223" t="s">
        <v>2592</v>
      </c>
      <c r="C1086" s="224">
        <v>6</v>
      </c>
      <c r="D1086" s="225">
        <v>10</v>
      </c>
      <c r="E1086" s="226">
        <v>44430</v>
      </c>
      <c r="F1086" s="227"/>
      <c r="G1086" s="1" t="str">
        <f>IFERROR(IF(ventas_b_mes9[[#This Row],[CUIT]]="","-",VLOOKUP(ventas_b_mes9[[#This Row],[CUIT]],Lista_CUIT[#All],2,0)),"CUIT NO CARGADO")</f>
        <v>-</v>
      </c>
      <c r="H1086" s="60">
        <f>ventas_b_mes9[[#This Row],[TOTAL]]/1.21</f>
        <v>2148.7600000000002</v>
      </c>
      <c r="I1086" s="228">
        <f>ventas_b_mes9[[#This Row],[IMPORTE NETO]]*0.21</f>
        <v>451.23960000000005</v>
      </c>
      <c r="J1086" s="229"/>
      <c r="K1086" s="229"/>
      <c r="L1086" s="229">
        <v>2599.9996000000001</v>
      </c>
      <c r="M1086" s="55"/>
    </row>
    <row r="1087" spans="2:13" x14ac:dyDescent="0.3">
      <c r="B1087" s="223" t="s">
        <v>2592</v>
      </c>
      <c r="C1087" s="224">
        <v>6</v>
      </c>
      <c r="D1087" s="225">
        <v>10</v>
      </c>
      <c r="E1087" s="226">
        <v>44431</v>
      </c>
      <c r="F1087" s="227"/>
      <c r="G1087" s="1" t="str">
        <f>IFERROR(IF(ventas_b_mes9[[#This Row],[CUIT]]="","-",VLOOKUP(ventas_b_mes9[[#This Row],[CUIT]],Lista_CUIT[#All],2,0)),"CUIT NO CARGADO")</f>
        <v>-</v>
      </c>
      <c r="H1087" s="60">
        <f>ventas_b_mes9[[#This Row],[TOTAL]]/1.21</f>
        <v>950.40999999999985</v>
      </c>
      <c r="I1087" s="228">
        <f>ventas_b_mes9[[#This Row],[IMPORTE NETO]]*0.21</f>
        <v>199.58609999999996</v>
      </c>
      <c r="J1087" s="229"/>
      <c r="K1087" s="229"/>
      <c r="L1087" s="229">
        <v>1149.9960999999998</v>
      </c>
      <c r="M1087" s="55"/>
    </row>
    <row r="1088" spans="2:13" x14ac:dyDescent="0.3">
      <c r="B1088" s="223" t="s">
        <v>2592</v>
      </c>
      <c r="C1088" s="224">
        <v>6</v>
      </c>
      <c r="D1088" s="225">
        <v>10</v>
      </c>
      <c r="E1088" s="226">
        <v>44432</v>
      </c>
      <c r="F1088" s="227"/>
      <c r="G1088" s="1" t="str">
        <f>IFERROR(IF(ventas_b_mes9[[#This Row],[CUIT]]="","-",VLOOKUP(ventas_b_mes9[[#This Row],[CUIT]],Lista_CUIT[#All],2,0)),"CUIT NO CARGADO")</f>
        <v>-</v>
      </c>
      <c r="H1088" s="60">
        <f>ventas_b_mes9[[#This Row],[TOTAL]]/1.21</f>
        <v>8613.2199999999993</v>
      </c>
      <c r="I1088" s="228">
        <f>ventas_b_mes9[[#This Row],[IMPORTE NETO]]*0.21</f>
        <v>1808.7761999999998</v>
      </c>
      <c r="J1088" s="229"/>
      <c r="K1088" s="229"/>
      <c r="L1088" s="229">
        <v>10421.9962</v>
      </c>
      <c r="M1088" s="55"/>
    </row>
    <row r="1089" spans="2:13" x14ac:dyDescent="0.3">
      <c r="B1089" s="223" t="s">
        <v>2592</v>
      </c>
      <c r="C1089" s="224">
        <v>6</v>
      </c>
      <c r="D1089" s="225">
        <v>10</v>
      </c>
      <c r="E1089" s="226">
        <v>44433</v>
      </c>
      <c r="F1089" s="227"/>
      <c r="G1089" s="1" t="str">
        <f>IFERROR(IF(ventas_b_mes9[[#This Row],[CUIT]]="","-",VLOOKUP(ventas_b_mes9[[#This Row],[CUIT]],Lista_CUIT[#All],2,0)),"CUIT NO CARGADO")</f>
        <v>-</v>
      </c>
      <c r="H1089" s="60">
        <f>ventas_b_mes9[[#This Row],[TOTAL]]/1.21</f>
        <v>334.71000000000004</v>
      </c>
      <c r="I1089" s="228">
        <f>ventas_b_mes9[[#This Row],[IMPORTE NETO]]*0.21</f>
        <v>70.289100000000005</v>
      </c>
      <c r="J1089" s="229"/>
      <c r="K1089" s="229"/>
      <c r="L1089" s="229">
        <v>404.9991</v>
      </c>
      <c r="M1089" s="55"/>
    </row>
    <row r="1090" spans="2:13" x14ac:dyDescent="0.3">
      <c r="B1090" s="223" t="s">
        <v>2592</v>
      </c>
      <c r="C1090" s="224">
        <v>6</v>
      </c>
      <c r="D1090" s="225">
        <v>10</v>
      </c>
      <c r="E1090" s="226">
        <v>44434</v>
      </c>
      <c r="F1090" s="227"/>
      <c r="G1090" s="1" t="str">
        <f>IFERROR(IF(ventas_b_mes9[[#This Row],[CUIT]]="","-",VLOOKUP(ventas_b_mes9[[#This Row],[CUIT]],Lista_CUIT[#All],2,0)),"CUIT NO CARGADO")</f>
        <v>-</v>
      </c>
      <c r="H1090" s="60">
        <f>ventas_b_mes9[[#This Row],[TOTAL]]/1.21</f>
        <v>6545.45</v>
      </c>
      <c r="I1090" s="228">
        <f>ventas_b_mes9[[#This Row],[IMPORTE NETO]]*0.21</f>
        <v>1374.5445</v>
      </c>
      <c r="J1090" s="229"/>
      <c r="K1090" s="229"/>
      <c r="L1090" s="229">
        <v>7919.9944999999998</v>
      </c>
      <c r="M1090" s="55"/>
    </row>
    <row r="1091" spans="2:13" x14ac:dyDescent="0.3">
      <c r="B1091" s="223" t="s">
        <v>2592</v>
      </c>
      <c r="C1091" s="224">
        <v>6</v>
      </c>
      <c r="D1091" s="225">
        <v>10</v>
      </c>
      <c r="E1091" s="226">
        <v>44435</v>
      </c>
      <c r="F1091" s="227"/>
      <c r="G1091" s="1" t="str">
        <f>IFERROR(IF(ventas_b_mes9[[#This Row],[CUIT]]="","-",VLOOKUP(ventas_b_mes9[[#This Row],[CUIT]],Lista_CUIT[#All],2,0)),"CUIT NO CARGADO")</f>
        <v>-</v>
      </c>
      <c r="H1091" s="60">
        <f>ventas_b_mes9[[#This Row],[TOTAL]]/1.21</f>
        <v>7107.44</v>
      </c>
      <c r="I1091" s="228">
        <f>ventas_b_mes9[[#This Row],[IMPORTE NETO]]*0.21</f>
        <v>1492.5623999999998</v>
      </c>
      <c r="J1091" s="229"/>
      <c r="K1091" s="229"/>
      <c r="L1091" s="229">
        <v>8600.0023999999994</v>
      </c>
      <c r="M1091" s="55"/>
    </row>
    <row r="1092" spans="2:13" x14ac:dyDescent="0.3">
      <c r="B1092" s="223" t="s">
        <v>2592</v>
      </c>
      <c r="C1092" s="224">
        <v>6</v>
      </c>
      <c r="D1092" s="225">
        <v>10</v>
      </c>
      <c r="E1092" s="226">
        <v>44436</v>
      </c>
      <c r="F1092" s="227"/>
      <c r="G1092" s="1" t="str">
        <f>IFERROR(IF(ventas_b_mes9[[#This Row],[CUIT]]="","-",VLOOKUP(ventas_b_mes9[[#This Row],[CUIT]],Lista_CUIT[#All],2,0)),"CUIT NO CARGADO")</f>
        <v>-</v>
      </c>
      <c r="H1092" s="60">
        <f>ventas_b_mes9[[#This Row],[TOTAL]]/1.21</f>
        <v>2148.7600000000002</v>
      </c>
      <c r="I1092" s="228">
        <f>ventas_b_mes9[[#This Row],[IMPORTE NETO]]*0.21</f>
        <v>451.23960000000005</v>
      </c>
      <c r="J1092" s="229"/>
      <c r="K1092" s="229"/>
      <c r="L1092" s="229">
        <v>2599.9996000000001</v>
      </c>
      <c r="M1092" s="55"/>
    </row>
    <row r="1093" spans="2:13" x14ac:dyDescent="0.3">
      <c r="B1093" s="223" t="s">
        <v>2592</v>
      </c>
      <c r="C1093" s="224">
        <v>6</v>
      </c>
      <c r="D1093" s="225">
        <v>10</v>
      </c>
      <c r="E1093" s="226">
        <v>44437</v>
      </c>
      <c r="F1093" s="227"/>
      <c r="G1093" s="1" t="str">
        <f>IFERROR(IF(ventas_b_mes9[[#This Row],[CUIT]]="","-",VLOOKUP(ventas_b_mes9[[#This Row],[CUIT]],Lista_CUIT[#All],2,0)),"CUIT NO CARGADO")</f>
        <v>-</v>
      </c>
      <c r="H1093" s="60">
        <f>ventas_b_mes9[[#This Row],[TOTAL]]/1.21</f>
        <v>10330.58</v>
      </c>
      <c r="I1093" s="228">
        <f>ventas_b_mes9[[#This Row],[IMPORTE NETO]]*0.21</f>
        <v>2169.4218000000001</v>
      </c>
      <c r="J1093" s="229"/>
      <c r="K1093" s="229"/>
      <c r="L1093" s="229">
        <v>12500.0018</v>
      </c>
      <c r="M1093" s="55"/>
    </row>
    <row r="1094" spans="2:13" x14ac:dyDescent="0.3">
      <c r="B1094" s="223" t="s">
        <v>2592</v>
      </c>
      <c r="C1094" s="224">
        <v>6</v>
      </c>
      <c r="D1094" s="225">
        <v>10</v>
      </c>
      <c r="E1094" s="226">
        <v>44438</v>
      </c>
      <c r="F1094" s="227"/>
      <c r="G1094" s="1" t="str">
        <f>IFERROR(IF(ventas_b_mes9[[#This Row],[CUIT]]="","-",VLOOKUP(ventas_b_mes9[[#This Row],[CUIT]],Lista_CUIT[#All],2,0)),"CUIT NO CARGADO")</f>
        <v>-</v>
      </c>
      <c r="H1094" s="60">
        <f>ventas_b_mes9[[#This Row],[TOTAL]]/1.21</f>
        <v>20909.09</v>
      </c>
      <c r="I1094" s="228">
        <f>ventas_b_mes9[[#This Row],[IMPORTE NETO]]*0.21</f>
        <v>4390.9088999999994</v>
      </c>
      <c r="J1094" s="229"/>
      <c r="K1094" s="229"/>
      <c r="L1094" s="229">
        <v>25299.998899999999</v>
      </c>
      <c r="M1094" s="55"/>
    </row>
    <row r="1095" spans="2:13" x14ac:dyDescent="0.3">
      <c r="B1095" s="223" t="s">
        <v>2592</v>
      </c>
      <c r="C1095" s="224">
        <v>6</v>
      </c>
      <c r="D1095" s="225">
        <v>10</v>
      </c>
      <c r="E1095" s="226">
        <v>44439</v>
      </c>
      <c r="F1095" s="227"/>
      <c r="G1095" s="1" t="str">
        <f>IFERROR(IF(ventas_b_mes9[[#This Row],[CUIT]]="","-",VLOOKUP(ventas_b_mes9[[#This Row],[CUIT]],Lista_CUIT[#All],2,0)),"CUIT NO CARGADO")</f>
        <v>-</v>
      </c>
      <c r="H1095" s="60">
        <f>ventas_b_mes9[[#This Row],[TOTAL]]/1.21</f>
        <v>1652.89</v>
      </c>
      <c r="I1095" s="228">
        <f>ventas_b_mes9[[#This Row],[IMPORTE NETO]]*0.21</f>
        <v>347.1069</v>
      </c>
      <c r="J1095" s="229"/>
      <c r="K1095" s="229"/>
      <c r="L1095" s="229">
        <v>1999.9969000000001</v>
      </c>
      <c r="M1095" s="55"/>
    </row>
    <row r="1096" spans="2:13" x14ac:dyDescent="0.3">
      <c r="B1096" s="223" t="s">
        <v>2592</v>
      </c>
      <c r="C1096" s="224">
        <v>6</v>
      </c>
      <c r="D1096" s="225">
        <v>10</v>
      </c>
      <c r="E1096" s="226">
        <v>44440</v>
      </c>
      <c r="F1096" s="227"/>
      <c r="G1096" s="1" t="str">
        <f>IFERROR(IF(ventas_b_mes9[[#This Row],[CUIT]]="","-",VLOOKUP(ventas_b_mes9[[#This Row],[CUIT]],Lista_CUIT[#All],2,0)),"CUIT NO CARGADO")</f>
        <v>-</v>
      </c>
      <c r="H1096" s="60">
        <f>ventas_b_mes9[[#This Row],[TOTAL]]/1.21</f>
        <v>4958.68</v>
      </c>
      <c r="I1096" s="228">
        <f>ventas_b_mes9[[#This Row],[IMPORTE NETO]]*0.21</f>
        <v>1041.3227999999999</v>
      </c>
      <c r="J1096" s="229"/>
      <c r="K1096" s="229"/>
      <c r="L1096" s="229">
        <v>6000.0028000000002</v>
      </c>
      <c r="M1096" s="55"/>
    </row>
    <row r="1097" spans="2:13" x14ac:dyDescent="0.3">
      <c r="B1097" s="223" t="s">
        <v>2592</v>
      </c>
      <c r="C1097" s="224">
        <v>6</v>
      </c>
      <c r="D1097" s="225">
        <v>10</v>
      </c>
      <c r="E1097" s="226">
        <v>44441</v>
      </c>
      <c r="F1097" s="227"/>
      <c r="G1097" s="1" t="str">
        <f>IFERROR(IF(ventas_b_mes9[[#This Row],[CUIT]]="","-",VLOOKUP(ventas_b_mes9[[#This Row],[CUIT]],Lista_CUIT[#All],2,0)),"CUIT NO CARGADO")</f>
        <v>-</v>
      </c>
      <c r="H1097" s="60">
        <f>ventas_b_mes9[[#This Row],[TOTAL]]/1.21</f>
        <v>7204.3</v>
      </c>
      <c r="I1097" s="228">
        <f>ventas_b_mes9[[#This Row],[IMPORTE NETO]]*0.21</f>
        <v>1512.903</v>
      </c>
      <c r="J1097" s="229"/>
      <c r="K1097" s="229"/>
      <c r="L1097" s="229">
        <v>8717.2029999999995</v>
      </c>
      <c r="M1097" s="55"/>
    </row>
    <row r="1098" spans="2:13" x14ac:dyDescent="0.3">
      <c r="B1098" s="223" t="s">
        <v>2592</v>
      </c>
      <c r="C1098" s="224">
        <v>6</v>
      </c>
      <c r="D1098" s="225">
        <v>10</v>
      </c>
      <c r="E1098" s="226">
        <v>44442</v>
      </c>
      <c r="F1098" s="227"/>
      <c r="G1098" s="1" t="str">
        <f>IFERROR(IF(ventas_b_mes9[[#This Row],[CUIT]]="","-",VLOOKUP(ventas_b_mes9[[#This Row],[CUIT]],Lista_CUIT[#All],2,0)),"CUIT NO CARGADO")</f>
        <v>-</v>
      </c>
      <c r="H1098" s="60">
        <f>ventas_b_mes9[[#This Row],[TOTAL]]/1.21</f>
        <v>611.57000000000005</v>
      </c>
      <c r="I1098" s="228">
        <f>ventas_b_mes9[[#This Row],[IMPORTE NETO]]*0.21</f>
        <v>128.4297</v>
      </c>
      <c r="J1098" s="229"/>
      <c r="K1098" s="229"/>
      <c r="L1098" s="229">
        <v>739.99970000000008</v>
      </c>
      <c r="M1098" s="55"/>
    </row>
    <row r="1099" spans="2:13" x14ac:dyDescent="0.3">
      <c r="B1099" s="223" t="s">
        <v>2592</v>
      </c>
      <c r="C1099" s="224">
        <v>6</v>
      </c>
      <c r="D1099" s="225">
        <v>10</v>
      </c>
      <c r="E1099" s="226">
        <v>44443</v>
      </c>
      <c r="F1099" s="227"/>
      <c r="G1099" s="1" t="str">
        <f>IFERROR(IF(ventas_b_mes9[[#This Row],[CUIT]]="","-",VLOOKUP(ventas_b_mes9[[#This Row],[CUIT]],Lista_CUIT[#All],2,0)),"CUIT NO CARGADO")</f>
        <v>-</v>
      </c>
      <c r="H1099" s="60">
        <f>ventas_b_mes9[[#This Row],[TOTAL]]/1.21</f>
        <v>7813.22</v>
      </c>
      <c r="I1099" s="228">
        <f>ventas_b_mes9[[#This Row],[IMPORTE NETO]]*0.21</f>
        <v>1640.7762</v>
      </c>
      <c r="J1099" s="229"/>
      <c r="K1099" s="229"/>
      <c r="L1099" s="229">
        <v>9453.9961999999996</v>
      </c>
      <c r="M1099" s="55"/>
    </row>
    <row r="1100" spans="2:13" x14ac:dyDescent="0.3">
      <c r="B1100" s="223" t="s">
        <v>2592</v>
      </c>
      <c r="C1100" s="224">
        <v>6</v>
      </c>
      <c r="D1100" s="225">
        <v>10</v>
      </c>
      <c r="E1100" s="226">
        <v>44444</v>
      </c>
      <c r="F1100" s="227"/>
      <c r="G1100" s="1" t="str">
        <f>IFERROR(IF(ventas_b_mes9[[#This Row],[CUIT]]="","-",VLOOKUP(ventas_b_mes9[[#This Row],[CUIT]],Lista_CUIT[#All],2,0)),"CUIT NO CARGADO")</f>
        <v>-</v>
      </c>
      <c r="H1100" s="60">
        <f>ventas_b_mes9[[#This Row],[TOTAL]]/1.21</f>
        <v>3978.5100000000007</v>
      </c>
      <c r="I1100" s="228">
        <f>ventas_b_mes9[[#This Row],[IMPORTE NETO]]*0.21</f>
        <v>835.48710000000005</v>
      </c>
      <c r="J1100" s="229"/>
      <c r="K1100" s="229"/>
      <c r="L1100" s="229">
        <v>4813.9971000000005</v>
      </c>
      <c r="M1100" s="55"/>
    </row>
    <row r="1101" spans="2:13" x14ac:dyDescent="0.3">
      <c r="B1101" s="223" t="s">
        <v>2592</v>
      </c>
      <c r="C1101" s="224">
        <v>6</v>
      </c>
      <c r="D1101" s="225">
        <v>10</v>
      </c>
      <c r="E1101" s="226">
        <v>44445</v>
      </c>
      <c r="F1101" s="227"/>
      <c r="G1101" s="1" t="str">
        <f>IFERROR(IF(ventas_b_mes9[[#This Row],[CUIT]]="","-",VLOOKUP(ventas_b_mes9[[#This Row],[CUIT]],Lista_CUIT[#All],2,0)),"CUIT NO CARGADO")</f>
        <v>-</v>
      </c>
      <c r="H1101" s="60">
        <f>ventas_b_mes9[[#This Row],[TOTAL]]/1.21</f>
        <v>2554.5500000000002</v>
      </c>
      <c r="I1101" s="228">
        <f>ventas_b_mes9[[#This Row],[IMPORTE NETO]]*0.21</f>
        <v>536.45550000000003</v>
      </c>
      <c r="J1101" s="229"/>
      <c r="K1101" s="229"/>
      <c r="L1101" s="229">
        <v>3091.0055000000002</v>
      </c>
      <c r="M1101" s="55"/>
    </row>
    <row r="1102" spans="2:13" x14ac:dyDescent="0.3">
      <c r="B1102" s="223" t="s">
        <v>2592</v>
      </c>
      <c r="C1102" s="224">
        <v>6</v>
      </c>
      <c r="D1102" s="225">
        <v>10</v>
      </c>
      <c r="E1102" s="226">
        <v>44446</v>
      </c>
      <c r="F1102" s="227"/>
      <c r="G1102" s="1" t="str">
        <f>IFERROR(IF(ventas_b_mes9[[#This Row],[CUIT]]="","-",VLOOKUP(ventas_b_mes9[[#This Row],[CUIT]],Lista_CUIT[#All],2,0)),"CUIT NO CARGADO")</f>
        <v>-</v>
      </c>
      <c r="H1102" s="60">
        <f>ventas_b_mes9[[#This Row],[TOTAL]]/1.21</f>
        <v>9586.7800000000007</v>
      </c>
      <c r="I1102" s="228">
        <f>ventas_b_mes9[[#This Row],[IMPORTE NETO]]*0.21</f>
        <v>2013.2238</v>
      </c>
      <c r="J1102" s="229"/>
      <c r="K1102" s="229"/>
      <c r="L1102" s="229">
        <v>11600.0038</v>
      </c>
      <c r="M1102" s="55"/>
    </row>
    <row r="1103" spans="2:13" x14ac:dyDescent="0.3">
      <c r="B1103" s="223" t="s">
        <v>2592</v>
      </c>
      <c r="C1103" s="224">
        <v>6</v>
      </c>
      <c r="D1103" s="225">
        <v>10</v>
      </c>
      <c r="E1103" s="226">
        <v>44447</v>
      </c>
      <c r="F1103" s="227"/>
      <c r="G1103" s="1" t="str">
        <f>IFERROR(IF(ventas_b_mes9[[#This Row],[CUIT]]="","-",VLOOKUP(ventas_b_mes9[[#This Row],[CUIT]],Lista_CUIT[#All],2,0)),"CUIT NO CARGADO")</f>
        <v>-</v>
      </c>
      <c r="H1103" s="60">
        <f>ventas_b_mes9[[#This Row],[TOTAL]]/1.21</f>
        <v>8900.83</v>
      </c>
      <c r="I1103" s="228">
        <f>ventas_b_mes9[[#This Row],[IMPORTE NETO]]*0.21</f>
        <v>1869.1742999999999</v>
      </c>
      <c r="J1103" s="229"/>
      <c r="K1103" s="229"/>
      <c r="L1103" s="229">
        <v>10770.004300000001</v>
      </c>
      <c r="M1103" s="55"/>
    </row>
    <row r="1104" spans="2:13" x14ac:dyDescent="0.3">
      <c r="B1104" s="223" t="s">
        <v>2592</v>
      </c>
      <c r="C1104" s="224">
        <v>6</v>
      </c>
      <c r="D1104" s="225">
        <v>10</v>
      </c>
      <c r="E1104" s="226">
        <v>44448</v>
      </c>
      <c r="F1104" s="227"/>
      <c r="G1104" s="1" t="str">
        <f>IFERROR(IF(ventas_b_mes9[[#This Row],[CUIT]]="","-",VLOOKUP(ventas_b_mes9[[#This Row],[CUIT]],Lista_CUIT[#All],2,0)),"CUIT NO CARGADO")</f>
        <v>-</v>
      </c>
      <c r="H1104" s="60">
        <f>ventas_b_mes9[[#This Row],[TOTAL]]/1.21</f>
        <v>20860.28</v>
      </c>
      <c r="I1104" s="228">
        <f>ventas_b_mes9[[#This Row],[IMPORTE NETO]]*0.21</f>
        <v>4380.6587999999992</v>
      </c>
      <c r="J1104" s="229"/>
      <c r="K1104" s="229"/>
      <c r="L1104" s="229">
        <v>25240.938799999996</v>
      </c>
      <c r="M1104" s="55"/>
    </row>
    <row r="1105" spans="2:13" x14ac:dyDescent="0.3">
      <c r="B1105" s="223" t="s">
        <v>2592</v>
      </c>
      <c r="C1105" s="224">
        <v>6</v>
      </c>
      <c r="D1105" s="225">
        <v>10</v>
      </c>
      <c r="E1105" s="226">
        <v>44449</v>
      </c>
      <c r="F1105" s="227"/>
      <c r="G1105" s="1" t="str">
        <f>IFERROR(IF(ventas_b_mes9[[#This Row],[CUIT]]="","-",VLOOKUP(ventas_b_mes9[[#This Row],[CUIT]],Lista_CUIT[#All],2,0)),"CUIT NO CARGADO")</f>
        <v>-</v>
      </c>
      <c r="H1105" s="60">
        <f>ventas_b_mes9[[#This Row],[TOTAL]]/1.21</f>
        <v>9958.68</v>
      </c>
      <c r="I1105" s="228">
        <f>ventas_b_mes9[[#This Row],[IMPORTE NETO]]*0.21</f>
        <v>2091.3227999999999</v>
      </c>
      <c r="J1105" s="229"/>
      <c r="K1105" s="229"/>
      <c r="L1105" s="229">
        <v>12050.0028</v>
      </c>
      <c r="M1105" s="55"/>
    </row>
    <row r="1106" spans="2:13" x14ac:dyDescent="0.3">
      <c r="B1106" s="223" t="s">
        <v>2592</v>
      </c>
      <c r="C1106" s="224">
        <v>6</v>
      </c>
      <c r="D1106" s="225">
        <v>12</v>
      </c>
      <c r="E1106" s="226">
        <v>23034</v>
      </c>
      <c r="F1106" s="227"/>
      <c r="G1106" s="1" t="str">
        <f>IFERROR(IF(ventas_b_mes9[[#This Row],[CUIT]]="","-",VLOOKUP(ventas_b_mes9[[#This Row],[CUIT]],Lista_CUIT[#All],2,0)),"CUIT NO CARGADO")</f>
        <v>-</v>
      </c>
      <c r="H1106" s="60">
        <f>ventas_b_mes9[[#This Row],[TOTAL]]/1.21</f>
        <v>6892.5500000000011</v>
      </c>
      <c r="I1106" s="228">
        <f>ventas_b_mes9[[#This Row],[IMPORTE NETO]]*0.21</f>
        <v>1447.4355000000003</v>
      </c>
      <c r="J1106" s="229"/>
      <c r="K1106" s="229"/>
      <c r="L1106" s="229">
        <v>8339.9855000000007</v>
      </c>
      <c r="M1106" s="55"/>
    </row>
    <row r="1107" spans="2:13" x14ac:dyDescent="0.3">
      <c r="B1107" s="223" t="s">
        <v>2592</v>
      </c>
      <c r="C1107" s="224">
        <v>6</v>
      </c>
      <c r="D1107" s="225">
        <v>12</v>
      </c>
      <c r="E1107" s="226">
        <v>23035</v>
      </c>
      <c r="F1107" s="227"/>
      <c r="G1107" s="1" t="str">
        <f>IFERROR(IF(ventas_b_mes9[[#This Row],[CUIT]]="","-",VLOOKUP(ventas_b_mes9[[#This Row],[CUIT]],Lista_CUIT[#All],2,0)),"CUIT NO CARGADO")</f>
        <v>-</v>
      </c>
      <c r="H1107" s="60">
        <f>ventas_b_mes9[[#This Row],[TOTAL]]/1.21</f>
        <v>3892.56</v>
      </c>
      <c r="I1107" s="228">
        <f>ventas_b_mes9[[#This Row],[IMPORTE NETO]]*0.21</f>
        <v>817.43759999999997</v>
      </c>
      <c r="J1107" s="229"/>
      <c r="K1107" s="229"/>
      <c r="L1107" s="229">
        <v>4709.9975999999997</v>
      </c>
      <c r="M1107" s="55"/>
    </row>
    <row r="1108" spans="2:13" x14ac:dyDescent="0.3">
      <c r="B1108" s="223" t="s">
        <v>2592</v>
      </c>
      <c r="C1108" s="224">
        <v>6</v>
      </c>
      <c r="D1108" s="225">
        <v>12</v>
      </c>
      <c r="E1108" s="226">
        <v>23036</v>
      </c>
      <c r="F1108" s="227"/>
      <c r="G1108" s="1" t="str">
        <f>IFERROR(IF(ventas_b_mes9[[#This Row],[CUIT]]="","-",VLOOKUP(ventas_b_mes9[[#This Row],[CUIT]],Lista_CUIT[#All],2,0)),"CUIT NO CARGADO")</f>
        <v>-</v>
      </c>
      <c r="H1108" s="60">
        <f>ventas_b_mes9[[#This Row],[TOTAL]]/1.21</f>
        <v>1388.43</v>
      </c>
      <c r="I1108" s="228">
        <f>ventas_b_mes9[[#This Row],[IMPORTE NETO]]*0.21</f>
        <v>291.57029999999997</v>
      </c>
      <c r="J1108" s="229"/>
      <c r="K1108" s="229"/>
      <c r="L1108" s="229">
        <v>1680.0003000000002</v>
      </c>
      <c r="M1108" s="55"/>
    </row>
    <row r="1109" spans="2:13" x14ac:dyDescent="0.3">
      <c r="B1109" s="223" t="s">
        <v>2592</v>
      </c>
      <c r="C1109" s="224">
        <v>6</v>
      </c>
      <c r="D1109" s="225">
        <v>12</v>
      </c>
      <c r="E1109" s="226">
        <v>23037</v>
      </c>
      <c r="F1109" s="227"/>
      <c r="G1109" s="1" t="str">
        <f>IFERROR(IF(ventas_b_mes9[[#This Row],[CUIT]]="","-",VLOOKUP(ventas_b_mes9[[#This Row],[CUIT]],Lista_CUIT[#All],2,0)),"CUIT NO CARGADO")</f>
        <v>-</v>
      </c>
      <c r="H1109" s="60">
        <f>ventas_b_mes9[[#This Row],[TOTAL]]/1.21</f>
        <v>6385.96</v>
      </c>
      <c r="I1109" s="228">
        <f>ventas_b_mes9[[#This Row],[IMPORTE NETO]]*0.21</f>
        <v>1341.0516</v>
      </c>
      <c r="J1109" s="229"/>
      <c r="K1109" s="229"/>
      <c r="L1109" s="229">
        <v>7727.0115999999998</v>
      </c>
      <c r="M1109" s="55"/>
    </row>
    <row r="1110" spans="2:13" x14ac:dyDescent="0.3">
      <c r="B1110" s="223" t="s">
        <v>2592</v>
      </c>
      <c r="C1110" s="224">
        <v>6</v>
      </c>
      <c r="D1110" s="225">
        <v>12</v>
      </c>
      <c r="E1110" s="226">
        <v>23038</v>
      </c>
      <c r="F1110" s="227"/>
      <c r="G1110" s="1" t="str">
        <f>IFERROR(IF(ventas_b_mes9[[#This Row],[CUIT]]="","-",VLOOKUP(ventas_b_mes9[[#This Row],[CUIT]],Lista_CUIT[#All],2,0)),"CUIT NO CARGADO")</f>
        <v>-</v>
      </c>
      <c r="H1110" s="60">
        <f>ventas_b_mes9[[#This Row],[TOTAL]]/1.21</f>
        <v>7080.9799999999987</v>
      </c>
      <c r="I1110" s="228">
        <f>ventas_b_mes9[[#This Row],[IMPORTE NETO]]*0.21</f>
        <v>1487.0057999999997</v>
      </c>
      <c r="J1110" s="229"/>
      <c r="K1110" s="229"/>
      <c r="L1110" s="229">
        <v>8567.9857999999986</v>
      </c>
      <c r="M1110" s="55"/>
    </row>
    <row r="1111" spans="2:13" x14ac:dyDescent="0.3">
      <c r="B1111" s="223" t="s">
        <v>2592</v>
      </c>
      <c r="C1111" s="224">
        <v>6</v>
      </c>
      <c r="D1111" s="225">
        <v>12</v>
      </c>
      <c r="E1111" s="226">
        <v>23039</v>
      </c>
      <c r="F1111" s="227"/>
      <c r="G1111" s="1" t="str">
        <f>IFERROR(IF(ventas_b_mes9[[#This Row],[CUIT]]="","-",VLOOKUP(ventas_b_mes9[[#This Row],[CUIT]],Lista_CUIT[#All],2,0)),"CUIT NO CARGADO")</f>
        <v>-</v>
      </c>
      <c r="H1111" s="60">
        <f>ventas_b_mes9[[#This Row],[TOTAL]]/1.21</f>
        <v>6446.26</v>
      </c>
      <c r="I1111" s="228">
        <f>ventas_b_mes9[[#This Row],[IMPORTE NETO]]*0.21</f>
        <v>1353.7146</v>
      </c>
      <c r="J1111" s="229"/>
      <c r="K1111" s="229"/>
      <c r="L1111" s="229">
        <v>7799.9746000000005</v>
      </c>
      <c r="M1111" s="55"/>
    </row>
    <row r="1112" spans="2:13" x14ac:dyDescent="0.3">
      <c r="B1112" s="223" t="s">
        <v>2592</v>
      </c>
      <c r="C1112" s="224">
        <v>6</v>
      </c>
      <c r="D1112" s="225">
        <v>12</v>
      </c>
      <c r="E1112" s="226">
        <v>23040</v>
      </c>
      <c r="F1112" s="227"/>
      <c r="G1112" s="1" t="str">
        <f>IFERROR(IF(ventas_b_mes9[[#This Row],[CUIT]]="","-",VLOOKUP(ventas_b_mes9[[#This Row],[CUIT]],Lista_CUIT[#All],2,0)),"CUIT NO CARGADO")</f>
        <v>-</v>
      </c>
      <c r="H1112" s="60">
        <f>ventas_b_mes9[[#This Row],[TOTAL]]/1.21</f>
        <v>4975.21</v>
      </c>
      <c r="I1112" s="228">
        <f>ventas_b_mes9[[#This Row],[IMPORTE NETO]]*0.21</f>
        <v>1044.7941000000001</v>
      </c>
      <c r="J1112" s="229"/>
      <c r="K1112" s="229"/>
      <c r="L1112" s="229">
        <v>6020.0041000000001</v>
      </c>
      <c r="M1112" s="55"/>
    </row>
    <row r="1113" spans="2:13" x14ac:dyDescent="0.3">
      <c r="B1113" s="223" t="s">
        <v>2592</v>
      </c>
      <c r="C1113" s="224">
        <v>6</v>
      </c>
      <c r="D1113" s="225">
        <v>12</v>
      </c>
      <c r="E1113" s="226">
        <v>23041</v>
      </c>
      <c r="F1113" s="227"/>
      <c r="G1113" s="1" t="str">
        <f>IFERROR(IF(ventas_b_mes9[[#This Row],[CUIT]]="","-",VLOOKUP(ventas_b_mes9[[#This Row],[CUIT]],Lista_CUIT[#All],2,0)),"CUIT NO CARGADO")</f>
        <v>-</v>
      </c>
      <c r="H1113" s="60">
        <f>ventas_b_mes9[[#This Row],[TOTAL]]/1.21</f>
        <v>12597.68</v>
      </c>
      <c r="I1113" s="228">
        <f>ventas_b_mes9[[#This Row],[IMPORTE NETO]]*0.21</f>
        <v>2645.5128</v>
      </c>
      <c r="J1113" s="229"/>
      <c r="K1113" s="229"/>
      <c r="L1113" s="229">
        <v>15243.192800000001</v>
      </c>
      <c r="M1113" s="55"/>
    </row>
    <row r="1114" spans="2:13" x14ac:dyDescent="0.3">
      <c r="B1114" s="223" t="s">
        <v>2592</v>
      </c>
      <c r="C1114" s="224">
        <v>6</v>
      </c>
      <c r="D1114" s="225">
        <v>12</v>
      </c>
      <c r="E1114" s="226">
        <v>23042</v>
      </c>
      <c r="F1114" s="227"/>
      <c r="G1114" s="1" t="str">
        <f>IFERROR(IF(ventas_b_mes9[[#This Row],[CUIT]]="","-",VLOOKUP(ventas_b_mes9[[#This Row],[CUIT]],Lista_CUIT[#All],2,0)),"CUIT NO CARGADO")</f>
        <v>-</v>
      </c>
      <c r="H1114" s="60">
        <f>ventas_b_mes9[[#This Row],[TOTAL]]/1.21</f>
        <v>2528.9299999999998</v>
      </c>
      <c r="I1114" s="228">
        <f>ventas_b_mes9[[#This Row],[IMPORTE NETO]]*0.21</f>
        <v>531.07529999999997</v>
      </c>
      <c r="J1114" s="229"/>
      <c r="K1114" s="229"/>
      <c r="L1114" s="229">
        <v>3060.0052999999998</v>
      </c>
      <c r="M1114" s="55"/>
    </row>
    <row r="1115" spans="2:13" x14ac:dyDescent="0.3">
      <c r="B1115" s="223" t="s">
        <v>2592</v>
      </c>
      <c r="C1115" s="224">
        <v>6</v>
      </c>
      <c r="D1115" s="225">
        <v>12</v>
      </c>
      <c r="E1115" s="226">
        <v>23043</v>
      </c>
      <c r="F1115" s="227"/>
      <c r="G1115" s="1" t="str">
        <f>IFERROR(IF(ventas_b_mes9[[#This Row],[CUIT]]="","-",VLOOKUP(ventas_b_mes9[[#This Row],[CUIT]],Lista_CUIT[#All],2,0)),"CUIT NO CARGADO")</f>
        <v>-</v>
      </c>
      <c r="H1115" s="60">
        <f>ventas_b_mes9[[#This Row],[TOTAL]]/1.21</f>
        <v>4299.18</v>
      </c>
      <c r="I1115" s="228">
        <f>ventas_b_mes9[[#This Row],[IMPORTE NETO]]*0.21</f>
        <v>902.82780000000002</v>
      </c>
      <c r="J1115" s="229"/>
      <c r="K1115" s="229"/>
      <c r="L1115" s="229">
        <v>5202.0078000000003</v>
      </c>
      <c r="M1115" s="55"/>
    </row>
    <row r="1116" spans="2:13" x14ac:dyDescent="0.3">
      <c r="B1116" s="223" t="s">
        <v>2592</v>
      </c>
      <c r="C1116" s="224">
        <v>6</v>
      </c>
      <c r="D1116" s="225">
        <v>12</v>
      </c>
      <c r="E1116" s="226">
        <v>23044</v>
      </c>
      <c r="F1116" s="227"/>
      <c r="G1116" s="1" t="str">
        <f>IFERROR(IF(ventas_b_mes9[[#This Row],[CUIT]]="","-",VLOOKUP(ventas_b_mes9[[#This Row],[CUIT]],Lista_CUIT[#All],2,0)),"CUIT NO CARGADO")</f>
        <v>-</v>
      </c>
      <c r="H1116" s="60">
        <f>ventas_b_mes9[[#This Row],[TOTAL]]/1.21</f>
        <v>14900.830000000002</v>
      </c>
      <c r="I1116" s="228">
        <f>ventas_b_mes9[[#This Row],[IMPORTE NETO]]*0.21</f>
        <v>3129.1743000000001</v>
      </c>
      <c r="J1116" s="229"/>
      <c r="K1116" s="229"/>
      <c r="L1116" s="229">
        <v>18030.004300000001</v>
      </c>
      <c r="M1116" s="55"/>
    </row>
    <row r="1117" spans="2:13" x14ac:dyDescent="0.3">
      <c r="B1117" s="223" t="s">
        <v>2592</v>
      </c>
      <c r="C1117" s="224">
        <v>6</v>
      </c>
      <c r="D1117" s="225">
        <v>12</v>
      </c>
      <c r="E1117" s="226">
        <v>23045</v>
      </c>
      <c r="F1117" s="227"/>
      <c r="G1117" s="1" t="str">
        <f>IFERROR(IF(ventas_b_mes9[[#This Row],[CUIT]]="","-",VLOOKUP(ventas_b_mes9[[#This Row],[CUIT]],Lista_CUIT[#All],2,0)),"CUIT NO CARGADO")</f>
        <v>-</v>
      </c>
      <c r="H1117" s="60">
        <f>ventas_b_mes9[[#This Row],[TOTAL]]/1.21</f>
        <v>1526.94</v>
      </c>
      <c r="I1117" s="228">
        <f>ventas_b_mes9[[#This Row],[IMPORTE NETO]]*0.21</f>
        <v>320.6574</v>
      </c>
      <c r="J1117" s="229"/>
      <c r="K1117" s="229"/>
      <c r="L1117" s="229">
        <v>1847.5974000000001</v>
      </c>
      <c r="M1117" s="55"/>
    </row>
    <row r="1118" spans="2:13" x14ac:dyDescent="0.3">
      <c r="B1118" s="223" t="s">
        <v>2592</v>
      </c>
      <c r="C1118" s="224">
        <v>6</v>
      </c>
      <c r="D1118" s="225">
        <v>12</v>
      </c>
      <c r="E1118" s="226">
        <v>23046</v>
      </c>
      <c r="F1118" s="227"/>
      <c r="G1118" s="1" t="str">
        <f>IFERROR(IF(ventas_b_mes9[[#This Row],[CUIT]]="","-",VLOOKUP(ventas_b_mes9[[#This Row],[CUIT]],Lista_CUIT[#All],2,0)),"CUIT NO CARGADO")</f>
        <v>-</v>
      </c>
      <c r="H1118" s="60">
        <f>ventas_b_mes9[[#This Row],[TOTAL]]/1.21</f>
        <v>14380.170000000002</v>
      </c>
      <c r="I1118" s="228">
        <f>ventas_b_mes9[[#This Row],[IMPORTE NETO]]*0.21</f>
        <v>3019.8357000000001</v>
      </c>
      <c r="J1118" s="229"/>
      <c r="K1118" s="229"/>
      <c r="L1118" s="229">
        <v>17400.005700000002</v>
      </c>
      <c r="M1118" s="55"/>
    </row>
    <row r="1119" spans="2:13" x14ac:dyDescent="0.3">
      <c r="B1119" s="223" t="s">
        <v>2592</v>
      </c>
      <c r="C1119" s="224">
        <v>6</v>
      </c>
      <c r="D1119" s="225">
        <v>12</v>
      </c>
      <c r="E1119" s="226">
        <v>23047</v>
      </c>
      <c r="F1119" s="227"/>
      <c r="G1119" s="1" t="str">
        <f>IFERROR(IF(ventas_b_mes9[[#This Row],[CUIT]]="","-",VLOOKUP(ventas_b_mes9[[#This Row],[CUIT]],Lista_CUIT[#All],2,0)),"CUIT NO CARGADO")</f>
        <v>-</v>
      </c>
      <c r="H1119" s="60">
        <f>ventas_b_mes9[[#This Row],[TOTAL]]/1.21</f>
        <v>1446.28</v>
      </c>
      <c r="I1119" s="228">
        <f>ventas_b_mes9[[#This Row],[IMPORTE NETO]]*0.21</f>
        <v>303.71879999999999</v>
      </c>
      <c r="J1119" s="229"/>
      <c r="K1119" s="229"/>
      <c r="L1119" s="229">
        <v>1749.9987999999998</v>
      </c>
      <c r="M1119" s="55"/>
    </row>
    <row r="1120" spans="2:13" x14ac:dyDescent="0.3">
      <c r="B1120" s="223" t="s">
        <v>2593</v>
      </c>
      <c r="C1120" s="224">
        <v>6</v>
      </c>
      <c r="D1120" s="225">
        <v>13</v>
      </c>
      <c r="E1120" s="226">
        <v>27110</v>
      </c>
      <c r="F1120" s="227"/>
      <c r="G1120" s="1" t="str">
        <f>IFERROR(IF(ventas_b_mes9[[#This Row],[CUIT]]="","-",VLOOKUP(ventas_b_mes9[[#This Row],[CUIT]],Lista_CUIT[#All],2,0)),"CUIT NO CARGADO")</f>
        <v>-</v>
      </c>
      <c r="H1120" s="60">
        <f>ventas_b_mes9[[#This Row],[TOTAL]]/1.21</f>
        <v>10281.01</v>
      </c>
      <c r="I1120" s="228">
        <f>ventas_b_mes9[[#This Row],[IMPORTE NETO]]*0.21</f>
        <v>2159.0120999999999</v>
      </c>
      <c r="J1120" s="229"/>
      <c r="K1120" s="229"/>
      <c r="L1120" s="229">
        <v>12440.0221</v>
      </c>
      <c r="M1120" s="55"/>
    </row>
    <row r="1121" spans="2:13" x14ac:dyDescent="0.3">
      <c r="B1121" s="223" t="s">
        <v>2593</v>
      </c>
      <c r="C1121" s="224">
        <v>6</v>
      </c>
      <c r="D1121" s="225">
        <v>13</v>
      </c>
      <c r="E1121" s="226">
        <v>27111</v>
      </c>
      <c r="F1121" s="227"/>
      <c r="G1121" s="1" t="str">
        <f>IFERROR(IF(ventas_b_mes9[[#This Row],[CUIT]]="","-",VLOOKUP(ventas_b_mes9[[#This Row],[CUIT]],Lista_CUIT[#All],2,0)),"CUIT NO CARGADO")</f>
        <v>-</v>
      </c>
      <c r="H1121" s="60">
        <f>ventas_b_mes9[[#This Row],[TOTAL]]/1.21</f>
        <v>16173.570000000002</v>
      </c>
      <c r="I1121" s="228">
        <f>ventas_b_mes9[[#This Row],[IMPORTE NETO]]*0.21</f>
        <v>3396.4497000000001</v>
      </c>
      <c r="J1121" s="229"/>
      <c r="K1121" s="229"/>
      <c r="L1121" s="229">
        <v>19570.019700000001</v>
      </c>
      <c r="M1121" s="55"/>
    </row>
    <row r="1122" spans="2:13" x14ac:dyDescent="0.3">
      <c r="B1122" s="223" t="s">
        <v>2593</v>
      </c>
      <c r="C1122" s="224">
        <v>6</v>
      </c>
      <c r="D1122" s="225">
        <v>13</v>
      </c>
      <c r="E1122" s="226">
        <v>27112</v>
      </c>
      <c r="F1122" s="227"/>
      <c r="G1122" s="1" t="str">
        <f>IFERROR(IF(ventas_b_mes9[[#This Row],[CUIT]]="","-",VLOOKUP(ventas_b_mes9[[#This Row],[CUIT]],Lista_CUIT[#All],2,0)),"CUIT NO CARGADO")</f>
        <v>-</v>
      </c>
      <c r="H1122" s="60">
        <f>ventas_b_mes9[[#This Row],[TOTAL]]/1.21</f>
        <v>11477.69</v>
      </c>
      <c r="I1122" s="228">
        <f>ventas_b_mes9[[#This Row],[IMPORTE NETO]]*0.21</f>
        <v>2410.3148999999999</v>
      </c>
      <c r="J1122" s="229"/>
      <c r="K1122" s="229"/>
      <c r="L1122" s="229">
        <v>13888.0049</v>
      </c>
      <c r="M1122" s="55"/>
    </row>
    <row r="1123" spans="2:13" x14ac:dyDescent="0.3">
      <c r="B1123" s="223" t="s">
        <v>2593</v>
      </c>
      <c r="C1123" s="224">
        <v>6</v>
      </c>
      <c r="D1123" s="225">
        <v>11</v>
      </c>
      <c r="E1123" s="226">
        <v>30562</v>
      </c>
      <c r="F1123" s="227"/>
      <c r="G1123" s="1" t="str">
        <f>IFERROR(IF(ventas_b_mes9[[#This Row],[CUIT]]="","-",VLOOKUP(ventas_b_mes9[[#This Row],[CUIT]],Lista_CUIT[#All],2,0)),"CUIT NO CARGADO")</f>
        <v>-</v>
      </c>
      <c r="H1123" s="60">
        <f>ventas_b_mes9[[#This Row],[TOTAL]]/1.21</f>
        <v>23553.7</v>
      </c>
      <c r="I1123" s="228">
        <f>ventas_b_mes9[[#This Row],[IMPORTE NETO]]*0.21</f>
        <v>4946.277</v>
      </c>
      <c r="J1123" s="229"/>
      <c r="K1123" s="229"/>
      <c r="L1123" s="229">
        <v>28499.976999999999</v>
      </c>
      <c r="M1123" s="55"/>
    </row>
    <row r="1124" spans="2:13" x14ac:dyDescent="0.3">
      <c r="B1124" s="223" t="s">
        <v>2593</v>
      </c>
      <c r="C1124" s="224">
        <v>6</v>
      </c>
      <c r="D1124" s="225">
        <v>11</v>
      </c>
      <c r="E1124" s="226">
        <v>30563</v>
      </c>
      <c r="F1124" s="227"/>
      <c r="G1124" s="1" t="str">
        <f>IFERROR(IF(ventas_b_mes9[[#This Row],[CUIT]]="","-",VLOOKUP(ventas_b_mes9[[#This Row],[CUIT]],Lista_CUIT[#All],2,0)),"CUIT NO CARGADO")</f>
        <v>-</v>
      </c>
      <c r="H1124" s="60">
        <f>ventas_b_mes9[[#This Row],[TOTAL]]/1.21</f>
        <v>6363.64</v>
      </c>
      <c r="I1124" s="228">
        <f>ventas_b_mes9[[#This Row],[IMPORTE NETO]]*0.21</f>
        <v>1336.3643999999999</v>
      </c>
      <c r="J1124" s="229"/>
      <c r="K1124" s="229"/>
      <c r="L1124" s="229">
        <v>7700.0043999999998</v>
      </c>
      <c r="M1124" s="55"/>
    </row>
    <row r="1125" spans="2:13" x14ac:dyDescent="0.3">
      <c r="B1125" s="223" t="s">
        <v>2593</v>
      </c>
      <c r="C1125" s="224">
        <v>6</v>
      </c>
      <c r="D1125" s="225">
        <v>11</v>
      </c>
      <c r="E1125" s="226">
        <v>30564</v>
      </c>
      <c r="F1125" s="227"/>
      <c r="G1125" s="1" t="str">
        <f>IFERROR(IF(ventas_b_mes9[[#This Row],[CUIT]]="","-",VLOOKUP(ventas_b_mes9[[#This Row],[CUIT]],Lista_CUIT[#All],2,0)),"CUIT NO CARGADO")</f>
        <v>-</v>
      </c>
      <c r="H1125" s="60">
        <f>ventas_b_mes9[[#This Row],[TOTAL]]/1.21</f>
        <v>6363.64</v>
      </c>
      <c r="I1125" s="228">
        <f>ventas_b_mes9[[#This Row],[IMPORTE NETO]]*0.21</f>
        <v>1336.3643999999999</v>
      </c>
      <c r="J1125" s="229"/>
      <c r="K1125" s="229"/>
      <c r="L1125" s="229">
        <v>7700.0043999999998</v>
      </c>
      <c r="M1125" s="55"/>
    </row>
    <row r="1126" spans="2:13" x14ac:dyDescent="0.3">
      <c r="B1126" s="223" t="s">
        <v>2593</v>
      </c>
      <c r="C1126" s="224">
        <v>6</v>
      </c>
      <c r="D1126" s="225">
        <v>11</v>
      </c>
      <c r="E1126" s="226">
        <v>30565</v>
      </c>
      <c r="F1126" s="227"/>
      <c r="G1126" s="1" t="str">
        <f>IFERROR(IF(ventas_b_mes9[[#This Row],[CUIT]]="","-",VLOOKUP(ventas_b_mes9[[#This Row],[CUIT]],Lista_CUIT[#All],2,0)),"CUIT NO CARGADO")</f>
        <v>-</v>
      </c>
      <c r="H1126" s="60">
        <f>ventas_b_mes9[[#This Row],[TOTAL]]/1.21</f>
        <v>3057.85</v>
      </c>
      <c r="I1126" s="228">
        <f>ventas_b_mes9[[#This Row],[IMPORTE NETO]]*0.21</f>
        <v>642.14850000000001</v>
      </c>
      <c r="J1126" s="229"/>
      <c r="K1126" s="229"/>
      <c r="L1126" s="229">
        <v>3699.9984999999997</v>
      </c>
      <c r="M1126" s="55"/>
    </row>
    <row r="1127" spans="2:13" x14ac:dyDescent="0.3">
      <c r="B1127" s="223" t="s">
        <v>2593</v>
      </c>
      <c r="C1127" s="224">
        <v>6</v>
      </c>
      <c r="D1127" s="225">
        <v>11</v>
      </c>
      <c r="E1127" s="226">
        <v>30566</v>
      </c>
      <c r="F1127" s="227"/>
      <c r="G1127" s="1" t="str">
        <f>IFERROR(IF(ventas_b_mes9[[#This Row],[CUIT]]="","-",VLOOKUP(ventas_b_mes9[[#This Row],[CUIT]],Lista_CUIT[#All],2,0)),"CUIT NO CARGADO")</f>
        <v>-</v>
      </c>
      <c r="H1127" s="60">
        <f>ventas_b_mes9[[#This Row],[TOTAL]]/1.21</f>
        <v>6404.96</v>
      </c>
      <c r="I1127" s="228">
        <f>ventas_b_mes9[[#This Row],[IMPORTE NETO]]*0.21</f>
        <v>1345.0416</v>
      </c>
      <c r="J1127" s="229"/>
      <c r="K1127" s="229"/>
      <c r="L1127" s="229">
        <v>7750.0015999999996</v>
      </c>
      <c r="M1127" s="55"/>
    </row>
    <row r="1128" spans="2:13" x14ac:dyDescent="0.3">
      <c r="B1128" s="223" t="s">
        <v>2593</v>
      </c>
      <c r="C1128" s="224">
        <v>6</v>
      </c>
      <c r="D1128" s="225">
        <v>11</v>
      </c>
      <c r="E1128" s="226">
        <v>30567</v>
      </c>
      <c r="F1128" s="227"/>
      <c r="G1128" s="1" t="str">
        <f>IFERROR(IF(ventas_b_mes9[[#This Row],[CUIT]]="","-",VLOOKUP(ventas_b_mes9[[#This Row],[CUIT]],Lista_CUIT[#All],2,0)),"CUIT NO CARGADO")</f>
        <v>-</v>
      </c>
      <c r="H1128" s="60">
        <f>ventas_b_mes9[[#This Row],[TOTAL]]/1.21</f>
        <v>4545.45</v>
      </c>
      <c r="I1128" s="228">
        <f>ventas_b_mes9[[#This Row],[IMPORTE NETO]]*0.21</f>
        <v>954.54449999999997</v>
      </c>
      <c r="J1128" s="229"/>
      <c r="K1128" s="229"/>
      <c r="L1128" s="229">
        <v>5499.9944999999998</v>
      </c>
      <c r="M1128" s="55"/>
    </row>
    <row r="1129" spans="2:13" x14ac:dyDescent="0.3">
      <c r="B1129" s="223" t="s">
        <v>2593</v>
      </c>
      <c r="C1129" s="224">
        <v>6</v>
      </c>
      <c r="D1129" s="225">
        <v>11</v>
      </c>
      <c r="E1129" s="226">
        <v>30568</v>
      </c>
      <c r="F1129" s="227"/>
      <c r="G1129" s="1" t="str">
        <f>IFERROR(IF(ventas_b_mes9[[#This Row],[CUIT]]="","-",VLOOKUP(ventas_b_mes9[[#This Row],[CUIT]],Lista_CUIT[#All],2,0)),"CUIT NO CARGADO")</f>
        <v>-</v>
      </c>
      <c r="H1129" s="60">
        <f>ventas_b_mes9[[#This Row],[TOTAL]]/1.21</f>
        <v>4426.45</v>
      </c>
      <c r="I1129" s="228">
        <f>ventas_b_mes9[[#This Row],[IMPORTE NETO]]*0.21</f>
        <v>929.55449999999996</v>
      </c>
      <c r="J1129" s="229"/>
      <c r="K1129" s="229"/>
      <c r="L1129" s="229">
        <v>5356.0045</v>
      </c>
      <c r="M1129" s="55"/>
    </row>
    <row r="1130" spans="2:13" x14ac:dyDescent="0.3">
      <c r="B1130" s="223" t="s">
        <v>2593</v>
      </c>
      <c r="C1130" s="224">
        <v>6</v>
      </c>
      <c r="D1130" s="225">
        <v>11</v>
      </c>
      <c r="E1130" s="226">
        <v>30569</v>
      </c>
      <c r="F1130" s="227"/>
      <c r="G1130" s="1" t="str">
        <f>IFERROR(IF(ventas_b_mes9[[#This Row],[CUIT]]="","-",VLOOKUP(ventas_b_mes9[[#This Row],[CUIT]],Lista_CUIT[#All],2,0)),"CUIT NO CARGADO")</f>
        <v>-</v>
      </c>
      <c r="H1130" s="60">
        <f>ventas_b_mes9[[#This Row],[TOTAL]]/1.21</f>
        <v>3685.97</v>
      </c>
      <c r="I1130" s="228">
        <f>ventas_b_mes9[[#This Row],[IMPORTE NETO]]*0.21</f>
        <v>774.05369999999994</v>
      </c>
      <c r="J1130" s="229"/>
      <c r="K1130" s="229"/>
      <c r="L1130" s="229">
        <v>4460.0236999999997</v>
      </c>
      <c r="M1130" s="55"/>
    </row>
    <row r="1131" spans="2:13" x14ac:dyDescent="0.3">
      <c r="B1131" s="223" t="s">
        <v>2593</v>
      </c>
      <c r="C1131" s="224">
        <v>6</v>
      </c>
      <c r="D1131" s="225">
        <v>11</v>
      </c>
      <c r="E1131" s="226">
        <v>30570</v>
      </c>
      <c r="F1131" s="227"/>
      <c r="G1131" s="1" t="str">
        <f>IFERROR(IF(ventas_b_mes9[[#This Row],[CUIT]]="","-",VLOOKUP(ventas_b_mes9[[#This Row],[CUIT]],Lista_CUIT[#All],2,0)),"CUIT NO CARGADO")</f>
        <v>-</v>
      </c>
      <c r="H1131" s="60">
        <f>ventas_b_mes9[[#This Row],[TOTAL]]/1.21</f>
        <v>6069.43</v>
      </c>
      <c r="I1131" s="228">
        <f>ventas_b_mes9[[#This Row],[IMPORTE NETO]]*0.21</f>
        <v>1274.5803000000001</v>
      </c>
      <c r="J1131" s="229"/>
      <c r="K1131" s="229"/>
      <c r="L1131" s="229">
        <v>7344.0102999999999</v>
      </c>
      <c r="M1131" s="55"/>
    </row>
    <row r="1132" spans="2:13" x14ac:dyDescent="0.3">
      <c r="B1132" s="223" t="s">
        <v>2593</v>
      </c>
      <c r="C1132" s="224">
        <v>6</v>
      </c>
      <c r="D1132" s="225">
        <v>11</v>
      </c>
      <c r="E1132" s="226">
        <v>30571</v>
      </c>
      <c r="F1132" s="227"/>
      <c r="G1132" s="1" t="str">
        <f>IFERROR(IF(ventas_b_mes9[[#This Row],[CUIT]]="","-",VLOOKUP(ventas_b_mes9[[#This Row],[CUIT]],Lista_CUIT[#All],2,0)),"CUIT NO CARGADO")</f>
        <v>-</v>
      </c>
      <c r="H1132" s="60">
        <f>ventas_b_mes9[[#This Row],[TOTAL]]/1.21</f>
        <v>5495.05</v>
      </c>
      <c r="I1132" s="228">
        <f>ventas_b_mes9[[#This Row],[IMPORTE NETO]]*0.21</f>
        <v>1153.9604999999999</v>
      </c>
      <c r="J1132" s="229"/>
      <c r="K1132" s="229"/>
      <c r="L1132" s="229">
        <v>6649.0105000000003</v>
      </c>
      <c r="M1132" s="55"/>
    </row>
    <row r="1133" spans="2:13" x14ac:dyDescent="0.3">
      <c r="B1133" s="223" t="s">
        <v>2593</v>
      </c>
      <c r="C1133" s="224">
        <v>6</v>
      </c>
      <c r="D1133" s="225">
        <v>11</v>
      </c>
      <c r="E1133" s="226">
        <v>30572</v>
      </c>
      <c r="F1133" s="227"/>
      <c r="G1133" s="1" t="str">
        <f>IFERROR(IF(ventas_b_mes9[[#This Row],[CUIT]]="","-",VLOOKUP(ventas_b_mes9[[#This Row],[CUIT]],Lista_CUIT[#All],2,0)),"CUIT NO CARGADO")</f>
        <v>-</v>
      </c>
      <c r="H1133" s="60">
        <f>ventas_b_mes9[[#This Row],[TOTAL]]/1.21</f>
        <v>4775.21</v>
      </c>
      <c r="I1133" s="228">
        <f>ventas_b_mes9[[#This Row],[IMPORTE NETO]]*0.21</f>
        <v>1002.7941</v>
      </c>
      <c r="J1133" s="229"/>
      <c r="K1133" s="229"/>
      <c r="L1133" s="229">
        <v>5778.0041000000001</v>
      </c>
      <c r="M1133" s="55"/>
    </row>
    <row r="1134" spans="2:13" x14ac:dyDescent="0.3">
      <c r="B1134" s="223" t="s">
        <v>2593</v>
      </c>
      <c r="C1134" s="224">
        <v>6</v>
      </c>
      <c r="D1134" s="225">
        <v>11</v>
      </c>
      <c r="E1134" s="226">
        <v>30573</v>
      </c>
      <c r="F1134" s="227"/>
      <c r="G1134" s="1" t="str">
        <f>IFERROR(IF(ventas_b_mes9[[#This Row],[CUIT]]="","-",VLOOKUP(ventas_b_mes9[[#This Row],[CUIT]],Lista_CUIT[#All],2,0)),"CUIT NO CARGADO")</f>
        <v>-</v>
      </c>
      <c r="H1134" s="60">
        <f>ventas_b_mes9[[#This Row],[TOTAL]]/1.21</f>
        <v>2543.8000000000002</v>
      </c>
      <c r="I1134" s="228">
        <f>ventas_b_mes9[[#This Row],[IMPORTE NETO]]*0.21</f>
        <v>534.19799999999998</v>
      </c>
      <c r="J1134" s="229"/>
      <c r="K1134" s="229"/>
      <c r="L1134" s="229">
        <v>3077.998</v>
      </c>
      <c r="M1134" s="55"/>
    </row>
    <row r="1135" spans="2:13" x14ac:dyDescent="0.3">
      <c r="B1135" s="223" t="s">
        <v>2593</v>
      </c>
      <c r="C1135" s="224">
        <v>6</v>
      </c>
      <c r="D1135" s="225">
        <v>11</v>
      </c>
      <c r="E1135" s="226">
        <v>30574</v>
      </c>
      <c r="F1135" s="227"/>
      <c r="G1135" s="1" t="str">
        <f>IFERROR(IF(ventas_b_mes9[[#This Row],[CUIT]]="","-",VLOOKUP(ventas_b_mes9[[#This Row],[CUIT]],Lista_CUIT[#All],2,0)),"CUIT NO CARGADO")</f>
        <v>-</v>
      </c>
      <c r="H1135" s="60">
        <f>ventas_b_mes9[[#This Row],[TOTAL]]/1.21</f>
        <v>1983.47</v>
      </c>
      <c r="I1135" s="228">
        <f>ventas_b_mes9[[#This Row],[IMPORTE NETO]]*0.21</f>
        <v>416.52870000000001</v>
      </c>
      <c r="J1135" s="229"/>
      <c r="K1135" s="229"/>
      <c r="L1135" s="229">
        <v>2399.9987000000001</v>
      </c>
      <c r="M1135" s="55"/>
    </row>
    <row r="1136" spans="2:13" x14ac:dyDescent="0.3">
      <c r="B1136" s="223" t="s">
        <v>2593</v>
      </c>
      <c r="C1136" s="224">
        <v>6</v>
      </c>
      <c r="D1136" s="225">
        <v>11</v>
      </c>
      <c r="E1136" s="226">
        <v>30575</v>
      </c>
      <c r="F1136" s="227"/>
      <c r="G1136" s="1" t="str">
        <f>IFERROR(IF(ventas_b_mes9[[#This Row],[CUIT]]="","-",VLOOKUP(ventas_b_mes9[[#This Row],[CUIT]],Lista_CUIT[#All],2,0)),"CUIT NO CARGADO")</f>
        <v>-</v>
      </c>
      <c r="H1136" s="60">
        <f>ventas_b_mes9[[#This Row],[TOTAL]]/1.21</f>
        <v>2053.7199999999998</v>
      </c>
      <c r="I1136" s="228">
        <f>ventas_b_mes9[[#This Row],[IMPORTE NETO]]*0.21</f>
        <v>431.28119999999996</v>
      </c>
      <c r="J1136" s="229"/>
      <c r="K1136" s="229"/>
      <c r="L1136" s="229">
        <v>2485.0011999999997</v>
      </c>
      <c r="M1136" s="55"/>
    </row>
    <row r="1137" spans="2:13" x14ac:dyDescent="0.3">
      <c r="B1137" s="223" t="s">
        <v>2593</v>
      </c>
      <c r="C1137" s="224">
        <v>6</v>
      </c>
      <c r="D1137" s="225">
        <v>11</v>
      </c>
      <c r="E1137" s="226">
        <v>30576</v>
      </c>
      <c r="F1137" s="227"/>
      <c r="G1137" s="1" t="str">
        <f>IFERROR(IF(ventas_b_mes9[[#This Row],[CUIT]]="","-",VLOOKUP(ventas_b_mes9[[#This Row],[CUIT]],Lista_CUIT[#All],2,0)),"CUIT NO CARGADO")</f>
        <v>-</v>
      </c>
      <c r="H1137" s="60">
        <f>ventas_b_mes9[[#This Row],[TOTAL]]/1.21</f>
        <v>5605.8</v>
      </c>
      <c r="I1137" s="228">
        <f>ventas_b_mes9[[#This Row],[IMPORTE NETO]]*0.21</f>
        <v>1177.2180000000001</v>
      </c>
      <c r="J1137" s="229"/>
      <c r="K1137" s="229"/>
      <c r="L1137" s="229">
        <v>6783.018</v>
      </c>
      <c r="M1137" s="55"/>
    </row>
    <row r="1138" spans="2:13" x14ac:dyDescent="0.3">
      <c r="B1138" s="223" t="s">
        <v>2593</v>
      </c>
      <c r="C1138" s="224">
        <v>6</v>
      </c>
      <c r="D1138" s="225">
        <v>11</v>
      </c>
      <c r="E1138" s="226">
        <v>30577</v>
      </c>
      <c r="F1138" s="227"/>
      <c r="G1138" s="1" t="str">
        <f>IFERROR(IF(ventas_b_mes9[[#This Row],[CUIT]]="","-",VLOOKUP(ventas_b_mes9[[#This Row],[CUIT]],Lista_CUIT[#All],2,0)),"CUIT NO CARGADO")</f>
        <v>-</v>
      </c>
      <c r="H1138" s="60">
        <f>ventas_b_mes9[[#This Row],[TOTAL]]/1.21</f>
        <v>6140.5</v>
      </c>
      <c r="I1138" s="228">
        <f>ventas_b_mes9[[#This Row],[IMPORTE NETO]]*0.21</f>
        <v>1289.5049999999999</v>
      </c>
      <c r="J1138" s="229"/>
      <c r="K1138" s="229"/>
      <c r="L1138" s="229">
        <v>7430.0050000000001</v>
      </c>
      <c r="M1138" s="55"/>
    </row>
    <row r="1139" spans="2:13" x14ac:dyDescent="0.3">
      <c r="B1139" s="223" t="s">
        <v>2593</v>
      </c>
      <c r="C1139" s="224">
        <v>6</v>
      </c>
      <c r="D1139" s="225">
        <v>11</v>
      </c>
      <c r="E1139" s="226">
        <v>30578</v>
      </c>
      <c r="F1139" s="227"/>
      <c r="G1139" s="1" t="str">
        <f>IFERROR(IF(ventas_b_mes9[[#This Row],[CUIT]]="","-",VLOOKUP(ventas_b_mes9[[#This Row],[CUIT]],Lista_CUIT[#All],2,0)),"CUIT NO CARGADO")</f>
        <v>-</v>
      </c>
      <c r="H1139" s="60">
        <f>ventas_b_mes9[[#This Row],[TOTAL]]/1.21</f>
        <v>6409.0900000000011</v>
      </c>
      <c r="I1139" s="228">
        <f>ventas_b_mes9[[#This Row],[IMPORTE NETO]]*0.21</f>
        <v>1345.9089000000001</v>
      </c>
      <c r="J1139" s="229"/>
      <c r="K1139" s="229"/>
      <c r="L1139" s="229">
        <v>7754.9989000000005</v>
      </c>
      <c r="M1139" s="55"/>
    </row>
    <row r="1140" spans="2:13" x14ac:dyDescent="0.3">
      <c r="B1140" s="223" t="s">
        <v>2593</v>
      </c>
      <c r="C1140" s="224">
        <v>6</v>
      </c>
      <c r="D1140" s="225">
        <v>11</v>
      </c>
      <c r="E1140" s="226">
        <v>30579</v>
      </c>
      <c r="F1140" s="227"/>
      <c r="G1140" s="1" t="str">
        <f>IFERROR(IF(ventas_b_mes9[[#This Row],[CUIT]]="","-",VLOOKUP(ventas_b_mes9[[#This Row],[CUIT]],Lista_CUIT[#All],2,0)),"CUIT NO CARGADO")</f>
        <v>-</v>
      </c>
      <c r="H1140" s="60">
        <f>ventas_b_mes9[[#This Row],[TOTAL]]/1.21</f>
        <v>6363.64</v>
      </c>
      <c r="I1140" s="228">
        <f>ventas_b_mes9[[#This Row],[IMPORTE NETO]]*0.21</f>
        <v>1336.3643999999999</v>
      </c>
      <c r="J1140" s="229"/>
      <c r="K1140" s="229"/>
      <c r="L1140" s="229">
        <v>7700.0043999999998</v>
      </c>
      <c r="M1140" s="55"/>
    </row>
    <row r="1141" spans="2:13" x14ac:dyDescent="0.3">
      <c r="B1141" s="223" t="s">
        <v>2593</v>
      </c>
      <c r="C1141" s="224">
        <v>6</v>
      </c>
      <c r="D1141" s="225">
        <v>11</v>
      </c>
      <c r="E1141" s="226">
        <v>30580</v>
      </c>
      <c r="F1141" s="227"/>
      <c r="G1141" s="1" t="str">
        <f>IFERROR(IF(ventas_b_mes9[[#This Row],[CUIT]]="","-",VLOOKUP(ventas_b_mes9[[#This Row],[CUIT]],Lista_CUIT[#All],2,0)),"CUIT NO CARGADO")</f>
        <v>-</v>
      </c>
      <c r="H1141" s="60">
        <f>ventas_b_mes9[[#This Row],[TOTAL]]/1.21</f>
        <v>8781</v>
      </c>
      <c r="I1141" s="228">
        <f>ventas_b_mes9[[#This Row],[IMPORTE NETO]]*0.21</f>
        <v>1844.01</v>
      </c>
      <c r="J1141" s="229"/>
      <c r="K1141" s="229"/>
      <c r="L1141" s="229">
        <v>10625.01</v>
      </c>
      <c r="M1141" s="55"/>
    </row>
    <row r="1142" spans="2:13" x14ac:dyDescent="0.3">
      <c r="B1142" s="223" t="s">
        <v>2593</v>
      </c>
      <c r="C1142" s="224">
        <v>6</v>
      </c>
      <c r="D1142" s="225">
        <v>15</v>
      </c>
      <c r="E1142" s="226">
        <v>7469</v>
      </c>
      <c r="F1142" s="227"/>
      <c r="G1142" s="1" t="str">
        <f>IFERROR(IF(ventas_b_mes9[[#This Row],[CUIT]]="","-",VLOOKUP(ventas_b_mes9[[#This Row],[CUIT]],Lista_CUIT[#All],2,0)),"CUIT NO CARGADO")</f>
        <v>-</v>
      </c>
      <c r="H1142" s="60">
        <f>ventas_b_mes9[[#This Row],[TOTAL]]/1.21</f>
        <v>8134.7200000000012</v>
      </c>
      <c r="I1142" s="228">
        <f>ventas_b_mes9[[#This Row],[IMPORTE NETO]]*0.21</f>
        <v>1708.2912000000001</v>
      </c>
      <c r="J1142" s="229"/>
      <c r="K1142" s="229"/>
      <c r="L1142" s="229">
        <v>9843.0112000000008</v>
      </c>
      <c r="M1142" s="55"/>
    </row>
    <row r="1143" spans="2:13" x14ac:dyDescent="0.3">
      <c r="B1143" s="223" t="s">
        <v>2593</v>
      </c>
      <c r="C1143" s="224">
        <v>6</v>
      </c>
      <c r="D1143" s="225">
        <v>15</v>
      </c>
      <c r="E1143" s="226">
        <v>7470</v>
      </c>
      <c r="F1143" s="227"/>
      <c r="G1143" s="1" t="str">
        <f>IFERROR(IF(ventas_b_mes9[[#This Row],[CUIT]]="","-",VLOOKUP(ventas_b_mes9[[#This Row],[CUIT]],Lista_CUIT[#All],2,0)),"CUIT NO CARGADO")</f>
        <v>-</v>
      </c>
      <c r="H1143" s="60">
        <f>ventas_b_mes9[[#This Row],[TOTAL]]/1.21</f>
        <v>9806.6500000000015</v>
      </c>
      <c r="I1143" s="228">
        <f>ventas_b_mes9[[#This Row],[IMPORTE NETO]]*0.21</f>
        <v>2059.3965000000003</v>
      </c>
      <c r="J1143" s="229"/>
      <c r="K1143" s="229"/>
      <c r="L1143" s="229">
        <v>11866.0465</v>
      </c>
      <c r="M1143" s="55"/>
    </row>
    <row r="1144" spans="2:13" x14ac:dyDescent="0.3">
      <c r="B1144" s="223" t="s">
        <v>2593</v>
      </c>
      <c r="C1144" s="224">
        <v>6</v>
      </c>
      <c r="D1144" s="225">
        <v>15</v>
      </c>
      <c r="E1144" s="226">
        <v>7471</v>
      </c>
      <c r="F1144" s="227"/>
      <c r="G1144" s="1" t="str">
        <f>IFERROR(IF(ventas_b_mes9[[#This Row],[CUIT]]="","-",VLOOKUP(ventas_b_mes9[[#This Row],[CUIT]],Lista_CUIT[#All],2,0)),"CUIT NO CARGADO")</f>
        <v>-</v>
      </c>
      <c r="H1144" s="60">
        <f>ventas_b_mes9[[#This Row],[TOTAL]]/1.21</f>
        <v>10209.11</v>
      </c>
      <c r="I1144" s="228">
        <f>ventas_b_mes9[[#This Row],[IMPORTE NETO]]*0.21</f>
        <v>2143.9131000000002</v>
      </c>
      <c r="J1144" s="229"/>
      <c r="K1144" s="229"/>
      <c r="L1144" s="229">
        <v>12353.0231</v>
      </c>
      <c r="M1144" s="55"/>
    </row>
    <row r="1145" spans="2:13" x14ac:dyDescent="0.3">
      <c r="B1145" s="223" t="s">
        <v>2593</v>
      </c>
      <c r="C1145" s="224">
        <v>6</v>
      </c>
      <c r="D1145" s="225">
        <v>15</v>
      </c>
      <c r="E1145" s="226">
        <v>7472</v>
      </c>
      <c r="F1145" s="227"/>
      <c r="G1145" s="1" t="str">
        <f>IFERROR(IF(ventas_b_mes9[[#This Row],[CUIT]]="","-",VLOOKUP(ventas_b_mes9[[#This Row],[CUIT]],Lista_CUIT[#All],2,0)),"CUIT NO CARGADO")</f>
        <v>-</v>
      </c>
      <c r="H1145" s="60">
        <f>ventas_b_mes9[[#This Row],[TOTAL]]/1.21</f>
        <v>6623.98</v>
      </c>
      <c r="I1145" s="228">
        <f>ventas_b_mes9[[#This Row],[IMPORTE NETO]]*0.21</f>
        <v>1391.0357999999999</v>
      </c>
      <c r="J1145" s="229"/>
      <c r="K1145" s="229"/>
      <c r="L1145" s="229">
        <v>8015.0157999999992</v>
      </c>
      <c r="M1145" s="55"/>
    </row>
    <row r="1146" spans="2:13" x14ac:dyDescent="0.3">
      <c r="B1146" s="223" t="s">
        <v>2593</v>
      </c>
      <c r="C1146" s="224">
        <v>6</v>
      </c>
      <c r="D1146" s="225">
        <v>15</v>
      </c>
      <c r="E1146" s="226">
        <v>7473</v>
      </c>
      <c r="F1146" s="227"/>
      <c r="G1146" s="1" t="str">
        <f>IFERROR(IF(ventas_b_mes9[[#This Row],[CUIT]]="","-",VLOOKUP(ventas_b_mes9[[#This Row],[CUIT]],Lista_CUIT[#All],2,0)),"CUIT NO CARGADO")</f>
        <v>-</v>
      </c>
      <c r="H1146" s="60">
        <f>ventas_b_mes9[[#This Row],[TOTAL]]/1.21</f>
        <v>19655.34</v>
      </c>
      <c r="I1146" s="228">
        <f>ventas_b_mes9[[#This Row],[IMPORTE NETO]]*0.21</f>
        <v>4127.6214</v>
      </c>
      <c r="J1146" s="229"/>
      <c r="K1146" s="229"/>
      <c r="L1146" s="229">
        <v>23782.9614</v>
      </c>
      <c r="M1146" s="55"/>
    </row>
    <row r="1147" spans="2:13" x14ac:dyDescent="0.3">
      <c r="B1147" s="223" t="s">
        <v>2593</v>
      </c>
      <c r="C1147" s="224">
        <v>6</v>
      </c>
      <c r="D1147" s="225">
        <v>10</v>
      </c>
      <c r="E1147" s="226">
        <v>44450</v>
      </c>
      <c r="F1147" s="227"/>
      <c r="G1147" s="1" t="str">
        <f>IFERROR(IF(ventas_b_mes9[[#This Row],[CUIT]]="","-",VLOOKUP(ventas_b_mes9[[#This Row],[CUIT]],Lista_CUIT[#All],2,0)),"CUIT NO CARGADO")</f>
        <v>-</v>
      </c>
      <c r="H1147" s="60">
        <f>ventas_b_mes9[[#This Row],[TOTAL]]/1.21</f>
        <v>2148.7600000000002</v>
      </c>
      <c r="I1147" s="228">
        <f>ventas_b_mes9[[#This Row],[IMPORTE NETO]]*0.21</f>
        <v>451.23960000000005</v>
      </c>
      <c r="J1147" s="229"/>
      <c r="K1147" s="229"/>
      <c r="L1147" s="229">
        <v>2599.9996000000001</v>
      </c>
      <c r="M1147" s="55"/>
    </row>
    <row r="1148" spans="2:13" x14ac:dyDescent="0.3">
      <c r="B1148" s="223" t="s">
        <v>2593</v>
      </c>
      <c r="C1148" s="224">
        <v>6</v>
      </c>
      <c r="D1148" s="225">
        <v>10</v>
      </c>
      <c r="E1148" s="226">
        <v>44451</v>
      </c>
      <c r="F1148" s="227"/>
      <c r="G1148" s="1" t="str">
        <f>IFERROR(IF(ventas_b_mes9[[#This Row],[CUIT]]="","-",VLOOKUP(ventas_b_mes9[[#This Row],[CUIT]],Lista_CUIT[#All],2,0)),"CUIT NO CARGADO")</f>
        <v>-</v>
      </c>
      <c r="H1148" s="60">
        <f>ventas_b_mes9[[#This Row],[TOTAL]]/1.21</f>
        <v>1335.5400000000002</v>
      </c>
      <c r="I1148" s="228">
        <f>ventas_b_mes9[[#This Row],[IMPORTE NETO]]*0.21</f>
        <v>280.46340000000004</v>
      </c>
      <c r="J1148" s="229"/>
      <c r="K1148" s="229"/>
      <c r="L1148" s="229">
        <v>1616.0034000000001</v>
      </c>
      <c r="M1148" s="55"/>
    </row>
    <row r="1149" spans="2:13" x14ac:dyDescent="0.3">
      <c r="B1149" s="223" t="s">
        <v>2593</v>
      </c>
      <c r="C1149" s="224">
        <v>6</v>
      </c>
      <c r="D1149" s="225">
        <v>10</v>
      </c>
      <c r="E1149" s="226">
        <v>44452</v>
      </c>
      <c r="F1149" s="227"/>
      <c r="G1149" s="1" t="str">
        <f>IFERROR(IF(ventas_b_mes9[[#This Row],[CUIT]]="","-",VLOOKUP(ventas_b_mes9[[#This Row],[CUIT]],Lista_CUIT[#All],2,0)),"CUIT NO CARGADO")</f>
        <v>-</v>
      </c>
      <c r="H1149" s="60">
        <f>ventas_b_mes9[[#This Row],[TOTAL]]/1.21</f>
        <v>2148.7600000000002</v>
      </c>
      <c r="I1149" s="228">
        <f>ventas_b_mes9[[#This Row],[IMPORTE NETO]]*0.21</f>
        <v>451.23960000000005</v>
      </c>
      <c r="J1149" s="229"/>
      <c r="K1149" s="229"/>
      <c r="L1149" s="229">
        <v>2599.9996000000001</v>
      </c>
      <c r="M1149" s="55"/>
    </row>
    <row r="1150" spans="2:13" x14ac:dyDescent="0.3">
      <c r="B1150" s="223" t="s">
        <v>2593</v>
      </c>
      <c r="C1150" s="224">
        <v>6</v>
      </c>
      <c r="D1150" s="225">
        <v>10</v>
      </c>
      <c r="E1150" s="226">
        <v>44453</v>
      </c>
      <c r="F1150" s="227"/>
      <c r="G1150" s="1" t="str">
        <f>IFERROR(IF(ventas_b_mes9[[#This Row],[CUIT]]="","-",VLOOKUP(ventas_b_mes9[[#This Row],[CUIT]],Lista_CUIT[#All],2,0)),"CUIT NO CARGADO")</f>
        <v>-</v>
      </c>
      <c r="H1150" s="60">
        <f>ventas_b_mes9[[#This Row],[TOTAL]]/1.21</f>
        <v>2148.7600000000002</v>
      </c>
      <c r="I1150" s="228">
        <f>ventas_b_mes9[[#This Row],[IMPORTE NETO]]*0.21</f>
        <v>451.23960000000005</v>
      </c>
      <c r="J1150" s="229"/>
      <c r="K1150" s="229"/>
      <c r="L1150" s="229">
        <v>2599.9996000000001</v>
      </c>
      <c r="M1150" s="55"/>
    </row>
    <row r="1151" spans="2:13" x14ac:dyDescent="0.3">
      <c r="B1151" s="223" t="s">
        <v>2593</v>
      </c>
      <c r="C1151" s="224">
        <v>6</v>
      </c>
      <c r="D1151" s="225">
        <v>10</v>
      </c>
      <c r="E1151" s="226">
        <v>44454</v>
      </c>
      <c r="F1151" s="227"/>
      <c r="G1151" s="1" t="str">
        <f>IFERROR(IF(ventas_b_mes9[[#This Row],[CUIT]]="","-",VLOOKUP(ventas_b_mes9[[#This Row],[CUIT]],Lista_CUIT[#All],2,0)),"CUIT NO CARGADO")</f>
        <v>-</v>
      </c>
      <c r="H1151" s="60">
        <f>ventas_b_mes9[[#This Row],[TOTAL]]/1.21</f>
        <v>2148.7600000000002</v>
      </c>
      <c r="I1151" s="228">
        <f>ventas_b_mes9[[#This Row],[IMPORTE NETO]]*0.21</f>
        <v>451.23960000000005</v>
      </c>
      <c r="J1151" s="229"/>
      <c r="K1151" s="229"/>
      <c r="L1151" s="229">
        <v>2599.9996000000001</v>
      </c>
      <c r="M1151" s="55"/>
    </row>
    <row r="1152" spans="2:13" x14ac:dyDescent="0.3">
      <c r="B1152" s="223" t="s">
        <v>2593</v>
      </c>
      <c r="C1152" s="224">
        <v>6</v>
      </c>
      <c r="D1152" s="225">
        <v>10</v>
      </c>
      <c r="E1152" s="226">
        <v>44455</v>
      </c>
      <c r="F1152" s="227"/>
      <c r="G1152" s="1" t="str">
        <f>IFERROR(IF(ventas_b_mes9[[#This Row],[CUIT]]="","-",VLOOKUP(ventas_b_mes9[[#This Row],[CUIT]],Lista_CUIT[#All],2,0)),"CUIT NO CARGADO")</f>
        <v>-</v>
      </c>
      <c r="H1152" s="60">
        <f>ventas_b_mes9[[#This Row],[TOTAL]]/1.21</f>
        <v>2148.7600000000002</v>
      </c>
      <c r="I1152" s="228">
        <f>ventas_b_mes9[[#This Row],[IMPORTE NETO]]*0.21</f>
        <v>451.23960000000005</v>
      </c>
      <c r="J1152" s="229"/>
      <c r="K1152" s="229"/>
      <c r="L1152" s="229">
        <v>2599.9996000000001</v>
      </c>
      <c r="M1152" s="55"/>
    </row>
    <row r="1153" spans="2:13" x14ac:dyDescent="0.3">
      <c r="B1153" s="223" t="s">
        <v>2593</v>
      </c>
      <c r="C1153" s="224">
        <v>6</v>
      </c>
      <c r="D1153" s="225">
        <v>10</v>
      </c>
      <c r="E1153" s="226">
        <v>44456</v>
      </c>
      <c r="F1153" s="227"/>
      <c r="G1153" s="1" t="str">
        <f>IFERROR(IF(ventas_b_mes9[[#This Row],[CUIT]]="","-",VLOOKUP(ventas_b_mes9[[#This Row],[CUIT]],Lista_CUIT[#All],2,0)),"CUIT NO CARGADO")</f>
        <v>-</v>
      </c>
      <c r="H1153" s="60">
        <f>ventas_b_mes9[[#This Row],[TOTAL]]/1.21</f>
        <v>9461.16</v>
      </c>
      <c r="I1153" s="228">
        <f>ventas_b_mes9[[#This Row],[IMPORTE NETO]]*0.21</f>
        <v>1986.8435999999999</v>
      </c>
      <c r="J1153" s="229"/>
      <c r="K1153" s="229"/>
      <c r="L1153" s="229">
        <v>11448.0036</v>
      </c>
      <c r="M1153" s="55"/>
    </row>
    <row r="1154" spans="2:13" x14ac:dyDescent="0.3">
      <c r="B1154" s="223" t="s">
        <v>2593</v>
      </c>
      <c r="C1154" s="224">
        <v>6</v>
      </c>
      <c r="D1154" s="225">
        <v>10</v>
      </c>
      <c r="E1154" s="226">
        <v>44457</v>
      </c>
      <c r="F1154" s="227"/>
      <c r="G1154" s="1" t="str">
        <f>IFERROR(IF(ventas_b_mes9[[#This Row],[CUIT]]="","-",VLOOKUP(ventas_b_mes9[[#This Row],[CUIT]],Lista_CUIT[#All],2,0)),"CUIT NO CARGADO")</f>
        <v>-</v>
      </c>
      <c r="H1154" s="60">
        <f>ventas_b_mes9[[#This Row],[TOTAL]]/1.21</f>
        <v>8253.7199999999993</v>
      </c>
      <c r="I1154" s="228">
        <f>ventas_b_mes9[[#This Row],[IMPORTE NETO]]*0.21</f>
        <v>1733.2811999999999</v>
      </c>
      <c r="J1154" s="229"/>
      <c r="K1154" s="229"/>
      <c r="L1154" s="229">
        <v>9987.0011999999988</v>
      </c>
      <c r="M1154" s="55"/>
    </row>
    <row r="1155" spans="2:13" x14ac:dyDescent="0.3">
      <c r="B1155" s="223" t="s">
        <v>2593</v>
      </c>
      <c r="C1155" s="224">
        <v>6</v>
      </c>
      <c r="D1155" s="225">
        <v>10</v>
      </c>
      <c r="E1155" s="226">
        <v>44458</v>
      </c>
      <c r="F1155" s="227"/>
      <c r="G1155" s="1" t="str">
        <f>IFERROR(IF(ventas_b_mes9[[#This Row],[CUIT]]="","-",VLOOKUP(ventas_b_mes9[[#This Row],[CUIT]],Lista_CUIT[#All],2,0)),"CUIT NO CARGADO")</f>
        <v>-</v>
      </c>
      <c r="H1155" s="60">
        <f>ventas_b_mes9[[#This Row],[TOTAL]]/1.21</f>
        <v>3495.87</v>
      </c>
      <c r="I1155" s="228">
        <f>ventas_b_mes9[[#This Row],[IMPORTE NETO]]*0.21</f>
        <v>734.1327</v>
      </c>
      <c r="J1155" s="229"/>
      <c r="K1155" s="229"/>
      <c r="L1155" s="229">
        <v>4230.0027</v>
      </c>
      <c r="M1155" s="55"/>
    </row>
    <row r="1156" spans="2:13" x14ac:dyDescent="0.3">
      <c r="B1156" s="223" t="s">
        <v>2593</v>
      </c>
      <c r="C1156" s="224">
        <v>6</v>
      </c>
      <c r="D1156" s="225">
        <v>10</v>
      </c>
      <c r="E1156" s="226">
        <v>44459</v>
      </c>
      <c r="F1156" s="227"/>
      <c r="G1156" s="1" t="str">
        <f>IFERROR(IF(ventas_b_mes9[[#This Row],[CUIT]]="","-",VLOOKUP(ventas_b_mes9[[#This Row],[CUIT]],Lista_CUIT[#All],2,0)),"CUIT NO CARGADO")</f>
        <v>-</v>
      </c>
      <c r="H1156" s="60">
        <f>ventas_b_mes9[[#This Row],[TOTAL]]/1.21</f>
        <v>1023.14</v>
      </c>
      <c r="I1156" s="228">
        <f>ventas_b_mes9[[#This Row],[IMPORTE NETO]]*0.21</f>
        <v>214.85939999999999</v>
      </c>
      <c r="J1156" s="229"/>
      <c r="K1156" s="229"/>
      <c r="L1156" s="229">
        <v>1237.9993999999999</v>
      </c>
      <c r="M1156" s="55"/>
    </row>
    <row r="1157" spans="2:13" x14ac:dyDescent="0.3">
      <c r="B1157" s="223" t="s">
        <v>2593</v>
      </c>
      <c r="C1157" s="224">
        <v>6</v>
      </c>
      <c r="D1157" s="225">
        <v>10</v>
      </c>
      <c r="E1157" s="226">
        <v>44460</v>
      </c>
      <c r="F1157" s="227"/>
      <c r="G1157" s="1" t="str">
        <f>IFERROR(IF(ventas_b_mes9[[#This Row],[CUIT]]="","-",VLOOKUP(ventas_b_mes9[[#This Row],[CUIT]],Lista_CUIT[#All],2,0)),"CUIT NO CARGADO")</f>
        <v>-</v>
      </c>
      <c r="H1157" s="60">
        <f>ventas_b_mes9[[#This Row],[TOTAL]]/1.21</f>
        <v>1919.0100000000002</v>
      </c>
      <c r="I1157" s="228">
        <f>ventas_b_mes9[[#This Row],[IMPORTE NETO]]*0.21</f>
        <v>402.99210000000005</v>
      </c>
      <c r="J1157" s="229"/>
      <c r="K1157" s="229"/>
      <c r="L1157" s="229">
        <v>2322.0021000000002</v>
      </c>
      <c r="M1157" s="55"/>
    </row>
    <row r="1158" spans="2:13" x14ac:dyDescent="0.3">
      <c r="B1158" s="223" t="s">
        <v>2593</v>
      </c>
      <c r="C1158" s="224">
        <v>6</v>
      </c>
      <c r="D1158" s="225">
        <v>10</v>
      </c>
      <c r="E1158" s="226">
        <v>44461</v>
      </c>
      <c r="F1158" s="227"/>
      <c r="G1158" s="1" t="str">
        <f>IFERROR(IF(ventas_b_mes9[[#This Row],[CUIT]]="","-",VLOOKUP(ventas_b_mes9[[#This Row],[CUIT]],Lista_CUIT[#All],2,0)),"CUIT NO CARGADO")</f>
        <v>-</v>
      </c>
      <c r="H1158" s="60">
        <f>ventas_b_mes9[[#This Row],[TOTAL]]/1.21</f>
        <v>10330.58</v>
      </c>
      <c r="I1158" s="228">
        <f>ventas_b_mes9[[#This Row],[IMPORTE NETO]]*0.21</f>
        <v>2169.4218000000001</v>
      </c>
      <c r="J1158" s="229"/>
      <c r="K1158" s="229"/>
      <c r="L1158" s="229">
        <v>12500.0018</v>
      </c>
      <c r="M1158" s="55"/>
    </row>
    <row r="1159" spans="2:13" x14ac:dyDescent="0.3">
      <c r="B1159" s="223" t="s">
        <v>2593</v>
      </c>
      <c r="C1159" s="224">
        <v>6</v>
      </c>
      <c r="D1159" s="225">
        <v>12</v>
      </c>
      <c r="E1159" s="226">
        <v>23048</v>
      </c>
      <c r="F1159" s="227"/>
      <c r="G1159" s="1" t="str">
        <f>IFERROR(IF(ventas_b_mes9[[#This Row],[CUIT]]="","-",VLOOKUP(ventas_b_mes9[[#This Row],[CUIT]],Lista_CUIT[#All],2,0)),"CUIT NO CARGADO")</f>
        <v>-</v>
      </c>
      <c r="H1159" s="60">
        <f>ventas_b_mes9[[#This Row],[TOTAL]]/1.21</f>
        <v>8717.36</v>
      </c>
      <c r="I1159" s="228">
        <f>ventas_b_mes9[[#This Row],[IMPORTE NETO]]*0.21</f>
        <v>1830.6456000000001</v>
      </c>
      <c r="J1159" s="229"/>
      <c r="K1159" s="229"/>
      <c r="L1159" s="229">
        <v>10548.0056</v>
      </c>
      <c r="M1159" s="55"/>
    </row>
    <row r="1160" spans="2:13" x14ac:dyDescent="0.3">
      <c r="B1160" s="223" t="s">
        <v>2593</v>
      </c>
      <c r="C1160" s="224">
        <v>6</v>
      </c>
      <c r="D1160" s="225">
        <v>12</v>
      </c>
      <c r="E1160" s="226">
        <v>23049</v>
      </c>
      <c r="F1160" s="227"/>
      <c r="G1160" s="1" t="str">
        <f>IFERROR(IF(ventas_b_mes9[[#This Row],[CUIT]]="","-",VLOOKUP(ventas_b_mes9[[#This Row],[CUIT]],Lista_CUIT[#All],2,0)),"CUIT NO CARGADO")</f>
        <v>-</v>
      </c>
      <c r="H1160" s="60">
        <f>ventas_b_mes9[[#This Row],[TOTAL]]/1.21</f>
        <v>1446.28</v>
      </c>
      <c r="I1160" s="228">
        <f>ventas_b_mes9[[#This Row],[IMPORTE NETO]]*0.21</f>
        <v>303.71879999999999</v>
      </c>
      <c r="J1160" s="229"/>
      <c r="K1160" s="229"/>
      <c r="L1160" s="229">
        <v>1749.9987999999998</v>
      </c>
      <c r="M1160" s="55"/>
    </row>
    <row r="1161" spans="2:13" x14ac:dyDescent="0.3">
      <c r="B1161" s="223" t="s">
        <v>2593</v>
      </c>
      <c r="C1161" s="224">
        <v>6</v>
      </c>
      <c r="D1161" s="225">
        <v>12</v>
      </c>
      <c r="E1161" s="226">
        <v>23050</v>
      </c>
      <c r="F1161" s="227"/>
      <c r="G1161" s="1" t="str">
        <f>IFERROR(IF(ventas_b_mes9[[#This Row],[CUIT]]="","-",VLOOKUP(ventas_b_mes9[[#This Row],[CUIT]],Lista_CUIT[#All],2,0)),"CUIT NO CARGADO")</f>
        <v>-</v>
      </c>
      <c r="H1161" s="60">
        <f>ventas_b_mes9[[#This Row],[TOTAL]]/1.21</f>
        <v>2148.7600000000002</v>
      </c>
      <c r="I1161" s="228">
        <f>ventas_b_mes9[[#This Row],[IMPORTE NETO]]*0.21</f>
        <v>451.23960000000005</v>
      </c>
      <c r="J1161" s="229"/>
      <c r="K1161" s="229"/>
      <c r="L1161" s="229">
        <v>2599.9996000000001</v>
      </c>
      <c r="M1161" s="55"/>
    </row>
    <row r="1162" spans="2:13" x14ac:dyDescent="0.3">
      <c r="B1162" s="223" t="s">
        <v>2593</v>
      </c>
      <c r="C1162" s="224">
        <v>6</v>
      </c>
      <c r="D1162" s="225">
        <v>12</v>
      </c>
      <c r="E1162" s="226">
        <v>23051</v>
      </c>
      <c r="F1162" s="227"/>
      <c r="G1162" s="1" t="str">
        <f>IFERROR(IF(ventas_b_mes9[[#This Row],[CUIT]]="","-",VLOOKUP(ventas_b_mes9[[#This Row],[CUIT]],Lista_CUIT[#All],2,0)),"CUIT NO CARGADO")</f>
        <v>-</v>
      </c>
      <c r="H1162" s="60">
        <f>ventas_b_mes9[[#This Row],[TOTAL]]/1.21</f>
        <v>1438.02</v>
      </c>
      <c r="I1162" s="228">
        <f>ventas_b_mes9[[#This Row],[IMPORTE NETO]]*0.21</f>
        <v>301.98419999999999</v>
      </c>
      <c r="J1162" s="229"/>
      <c r="K1162" s="229"/>
      <c r="L1162" s="229">
        <v>1740.0041999999999</v>
      </c>
      <c r="M1162" s="55"/>
    </row>
    <row r="1163" spans="2:13" x14ac:dyDescent="0.3">
      <c r="B1163" s="223" t="s">
        <v>2593</v>
      </c>
      <c r="C1163" s="224">
        <v>6</v>
      </c>
      <c r="D1163" s="225">
        <v>12</v>
      </c>
      <c r="E1163" s="226">
        <v>23052</v>
      </c>
      <c r="F1163" s="227"/>
      <c r="G1163" s="1" t="str">
        <f>IFERROR(IF(ventas_b_mes9[[#This Row],[CUIT]]="","-",VLOOKUP(ventas_b_mes9[[#This Row],[CUIT]],Lista_CUIT[#All],2,0)),"CUIT NO CARGADO")</f>
        <v>-</v>
      </c>
      <c r="H1163" s="60">
        <f>ventas_b_mes9[[#This Row],[TOTAL]]/1.21</f>
        <v>2479.34</v>
      </c>
      <c r="I1163" s="228">
        <f>ventas_b_mes9[[#This Row],[IMPORTE NETO]]*0.21</f>
        <v>520.66139999999996</v>
      </c>
      <c r="J1163" s="229"/>
      <c r="K1163" s="229"/>
      <c r="L1163" s="229">
        <v>3000.0014000000001</v>
      </c>
      <c r="M1163" s="55"/>
    </row>
    <row r="1164" spans="2:13" x14ac:dyDescent="0.3">
      <c r="B1164" s="223" t="s">
        <v>2593</v>
      </c>
      <c r="C1164" s="224">
        <v>6</v>
      </c>
      <c r="D1164" s="225">
        <v>12</v>
      </c>
      <c r="E1164" s="226">
        <v>23053</v>
      </c>
      <c r="F1164" s="227"/>
      <c r="G1164" s="1" t="str">
        <f>IFERROR(IF(ventas_b_mes9[[#This Row],[CUIT]]="","-",VLOOKUP(ventas_b_mes9[[#This Row],[CUIT]],Lista_CUIT[#All],2,0)),"CUIT NO CARGADO")</f>
        <v>-</v>
      </c>
      <c r="H1164" s="60">
        <f>ventas_b_mes9[[#This Row],[TOTAL]]/1.21</f>
        <v>917.36</v>
      </c>
      <c r="I1164" s="228">
        <f>ventas_b_mes9[[#This Row],[IMPORTE NETO]]*0.21</f>
        <v>192.6456</v>
      </c>
      <c r="J1164" s="229"/>
      <c r="K1164" s="229"/>
      <c r="L1164" s="229">
        <v>1110.0056</v>
      </c>
      <c r="M1164" s="55"/>
    </row>
    <row r="1165" spans="2:13" x14ac:dyDescent="0.3">
      <c r="B1165" s="223" t="s">
        <v>2594</v>
      </c>
      <c r="C1165" s="224">
        <v>6</v>
      </c>
      <c r="D1165" s="225">
        <v>13</v>
      </c>
      <c r="E1165" s="226">
        <v>27113</v>
      </c>
      <c r="F1165" s="227"/>
      <c r="G1165" s="1" t="str">
        <f>IFERROR(IF(ventas_b_mes9[[#This Row],[CUIT]]="","-",VLOOKUP(ventas_b_mes9[[#This Row],[CUIT]],Lista_CUIT[#All],2,0)),"CUIT NO CARGADO")</f>
        <v>-</v>
      </c>
      <c r="H1165" s="60">
        <f>ventas_b_mes9[[#This Row],[TOTAL]]/1.21</f>
        <v>3223.13</v>
      </c>
      <c r="I1165" s="228">
        <f>ventas_b_mes9[[#This Row],[IMPORTE NETO]]*0.21</f>
        <v>676.85730000000001</v>
      </c>
      <c r="J1165" s="229"/>
      <c r="K1165" s="229"/>
      <c r="L1165" s="229">
        <v>3899.9873000000002</v>
      </c>
      <c r="M1165" s="55"/>
    </row>
    <row r="1166" spans="2:13" x14ac:dyDescent="0.3">
      <c r="B1166" s="223" t="s">
        <v>2594</v>
      </c>
      <c r="C1166" s="224">
        <v>6</v>
      </c>
      <c r="D1166" s="225">
        <v>13</v>
      </c>
      <c r="E1166" s="226">
        <v>27114</v>
      </c>
      <c r="F1166" s="227"/>
      <c r="G1166" s="1" t="str">
        <f>IFERROR(IF(ventas_b_mes9[[#This Row],[CUIT]]="","-",VLOOKUP(ventas_b_mes9[[#This Row],[CUIT]],Lista_CUIT[#All],2,0)),"CUIT NO CARGADO")</f>
        <v>-</v>
      </c>
      <c r="H1166" s="60">
        <f>ventas_b_mes9[[#This Row],[TOTAL]]/1.21</f>
        <v>752.07</v>
      </c>
      <c r="I1166" s="228">
        <f>ventas_b_mes9[[#This Row],[IMPORTE NETO]]*0.21</f>
        <v>157.93469999999999</v>
      </c>
      <c r="J1166" s="229"/>
      <c r="K1166" s="229"/>
      <c r="L1166" s="229">
        <v>910.00470000000007</v>
      </c>
      <c r="M1166" s="55"/>
    </row>
    <row r="1167" spans="2:13" x14ac:dyDescent="0.3">
      <c r="B1167" s="223" t="s">
        <v>2594</v>
      </c>
      <c r="C1167" s="224">
        <v>6</v>
      </c>
      <c r="D1167" s="225">
        <v>13</v>
      </c>
      <c r="E1167" s="226">
        <v>27115</v>
      </c>
      <c r="F1167" s="227"/>
      <c r="G1167" s="1" t="str">
        <f>IFERROR(IF(ventas_b_mes9[[#This Row],[CUIT]]="","-",VLOOKUP(ventas_b_mes9[[#This Row],[CUIT]],Lista_CUIT[#All],2,0)),"CUIT NO CARGADO")</f>
        <v>-</v>
      </c>
      <c r="H1167" s="60">
        <f>ventas_b_mes9[[#This Row],[TOTAL]]/1.21</f>
        <v>1138.02</v>
      </c>
      <c r="I1167" s="228">
        <f>ventas_b_mes9[[#This Row],[IMPORTE NETO]]*0.21</f>
        <v>238.98419999999999</v>
      </c>
      <c r="J1167" s="229"/>
      <c r="K1167" s="229"/>
      <c r="L1167" s="229">
        <v>1377.0041999999999</v>
      </c>
      <c r="M1167" s="55"/>
    </row>
    <row r="1168" spans="2:13" x14ac:dyDescent="0.3">
      <c r="B1168" s="223" t="s">
        <v>2594</v>
      </c>
      <c r="C1168" s="224">
        <v>6</v>
      </c>
      <c r="D1168" s="225">
        <v>13</v>
      </c>
      <c r="E1168" s="226">
        <v>27116</v>
      </c>
      <c r="F1168" s="227"/>
      <c r="G1168" s="1" t="str">
        <f>IFERROR(IF(ventas_b_mes9[[#This Row],[CUIT]]="","-",VLOOKUP(ventas_b_mes9[[#This Row],[CUIT]],Lista_CUIT[#All],2,0)),"CUIT NO CARGADO")</f>
        <v>-</v>
      </c>
      <c r="H1168" s="60">
        <f>ventas_b_mes9[[#This Row],[TOTAL]]/1.21</f>
        <v>2491.7399999999998</v>
      </c>
      <c r="I1168" s="228">
        <f>ventas_b_mes9[[#This Row],[IMPORTE NETO]]*0.21</f>
        <v>523.26539999999989</v>
      </c>
      <c r="J1168" s="229"/>
      <c r="K1168" s="229"/>
      <c r="L1168" s="229">
        <v>3015.0053999999996</v>
      </c>
      <c r="M1168" s="55"/>
    </row>
    <row r="1169" spans="2:13" x14ac:dyDescent="0.3">
      <c r="B1169" s="223" t="s">
        <v>2594</v>
      </c>
      <c r="C1169" s="224">
        <v>6</v>
      </c>
      <c r="D1169" s="225">
        <v>13</v>
      </c>
      <c r="E1169" s="226">
        <v>27117</v>
      </c>
      <c r="F1169" s="227"/>
      <c r="G1169" s="1" t="str">
        <f>IFERROR(IF(ventas_b_mes9[[#This Row],[CUIT]]="","-",VLOOKUP(ventas_b_mes9[[#This Row],[CUIT]],Lista_CUIT[#All],2,0)),"CUIT NO CARGADO")</f>
        <v>-</v>
      </c>
      <c r="H1169" s="60">
        <f>ventas_b_mes9[[#This Row],[TOTAL]]/1.21</f>
        <v>1487.6</v>
      </c>
      <c r="I1169" s="228">
        <f>ventas_b_mes9[[#This Row],[IMPORTE NETO]]*0.21</f>
        <v>312.39599999999996</v>
      </c>
      <c r="J1169" s="229"/>
      <c r="K1169" s="229"/>
      <c r="L1169" s="229">
        <v>1799.9959999999999</v>
      </c>
      <c r="M1169" s="55"/>
    </row>
    <row r="1170" spans="2:13" x14ac:dyDescent="0.3">
      <c r="B1170" s="223" t="s">
        <v>2594</v>
      </c>
      <c r="C1170" s="224">
        <v>6</v>
      </c>
      <c r="D1170" s="225">
        <v>13</v>
      </c>
      <c r="E1170" s="226">
        <v>27118</v>
      </c>
      <c r="F1170" s="227"/>
      <c r="G1170" s="1" t="str">
        <f>IFERROR(IF(ventas_b_mes9[[#This Row],[CUIT]]="","-",VLOOKUP(ventas_b_mes9[[#This Row],[CUIT]],Lista_CUIT[#All],2,0)),"CUIT NO CARGADO")</f>
        <v>-</v>
      </c>
      <c r="H1170" s="60">
        <f>ventas_b_mes9[[#This Row],[TOTAL]]/1.21</f>
        <v>3719.0100000000007</v>
      </c>
      <c r="I1170" s="228">
        <f>ventas_b_mes9[[#This Row],[IMPORTE NETO]]*0.21</f>
        <v>780.99210000000016</v>
      </c>
      <c r="J1170" s="229"/>
      <c r="K1170" s="229"/>
      <c r="L1170" s="229">
        <v>4500.0021000000006</v>
      </c>
      <c r="M1170" s="55"/>
    </row>
    <row r="1171" spans="2:13" x14ac:dyDescent="0.3">
      <c r="B1171" s="223" t="s">
        <v>2594</v>
      </c>
      <c r="C1171" s="224">
        <v>6</v>
      </c>
      <c r="D1171" s="225">
        <v>13</v>
      </c>
      <c r="E1171" s="226">
        <v>27119</v>
      </c>
      <c r="F1171" s="227"/>
      <c r="G1171" s="1" t="str">
        <f>IFERROR(IF(ventas_b_mes9[[#This Row],[CUIT]]="","-",VLOOKUP(ventas_b_mes9[[#This Row],[CUIT]],Lista_CUIT[#All],2,0)),"CUIT NO CARGADO")</f>
        <v>-</v>
      </c>
      <c r="H1171" s="60">
        <f>ventas_b_mes9[[#This Row],[TOTAL]]/1.21</f>
        <v>1390.91</v>
      </c>
      <c r="I1171" s="228">
        <f>ventas_b_mes9[[#This Row],[IMPORTE NETO]]*0.21</f>
        <v>292.09109999999998</v>
      </c>
      <c r="J1171" s="229"/>
      <c r="K1171" s="229"/>
      <c r="L1171" s="229">
        <v>1683.0011</v>
      </c>
      <c r="M1171" s="55"/>
    </row>
    <row r="1172" spans="2:13" x14ac:dyDescent="0.3">
      <c r="B1172" s="223" t="s">
        <v>2594</v>
      </c>
      <c r="C1172" s="224">
        <v>6</v>
      </c>
      <c r="D1172" s="225">
        <v>13</v>
      </c>
      <c r="E1172" s="226">
        <v>27120</v>
      </c>
      <c r="F1172" s="227"/>
      <c r="G1172" s="1" t="str">
        <f>IFERROR(IF(ventas_b_mes9[[#This Row],[CUIT]]="","-",VLOOKUP(ventas_b_mes9[[#This Row],[CUIT]],Lista_CUIT[#All],2,0)),"CUIT NO CARGADO")</f>
        <v>-</v>
      </c>
      <c r="H1172" s="60">
        <f>ventas_b_mes9[[#This Row],[TOTAL]]/1.21</f>
        <v>6715.71</v>
      </c>
      <c r="I1172" s="228">
        <f>ventas_b_mes9[[#This Row],[IMPORTE NETO]]*0.21</f>
        <v>1410.2991</v>
      </c>
      <c r="J1172" s="229"/>
      <c r="K1172" s="229"/>
      <c r="L1172" s="229">
        <v>8126.0091000000002</v>
      </c>
      <c r="M1172" s="55"/>
    </row>
    <row r="1173" spans="2:13" x14ac:dyDescent="0.3">
      <c r="B1173" s="223" t="s">
        <v>2594</v>
      </c>
      <c r="C1173" s="224">
        <v>6</v>
      </c>
      <c r="D1173" s="225">
        <v>13</v>
      </c>
      <c r="E1173" s="226">
        <v>27121</v>
      </c>
      <c r="F1173" s="227"/>
      <c r="G1173" s="1" t="str">
        <f>IFERROR(IF(ventas_b_mes9[[#This Row],[CUIT]]="","-",VLOOKUP(ventas_b_mes9[[#This Row],[CUIT]],Lista_CUIT[#All],2,0)),"CUIT NO CARGADO")</f>
        <v>-</v>
      </c>
      <c r="H1173" s="60">
        <f>ventas_b_mes9[[#This Row],[TOTAL]]/1.21</f>
        <v>4958.68</v>
      </c>
      <c r="I1173" s="228">
        <f>ventas_b_mes9[[#This Row],[IMPORTE NETO]]*0.21</f>
        <v>1041.3227999999999</v>
      </c>
      <c r="J1173" s="229"/>
      <c r="K1173" s="229"/>
      <c r="L1173" s="229">
        <v>6000.0028000000002</v>
      </c>
      <c r="M1173" s="55"/>
    </row>
    <row r="1174" spans="2:13" x14ac:dyDescent="0.3">
      <c r="B1174" s="223" t="s">
        <v>2594</v>
      </c>
      <c r="C1174" s="224">
        <v>6</v>
      </c>
      <c r="D1174" s="225">
        <v>13</v>
      </c>
      <c r="E1174" s="226">
        <v>27122</v>
      </c>
      <c r="F1174" s="227"/>
      <c r="G1174" s="1" t="str">
        <f>IFERROR(IF(ventas_b_mes9[[#This Row],[CUIT]]="","-",VLOOKUP(ventas_b_mes9[[#This Row],[CUIT]],Lista_CUIT[#All],2,0)),"CUIT NO CARGADO")</f>
        <v>-</v>
      </c>
      <c r="H1174" s="60">
        <f>ventas_b_mes9[[#This Row],[TOTAL]]/1.21</f>
        <v>969.43</v>
      </c>
      <c r="I1174" s="228">
        <f>ventas_b_mes9[[#This Row],[IMPORTE NETO]]*0.21</f>
        <v>203.58029999999999</v>
      </c>
      <c r="J1174" s="229"/>
      <c r="K1174" s="229"/>
      <c r="L1174" s="229">
        <v>1173.0102999999999</v>
      </c>
      <c r="M1174" s="55"/>
    </row>
    <row r="1175" spans="2:13" x14ac:dyDescent="0.3">
      <c r="B1175" s="223" t="s">
        <v>2594</v>
      </c>
      <c r="C1175" s="224">
        <v>6</v>
      </c>
      <c r="D1175" s="225">
        <v>13</v>
      </c>
      <c r="E1175" s="226">
        <v>27123</v>
      </c>
      <c r="F1175" s="227"/>
      <c r="G1175" s="1" t="str">
        <f>IFERROR(IF(ventas_b_mes9[[#This Row],[CUIT]]="","-",VLOOKUP(ventas_b_mes9[[#This Row],[CUIT]],Lista_CUIT[#All],2,0)),"CUIT NO CARGADO")</f>
        <v>-</v>
      </c>
      <c r="H1175" s="60">
        <f>ventas_b_mes9[[#This Row],[TOTAL]]/1.21</f>
        <v>4734.7</v>
      </c>
      <c r="I1175" s="228">
        <f>ventas_b_mes9[[#This Row],[IMPORTE NETO]]*0.21</f>
        <v>994.28699999999992</v>
      </c>
      <c r="J1175" s="229"/>
      <c r="K1175" s="229"/>
      <c r="L1175" s="229">
        <v>5728.9870000000001</v>
      </c>
      <c r="M1175" s="55"/>
    </row>
    <row r="1176" spans="2:13" x14ac:dyDescent="0.3">
      <c r="B1176" s="223" t="s">
        <v>2594</v>
      </c>
      <c r="C1176" s="224">
        <v>6</v>
      </c>
      <c r="D1176" s="225">
        <v>13</v>
      </c>
      <c r="E1176" s="226">
        <v>27124</v>
      </c>
      <c r="F1176" s="227"/>
      <c r="G1176" s="1" t="str">
        <f>IFERROR(IF(ventas_b_mes9[[#This Row],[CUIT]]="","-",VLOOKUP(ventas_b_mes9[[#This Row],[CUIT]],Lista_CUIT[#All],2,0)),"CUIT NO CARGADO")</f>
        <v>-</v>
      </c>
      <c r="H1176" s="60">
        <f>ventas_b_mes9[[#This Row],[TOTAL]]/1.21</f>
        <v>2739.67</v>
      </c>
      <c r="I1176" s="228">
        <f>ventas_b_mes9[[#This Row],[IMPORTE NETO]]*0.21</f>
        <v>575.33069999999998</v>
      </c>
      <c r="J1176" s="229"/>
      <c r="K1176" s="229"/>
      <c r="L1176" s="229">
        <v>3315.0007000000001</v>
      </c>
      <c r="M1176" s="55"/>
    </row>
    <row r="1177" spans="2:13" x14ac:dyDescent="0.3">
      <c r="B1177" s="223" t="s">
        <v>2594</v>
      </c>
      <c r="C1177" s="224">
        <v>6</v>
      </c>
      <c r="D1177" s="225">
        <v>11</v>
      </c>
      <c r="E1177" s="226">
        <v>30581</v>
      </c>
      <c r="F1177" s="227"/>
      <c r="G1177" s="1" t="str">
        <f>IFERROR(IF(ventas_b_mes9[[#This Row],[CUIT]]="","-",VLOOKUP(ventas_b_mes9[[#This Row],[CUIT]],Lista_CUIT[#All],2,0)),"CUIT NO CARGADO")</f>
        <v>-</v>
      </c>
      <c r="H1177" s="60">
        <f>ventas_b_mes9[[#This Row],[TOTAL]]/1.21</f>
        <v>1552.07</v>
      </c>
      <c r="I1177" s="228">
        <f>ventas_b_mes9[[#This Row],[IMPORTE NETO]]*0.21</f>
        <v>325.93469999999996</v>
      </c>
      <c r="J1177" s="229"/>
      <c r="K1177" s="229"/>
      <c r="L1177" s="229">
        <v>1878.0047</v>
      </c>
      <c r="M1177" s="55"/>
    </row>
    <row r="1178" spans="2:13" x14ac:dyDescent="0.3">
      <c r="B1178" s="223" t="s">
        <v>2594</v>
      </c>
      <c r="C1178" s="224">
        <v>6</v>
      </c>
      <c r="D1178" s="225">
        <v>11</v>
      </c>
      <c r="E1178" s="226">
        <v>30582</v>
      </c>
      <c r="F1178" s="227"/>
      <c r="G1178" s="1" t="str">
        <f>IFERROR(IF(ventas_b_mes9[[#This Row],[CUIT]]="","-",VLOOKUP(ventas_b_mes9[[#This Row],[CUIT]],Lista_CUIT[#All],2,0)),"CUIT NO CARGADO")</f>
        <v>-</v>
      </c>
      <c r="H1178" s="60">
        <f>ventas_b_mes9[[#This Row],[TOTAL]]/1.21</f>
        <v>9721.49</v>
      </c>
      <c r="I1178" s="228">
        <f>ventas_b_mes9[[#This Row],[IMPORTE NETO]]*0.21</f>
        <v>2041.5128999999999</v>
      </c>
      <c r="J1178" s="229"/>
      <c r="K1178" s="229"/>
      <c r="L1178" s="229">
        <v>11763.002899999999</v>
      </c>
      <c r="M1178" s="55"/>
    </row>
    <row r="1179" spans="2:13" x14ac:dyDescent="0.3">
      <c r="B1179" s="223" t="s">
        <v>2594</v>
      </c>
      <c r="C1179" s="224">
        <v>6</v>
      </c>
      <c r="D1179" s="225">
        <v>11</v>
      </c>
      <c r="E1179" s="226">
        <v>30583</v>
      </c>
      <c r="F1179" s="227"/>
      <c r="G1179" s="1" t="str">
        <f>IFERROR(IF(ventas_b_mes9[[#This Row],[CUIT]]="","-",VLOOKUP(ventas_b_mes9[[#This Row],[CUIT]],Lista_CUIT[#All],2,0)),"CUIT NO CARGADO")</f>
        <v>-</v>
      </c>
      <c r="H1179" s="60">
        <f>ventas_b_mes9[[#This Row],[TOTAL]]/1.21</f>
        <v>5455.37</v>
      </c>
      <c r="I1179" s="228">
        <f>ventas_b_mes9[[#This Row],[IMPORTE NETO]]*0.21</f>
        <v>1145.6277</v>
      </c>
      <c r="J1179" s="229"/>
      <c r="K1179" s="229"/>
      <c r="L1179" s="229">
        <v>6600.9976999999999</v>
      </c>
      <c r="M1179" s="55"/>
    </row>
    <row r="1180" spans="2:13" x14ac:dyDescent="0.3">
      <c r="B1180" s="223" t="s">
        <v>2594</v>
      </c>
      <c r="C1180" s="224">
        <v>6</v>
      </c>
      <c r="D1180" s="225">
        <v>11</v>
      </c>
      <c r="E1180" s="226">
        <v>30584</v>
      </c>
      <c r="F1180" s="227"/>
      <c r="G1180" s="1" t="str">
        <f>IFERROR(IF(ventas_b_mes9[[#This Row],[CUIT]]="","-",VLOOKUP(ventas_b_mes9[[#This Row],[CUIT]],Lista_CUIT[#All],2,0)),"CUIT NO CARGADO")</f>
        <v>-</v>
      </c>
      <c r="H1180" s="60">
        <f>ventas_b_mes9[[#This Row],[TOTAL]]/1.21</f>
        <v>1669.42</v>
      </c>
      <c r="I1180" s="228">
        <f>ventas_b_mes9[[#This Row],[IMPORTE NETO]]*0.21</f>
        <v>350.57819999999998</v>
      </c>
      <c r="J1180" s="229"/>
      <c r="K1180" s="229"/>
      <c r="L1180" s="229">
        <v>2019.9982</v>
      </c>
      <c r="M1180" s="55"/>
    </row>
    <row r="1181" spans="2:13" x14ac:dyDescent="0.3">
      <c r="B1181" s="223" t="s">
        <v>2594</v>
      </c>
      <c r="C1181" s="224">
        <v>6</v>
      </c>
      <c r="D1181" s="225">
        <v>11</v>
      </c>
      <c r="E1181" s="226">
        <v>30585</v>
      </c>
      <c r="F1181" s="227"/>
      <c r="G1181" s="1" t="str">
        <f>IFERROR(IF(ventas_b_mes9[[#This Row],[CUIT]]="","-",VLOOKUP(ventas_b_mes9[[#This Row],[CUIT]],Lista_CUIT[#All],2,0)),"CUIT NO CARGADO")</f>
        <v>-</v>
      </c>
      <c r="H1181" s="60">
        <f>ventas_b_mes9[[#This Row],[TOTAL]]/1.21</f>
        <v>7895.86</v>
      </c>
      <c r="I1181" s="228">
        <f>ventas_b_mes9[[#This Row],[IMPORTE NETO]]*0.21</f>
        <v>1658.1306</v>
      </c>
      <c r="J1181" s="229"/>
      <c r="K1181" s="229"/>
      <c r="L1181" s="229">
        <v>9553.9905999999992</v>
      </c>
      <c r="M1181" s="55"/>
    </row>
    <row r="1182" spans="2:13" x14ac:dyDescent="0.3">
      <c r="B1182" s="223" t="s">
        <v>2594</v>
      </c>
      <c r="C1182" s="224">
        <v>6</v>
      </c>
      <c r="D1182" s="225">
        <v>11</v>
      </c>
      <c r="E1182" s="226">
        <v>30586</v>
      </c>
      <c r="F1182" s="227"/>
      <c r="G1182" s="1" t="str">
        <f>IFERROR(IF(ventas_b_mes9[[#This Row],[CUIT]]="","-",VLOOKUP(ventas_b_mes9[[#This Row],[CUIT]],Lista_CUIT[#All],2,0)),"CUIT NO CARGADO")</f>
        <v>-</v>
      </c>
      <c r="H1182" s="60">
        <f>ventas_b_mes9[[#This Row],[TOTAL]]/1.21</f>
        <v>9408.27</v>
      </c>
      <c r="I1182" s="228">
        <f>ventas_b_mes9[[#This Row],[IMPORTE NETO]]*0.21</f>
        <v>1975.7366999999999</v>
      </c>
      <c r="J1182" s="229"/>
      <c r="K1182" s="229"/>
      <c r="L1182" s="229">
        <v>11384.0067</v>
      </c>
      <c r="M1182" s="55"/>
    </row>
    <row r="1183" spans="2:13" x14ac:dyDescent="0.3">
      <c r="B1183" s="223" t="s">
        <v>2594</v>
      </c>
      <c r="C1183" s="224">
        <v>6</v>
      </c>
      <c r="D1183" s="225">
        <v>11</v>
      </c>
      <c r="E1183" s="226">
        <v>30587</v>
      </c>
      <c r="F1183" s="227"/>
      <c r="G1183" s="1" t="str">
        <f>IFERROR(IF(ventas_b_mes9[[#This Row],[CUIT]]="","-",VLOOKUP(ventas_b_mes9[[#This Row],[CUIT]],Lista_CUIT[#All],2,0)),"CUIT NO CARGADO")</f>
        <v>-</v>
      </c>
      <c r="H1183" s="60">
        <f>ventas_b_mes9[[#This Row],[TOTAL]]/1.21</f>
        <v>2486.7800000000002</v>
      </c>
      <c r="I1183" s="228">
        <f>ventas_b_mes9[[#This Row],[IMPORTE NETO]]*0.21</f>
        <v>522.22379999999998</v>
      </c>
      <c r="J1183" s="229"/>
      <c r="K1183" s="229"/>
      <c r="L1183" s="229">
        <v>3009.0038000000004</v>
      </c>
      <c r="M1183" s="55"/>
    </row>
    <row r="1184" spans="2:13" x14ac:dyDescent="0.3">
      <c r="B1184" s="223" t="s">
        <v>2594</v>
      </c>
      <c r="C1184" s="224">
        <v>6</v>
      </c>
      <c r="D1184" s="225">
        <v>11</v>
      </c>
      <c r="E1184" s="226">
        <v>30588</v>
      </c>
      <c r="F1184" s="227"/>
      <c r="G1184" s="1" t="str">
        <f>IFERROR(IF(ventas_b_mes9[[#This Row],[CUIT]]="","-",VLOOKUP(ventas_b_mes9[[#This Row],[CUIT]],Lista_CUIT[#All],2,0)),"CUIT NO CARGADO")</f>
        <v>-</v>
      </c>
      <c r="H1184" s="60">
        <f>ventas_b_mes9[[#This Row],[TOTAL]]/1.21</f>
        <v>2444.63</v>
      </c>
      <c r="I1184" s="228">
        <f>ventas_b_mes9[[#This Row],[IMPORTE NETO]]*0.21</f>
        <v>513.3723</v>
      </c>
      <c r="J1184" s="229"/>
      <c r="K1184" s="229"/>
      <c r="L1184" s="229">
        <v>2958.0023000000001</v>
      </c>
      <c r="M1184" s="55"/>
    </row>
    <row r="1185" spans="2:13" x14ac:dyDescent="0.3">
      <c r="B1185" s="223" t="s">
        <v>2594</v>
      </c>
      <c r="C1185" s="224">
        <v>6</v>
      </c>
      <c r="D1185" s="225">
        <v>11</v>
      </c>
      <c r="E1185" s="226">
        <v>30589</v>
      </c>
      <c r="F1185" s="227"/>
      <c r="G1185" s="1" t="str">
        <f>IFERROR(IF(ventas_b_mes9[[#This Row],[CUIT]]="","-",VLOOKUP(ventas_b_mes9[[#This Row],[CUIT]],Lista_CUIT[#All],2,0)),"CUIT NO CARGADO")</f>
        <v>-</v>
      </c>
      <c r="H1185" s="60">
        <f>ventas_b_mes9[[#This Row],[TOTAL]]/1.21</f>
        <v>4552.0600000000004</v>
      </c>
      <c r="I1185" s="228">
        <f>ventas_b_mes9[[#This Row],[IMPORTE NETO]]*0.21</f>
        <v>955.93260000000009</v>
      </c>
      <c r="J1185" s="229"/>
      <c r="K1185" s="229"/>
      <c r="L1185" s="229">
        <v>5507.9926000000005</v>
      </c>
      <c r="M1185" s="55"/>
    </row>
    <row r="1186" spans="2:13" x14ac:dyDescent="0.3">
      <c r="B1186" s="223" t="s">
        <v>2594</v>
      </c>
      <c r="C1186" s="224">
        <v>6</v>
      </c>
      <c r="D1186" s="225">
        <v>11</v>
      </c>
      <c r="E1186" s="226">
        <v>30590</v>
      </c>
      <c r="F1186" s="227"/>
      <c r="G1186" s="1" t="str">
        <f>IFERROR(IF(ventas_b_mes9[[#This Row],[CUIT]]="","-",VLOOKUP(ventas_b_mes9[[#This Row],[CUIT]],Lista_CUIT[#All],2,0)),"CUIT NO CARGADO")</f>
        <v>-</v>
      </c>
      <c r="H1186" s="60">
        <f>ventas_b_mes9[[#This Row],[TOTAL]]/1.21</f>
        <v>6198.35</v>
      </c>
      <c r="I1186" s="228">
        <f>ventas_b_mes9[[#This Row],[IMPORTE NETO]]*0.21</f>
        <v>1301.6535000000001</v>
      </c>
      <c r="J1186" s="229"/>
      <c r="K1186" s="229"/>
      <c r="L1186" s="229">
        <v>7500.0035000000007</v>
      </c>
      <c r="M1186" s="55"/>
    </row>
    <row r="1187" spans="2:13" x14ac:dyDescent="0.3">
      <c r="B1187" s="223" t="s">
        <v>2594</v>
      </c>
      <c r="C1187" s="224">
        <v>6</v>
      </c>
      <c r="D1187" s="225">
        <v>11</v>
      </c>
      <c r="E1187" s="226">
        <v>30591</v>
      </c>
      <c r="F1187" s="227"/>
      <c r="G1187" s="1" t="str">
        <f>IFERROR(IF(ventas_b_mes9[[#This Row],[CUIT]]="","-",VLOOKUP(ventas_b_mes9[[#This Row],[CUIT]],Lista_CUIT[#All],2,0)),"CUIT NO CARGADO")</f>
        <v>-</v>
      </c>
      <c r="H1187" s="60">
        <f>ventas_b_mes9[[#This Row],[TOTAL]]/1.21</f>
        <v>7740.5</v>
      </c>
      <c r="I1187" s="228">
        <f>ventas_b_mes9[[#This Row],[IMPORTE NETO]]*0.21</f>
        <v>1625.5049999999999</v>
      </c>
      <c r="J1187" s="229"/>
      <c r="K1187" s="229"/>
      <c r="L1187" s="229">
        <v>9366.0049999999992</v>
      </c>
      <c r="M1187" s="55"/>
    </row>
    <row r="1188" spans="2:13" x14ac:dyDescent="0.3">
      <c r="B1188" s="223" t="s">
        <v>2594</v>
      </c>
      <c r="C1188" s="224">
        <v>6</v>
      </c>
      <c r="D1188" s="225">
        <v>15</v>
      </c>
      <c r="E1188" s="226">
        <v>7474</v>
      </c>
      <c r="F1188" s="227"/>
      <c r="G1188" s="1" t="str">
        <f>IFERROR(IF(ventas_b_mes9[[#This Row],[CUIT]]="","-",VLOOKUP(ventas_b_mes9[[#This Row],[CUIT]],Lista_CUIT[#All],2,0)),"CUIT NO CARGADO")</f>
        <v>-</v>
      </c>
      <c r="H1188" s="60">
        <f>ventas_b_mes9[[#This Row],[TOTAL]]/1.21</f>
        <v>12892.58</v>
      </c>
      <c r="I1188" s="228">
        <f>ventas_b_mes9[[#This Row],[IMPORTE NETO]]*0.21</f>
        <v>2707.4418000000001</v>
      </c>
      <c r="J1188" s="229"/>
      <c r="K1188" s="229"/>
      <c r="L1188" s="229">
        <v>15600.0218</v>
      </c>
      <c r="M1188" s="55"/>
    </row>
    <row r="1189" spans="2:13" x14ac:dyDescent="0.3">
      <c r="B1189" s="223" t="s">
        <v>2594</v>
      </c>
      <c r="C1189" s="224">
        <v>6</v>
      </c>
      <c r="D1189" s="225">
        <v>15</v>
      </c>
      <c r="E1189" s="226">
        <v>7475</v>
      </c>
      <c r="F1189" s="227"/>
      <c r="G1189" s="1" t="str">
        <f>IFERROR(IF(ventas_b_mes9[[#This Row],[CUIT]]="","-",VLOOKUP(ventas_b_mes9[[#This Row],[CUIT]],Lista_CUIT[#All],2,0)),"CUIT NO CARGADO")</f>
        <v>-</v>
      </c>
      <c r="H1189" s="60">
        <f>ventas_b_mes9[[#This Row],[TOTAL]]/1.21</f>
        <v>15078.829999999998</v>
      </c>
      <c r="I1189" s="228">
        <f>ventas_b_mes9[[#This Row],[IMPORTE NETO]]*0.21</f>
        <v>3166.5542999999993</v>
      </c>
      <c r="J1189" s="229"/>
      <c r="K1189" s="229"/>
      <c r="L1189" s="229">
        <v>18245.384299999998</v>
      </c>
      <c r="M1189" s="55"/>
    </row>
    <row r="1190" spans="2:13" x14ac:dyDescent="0.3">
      <c r="B1190" s="223" t="s">
        <v>2594</v>
      </c>
      <c r="C1190" s="224">
        <v>6</v>
      </c>
      <c r="D1190" s="225">
        <v>15</v>
      </c>
      <c r="E1190" s="226">
        <v>7476</v>
      </c>
      <c r="F1190" s="227"/>
      <c r="G1190" s="1" t="str">
        <f>IFERROR(IF(ventas_b_mes9[[#This Row],[CUIT]]="","-",VLOOKUP(ventas_b_mes9[[#This Row],[CUIT]],Lista_CUIT[#All],2,0)),"CUIT NO CARGADO")</f>
        <v>-</v>
      </c>
      <c r="H1190" s="60">
        <f>ventas_b_mes9[[#This Row],[TOTAL]]/1.21</f>
        <v>4545.45</v>
      </c>
      <c r="I1190" s="228">
        <f>ventas_b_mes9[[#This Row],[IMPORTE NETO]]*0.21</f>
        <v>954.54449999999997</v>
      </c>
      <c r="J1190" s="229"/>
      <c r="K1190" s="229"/>
      <c r="L1190" s="229">
        <v>5499.9944999999998</v>
      </c>
      <c r="M1190" s="55"/>
    </row>
    <row r="1191" spans="2:13" x14ac:dyDescent="0.3">
      <c r="B1191" s="223" t="s">
        <v>2594</v>
      </c>
      <c r="C1191" s="224">
        <v>6</v>
      </c>
      <c r="D1191" s="225">
        <v>15</v>
      </c>
      <c r="E1191" s="226">
        <v>7477</v>
      </c>
      <c r="F1191" s="227"/>
      <c r="G1191" s="1" t="str">
        <f>IFERROR(IF(ventas_b_mes9[[#This Row],[CUIT]]="","-",VLOOKUP(ventas_b_mes9[[#This Row],[CUIT]],Lista_CUIT[#All],2,0)),"CUIT NO CARGADO")</f>
        <v>-</v>
      </c>
      <c r="H1191" s="60">
        <f>ventas_b_mes9[[#This Row],[TOTAL]]/1.21</f>
        <v>2528.9299999999998</v>
      </c>
      <c r="I1191" s="228">
        <f>ventas_b_mes9[[#This Row],[IMPORTE NETO]]*0.21</f>
        <v>531.07529999999997</v>
      </c>
      <c r="J1191" s="229"/>
      <c r="K1191" s="229"/>
      <c r="L1191" s="229">
        <v>3060.0052999999998</v>
      </c>
      <c r="M1191" s="55"/>
    </row>
    <row r="1192" spans="2:13" x14ac:dyDescent="0.3">
      <c r="B1192" s="223" t="s">
        <v>2594</v>
      </c>
      <c r="C1192" s="224">
        <v>6</v>
      </c>
      <c r="D1192" s="225">
        <v>15</v>
      </c>
      <c r="E1192" s="226">
        <v>7478</v>
      </c>
      <c r="F1192" s="227"/>
      <c r="G1192" s="1" t="str">
        <f>IFERROR(IF(ventas_b_mes9[[#This Row],[CUIT]]="","-",VLOOKUP(ventas_b_mes9[[#This Row],[CUIT]],Lista_CUIT[#All],2,0)),"CUIT NO CARGADO")</f>
        <v>-</v>
      </c>
      <c r="H1192" s="60">
        <f>ventas_b_mes9[[#This Row],[TOTAL]]/1.21</f>
        <v>578.5100000000001</v>
      </c>
      <c r="I1192" s="228">
        <f>ventas_b_mes9[[#This Row],[IMPORTE NETO]]*0.21</f>
        <v>121.48710000000001</v>
      </c>
      <c r="J1192" s="229"/>
      <c r="K1192" s="229"/>
      <c r="L1192" s="229">
        <v>699.99710000000005</v>
      </c>
      <c r="M1192" s="55"/>
    </row>
    <row r="1193" spans="2:13" x14ac:dyDescent="0.3">
      <c r="B1193" s="223" t="s">
        <v>2594</v>
      </c>
      <c r="C1193" s="224">
        <v>6</v>
      </c>
      <c r="D1193" s="225">
        <v>15</v>
      </c>
      <c r="E1193" s="226">
        <v>7479</v>
      </c>
      <c r="F1193" s="227"/>
      <c r="G1193" s="1" t="str">
        <f>IFERROR(IF(ventas_b_mes9[[#This Row],[CUIT]]="","-",VLOOKUP(ventas_b_mes9[[#This Row],[CUIT]],Lista_CUIT[#All],2,0)),"CUIT NO CARGADO")</f>
        <v>-</v>
      </c>
      <c r="H1193" s="60">
        <f>ventas_b_mes9[[#This Row],[TOTAL]]/1.21</f>
        <v>578.5100000000001</v>
      </c>
      <c r="I1193" s="228">
        <f>ventas_b_mes9[[#This Row],[IMPORTE NETO]]*0.21</f>
        <v>121.48710000000001</v>
      </c>
      <c r="J1193" s="229"/>
      <c r="K1193" s="229"/>
      <c r="L1193" s="229">
        <v>699.99710000000005</v>
      </c>
      <c r="M1193" s="55"/>
    </row>
    <row r="1194" spans="2:13" x14ac:dyDescent="0.3">
      <c r="B1194" s="223" t="s">
        <v>2594</v>
      </c>
      <c r="C1194" s="224">
        <v>6</v>
      </c>
      <c r="D1194" s="225">
        <v>15</v>
      </c>
      <c r="E1194" s="226">
        <v>7480</v>
      </c>
      <c r="F1194" s="227"/>
      <c r="G1194" s="1" t="str">
        <f>IFERROR(IF(ventas_b_mes9[[#This Row],[CUIT]]="","-",VLOOKUP(ventas_b_mes9[[#This Row],[CUIT]],Lista_CUIT[#All],2,0)),"CUIT NO CARGADO")</f>
        <v>-</v>
      </c>
      <c r="H1194" s="60">
        <f>ventas_b_mes9[[#This Row],[TOTAL]]/1.21</f>
        <v>1818.18</v>
      </c>
      <c r="I1194" s="228">
        <f>ventas_b_mes9[[#This Row],[IMPORTE NETO]]*0.21</f>
        <v>381.81779999999998</v>
      </c>
      <c r="J1194" s="229"/>
      <c r="K1194" s="229"/>
      <c r="L1194" s="229">
        <v>2199.9978000000001</v>
      </c>
      <c r="M1194" s="55"/>
    </row>
    <row r="1195" spans="2:13" x14ac:dyDescent="0.3">
      <c r="B1195" s="223" t="s">
        <v>2594</v>
      </c>
      <c r="C1195" s="224">
        <v>6</v>
      </c>
      <c r="D1195" s="225">
        <v>15</v>
      </c>
      <c r="E1195" s="226">
        <v>7481</v>
      </c>
      <c r="F1195" s="227"/>
      <c r="G1195" s="1" t="str">
        <f>IFERROR(IF(ventas_b_mes9[[#This Row],[CUIT]]="","-",VLOOKUP(ventas_b_mes9[[#This Row],[CUIT]],Lista_CUIT[#All],2,0)),"CUIT NO CARGADO")</f>
        <v>-</v>
      </c>
      <c r="H1195" s="60">
        <f>ventas_b_mes9[[#This Row],[TOTAL]]/1.21</f>
        <v>305.79000000000002</v>
      </c>
      <c r="I1195" s="228">
        <f>ventas_b_mes9[[#This Row],[IMPORTE NETO]]*0.21</f>
        <v>64.215900000000005</v>
      </c>
      <c r="J1195" s="229"/>
      <c r="K1195" s="229"/>
      <c r="L1195" s="229">
        <v>370.0059</v>
      </c>
      <c r="M1195" s="55"/>
    </row>
    <row r="1196" spans="2:13" x14ac:dyDescent="0.3">
      <c r="B1196" s="223" t="s">
        <v>2594</v>
      </c>
      <c r="C1196" s="224">
        <v>6</v>
      </c>
      <c r="D1196" s="225">
        <v>15</v>
      </c>
      <c r="E1196" s="226">
        <v>7482</v>
      </c>
      <c r="F1196" s="227"/>
      <c r="G1196" s="1" t="str">
        <f>IFERROR(IF(ventas_b_mes9[[#This Row],[CUIT]]="","-",VLOOKUP(ventas_b_mes9[[#This Row],[CUIT]],Lista_CUIT[#All],2,0)),"CUIT NO CARGADO")</f>
        <v>-</v>
      </c>
      <c r="H1196" s="60">
        <f>ventas_b_mes9[[#This Row],[TOTAL]]/1.21</f>
        <v>1537.19</v>
      </c>
      <c r="I1196" s="228">
        <f>ventas_b_mes9[[#This Row],[IMPORTE NETO]]*0.21</f>
        <v>322.80990000000003</v>
      </c>
      <c r="J1196" s="229"/>
      <c r="K1196" s="229"/>
      <c r="L1196" s="229">
        <v>1859.9999</v>
      </c>
      <c r="M1196" s="55"/>
    </row>
    <row r="1197" spans="2:13" x14ac:dyDescent="0.3">
      <c r="B1197" s="223" t="s">
        <v>2594</v>
      </c>
      <c r="C1197" s="224">
        <v>6</v>
      </c>
      <c r="D1197" s="225">
        <v>15</v>
      </c>
      <c r="E1197" s="226">
        <v>7483</v>
      </c>
      <c r="F1197" s="227"/>
      <c r="G1197" s="1" t="str">
        <f>IFERROR(IF(ventas_b_mes9[[#This Row],[CUIT]]="","-",VLOOKUP(ventas_b_mes9[[#This Row],[CUIT]],Lista_CUIT[#All],2,0)),"CUIT NO CARGADO")</f>
        <v>-</v>
      </c>
      <c r="H1197" s="60">
        <f>ventas_b_mes9[[#This Row],[TOTAL]]/1.21</f>
        <v>6195.86</v>
      </c>
      <c r="I1197" s="228">
        <f>ventas_b_mes9[[#This Row],[IMPORTE NETO]]*0.21</f>
        <v>1301.1306</v>
      </c>
      <c r="J1197" s="229"/>
      <c r="K1197" s="229"/>
      <c r="L1197" s="229">
        <v>7496.9905999999992</v>
      </c>
      <c r="M1197" s="55"/>
    </row>
    <row r="1198" spans="2:13" x14ac:dyDescent="0.3">
      <c r="B1198" s="223" t="s">
        <v>2594</v>
      </c>
      <c r="C1198" s="224">
        <v>6</v>
      </c>
      <c r="D1198" s="225">
        <v>15</v>
      </c>
      <c r="E1198" s="226">
        <v>7484</v>
      </c>
      <c r="F1198" s="227"/>
      <c r="G1198" s="1" t="str">
        <f>IFERROR(IF(ventas_b_mes9[[#This Row],[CUIT]]="","-",VLOOKUP(ventas_b_mes9[[#This Row],[CUIT]],Lista_CUIT[#All],2,0)),"CUIT NO CARGADO")</f>
        <v>-</v>
      </c>
      <c r="H1198" s="60">
        <f>ventas_b_mes9[[#This Row],[TOTAL]]/1.21</f>
        <v>4958.68</v>
      </c>
      <c r="I1198" s="228">
        <f>ventas_b_mes9[[#This Row],[IMPORTE NETO]]*0.21</f>
        <v>1041.3227999999999</v>
      </c>
      <c r="J1198" s="229"/>
      <c r="K1198" s="229"/>
      <c r="L1198" s="229">
        <v>6000.0028000000002</v>
      </c>
      <c r="M1198" s="55"/>
    </row>
    <row r="1199" spans="2:13" x14ac:dyDescent="0.3">
      <c r="B1199" s="223" t="s">
        <v>2594</v>
      </c>
      <c r="C1199" s="224">
        <v>6</v>
      </c>
      <c r="D1199" s="225">
        <v>15</v>
      </c>
      <c r="E1199" s="226">
        <v>7485</v>
      </c>
      <c r="F1199" s="227"/>
      <c r="G1199" s="1" t="str">
        <f>IFERROR(IF(ventas_b_mes9[[#This Row],[CUIT]]="","-",VLOOKUP(ventas_b_mes9[[#This Row],[CUIT]],Lista_CUIT[#All],2,0)),"CUIT NO CARGADO")</f>
        <v>-</v>
      </c>
      <c r="H1199" s="60">
        <f>ventas_b_mes9[[#This Row],[TOTAL]]/1.21</f>
        <v>227.27000000000004</v>
      </c>
      <c r="I1199" s="228">
        <f>ventas_b_mes9[[#This Row],[IMPORTE NETO]]*0.21</f>
        <v>47.726700000000008</v>
      </c>
      <c r="J1199" s="229"/>
      <c r="K1199" s="229"/>
      <c r="L1199" s="229">
        <v>274.99670000000003</v>
      </c>
      <c r="M1199" s="55"/>
    </row>
    <row r="1200" spans="2:13" x14ac:dyDescent="0.3">
      <c r="B1200" s="223" t="s">
        <v>2594</v>
      </c>
      <c r="C1200" s="224">
        <v>6</v>
      </c>
      <c r="D1200" s="225">
        <v>15</v>
      </c>
      <c r="E1200" s="226">
        <v>7486</v>
      </c>
      <c r="F1200" s="227"/>
      <c r="G1200" s="1" t="str">
        <f>IFERROR(IF(ventas_b_mes9[[#This Row],[CUIT]]="","-",VLOOKUP(ventas_b_mes9[[#This Row],[CUIT]],Lista_CUIT[#All],2,0)),"CUIT NO CARGADO")</f>
        <v>-</v>
      </c>
      <c r="H1200" s="60">
        <f>ventas_b_mes9[[#This Row],[TOTAL]]/1.21</f>
        <v>10330.6</v>
      </c>
      <c r="I1200" s="228">
        <f>ventas_b_mes9[[#This Row],[IMPORTE NETO]]*0.21</f>
        <v>2169.4259999999999</v>
      </c>
      <c r="J1200" s="229"/>
      <c r="K1200" s="229"/>
      <c r="L1200" s="229">
        <v>12500.026</v>
      </c>
      <c r="M1200" s="55"/>
    </row>
    <row r="1201" spans="2:13" x14ac:dyDescent="0.3">
      <c r="B1201" s="223">
        <v>44914</v>
      </c>
      <c r="C1201" s="224">
        <v>6</v>
      </c>
      <c r="D1201" s="225">
        <v>10</v>
      </c>
      <c r="E1201" s="226">
        <v>44462</v>
      </c>
      <c r="F1201" s="227"/>
      <c r="G1201" s="1" t="str">
        <f>IFERROR(IF(ventas_b_mes9[[#This Row],[CUIT]]="","-",VLOOKUP(ventas_b_mes9[[#This Row],[CUIT]],Lista_CUIT[#All],2,0)),"CUIT NO CARGADO")</f>
        <v>-</v>
      </c>
      <c r="H1201" s="60">
        <f>ventas_b_mes9[[#This Row],[TOTAL]]/1.21</f>
        <v>17000</v>
      </c>
      <c r="I1201" s="228">
        <f>ventas_b_mes9[[#This Row],[IMPORTE NETO]]*0.21</f>
        <v>3570</v>
      </c>
      <c r="J1201" s="229"/>
      <c r="K1201" s="229"/>
      <c r="L1201" s="229">
        <v>20570</v>
      </c>
      <c r="M1201" s="55"/>
    </row>
    <row r="1202" spans="2:13" x14ac:dyDescent="0.3">
      <c r="B1202" s="223">
        <v>44914</v>
      </c>
      <c r="C1202" s="224">
        <v>6</v>
      </c>
      <c r="D1202" s="225">
        <v>10</v>
      </c>
      <c r="E1202" s="226">
        <v>44463</v>
      </c>
      <c r="F1202" s="227"/>
      <c r="G1202" s="1" t="str">
        <f>IFERROR(IF(ventas_b_mes9[[#This Row],[CUIT]]="","-",VLOOKUP(ventas_b_mes9[[#This Row],[CUIT]],Lista_CUIT[#All],2,0)),"CUIT NO CARGADO")</f>
        <v>-</v>
      </c>
      <c r="H1202" s="60">
        <f>ventas_b_mes9[[#This Row],[TOTAL]]/1.21</f>
        <v>5502.15</v>
      </c>
      <c r="I1202" s="228">
        <f>ventas_b_mes9[[#This Row],[IMPORTE NETO]]*0.21</f>
        <v>1155.4514999999999</v>
      </c>
      <c r="J1202" s="229"/>
      <c r="K1202" s="229"/>
      <c r="L1202" s="229">
        <v>6657.6014999999998</v>
      </c>
      <c r="M1202" s="55"/>
    </row>
    <row r="1203" spans="2:13" x14ac:dyDescent="0.3">
      <c r="B1203" s="223">
        <v>44914</v>
      </c>
      <c r="C1203" s="224">
        <v>6</v>
      </c>
      <c r="D1203" s="225">
        <v>10</v>
      </c>
      <c r="E1203" s="226">
        <v>44464</v>
      </c>
      <c r="F1203" s="227"/>
      <c r="G1203" s="1" t="str">
        <f>IFERROR(IF(ventas_b_mes9[[#This Row],[CUIT]]="","-",VLOOKUP(ventas_b_mes9[[#This Row],[CUIT]],Lista_CUIT[#All],2,0)),"CUIT NO CARGADO")</f>
        <v>-</v>
      </c>
      <c r="H1203" s="60">
        <f>ventas_b_mes9[[#This Row],[TOTAL]]/1.21</f>
        <v>4542.1499999999996</v>
      </c>
      <c r="I1203" s="228">
        <f>ventas_b_mes9[[#This Row],[IMPORTE NETO]]*0.21</f>
        <v>953.85149999999987</v>
      </c>
      <c r="J1203" s="229"/>
      <c r="K1203" s="229"/>
      <c r="L1203" s="229">
        <v>5496.0014999999994</v>
      </c>
      <c r="M1203" s="55"/>
    </row>
    <row r="1204" spans="2:13" x14ac:dyDescent="0.3">
      <c r="B1204" s="223">
        <v>44914</v>
      </c>
      <c r="C1204" s="224">
        <v>6</v>
      </c>
      <c r="D1204" s="225">
        <v>10</v>
      </c>
      <c r="E1204" s="226">
        <v>44465</v>
      </c>
      <c r="F1204" s="227"/>
      <c r="G1204" s="1" t="str">
        <f>IFERROR(IF(ventas_b_mes9[[#This Row],[CUIT]]="","-",VLOOKUP(ventas_b_mes9[[#This Row],[CUIT]],Lista_CUIT[#All],2,0)),"CUIT NO CARGADO")</f>
        <v>-</v>
      </c>
      <c r="H1204" s="60">
        <f>ventas_b_mes9[[#This Row],[TOTAL]]/1.21</f>
        <v>13228.1</v>
      </c>
      <c r="I1204" s="228">
        <f>ventas_b_mes9[[#This Row],[IMPORTE NETO]]*0.21</f>
        <v>2777.9009999999998</v>
      </c>
      <c r="J1204" s="229"/>
      <c r="K1204" s="229"/>
      <c r="L1204" s="229">
        <v>16006.001</v>
      </c>
      <c r="M1204" s="55"/>
    </row>
    <row r="1205" spans="2:13" x14ac:dyDescent="0.3">
      <c r="B1205" s="223">
        <v>44914</v>
      </c>
      <c r="C1205" s="224">
        <v>6</v>
      </c>
      <c r="D1205" s="225">
        <v>10</v>
      </c>
      <c r="E1205" s="226">
        <v>44466</v>
      </c>
      <c r="F1205" s="227"/>
      <c r="G1205" s="1" t="str">
        <f>IFERROR(IF(ventas_b_mes9[[#This Row],[CUIT]]="","-",VLOOKUP(ventas_b_mes9[[#This Row],[CUIT]],Lista_CUIT[#All],2,0)),"CUIT NO CARGADO")</f>
        <v>-</v>
      </c>
      <c r="H1205" s="60">
        <f>ventas_b_mes9[[#This Row],[TOTAL]]/1.21</f>
        <v>10239.67</v>
      </c>
      <c r="I1205" s="228">
        <f>ventas_b_mes9[[#This Row],[IMPORTE NETO]]*0.21</f>
        <v>2150.3307</v>
      </c>
      <c r="J1205" s="229"/>
      <c r="K1205" s="229"/>
      <c r="L1205" s="229">
        <v>12390.000700000001</v>
      </c>
      <c r="M1205" s="55"/>
    </row>
    <row r="1206" spans="2:13" x14ac:dyDescent="0.3">
      <c r="B1206" s="223">
        <v>44914</v>
      </c>
      <c r="C1206" s="224">
        <v>6</v>
      </c>
      <c r="D1206" s="225">
        <v>10</v>
      </c>
      <c r="E1206" s="226">
        <v>44467</v>
      </c>
      <c r="F1206" s="227"/>
      <c r="G1206" s="1" t="str">
        <f>IFERROR(IF(ventas_b_mes9[[#This Row],[CUIT]]="","-",VLOOKUP(ventas_b_mes9[[#This Row],[CUIT]],Lista_CUIT[#All],2,0)),"CUIT NO CARGADO")</f>
        <v>-</v>
      </c>
      <c r="H1206" s="60">
        <f>ventas_b_mes9[[#This Row],[TOTAL]]/1.21</f>
        <v>71359.88</v>
      </c>
      <c r="I1206" s="228">
        <f>ventas_b_mes9[[#This Row],[IMPORTE NETO]]*0.21</f>
        <v>14985.5748</v>
      </c>
      <c r="J1206" s="229"/>
      <c r="K1206" s="229"/>
      <c r="L1206" s="229">
        <v>86345.454800000007</v>
      </c>
      <c r="M1206" s="55"/>
    </row>
    <row r="1207" spans="2:13" x14ac:dyDescent="0.3">
      <c r="B1207" s="223">
        <v>44914</v>
      </c>
      <c r="C1207" s="224">
        <v>6</v>
      </c>
      <c r="D1207" s="225">
        <v>10</v>
      </c>
      <c r="E1207" s="226">
        <v>44468</v>
      </c>
      <c r="F1207" s="227"/>
      <c r="G1207" s="1" t="str">
        <f>IFERROR(IF(ventas_b_mes9[[#This Row],[CUIT]]="","-",VLOOKUP(ventas_b_mes9[[#This Row],[CUIT]],Lista_CUIT[#All],2,0)),"CUIT NO CARGADO")</f>
        <v>-</v>
      </c>
      <c r="H1207" s="60">
        <f>ventas_b_mes9[[#This Row],[TOTAL]]/1.21</f>
        <v>55314.05000000001</v>
      </c>
      <c r="I1207" s="228">
        <f>ventas_b_mes9[[#This Row],[IMPORTE NETO]]*0.21</f>
        <v>11615.950500000001</v>
      </c>
      <c r="J1207" s="229"/>
      <c r="K1207" s="229"/>
      <c r="L1207" s="229">
        <v>66930.000500000009</v>
      </c>
      <c r="M1207" s="55"/>
    </row>
    <row r="1208" spans="2:13" x14ac:dyDescent="0.3">
      <c r="B1208" s="223">
        <v>44914</v>
      </c>
      <c r="C1208" s="224">
        <v>6</v>
      </c>
      <c r="D1208" s="225">
        <v>10</v>
      </c>
      <c r="E1208" s="226">
        <v>44469</v>
      </c>
      <c r="F1208" s="227"/>
      <c r="G1208" s="1" t="str">
        <f>IFERROR(IF(ventas_b_mes9[[#This Row],[CUIT]]="","-",VLOOKUP(ventas_b_mes9[[#This Row],[CUIT]],Lista_CUIT[#All],2,0)),"CUIT NO CARGADO")</f>
        <v>-</v>
      </c>
      <c r="H1208" s="60">
        <f>ventas_b_mes9[[#This Row],[TOTAL]]/1.21</f>
        <v>17144.009999999998</v>
      </c>
      <c r="I1208" s="228">
        <f>ventas_b_mes9[[#This Row],[IMPORTE NETO]]*0.21</f>
        <v>3600.2420999999995</v>
      </c>
      <c r="J1208" s="229"/>
      <c r="K1208" s="229"/>
      <c r="L1208" s="229">
        <v>20744.252099999998</v>
      </c>
      <c r="M1208" s="55"/>
    </row>
    <row r="1209" spans="2:13" x14ac:dyDescent="0.3">
      <c r="B1209" s="223">
        <v>44914</v>
      </c>
      <c r="C1209" s="224">
        <v>6</v>
      </c>
      <c r="D1209" s="225">
        <v>10</v>
      </c>
      <c r="E1209" s="226">
        <v>44470</v>
      </c>
      <c r="F1209" s="227"/>
      <c r="G1209" s="1" t="str">
        <f>IFERROR(IF(ventas_b_mes9[[#This Row],[CUIT]]="","-",VLOOKUP(ventas_b_mes9[[#This Row],[CUIT]],Lista_CUIT[#All],2,0)),"CUIT NO CARGADO")</f>
        <v>-</v>
      </c>
      <c r="H1209" s="60">
        <f>ventas_b_mes9[[#This Row],[TOTAL]]/1.21</f>
        <v>58244.67</v>
      </c>
      <c r="I1209" s="228">
        <f>ventas_b_mes9[[#This Row],[IMPORTE NETO]]*0.21</f>
        <v>12231.3807</v>
      </c>
      <c r="J1209" s="229"/>
      <c r="K1209" s="229"/>
      <c r="L1209" s="229">
        <v>70476.050699999993</v>
      </c>
      <c r="M1209" s="55"/>
    </row>
    <row r="1210" spans="2:13" x14ac:dyDescent="0.3">
      <c r="B1210" s="223">
        <v>44914</v>
      </c>
      <c r="C1210" s="224">
        <v>6</v>
      </c>
      <c r="D1210" s="225">
        <v>10</v>
      </c>
      <c r="E1210" s="226">
        <v>44471</v>
      </c>
      <c r="F1210" s="227"/>
      <c r="G1210" s="1" t="str">
        <f>IFERROR(IF(ventas_b_mes9[[#This Row],[CUIT]]="","-",VLOOKUP(ventas_b_mes9[[#This Row],[CUIT]],Lista_CUIT[#All],2,0)),"CUIT NO CARGADO")</f>
        <v>-</v>
      </c>
      <c r="H1210" s="60">
        <f>ventas_b_mes9[[#This Row],[TOTAL]]/1.21</f>
        <v>14116.53</v>
      </c>
      <c r="I1210" s="228">
        <f>ventas_b_mes9[[#This Row],[IMPORTE NETO]]*0.21</f>
        <v>2964.4713000000002</v>
      </c>
      <c r="J1210" s="229"/>
      <c r="K1210" s="229"/>
      <c r="L1210" s="229">
        <v>17081.0013</v>
      </c>
      <c r="M1210" s="55"/>
    </row>
    <row r="1211" spans="2:13" x14ac:dyDescent="0.3">
      <c r="B1211" s="223" t="s">
        <v>2594</v>
      </c>
      <c r="C1211" s="224">
        <v>6</v>
      </c>
      <c r="D1211" s="225">
        <v>10</v>
      </c>
      <c r="E1211" s="226">
        <v>44472</v>
      </c>
      <c r="F1211" s="227"/>
      <c r="G1211" s="1" t="str">
        <f>IFERROR(IF(ventas_b_mes9[[#This Row],[CUIT]]="","-",VLOOKUP(ventas_b_mes9[[#This Row],[CUIT]],Lista_CUIT[#All],2,0)),"CUIT NO CARGADO")</f>
        <v>-</v>
      </c>
      <c r="H1211" s="60">
        <f>ventas_b_mes9[[#This Row],[TOTAL]]/1.21</f>
        <v>8367.85</v>
      </c>
      <c r="I1211" s="228">
        <f>ventas_b_mes9[[#This Row],[IMPORTE NETO]]*0.21</f>
        <v>1757.2484999999999</v>
      </c>
      <c r="J1211" s="229"/>
      <c r="K1211" s="229"/>
      <c r="L1211" s="229">
        <v>10125.0985</v>
      </c>
      <c r="M1211" s="55"/>
    </row>
    <row r="1212" spans="2:13" x14ac:dyDescent="0.3">
      <c r="B1212" s="223" t="s">
        <v>2594</v>
      </c>
      <c r="C1212" s="224">
        <v>6</v>
      </c>
      <c r="D1212" s="225">
        <v>10</v>
      </c>
      <c r="E1212" s="226">
        <v>44473</v>
      </c>
      <c r="F1212" s="227"/>
      <c r="G1212" s="1" t="str">
        <f>IFERROR(IF(ventas_b_mes9[[#This Row],[CUIT]]="","-",VLOOKUP(ventas_b_mes9[[#This Row],[CUIT]],Lista_CUIT[#All],2,0)),"CUIT NO CARGADO")</f>
        <v>-</v>
      </c>
      <c r="H1212" s="60">
        <f>ventas_b_mes9[[#This Row],[TOTAL]]/1.21</f>
        <v>7083.3900000000012</v>
      </c>
      <c r="I1212" s="228">
        <f>ventas_b_mes9[[#This Row],[IMPORTE NETO]]*0.21</f>
        <v>1487.5119000000002</v>
      </c>
      <c r="J1212" s="229"/>
      <c r="K1212" s="229"/>
      <c r="L1212" s="229">
        <v>8570.9019000000008</v>
      </c>
      <c r="M1212" s="55"/>
    </row>
    <row r="1213" spans="2:13" x14ac:dyDescent="0.3">
      <c r="B1213" s="223" t="s">
        <v>2594</v>
      </c>
      <c r="C1213" s="224">
        <v>6</v>
      </c>
      <c r="D1213" s="225">
        <v>10</v>
      </c>
      <c r="E1213" s="226">
        <v>44474</v>
      </c>
      <c r="F1213" s="227"/>
      <c r="G1213" s="1" t="str">
        <f>IFERROR(IF(ventas_b_mes9[[#This Row],[CUIT]]="","-",VLOOKUP(ventas_b_mes9[[#This Row],[CUIT]],Lista_CUIT[#All],2,0)),"CUIT NO CARGADO")</f>
        <v>-</v>
      </c>
      <c r="H1213" s="60">
        <f>ventas_b_mes9[[#This Row],[TOTAL]]/1.21</f>
        <v>4115.7</v>
      </c>
      <c r="I1213" s="228">
        <f>ventas_b_mes9[[#This Row],[IMPORTE NETO]]*0.21</f>
        <v>864.29699999999991</v>
      </c>
      <c r="J1213" s="229"/>
      <c r="K1213" s="229"/>
      <c r="L1213" s="229">
        <v>4979.9969999999994</v>
      </c>
      <c r="M1213" s="55"/>
    </row>
    <row r="1214" spans="2:13" x14ac:dyDescent="0.3">
      <c r="B1214" s="223" t="s">
        <v>2594</v>
      </c>
      <c r="C1214" s="224">
        <v>6</v>
      </c>
      <c r="D1214" s="225">
        <v>10</v>
      </c>
      <c r="E1214" s="226">
        <v>44475</v>
      </c>
      <c r="F1214" s="227"/>
      <c r="G1214" s="1" t="str">
        <f>IFERROR(IF(ventas_b_mes9[[#This Row],[CUIT]]="","-",VLOOKUP(ventas_b_mes9[[#This Row],[CUIT]],Lista_CUIT[#All],2,0)),"CUIT NO CARGADO")</f>
        <v>-</v>
      </c>
      <c r="H1214" s="60">
        <f>ventas_b_mes9[[#This Row],[TOTAL]]/1.21</f>
        <v>5479.34</v>
      </c>
      <c r="I1214" s="228">
        <f>ventas_b_mes9[[#This Row],[IMPORTE NETO]]*0.21</f>
        <v>1150.6614</v>
      </c>
      <c r="J1214" s="229"/>
      <c r="K1214" s="229"/>
      <c r="L1214" s="229">
        <v>6630.0014000000001</v>
      </c>
      <c r="M1214" s="55"/>
    </row>
    <row r="1215" spans="2:13" x14ac:dyDescent="0.3">
      <c r="B1215" s="223" t="s">
        <v>2594</v>
      </c>
      <c r="C1215" s="224">
        <v>6</v>
      </c>
      <c r="D1215" s="225">
        <v>10</v>
      </c>
      <c r="E1215" s="226">
        <v>44476</v>
      </c>
      <c r="F1215" s="227"/>
      <c r="G1215" s="1" t="str">
        <f>IFERROR(IF(ventas_b_mes9[[#This Row],[CUIT]]="","-",VLOOKUP(ventas_b_mes9[[#This Row],[CUIT]],Lista_CUIT[#All],2,0)),"CUIT NO CARGADO")</f>
        <v>-</v>
      </c>
      <c r="H1215" s="60">
        <f>ventas_b_mes9[[#This Row],[TOTAL]]/1.21</f>
        <v>2047.93</v>
      </c>
      <c r="I1215" s="228">
        <f>ventas_b_mes9[[#This Row],[IMPORTE NETO]]*0.21</f>
        <v>430.06529999999998</v>
      </c>
      <c r="J1215" s="229"/>
      <c r="K1215" s="229"/>
      <c r="L1215" s="229">
        <v>2477.9953</v>
      </c>
      <c r="M1215" s="55"/>
    </row>
    <row r="1216" spans="2:13" x14ac:dyDescent="0.3">
      <c r="B1216" s="223" t="s">
        <v>2594</v>
      </c>
      <c r="C1216" s="224">
        <v>6</v>
      </c>
      <c r="D1216" s="225">
        <v>10</v>
      </c>
      <c r="E1216" s="226">
        <v>44477</v>
      </c>
      <c r="F1216" s="227"/>
      <c r="G1216" s="1" t="str">
        <f>IFERROR(IF(ventas_b_mes9[[#This Row],[CUIT]]="","-",VLOOKUP(ventas_b_mes9[[#This Row],[CUIT]],Lista_CUIT[#All],2,0)),"CUIT NO CARGADO")</f>
        <v>-</v>
      </c>
      <c r="H1216" s="60">
        <f>ventas_b_mes9[[#This Row],[TOTAL]]/1.21</f>
        <v>6638.02</v>
      </c>
      <c r="I1216" s="228">
        <f>ventas_b_mes9[[#This Row],[IMPORTE NETO]]*0.21</f>
        <v>1393.9842000000001</v>
      </c>
      <c r="J1216" s="229"/>
      <c r="K1216" s="229"/>
      <c r="L1216" s="229">
        <v>8032.0042000000003</v>
      </c>
      <c r="M1216" s="55"/>
    </row>
    <row r="1217" spans="2:13" x14ac:dyDescent="0.3">
      <c r="B1217" s="223" t="s">
        <v>2594</v>
      </c>
      <c r="C1217" s="224">
        <v>6</v>
      </c>
      <c r="D1217" s="225">
        <v>10</v>
      </c>
      <c r="E1217" s="226">
        <v>44478</v>
      </c>
      <c r="F1217" s="227"/>
      <c r="G1217" s="1" t="str">
        <f>IFERROR(IF(ventas_b_mes9[[#This Row],[CUIT]]="","-",VLOOKUP(ventas_b_mes9[[#This Row],[CUIT]],Lista_CUIT[#All],2,0)),"CUIT NO CARGADO")</f>
        <v>-</v>
      </c>
      <c r="H1217" s="60">
        <f>ventas_b_mes9[[#This Row],[TOTAL]]/1.21</f>
        <v>4545.45</v>
      </c>
      <c r="I1217" s="228">
        <f>ventas_b_mes9[[#This Row],[IMPORTE NETO]]*0.21</f>
        <v>954.54449999999997</v>
      </c>
      <c r="J1217" s="229"/>
      <c r="K1217" s="229"/>
      <c r="L1217" s="229">
        <v>5499.9944999999998</v>
      </c>
      <c r="M1217" s="55"/>
    </row>
    <row r="1218" spans="2:13" x14ac:dyDescent="0.3">
      <c r="B1218" s="223" t="s">
        <v>2594</v>
      </c>
      <c r="C1218" s="224">
        <v>6</v>
      </c>
      <c r="D1218" s="225">
        <v>10</v>
      </c>
      <c r="E1218" s="226">
        <v>44479</v>
      </c>
      <c r="F1218" s="227"/>
      <c r="G1218" s="1" t="str">
        <f>IFERROR(IF(ventas_b_mes9[[#This Row],[CUIT]]="","-",VLOOKUP(ventas_b_mes9[[#This Row],[CUIT]],Lista_CUIT[#All],2,0)),"CUIT NO CARGADO")</f>
        <v>-</v>
      </c>
      <c r="H1218" s="60">
        <f>ventas_b_mes9[[#This Row],[TOTAL]]/1.21</f>
        <v>2148.7600000000002</v>
      </c>
      <c r="I1218" s="228">
        <f>ventas_b_mes9[[#This Row],[IMPORTE NETO]]*0.21</f>
        <v>451.23960000000005</v>
      </c>
      <c r="J1218" s="229"/>
      <c r="K1218" s="229"/>
      <c r="L1218" s="229">
        <v>2599.9996000000001</v>
      </c>
      <c r="M1218" s="55"/>
    </row>
    <row r="1219" spans="2:13" x14ac:dyDescent="0.3">
      <c r="B1219" s="223" t="s">
        <v>2594</v>
      </c>
      <c r="C1219" s="224">
        <v>6</v>
      </c>
      <c r="D1219" s="225">
        <v>10</v>
      </c>
      <c r="E1219" s="226">
        <v>44480</v>
      </c>
      <c r="F1219" s="227"/>
      <c r="G1219" s="1" t="str">
        <f>IFERROR(IF(ventas_b_mes9[[#This Row],[CUIT]]="","-",VLOOKUP(ventas_b_mes9[[#This Row],[CUIT]],Lista_CUIT[#All],2,0)),"CUIT NO CARGADO")</f>
        <v>-</v>
      </c>
      <c r="H1219" s="60">
        <f>ventas_b_mes9[[#This Row],[TOTAL]]/1.21</f>
        <v>3614.8800000000006</v>
      </c>
      <c r="I1219" s="228">
        <f>ventas_b_mes9[[#This Row],[IMPORTE NETO]]*0.21</f>
        <v>759.12480000000005</v>
      </c>
      <c r="J1219" s="229"/>
      <c r="K1219" s="229"/>
      <c r="L1219" s="229">
        <v>4374.0048000000006</v>
      </c>
      <c r="M1219" s="55"/>
    </row>
    <row r="1220" spans="2:13" x14ac:dyDescent="0.3">
      <c r="B1220" s="223" t="s">
        <v>2594</v>
      </c>
      <c r="C1220" s="224">
        <v>6</v>
      </c>
      <c r="D1220" s="225">
        <v>12</v>
      </c>
      <c r="E1220" s="226">
        <v>23054</v>
      </c>
      <c r="F1220" s="227"/>
      <c r="G1220" s="1" t="str">
        <f>IFERROR(IF(ventas_b_mes9[[#This Row],[CUIT]]="","-",VLOOKUP(ventas_b_mes9[[#This Row],[CUIT]],Lista_CUIT[#All],2,0)),"CUIT NO CARGADO")</f>
        <v>-</v>
      </c>
      <c r="H1220" s="60">
        <f>ventas_b_mes9[[#This Row],[TOTAL]]/1.21</f>
        <v>3106.81</v>
      </c>
      <c r="I1220" s="228">
        <f>ventas_b_mes9[[#This Row],[IMPORTE NETO]]*0.21</f>
        <v>652.43009999999992</v>
      </c>
      <c r="J1220" s="229"/>
      <c r="K1220" s="229"/>
      <c r="L1220" s="229">
        <v>3759.2401</v>
      </c>
      <c r="M1220" s="55"/>
    </row>
    <row r="1221" spans="2:13" x14ac:dyDescent="0.3">
      <c r="B1221" s="223" t="s">
        <v>2594</v>
      </c>
      <c r="C1221" s="224">
        <v>6</v>
      </c>
      <c r="D1221" s="225">
        <v>12</v>
      </c>
      <c r="E1221" s="226">
        <v>23055</v>
      </c>
      <c r="F1221" s="227"/>
      <c r="G1221" s="1" t="str">
        <f>IFERROR(IF(ventas_b_mes9[[#This Row],[CUIT]]="","-",VLOOKUP(ventas_b_mes9[[#This Row],[CUIT]],Lista_CUIT[#All],2,0)),"CUIT NO CARGADO")</f>
        <v>-</v>
      </c>
      <c r="H1221" s="60">
        <f>ventas_b_mes9[[#This Row],[TOTAL]]/1.21</f>
        <v>14157.000000000002</v>
      </c>
      <c r="I1221" s="228">
        <f>ventas_b_mes9[[#This Row],[IMPORTE NETO]]*0.21</f>
        <v>2972.9700000000003</v>
      </c>
      <c r="J1221" s="229"/>
      <c r="K1221" s="229"/>
      <c r="L1221" s="229">
        <v>17129.97</v>
      </c>
      <c r="M1221" s="55"/>
    </row>
    <row r="1222" spans="2:13" x14ac:dyDescent="0.3">
      <c r="B1222" s="223" t="s">
        <v>2594</v>
      </c>
      <c r="C1222" s="224">
        <v>6</v>
      </c>
      <c r="D1222" s="225">
        <v>12</v>
      </c>
      <c r="E1222" s="226">
        <v>23056</v>
      </c>
      <c r="F1222" s="227"/>
      <c r="G1222" s="1" t="str">
        <f>IFERROR(IF(ventas_b_mes9[[#This Row],[CUIT]]="","-",VLOOKUP(ventas_b_mes9[[#This Row],[CUIT]],Lista_CUIT[#All],2,0)),"CUIT NO CARGADO")</f>
        <v>-</v>
      </c>
      <c r="H1222" s="60">
        <f>ventas_b_mes9[[#This Row],[TOTAL]]/1.21</f>
        <v>991.74</v>
      </c>
      <c r="I1222" s="228">
        <f>ventas_b_mes9[[#This Row],[IMPORTE NETO]]*0.21</f>
        <v>208.2654</v>
      </c>
      <c r="J1222" s="229"/>
      <c r="K1222" s="229"/>
      <c r="L1222" s="229">
        <v>1200.0054</v>
      </c>
      <c r="M1222" s="55"/>
    </row>
    <row r="1223" spans="2:13" x14ac:dyDescent="0.3">
      <c r="B1223" s="223" t="s">
        <v>2594</v>
      </c>
      <c r="C1223" s="224">
        <v>6</v>
      </c>
      <c r="D1223" s="225">
        <v>12</v>
      </c>
      <c r="E1223" s="226">
        <v>23057</v>
      </c>
      <c r="F1223" s="227"/>
      <c r="G1223" s="1" t="str">
        <f>IFERROR(IF(ventas_b_mes9[[#This Row],[CUIT]]="","-",VLOOKUP(ventas_b_mes9[[#This Row],[CUIT]],Lista_CUIT[#All],2,0)),"CUIT NO CARGADO")</f>
        <v>-</v>
      </c>
      <c r="H1223" s="60">
        <f>ventas_b_mes9[[#This Row],[TOTAL]]/1.21</f>
        <v>15864.499999999998</v>
      </c>
      <c r="I1223" s="228">
        <f>ventas_b_mes9[[#This Row],[IMPORTE NETO]]*0.21</f>
        <v>3331.5449999999996</v>
      </c>
      <c r="J1223" s="229"/>
      <c r="K1223" s="229"/>
      <c r="L1223" s="229">
        <v>19196.044999999998</v>
      </c>
      <c r="M1223" s="55"/>
    </row>
    <row r="1224" spans="2:13" x14ac:dyDescent="0.3">
      <c r="B1224" s="223" t="s">
        <v>2594</v>
      </c>
      <c r="C1224" s="224">
        <v>6</v>
      </c>
      <c r="D1224" s="225">
        <v>12</v>
      </c>
      <c r="E1224" s="226">
        <v>23058</v>
      </c>
      <c r="F1224" s="227"/>
      <c r="G1224" s="1" t="str">
        <f>IFERROR(IF(ventas_b_mes9[[#This Row],[CUIT]]="","-",VLOOKUP(ventas_b_mes9[[#This Row],[CUIT]],Lista_CUIT[#All],2,0)),"CUIT NO CARGADO")</f>
        <v>-</v>
      </c>
      <c r="H1224" s="60">
        <f>ventas_b_mes9[[#This Row],[TOTAL]]/1.21</f>
        <v>2677.69</v>
      </c>
      <c r="I1224" s="228">
        <f>ventas_b_mes9[[#This Row],[IMPORTE NETO]]*0.21</f>
        <v>562.31489999999997</v>
      </c>
      <c r="J1224" s="229"/>
      <c r="K1224" s="229"/>
      <c r="L1224" s="229">
        <v>3240.0048999999999</v>
      </c>
      <c r="M1224" s="55"/>
    </row>
    <row r="1225" spans="2:13" x14ac:dyDescent="0.3">
      <c r="B1225" s="223" t="s">
        <v>2594</v>
      </c>
      <c r="C1225" s="224">
        <v>6</v>
      </c>
      <c r="D1225" s="225">
        <v>12</v>
      </c>
      <c r="E1225" s="226">
        <v>23059</v>
      </c>
      <c r="F1225" s="227"/>
      <c r="G1225" s="1" t="str">
        <f>IFERROR(IF(ventas_b_mes9[[#This Row],[CUIT]]="","-",VLOOKUP(ventas_b_mes9[[#This Row],[CUIT]],Lista_CUIT[#All],2,0)),"CUIT NO CARGADO")</f>
        <v>-</v>
      </c>
      <c r="H1225" s="60">
        <f>ventas_b_mes9[[#This Row],[TOTAL]]/1.21</f>
        <v>8166.12</v>
      </c>
      <c r="I1225" s="228">
        <f>ventas_b_mes9[[#This Row],[IMPORTE NETO]]*0.21</f>
        <v>1714.8851999999999</v>
      </c>
      <c r="J1225" s="229"/>
      <c r="K1225" s="229"/>
      <c r="L1225" s="229">
        <v>9881.0051999999996</v>
      </c>
      <c r="M1225" s="55"/>
    </row>
    <row r="1226" spans="2:13" x14ac:dyDescent="0.3">
      <c r="B1226" s="223" t="s">
        <v>2594</v>
      </c>
      <c r="C1226" s="224">
        <v>6</v>
      </c>
      <c r="D1226" s="225">
        <v>12</v>
      </c>
      <c r="E1226" s="226">
        <v>23060</v>
      </c>
      <c r="F1226" s="227"/>
      <c r="G1226" s="1" t="str">
        <f>IFERROR(IF(ventas_b_mes9[[#This Row],[CUIT]]="","-",VLOOKUP(ventas_b_mes9[[#This Row],[CUIT]],Lista_CUIT[#All],2,0)),"CUIT NO CARGADO")</f>
        <v>-</v>
      </c>
      <c r="H1226" s="60">
        <f>ventas_b_mes9[[#This Row],[TOTAL]]/1.21</f>
        <v>3024.79</v>
      </c>
      <c r="I1226" s="228">
        <f>ventas_b_mes9[[#This Row],[IMPORTE NETO]]*0.21</f>
        <v>635.20589999999993</v>
      </c>
      <c r="J1226" s="229"/>
      <c r="K1226" s="229"/>
      <c r="L1226" s="229">
        <v>3659.9958999999999</v>
      </c>
      <c r="M1226" s="55"/>
    </row>
    <row r="1227" spans="2:13" x14ac:dyDescent="0.3">
      <c r="B1227" s="223" t="s">
        <v>2594</v>
      </c>
      <c r="C1227" s="224">
        <v>6</v>
      </c>
      <c r="D1227" s="225">
        <v>12</v>
      </c>
      <c r="E1227" s="226">
        <v>23061</v>
      </c>
      <c r="F1227" s="227"/>
      <c r="G1227" s="1" t="str">
        <f>IFERROR(IF(ventas_b_mes9[[#This Row],[CUIT]]="","-",VLOOKUP(ventas_b_mes9[[#This Row],[CUIT]],Lista_CUIT[#All],2,0)),"CUIT NO CARGADO")</f>
        <v>-</v>
      </c>
      <c r="H1227" s="60">
        <f>ventas_b_mes9[[#This Row],[TOTAL]]/1.21</f>
        <v>471.07</v>
      </c>
      <c r="I1227" s="228">
        <f>ventas_b_mes9[[#This Row],[IMPORTE NETO]]*0.21</f>
        <v>98.924700000000001</v>
      </c>
      <c r="J1227" s="229"/>
      <c r="K1227" s="229"/>
      <c r="L1227" s="229">
        <v>569.99469999999997</v>
      </c>
      <c r="M1227" s="55"/>
    </row>
    <row r="1228" spans="2:13" x14ac:dyDescent="0.3">
      <c r="B1228" s="223" t="s">
        <v>2594</v>
      </c>
      <c r="C1228" s="224">
        <v>6</v>
      </c>
      <c r="D1228" s="225">
        <v>12</v>
      </c>
      <c r="E1228" s="226">
        <v>23062</v>
      </c>
      <c r="F1228" s="227"/>
      <c r="G1228" s="1" t="str">
        <f>IFERROR(IF(ventas_b_mes9[[#This Row],[CUIT]]="","-",VLOOKUP(ventas_b_mes9[[#This Row],[CUIT]],Lista_CUIT[#All],2,0)),"CUIT NO CARGADO")</f>
        <v>-</v>
      </c>
      <c r="H1228" s="60">
        <f>ventas_b_mes9[[#This Row],[TOTAL]]/1.21</f>
        <v>3329.75</v>
      </c>
      <c r="I1228" s="228">
        <f>ventas_b_mes9[[#This Row],[IMPORTE NETO]]*0.21</f>
        <v>699.24749999999995</v>
      </c>
      <c r="J1228" s="229"/>
      <c r="K1228" s="229"/>
      <c r="L1228" s="229">
        <v>4028.9974999999999</v>
      </c>
      <c r="M1228" s="55"/>
    </row>
    <row r="1229" spans="2:13" x14ac:dyDescent="0.3">
      <c r="B1229" s="223" t="s">
        <v>2594</v>
      </c>
      <c r="C1229" s="224">
        <v>6</v>
      </c>
      <c r="D1229" s="225">
        <v>12</v>
      </c>
      <c r="E1229" s="226">
        <v>23063</v>
      </c>
      <c r="F1229" s="227"/>
      <c r="G1229" s="1" t="str">
        <f>IFERROR(IF(ventas_b_mes9[[#This Row],[CUIT]]="","-",VLOOKUP(ventas_b_mes9[[#This Row],[CUIT]],Lista_CUIT[#All],2,0)),"CUIT NO CARGADO")</f>
        <v>-</v>
      </c>
      <c r="H1229" s="60">
        <f>ventas_b_mes9[[#This Row],[TOTAL]]/1.21</f>
        <v>3669.42</v>
      </c>
      <c r="I1229" s="228">
        <f>ventas_b_mes9[[#This Row],[IMPORTE NETO]]*0.21</f>
        <v>770.57820000000004</v>
      </c>
      <c r="J1229" s="229"/>
      <c r="K1229" s="229"/>
      <c r="L1229" s="229">
        <v>4439.9982</v>
      </c>
      <c r="M1229" s="55"/>
    </row>
    <row r="1230" spans="2:13" x14ac:dyDescent="0.3">
      <c r="B1230" s="223" t="s">
        <v>2594</v>
      </c>
      <c r="C1230" s="224">
        <v>6</v>
      </c>
      <c r="D1230" s="225">
        <v>12</v>
      </c>
      <c r="E1230" s="226">
        <v>23064</v>
      </c>
      <c r="F1230" s="227"/>
      <c r="G1230" s="1" t="str">
        <f>IFERROR(IF(ventas_b_mes9[[#This Row],[CUIT]]="","-",VLOOKUP(ventas_b_mes9[[#This Row],[CUIT]],Lista_CUIT[#All],2,0)),"CUIT NO CARGADO")</f>
        <v>-</v>
      </c>
      <c r="H1230" s="60">
        <f>ventas_b_mes9[[#This Row],[TOTAL]]/1.21</f>
        <v>6611.57</v>
      </c>
      <c r="I1230" s="228">
        <f>ventas_b_mes9[[#This Row],[IMPORTE NETO]]*0.21</f>
        <v>1388.4296999999999</v>
      </c>
      <c r="J1230" s="229"/>
      <c r="K1230" s="229"/>
      <c r="L1230" s="229">
        <v>7999.9996999999994</v>
      </c>
      <c r="M1230" s="55"/>
    </row>
    <row r="1231" spans="2:13" x14ac:dyDescent="0.3">
      <c r="B1231" s="223" t="s">
        <v>2594</v>
      </c>
      <c r="C1231" s="224">
        <v>6</v>
      </c>
      <c r="D1231" s="225">
        <v>12</v>
      </c>
      <c r="E1231" s="226">
        <v>23065</v>
      </c>
      <c r="F1231" s="227"/>
      <c r="G1231" s="1" t="str">
        <f>IFERROR(IF(ventas_b_mes9[[#This Row],[CUIT]]="","-",VLOOKUP(ventas_b_mes9[[#This Row],[CUIT]],Lista_CUIT[#All],2,0)),"CUIT NO CARGADO")</f>
        <v>-</v>
      </c>
      <c r="H1231" s="60">
        <f>ventas_b_mes9[[#This Row],[TOTAL]]/1.21</f>
        <v>6924.8</v>
      </c>
      <c r="I1231" s="228">
        <f>ventas_b_mes9[[#This Row],[IMPORTE NETO]]*0.21</f>
        <v>1454.2080000000001</v>
      </c>
      <c r="J1231" s="229"/>
      <c r="K1231" s="229"/>
      <c r="L1231" s="229">
        <v>8379.0079999999998</v>
      </c>
      <c r="M1231" s="55"/>
    </row>
    <row r="1232" spans="2:13" x14ac:dyDescent="0.3">
      <c r="B1232" s="223" t="s">
        <v>2594</v>
      </c>
      <c r="C1232" s="224">
        <v>6</v>
      </c>
      <c r="D1232" s="225">
        <v>12</v>
      </c>
      <c r="E1232" s="226">
        <v>23066</v>
      </c>
      <c r="F1232" s="227"/>
      <c r="G1232" s="1" t="str">
        <f>IFERROR(IF(ventas_b_mes9[[#This Row],[CUIT]]="","-",VLOOKUP(ventas_b_mes9[[#This Row],[CUIT]],Lista_CUIT[#All],2,0)),"CUIT NO CARGADO")</f>
        <v>-</v>
      </c>
      <c r="H1232" s="60">
        <f>ventas_b_mes9[[#This Row],[TOTAL]]/1.21</f>
        <v>20112.41</v>
      </c>
      <c r="I1232" s="228">
        <f>ventas_b_mes9[[#This Row],[IMPORTE NETO]]*0.21</f>
        <v>4223.6061</v>
      </c>
      <c r="J1232" s="229"/>
      <c r="K1232" s="229"/>
      <c r="L1232" s="229">
        <v>24336.016100000001</v>
      </c>
      <c r="M1232" s="55"/>
    </row>
    <row r="1233" spans="2:13" x14ac:dyDescent="0.3">
      <c r="B1233" s="223" t="s">
        <v>2594</v>
      </c>
      <c r="C1233" s="224">
        <v>6</v>
      </c>
      <c r="D1233" s="225">
        <v>12</v>
      </c>
      <c r="E1233" s="226">
        <v>23067</v>
      </c>
      <c r="F1233" s="227"/>
      <c r="G1233" s="1" t="str">
        <f>IFERROR(IF(ventas_b_mes9[[#This Row],[CUIT]]="","-",VLOOKUP(ventas_b_mes9[[#This Row],[CUIT]],Lista_CUIT[#All],2,0)),"CUIT NO CARGADO")</f>
        <v>-</v>
      </c>
      <c r="H1233" s="60">
        <f>ventas_b_mes9[[#This Row],[TOTAL]]/1.21</f>
        <v>4958.68</v>
      </c>
      <c r="I1233" s="228">
        <f>ventas_b_mes9[[#This Row],[IMPORTE NETO]]*0.21</f>
        <v>1041.3227999999999</v>
      </c>
      <c r="J1233" s="229"/>
      <c r="K1233" s="229"/>
      <c r="L1233" s="229">
        <v>6000.0028000000002</v>
      </c>
      <c r="M1233" s="55"/>
    </row>
    <row r="1234" spans="2:13" x14ac:dyDescent="0.3">
      <c r="B1234" s="223" t="s">
        <v>2595</v>
      </c>
      <c r="C1234" s="224">
        <v>6</v>
      </c>
      <c r="D1234" s="225">
        <v>11</v>
      </c>
      <c r="E1234" s="226">
        <v>30592</v>
      </c>
      <c r="F1234" s="227"/>
      <c r="G1234" s="1" t="str">
        <f>IFERROR(IF(ventas_b_mes9[[#This Row],[CUIT]]="","-",VLOOKUP(ventas_b_mes9[[#This Row],[CUIT]],Lista_CUIT[#All],2,0)),"CUIT NO CARGADO")</f>
        <v>-</v>
      </c>
      <c r="H1234" s="60">
        <f>ventas_b_mes9[[#This Row],[TOTAL]]/1.21</f>
        <v>5455.37</v>
      </c>
      <c r="I1234" s="228">
        <f>ventas_b_mes9[[#This Row],[IMPORTE NETO]]*0.21</f>
        <v>1145.6277</v>
      </c>
      <c r="J1234" s="229"/>
      <c r="K1234" s="229"/>
      <c r="L1234" s="229">
        <v>6600.9976999999999</v>
      </c>
      <c r="M1234" s="55"/>
    </row>
    <row r="1235" spans="2:13" x14ac:dyDescent="0.3">
      <c r="B1235" s="223" t="s">
        <v>2595</v>
      </c>
      <c r="C1235" s="224">
        <v>6</v>
      </c>
      <c r="D1235" s="225">
        <v>11</v>
      </c>
      <c r="E1235" s="226">
        <v>30593</v>
      </c>
      <c r="F1235" s="227"/>
      <c r="G1235" s="1" t="str">
        <f>IFERROR(IF(ventas_b_mes9[[#This Row],[CUIT]]="","-",VLOOKUP(ventas_b_mes9[[#This Row],[CUIT]],Lista_CUIT[#All],2,0)),"CUIT NO CARGADO")</f>
        <v>-</v>
      </c>
      <c r="H1235" s="60">
        <f>ventas_b_mes9[[#This Row],[TOTAL]]/1.21</f>
        <v>6157.0200000000013</v>
      </c>
      <c r="I1235" s="228">
        <f>ventas_b_mes9[[#This Row],[IMPORTE NETO]]*0.21</f>
        <v>1292.9742000000003</v>
      </c>
      <c r="J1235" s="229"/>
      <c r="K1235" s="229"/>
      <c r="L1235" s="229">
        <v>7449.994200000001</v>
      </c>
      <c r="M1235" s="55"/>
    </row>
    <row r="1236" spans="2:13" x14ac:dyDescent="0.3">
      <c r="B1236" s="223" t="s">
        <v>2595</v>
      </c>
      <c r="C1236" s="224">
        <v>6</v>
      </c>
      <c r="D1236" s="225">
        <v>15</v>
      </c>
      <c r="E1236" s="226">
        <v>7487</v>
      </c>
      <c r="F1236" s="227"/>
      <c r="G1236" s="1" t="str">
        <f>IFERROR(IF(ventas_b_mes9[[#This Row],[CUIT]]="","-",VLOOKUP(ventas_b_mes9[[#This Row],[CUIT]],Lista_CUIT[#All],2,0)),"CUIT NO CARGADO")</f>
        <v>-</v>
      </c>
      <c r="H1236" s="60">
        <f>ventas_b_mes9[[#This Row],[TOTAL]]/1.21</f>
        <v>12070.26</v>
      </c>
      <c r="I1236" s="228">
        <f>ventas_b_mes9[[#This Row],[IMPORTE NETO]]*0.21</f>
        <v>2534.7545999999998</v>
      </c>
      <c r="J1236" s="229"/>
      <c r="K1236" s="229"/>
      <c r="L1236" s="229">
        <v>14605.0146</v>
      </c>
      <c r="M1236" s="55"/>
    </row>
    <row r="1237" spans="2:13" x14ac:dyDescent="0.3">
      <c r="B1237" s="223" t="s">
        <v>2595</v>
      </c>
      <c r="C1237" s="224">
        <v>6</v>
      </c>
      <c r="D1237" s="225">
        <v>15</v>
      </c>
      <c r="E1237" s="226">
        <v>7488</v>
      </c>
      <c r="F1237" s="227"/>
      <c r="G1237" s="1" t="str">
        <f>IFERROR(IF(ventas_b_mes9[[#This Row],[CUIT]]="","-",VLOOKUP(ventas_b_mes9[[#This Row],[CUIT]],Lista_CUIT[#All],2,0)),"CUIT NO CARGADO")</f>
        <v>-</v>
      </c>
      <c r="H1237" s="60">
        <f>ventas_b_mes9[[#This Row],[TOTAL]]/1.21</f>
        <v>9085.9500000000025</v>
      </c>
      <c r="I1237" s="228">
        <f>ventas_b_mes9[[#This Row],[IMPORTE NETO]]*0.21</f>
        <v>1908.0495000000005</v>
      </c>
      <c r="J1237" s="229"/>
      <c r="K1237" s="229"/>
      <c r="L1237" s="229">
        <v>10993.999500000002</v>
      </c>
      <c r="M1237" s="55"/>
    </row>
    <row r="1238" spans="2:13" x14ac:dyDescent="0.3">
      <c r="B1238" s="223" t="s">
        <v>2595</v>
      </c>
      <c r="C1238" s="224">
        <v>6</v>
      </c>
      <c r="D1238" s="225">
        <v>10</v>
      </c>
      <c r="E1238" s="226">
        <v>44481</v>
      </c>
      <c r="F1238" s="227"/>
      <c r="G1238" s="1" t="str">
        <f>IFERROR(IF(ventas_b_mes9[[#This Row],[CUIT]]="","-",VLOOKUP(ventas_b_mes9[[#This Row],[CUIT]],Lista_CUIT[#All],2,0)),"CUIT NO CARGADO")</f>
        <v>-</v>
      </c>
      <c r="H1238" s="60">
        <f>ventas_b_mes9[[#This Row],[TOTAL]]/1.21</f>
        <v>8796.6900000000023</v>
      </c>
      <c r="I1238" s="228">
        <f>ventas_b_mes9[[#This Row],[IMPORTE NETO]]*0.21</f>
        <v>1847.3049000000003</v>
      </c>
      <c r="J1238" s="229"/>
      <c r="K1238" s="229"/>
      <c r="L1238" s="229">
        <v>10643.994900000002</v>
      </c>
      <c r="M1238" s="55"/>
    </row>
    <row r="1239" spans="2:13" x14ac:dyDescent="0.3">
      <c r="B1239" s="223" t="s">
        <v>2595</v>
      </c>
      <c r="C1239" s="224">
        <v>6</v>
      </c>
      <c r="D1239" s="225">
        <v>10</v>
      </c>
      <c r="E1239" s="226">
        <v>44482</v>
      </c>
      <c r="F1239" s="227"/>
      <c r="G1239" s="1" t="str">
        <f>IFERROR(IF(ventas_b_mes9[[#This Row],[CUIT]]="","-",VLOOKUP(ventas_b_mes9[[#This Row],[CUIT]],Lista_CUIT[#All],2,0)),"CUIT NO CARGADO")</f>
        <v>-</v>
      </c>
      <c r="H1239" s="60">
        <f>ventas_b_mes9[[#This Row],[TOTAL]]/1.21</f>
        <v>20961.98</v>
      </c>
      <c r="I1239" s="228">
        <f>ventas_b_mes9[[#This Row],[IMPORTE NETO]]*0.21</f>
        <v>4402.0158000000001</v>
      </c>
      <c r="J1239" s="229"/>
      <c r="K1239" s="229"/>
      <c r="L1239" s="229">
        <v>25363.995800000001</v>
      </c>
      <c r="M1239" s="55"/>
    </row>
    <row r="1240" spans="2:13" x14ac:dyDescent="0.3">
      <c r="B1240" s="223" t="s">
        <v>2595</v>
      </c>
      <c r="C1240" s="224">
        <v>6</v>
      </c>
      <c r="D1240" s="225">
        <v>10</v>
      </c>
      <c r="E1240" s="226">
        <v>44483</v>
      </c>
      <c r="F1240" s="227"/>
      <c r="G1240" s="1" t="str">
        <f>IFERROR(IF(ventas_b_mes9[[#This Row],[CUIT]]="","-",VLOOKUP(ventas_b_mes9[[#This Row],[CUIT]],Lista_CUIT[#All],2,0)),"CUIT NO CARGADO")</f>
        <v>-</v>
      </c>
      <c r="H1240" s="60">
        <f>ventas_b_mes9[[#This Row],[TOTAL]]/1.21</f>
        <v>13199.59</v>
      </c>
      <c r="I1240" s="228">
        <f>ventas_b_mes9[[#This Row],[IMPORTE NETO]]*0.21</f>
        <v>2771.9139</v>
      </c>
      <c r="J1240" s="229"/>
      <c r="K1240" s="229"/>
      <c r="L1240" s="229">
        <v>15971.5039</v>
      </c>
      <c r="M1240" s="55"/>
    </row>
    <row r="1241" spans="2:13" x14ac:dyDescent="0.3">
      <c r="B1241" s="223" t="s">
        <v>2595</v>
      </c>
      <c r="C1241" s="224">
        <v>6</v>
      </c>
      <c r="D1241" s="225">
        <v>10</v>
      </c>
      <c r="E1241" s="226">
        <v>44484</v>
      </c>
      <c r="F1241" s="227"/>
      <c r="G1241" s="1" t="str">
        <f>IFERROR(IF(ventas_b_mes9[[#This Row],[CUIT]]="","-",VLOOKUP(ventas_b_mes9[[#This Row],[CUIT]],Lista_CUIT[#All],2,0)),"CUIT NO CARGADO")</f>
        <v>-</v>
      </c>
      <c r="H1241" s="60">
        <f>ventas_b_mes9[[#This Row],[TOTAL]]/1.21</f>
        <v>4958.68</v>
      </c>
      <c r="I1241" s="228">
        <f>ventas_b_mes9[[#This Row],[IMPORTE NETO]]*0.21</f>
        <v>1041.3227999999999</v>
      </c>
      <c r="J1241" s="229"/>
      <c r="K1241" s="229"/>
      <c r="L1241" s="229">
        <v>6000.0028000000002</v>
      </c>
      <c r="M1241" s="55"/>
    </row>
    <row r="1242" spans="2:13" x14ac:dyDescent="0.3">
      <c r="B1242" s="223" t="s">
        <v>2595</v>
      </c>
      <c r="C1242" s="224">
        <v>6</v>
      </c>
      <c r="D1242" s="225">
        <v>10</v>
      </c>
      <c r="E1242" s="226">
        <v>44485</v>
      </c>
      <c r="F1242" s="227"/>
      <c r="G1242" s="1" t="str">
        <f>IFERROR(IF(ventas_b_mes9[[#This Row],[CUIT]]="","-",VLOOKUP(ventas_b_mes9[[#This Row],[CUIT]],Lista_CUIT[#All],2,0)),"CUIT NO CARGADO")</f>
        <v>-</v>
      </c>
      <c r="H1242" s="60">
        <f>ventas_b_mes9[[#This Row],[TOTAL]]/1.21</f>
        <v>10452.89</v>
      </c>
      <c r="I1242" s="228">
        <f>ventas_b_mes9[[#This Row],[IMPORTE NETO]]*0.21</f>
        <v>2195.1068999999998</v>
      </c>
      <c r="J1242" s="229"/>
      <c r="K1242" s="229"/>
      <c r="L1242" s="229">
        <v>12647.996899999998</v>
      </c>
      <c r="M1242" s="55"/>
    </row>
    <row r="1243" spans="2:13" x14ac:dyDescent="0.3">
      <c r="B1243" s="223" t="s">
        <v>2595</v>
      </c>
      <c r="C1243" s="224">
        <v>6</v>
      </c>
      <c r="D1243" s="225">
        <v>10</v>
      </c>
      <c r="E1243" s="226">
        <v>44486</v>
      </c>
      <c r="F1243" s="227"/>
      <c r="G1243" s="1" t="str">
        <f>IFERROR(IF(ventas_b_mes9[[#This Row],[CUIT]]="","-",VLOOKUP(ventas_b_mes9[[#This Row],[CUIT]],Lista_CUIT[#All],2,0)),"CUIT NO CARGADO")</f>
        <v>-</v>
      </c>
      <c r="H1243" s="60">
        <f>ventas_b_mes9[[#This Row],[TOTAL]]/1.21</f>
        <v>5846.28</v>
      </c>
      <c r="I1243" s="228">
        <f>ventas_b_mes9[[#This Row],[IMPORTE NETO]]*0.21</f>
        <v>1227.7187999999999</v>
      </c>
      <c r="J1243" s="229"/>
      <c r="K1243" s="229"/>
      <c r="L1243" s="229">
        <v>7073.9987999999994</v>
      </c>
      <c r="M1243" s="55"/>
    </row>
    <row r="1244" spans="2:13" x14ac:dyDescent="0.3">
      <c r="B1244" s="223" t="s">
        <v>2595</v>
      </c>
      <c r="C1244" s="224">
        <v>6</v>
      </c>
      <c r="D1244" s="225">
        <v>10</v>
      </c>
      <c r="E1244" s="226">
        <v>44487</v>
      </c>
      <c r="F1244" s="227"/>
      <c r="G1244" s="1" t="str">
        <f>IFERROR(IF(ventas_b_mes9[[#This Row],[CUIT]]="","-",VLOOKUP(ventas_b_mes9[[#This Row],[CUIT]],Lista_CUIT[#All],2,0)),"CUIT NO CARGADO")</f>
        <v>-</v>
      </c>
      <c r="H1244" s="60">
        <f>ventas_b_mes9[[#This Row],[TOTAL]]/1.21</f>
        <v>28842.149999999998</v>
      </c>
      <c r="I1244" s="228">
        <f>ventas_b_mes9[[#This Row],[IMPORTE NETO]]*0.21</f>
        <v>6056.8514999999998</v>
      </c>
      <c r="J1244" s="229"/>
      <c r="K1244" s="229"/>
      <c r="L1244" s="229">
        <v>34899.001499999998</v>
      </c>
      <c r="M1244" s="55"/>
    </row>
    <row r="1245" spans="2:13" x14ac:dyDescent="0.3">
      <c r="B1245" s="223" t="s">
        <v>2595</v>
      </c>
      <c r="C1245" s="224">
        <v>6</v>
      </c>
      <c r="D1245" s="225">
        <v>12</v>
      </c>
      <c r="E1245" s="226">
        <v>23068</v>
      </c>
      <c r="F1245" s="227"/>
      <c r="G1245" s="1" t="str">
        <f>IFERROR(IF(ventas_b_mes9[[#This Row],[CUIT]]="","-",VLOOKUP(ventas_b_mes9[[#This Row],[CUIT]],Lista_CUIT[#All],2,0)),"CUIT NO CARGADO")</f>
        <v>-</v>
      </c>
      <c r="H1245" s="60">
        <f>ventas_b_mes9[[#This Row],[TOTAL]]/1.21</f>
        <v>2148.7600000000002</v>
      </c>
      <c r="I1245" s="228">
        <f>ventas_b_mes9[[#This Row],[IMPORTE NETO]]*0.21</f>
        <v>451.23960000000005</v>
      </c>
      <c r="J1245" s="229"/>
      <c r="K1245" s="229"/>
      <c r="L1245" s="229">
        <v>2599.9996000000001</v>
      </c>
      <c r="M1245" s="55"/>
    </row>
    <row r="1246" spans="2:13" x14ac:dyDescent="0.3">
      <c r="B1246" s="223" t="s">
        <v>2595</v>
      </c>
      <c r="C1246" s="224">
        <v>6</v>
      </c>
      <c r="D1246" s="225">
        <v>12</v>
      </c>
      <c r="E1246" s="226">
        <v>23069</v>
      </c>
      <c r="F1246" s="227"/>
      <c r="G1246" s="1" t="str">
        <f>IFERROR(IF(ventas_b_mes9[[#This Row],[CUIT]]="","-",VLOOKUP(ventas_b_mes9[[#This Row],[CUIT]],Lista_CUIT[#All],2,0)),"CUIT NO CARGADO")</f>
        <v>-</v>
      </c>
      <c r="H1246" s="60">
        <f>ventas_b_mes9[[#This Row],[TOTAL]]/1.21</f>
        <v>2598.35</v>
      </c>
      <c r="I1246" s="228">
        <f>ventas_b_mes9[[#This Row],[IMPORTE NETO]]*0.21</f>
        <v>545.65350000000001</v>
      </c>
      <c r="J1246" s="229"/>
      <c r="K1246" s="229"/>
      <c r="L1246" s="229">
        <v>3144.0034999999998</v>
      </c>
      <c r="M1246" s="55"/>
    </row>
    <row r="1247" spans="2:13" x14ac:dyDescent="0.3">
      <c r="B1247" s="223" t="s">
        <v>2595</v>
      </c>
      <c r="C1247" s="224">
        <v>6</v>
      </c>
      <c r="D1247" s="225">
        <v>12</v>
      </c>
      <c r="E1247" s="226">
        <v>23070</v>
      </c>
      <c r="F1247" s="227"/>
      <c r="G1247" s="1" t="str">
        <f>IFERROR(IF(ventas_b_mes9[[#This Row],[CUIT]]="","-",VLOOKUP(ventas_b_mes9[[#This Row],[CUIT]],Lista_CUIT[#All],2,0)),"CUIT NO CARGADO")</f>
        <v>-</v>
      </c>
      <c r="H1247" s="60">
        <f>ventas_b_mes9[[#This Row],[TOTAL]]/1.21</f>
        <v>5501.66</v>
      </c>
      <c r="I1247" s="228">
        <f>ventas_b_mes9[[#This Row],[IMPORTE NETO]]*0.21</f>
        <v>1155.3486</v>
      </c>
      <c r="J1247" s="229"/>
      <c r="K1247" s="229"/>
      <c r="L1247" s="229">
        <v>6657.0086000000001</v>
      </c>
      <c r="M1247" s="55"/>
    </row>
    <row r="1248" spans="2:13" x14ac:dyDescent="0.3">
      <c r="B1248" s="223" t="s">
        <v>2595</v>
      </c>
      <c r="C1248" s="224">
        <v>6</v>
      </c>
      <c r="D1248" s="225">
        <v>12</v>
      </c>
      <c r="E1248" s="226">
        <v>23071</v>
      </c>
      <c r="F1248" s="227"/>
      <c r="G1248" s="1" t="str">
        <f>IFERROR(IF(ventas_b_mes9[[#This Row],[CUIT]]="","-",VLOOKUP(ventas_b_mes9[[#This Row],[CUIT]],Lista_CUIT[#All],2,0)),"CUIT NO CARGADO")</f>
        <v>-</v>
      </c>
      <c r="H1248" s="60">
        <f>ventas_b_mes9[[#This Row],[TOTAL]]/1.21</f>
        <v>1390.91</v>
      </c>
      <c r="I1248" s="228">
        <f>ventas_b_mes9[[#This Row],[IMPORTE NETO]]*0.21</f>
        <v>292.09109999999998</v>
      </c>
      <c r="J1248" s="229"/>
      <c r="K1248" s="229"/>
      <c r="L1248" s="229">
        <v>1683.0011</v>
      </c>
      <c r="M1248" s="55"/>
    </row>
    <row r="1249" spans="2:13" x14ac:dyDescent="0.3">
      <c r="B1249" s="223" t="s">
        <v>2595</v>
      </c>
      <c r="C1249" s="224">
        <v>6</v>
      </c>
      <c r="D1249" s="225">
        <v>12</v>
      </c>
      <c r="E1249" s="226">
        <v>23072</v>
      </c>
      <c r="F1249" s="227"/>
      <c r="G1249" s="1" t="str">
        <f>IFERROR(IF(ventas_b_mes9[[#This Row],[CUIT]]="","-",VLOOKUP(ventas_b_mes9[[#This Row],[CUIT]],Lista_CUIT[#All],2,0)),"CUIT NO CARGADO")</f>
        <v>-</v>
      </c>
      <c r="H1249" s="60">
        <f>ventas_b_mes9[[#This Row],[TOTAL]]/1.21</f>
        <v>19068.78</v>
      </c>
      <c r="I1249" s="228">
        <f>ventas_b_mes9[[#This Row],[IMPORTE NETO]]*0.21</f>
        <v>4004.4437999999996</v>
      </c>
      <c r="J1249" s="229"/>
      <c r="K1249" s="229"/>
      <c r="L1249" s="229">
        <v>23073.2238</v>
      </c>
      <c r="M1249" s="55"/>
    </row>
    <row r="1250" spans="2:13" x14ac:dyDescent="0.3">
      <c r="B1250" s="223" t="s">
        <v>2595</v>
      </c>
      <c r="C1250" s="224">
        <v>6</v>
      </c>
      <c r="D1250" s="225">
        <v>12</v>
      </c>
      <c r="E1250" s="226">
        <v>23073</v>
      </c>
      <c r="F1250" s="227"/>
      <c r="G1250" s="1" t="str">
        <f>IFERROR(IF(ventas_b_mes9[[#This Row],[CUIT]]="","-",VLOOKUP(ventas_b_mes9[[#This Row],[CUIT]],Lista_CUIT[#All],2,0)),"CUIT NO CARGADO")</f>
        <v>-</v>
      </c>
      <c r="H1250" s="60">
        <f>ventas_b_mes9[[#This Row],[TOTAL]]/1.21</f>
        <v>7502.47</v>
      </c>
      <c r="I1250" s="228">
        <f>ventas_b_mes9[[#This Row],[IMPORTE NETO]]*0.21</f>
        <v>1575.5187000000001</v>
      </c>
      <c r="J1250" s="229"/>
      <c r="K1250" s="229"/>
      <c r="L1250" s="229">
        <v>9077.9886999999999</v>
      </c>
      <c r="M1250" s="55"/>
    </row>
    <row r="1251" spans="2:13" x14ac:dyDescent="0.3">
      <c r="B1251" s="223" t="s">
        <v>2595</v>
      </c>
      <c r="C1251" s="224">
        <v>6</v>
      </c>
      <c r="D1251" s="225">
        <v>12</v>
      </c>
      <c r="E1251" s="226">
        <v>23074</v>
      </c>
      <c r="F1251" s="227"/>
      <c r="G1251" s="1" t="str">
        <f>IFERROR(IF(ventas_b_mes9[[#This Row],[CUIT]]="","-",VLOOKUP(ventas_b_mes9[[#This Row],[CUIT]],Lista_CUIT[#All],2,0)),"CUIT NO CARGADO")</f>
        <v>-</v>
      </c>
      <c r="H1251" s="60">
        <f>ventas_b_mes9[[#This Row],[TOTAL]]/1.21</f>
        <v>4735.54</v>
      </c>
      <c r="I1251" s="228">
        <f>ventas_b_mes9[[#This Row],[IMPORTE NETO]]*0.21</f>
        <v>994.46339999999998</v>
      </c>
      <c r="J1251" s="229"/>
      <c r="K1251" s="229"/>
      <c r="L1251" s="229">
        <v>5730.0033999999996</v>
      </c>
      <c r="M1251" s="55"/>
    </row>
    <row r="1252" spans="2:13" x14ac:dyDescent="0.3">
      <c r="B1252" s="223" t="s">
        <v>2596</v>
      </c>
      <c r="C1252" s="224">
        <v>6</v>
      </c>
      <c r="D1252" s="225">
        <v>13</v>
      </c>
      <c r="E1252" s="226">
        <v>27125</v>
      </c>
      <c r="F1252" s="227"/>
      <c r="G1252" s="1" t="str">
        <f>IFERROR(IF(ventas_b_mes9[[#This Row],[CUIT]]="","-",VLOOKUP(ventas_b_mes9[[#This Row],[CUIT]],Lista_CUIT[#All],2,0)),"CUIT NO CARGADO")</f>
        <v>-</v>
      </c>
      <c r="H1252" s="60">
        <f>ventas_b_mes9[[#This Row],[TOTAL]]/1.21</f>
        <v>8062.8100000000013</v>
      </c>
      <c r="I1252" s="228">
        <f>ventas_b_mes9[[#This Row],[IMPORTE NETO]]*0.21</f>
        <v>1693.1901000000003</v>
      </c>
      <c r="J1252" s="229"/>
      <c r="K1252" s="229"/>
      <c r="L1252" s="229">
        <v>9756.0001000000011</v>
      </c>
      <c r="M1252" s="55"/>
    </row>
    <row r="1253" spans="2:13" x14ac:dyDescent="0.3">
      <c r="B1253" s="223" t="s">
        <v>2596</v>
      </c>
      <c r="C1253" s="224">
        <v>6</v>
      </c>
      <c r="D1253" s="225">
        <v>13</v>
      </c>
      <c r="E1253" s="226">
        <v>27126</v>
      </c>
      <c r="F1253" s="227"/>
      <c r="G1253" s="1" t="str">
        <f>IFERROR(IF(ventas_b_mes9[[#This Row],[CUIT]]="","-",VLOOKUP(ventas_b_mes9[[#This Row],[CUIT]],Lista_CUIT[#All],2,0)),"CUIT NO CARGADO")</f>
        <v>-</v>
      </c>
      <c r="H1253" s="60">
        <f>ventas_b_mes9[[#This Row],[TOTAL]]/1.21</f>
        <v>2148.7600000000002</v>
      </c>
      <c r="I1253" s="228">
        <f>ventas_b_mes9[[#This Row],[IMPORTE NETO]]*0.21</f>
        <v>451.23960000000005</v>
      </c>
      <c r="J1253" s="229"/>
      <c r="K1253" s="229"/>
      <c r="L1253" s="229">
        <v>2599.9996000000001</v>
      </c>
      <c r="M1253" s="55"/>
    </row>
    <row r="1254" spans="2:13" x14ac:dyDescent="0.3">
      <c r="B1254" s="223" t="s">
        <v>2596</v>
      </c>
      <c r="C1254" s="224">
        <v>6</v>
      </c>
      <c r="D1254" s="225">
        <v>13</v>
      </c>
      <c r="E1254" s="226">
        <v>27127</v>
      </c>
      <c r="F1254" s="227"/>
      <c r="G1254" s="1" t="str">
        <f>IFERROR(IF(ventas_b_mes9[[#This Row],[CUIT]]="","-",VLOOKUP(ventas_b_mes9[[#This Row],[CUIT]],Lista_CUIT[#All],2,0)),"CUIT NO CARGADO")</f>
        <v>-</v>
      </c>
      <c r="H1254" s="60">
        <f>ventas_b_mes9[[#This Row],[TOTAL]]/1.21</f>
        <v>2148.7600000000002</v>
      </c>
      <c r="I1254" s="228">
        <f>ventas_b_mes9[[#This Row],[IMPORTE NETO]]*0.21</f>
        <v>451.23960000000005</v>
      </c>
      <c r="J1254" s="229"/>
      <c r="K1254" s="229"/>
      <c r="L1254" s="229">
        <v>2599.9996000000001</v>
      </c>
      <c r="M1254" s="55"/>
    </row>
    <row r="1255" spans="2:13" x14ac:dyDescent="0.3">
      <c r="B1255" s="223" t="s">
        <v>2596</v>
      </c>
      <c r="C1255" s="224">
        <v>6</v>
      </c>
      <c r="D1255" s="225">
        <v>13</v>
      </c>
      <c r="E1255" s="226">
        <v>27128</v>
      </c>
      <c r="F1255" s="227"/>
      <c r="G1255" s="1" t="str">
        <f>IFERROR(IF(ventas_b_mes9[[#This Row],[CUIT]]="","-",VLOOKUP(ventas_b_mes9[[#This Row],[CUIT]],Lista_CUIT[#All],2,0)),"CUIT NO CARGADO")</f>
        <v>-</v>
      </c>
      <c r="H1255" s="60">
        <f>ventas_b_mes9[[#This Row],[TOTAL]]/1.21</f>
        <v>3976.0300000000007</v>
      </c>
      <c r="I1255" s="228">
        <f>ventas_b_mes9[[#This Row],[IMPORTE NETO]]*0.21</f>
        <v>834.96630000000016</v>
      </c>
      <c r="J1255" s="229"/>
      <c r="K1255" s="229"/>
      <c r="L1255" s="229">
        <v>4810.9963000000007</v>
      </c>
      <c r="M1255" s="55"/>
    </row>
    <row r="1256" spans="2:13" x14ac:dyDescent="0.3">
      <c r="B1256" s="223" t="s">
        <v>2596</v>
      </c>
      <c r="C1256" s="224">
        <v>6</v>
      </c>
      <c r="D1256" s="225">
        <v>13</v>
      </c>
      <c r="E1256" s="226">
        <v>27129</v>
      </c>
      <c r="F1256" s="227"/>
      <c r="G1256" s="1" t="str">
        <f>IFERROR(IF(ventas_b_mes9[[#This Row],[CUIT]]="","-",VLOOKUP(ventas_b_mes9[[#This Row],[CUIT]],Lista_CUIT[#All],2,0)),"CUIT NO CARGADO")</f>
        <v>-</v>
      </c>
      <c r="H1256" s="60">
        <f>ventas_b_mes9[[#This Row],[TOTAL]]/1.21</f>
        <v>2360.33</v>
      </c>
      <c r="I1256" s="228">
        <f>ventas_b_mes9[[#This Row],[IMPORTE NETO]]*0.21</f>
        <v>495.66929999999996</v>
      </c>
      <c r="J1256" s="229"/>
      <c r="K1256" s="229"/>
      <c r="L1256" s="229">
        <v>2855.9992999999999</v>
      </c>
      <c r="M1256" s="55"/>
    </row>
    <row r="1257" spans="2:13" x14ac:dyDescent="0.3">
      <c r="B1257" s="223" t="s">
        <v>2596</v>
      </c>
      <c r="C1257" s="224">
        <v>6</v>
      </c>
      <c r="D1257" s="225">
        <v>13</v>
      </c>
      <c r="E1257" s="226">
        <v>27130</v>
      </c>
      <c r="F1257" s="227"/>
      <c r="G1257" s="1" t="str">
        <f>IFERROR(IF(ventas_b_mes9[[#This Row],[CUIT]]="","-",VLOOKUP(ventas_b_mes9[[#This Row],[CUIT]],Lista_CUIT[#All],2,0)),"CUIT NO CARGADO")</f>
        <v>-</v>
      </c>
      <c r="H1257" s="60">
        <f>ventas_b_mes9[[#This Row],[TOTAL]]/1.21</f>
        <v>2148.7600000000002</v>
      </c>
      <c r="I1257" s="228">
        <f>ventas_b_mes9[[#This Row],[IMPORTE NETO]]*0.21</f>
        <v>451.23960000000005</v>
      </c>
      <c r="J1257" s="229"/>
      <c r="K1257" s="229"/>
      <c r="L1257" s="229">
        <v>2599.9996000000001</v>
      </c>
      <c r="M1257" s="55"/>
    </row>
    <row r="1258" spans="2:13" x14ac:dyDescent="0.3">
      <c r="B1258" s="223" t="s">
        <v>2596</v>
      </c>
      <c r="C1258" s="224">
        <v>6</v>
      </c>
      <c r="D1258" s="225">
        <v>13</v>
      </c>
      <c r="E1258" s="226">
        <v>27131</v>
      </c>
      <c r="F1258" s="227"/>
      <c r="G1258" s="1" t="str">
        <f>IFERROR(IF(ventas_b_mes9[[#This Row],[CUIT]]="","-",VLOOKUP(ventas_b_mes9[[#This Row],[CUIT]],Lista_CUIT[#All],2,0)),"CUIT NO CARGADO")</f>
        <v>-</v>
      </c>
      <c r="H1258" s="60">
        <f>ventas_b_mes9[[#This Row],[TOTAL]]/1.21</f>
        <v>7195.0400000000009</v>
      </c>
      <c r="I1258" s="228">
        <f>ventas_b_mes9[[#This Row],[IMPORTE NETO]]*0.21</f>
        <v>1510.9584000000002</v>
      </c>
      <c r="J1258" s="229"/>
      <c r="K1258" s="229"/>
      <c r="L1258" s="229">
        <v>8705.9984000000004</v>
      </c>
      <c r="M1258" s="55"/>
    </row>
    <row r="1259" spans="2:13" x14ac:dyDescent="0.3">
      <c r="B1259" s="223" t="s">
        <v>2596</v>
      </c>
      <c r="C1259" s="224">
        <v>6</v>
      </c>
      <c r="D1259" s="225">
        <v>13</v>
      </c>
      <c r="E1259" s="226">
        <v>27132</v>
      </c>
      <c r="F1259" s="227"/>
      <c r="G1259" s="1" t="str">
        <f>IFERROR(IF(ventas_b_mes9[[#This Row],[CUIT]]="","-",VLOOKUP(ventas_b_mes9[[#This Row],[CUIT]],Lista_CUIT[#All],2,0)),"CUIT NO CARGADO")</f>
        <v>-</v>
      </c>
      <c r="H1259" s="60">
        <f>ventas_b_mes9[[#This Row],[TOTAL]]/1.21</f>
        <v>11493.39</v>
      </c>
      <c r="I1259" s="228">
        <f>ventas_b_mes9[[#This Row],[IMPORTE NETO]]*0.21</f>
        <v>2413.6118999999999</v>
      </c>
      <c r="J1259" s="229"/>
      <c r="K1259" s="229"/>
      <c r="L1259" s="229">
        <v>13907.001899999999</v>
      </c>
      <c r="M1259" s="55"/>
    </row>
    <row r="1260" spans="2:13" x14ac:dyDescent="0.3">
      <c r="B1260" s="223" t="s">
        <v>2596</v>
      </c>
      <c r="C1260" s="224">
        <v>6</v>
      </c>
      <c r="D1260" s="225">
        <v>13</v>
      </c>
      <c r="E1260" s="226">
        <v>27133</v>
      </c>
      <c r="F1260" s="227"/>
      <c r="G1260" s="1" t="str">
        <f>IFERROR(IF(ventas_b_mes9[[#This Row],[CUIT]]="","-",VLOOKUP(ventas_b_mes9[[#This Row],[CUIT]],Lista_CUIT[#All],2,0)),"CUIT NO CARGADO")</f>
        <v>-</v>
      </c>
      <c r="H1260" s="60">
        <f>ventas_b_mes9[[#This Row],[TOTAL]]/1.21</f>
        <v>4341.32</v>
      </c>
      <c r="I1260" s="228">
        <f>ventas_b_mes9[[#This Row],[IMPORTE NETO]]*0.21</f>
        <v>911.67719999999986</v>
      </c>
      <c r="J1260" s="229"/>
      <c r="K1260" s="229"/>
      <c r="L1260" s="229">
        <v>5252.9971999999998</v>
      </c>
      <c r="M1260" s="55"/>
    </row>
    <row r="1261" spans="2:13" x14ac:dyDescent="0.3">
      <c r="B1261" s="223" t="s">
        <v>2596</v>
      </c>
      <c r="C1261" s="224">
        <v>6</v>
      </c>
      <c r="D1261" s="225">
        <v>13</v>
      </c>
      <c r="E1261" s="226">
        <v>27134</v>
      </c>
      <c r="F1261" s="227"/>
      <c r="G1261" s="1" t="str">
        <f>IFERROR(IF(ventas_b_mes9[[#This Row],[CUIT]]="","-",VLOOKUP(ventas_b_mes9[[#This Row],[CUIT]],Lista_CUIT[#All],2,0)),"CUIT NO CARGADO")</f>
        <v>-</v>
      </c>
      <c r="H1261" s="60">
        <f>ventas_b_mes9[[#This Row],[TOTAL]]/1.21</f>
        <v>842.98</v>
      </c>
      <c r="I1261" s="228">
        <f>ventas_b_mes9[[#This Row],[IMPORTE NETO]]*0.21</f>
        <v>177.0258</v>
      </c>
      <c r="J1261" s="229"/>
      <c r="K1261" s="229"/>
      <c r="L1261" s="229">
        <v>1020.0058</v>
      </c>
      <c r="M1261" s="55"/>
    </row>
    <row r="1262" spans="2:13" x14ac:dyDescent="0.3">
      <c r="B1262" s="223" t="s">
        <v>2596</v>
      </c>
      <c r="C1262" s="224">
        <v>6</v>
      </c>
      <c r="D1262" s="225">
        <v>13</v>
      </c>
      <c r="E1262" s="226">
        <v>27135</v>
      </c>
      <c r="F1262" s="227"/>
      <c r="G1262" s="1" t="str">
        <f>IFERROR(IF(ventas_b_mes9[[#This Row],[CUIT]]="","-",VLOOKUP(ventas_b_mes9[[#This Row],[CUIT]],Lista_CUIT[#All],2,0)),"CUIT NO CARGADO")</f>
        <v>-</v>
      </c>
      <c r="H1262" s="60">
        <f>ventas_b_mes9[[#This Row],[TOTAL]]/1.21</f>
        <v>23549.87</v>
      </c>
      <c r="I1262" s="228">
        <f>ventas_b_mes9[[#This Row],[IMPORTE NETO]]*0.21</f>
        <v>4945.4726999999993</v>
      </c>
      <c r="J1262" s="229"/>
      <c r="K1262" s="229"/>
      <c r="L1262" s="229">
        <v>28495.342699999997</v>
      </c>
      <c r="M1262" s="55"/>
    </row>
    <row r="1263" spans="2:13" x14ac:dyDescent="0.3">
      <c r="B1263" s="223" t="s">
        <v>2596</v>
      </c>
      <c r="C1263" s="224">
        <v>6</v>
      </c>
      <c r="D1263" s="225">
        <v>13</v>
      </c>
      <c r="E1263" s="226">
        <v>27136</v>
      </c>
      <c r="F1263" s="227"/>
      <c r="G1263" s="1" t="str">
        <f>IFERROR(IF(ventas_b_mes9[[#This Row],[CUIT]]="","-",VLOOKUP(ventas_b_mes9[[#This Row],[CUIT]],Lista_CUIT[#All],2,0)),"CUIT NO CARGADO")</f>
        <v>-</v>
      </c>
      <c r="H1263" s="60">
        <f>ventas_b_mes9[[#This Row],[TOTAL]]/1.21</f>
        <v>2950.42</v>
      </c>
      <c r="I1263" s="228">
        <f>ventas_b_mes9[[#This Row],[IMPORTE NETO]]*0.21</f>
        <v>619.58820000000003</v>
      </c>
      <c r="J1263" s="229"/>
      <c r="K1263" s="229"/>
      <c r="L1263" s="229">
        <v>3570.0082000000002</v>
      </c>
      <c r="M1263" s="55"/>
    </row>
    <row r="1264" spans="2:13" x14ac:dyDescent="0.3">
      <c r="B1264" s="223" t="s">
        <v>2596</v>
      </c>
      <c r="C1264" s="224">
        <v>6</v>
      </c>
      <c r="D1264" s="225">
        <v>13</v>
      </c>
      <c r="E1264" s="226">
        <v>27137</v>
      </c>
      <c r="F1264" s="227"/>
      <c r="G1264" s="1" t="str">
        <f>IFERROR(IF(ventas_b_mes9[[#This Row],[CUIT]]="","-",VLOOKUP(ventas_b_mes9[[#This Row],[CUIT]],Lista_CUIT[#All],2,0)),"CUIT NO CARGADO")</f>
        <v>-</v>
      </c>
      <c r="H1264" s="60">
        <f>ventas_b_mes9[[#This Row],[TOTAL]]/1.21</f>
        <v>19572.900000000001</v>
      </c>
      <c r="I1264" s="228">
        <f>ventas_b_mes9[[#This Row],[IMPORTE NETO]]*0.21</f>
        <v>4110.3090000000002</v>
      </c>
      <c r="J1264" s="229"/>
      <c r="K1264" s="229"/>
      <c r="L1264" s="229">
        <v>23683.209000000003</v>
      </c>
      <c r="M1264" s="55"/>
    </row>
    <row r="1265" spans="2:13" x14ac:dyDescent="0.3">
      <c r="B1265" s="223" t="s">
        <v>2596</v>
      </c>
      <c r="C1265" s="224">
        <v>6</v>
      </c>
      <c r="D1265" s="225">
        <v>13</v>
      </c>
      <c r="E1265" s="226">
        <v>27138</v>
      </c>
      <c r="F1265" s="227"/>
      <c r="G1265" s="1" t="str">
        <f>IFERROR(IF(ventas_b_mes9[[#This Row],[CUIT]]="","-",VLOOKUP(ventas_b_mes9[[#This Row],[CUIT]],Lista_CUIT[#All],2,0)),"CUIT NO CARGADO")</f>
        <v>-</v>
      </c>
      <c r="H1265" s="60">
        <f>ventas_b_mes9[[#This Row],[TOTAL]]/1.21</f>
        <v>2360.33</v>
      </c>
      <c r="I1265" s="228">
        <f>ventas_b_mes9[[#This Row],[IMPORTE NETO]]*0.21</f>
        <v>495.66929999999996</v>
      </c>
      <c r="J1265" s="229"/>
      <c r="K1265" s="229"/>
      <c r="L1265" s="229">
        <v>2855.9992999999999</v>
      </c>
      <c r="M1265" s="55"/>
    </row>
    <row r="1266" spans="2:13" x14ac:dyDescent="0.3">
      <c r="B1266" s="223" t="s">
        <v>2596</v>
      </c>
      <c r="C1266" s="224">
        <v>6</v>
      </c>
      <c r="D1266" s="225">
        <v>13</v>
      </c>
      <c r="E1266" s="226">
        <v>27139</v>
      </c>
      <c r="F1266" s="227"/>
      <c r="G1266" s="1" t="str">
        <f>IFERROR(IF(ventas_b_mes9[[#This Row],[CUIT]]="","-",VLOOKUP(ventas_b_mes9[[#This Row],[CUIT]],Lista_CUIT[#All],2,0)),"CUIT NO CARGADO")</f>
        <v>-</v>
      </c>
      <c r="H1266" s="60">
        <f>ventas_b_mes9[[#This Row],[TOTAL]]/1.21</f>
        <v>1053.72</v>
      </c>
      <c r="I1266" s="228">
        <f>ventas_b_mes9[[#This Row],[IMPORTE NETO]]*0.21</f>
        <v>221.28119999999998</v>
      </c>
      <c r="J1266" s="229"/>
      <c r="K1266" s="229"/>
      <c r="L1266" s="229">
        <v>1275.0011999999999</v>
      </c>
      <c r="M1266" s="55"/>
    </row>
    <row r="1267" spans="2:13" x14ac:dyDescent="0.3">
      <c r="B1267" s="223" t="s">
        <v>2596</v>
      </c>
      <c r="C1267" s="224">
        <v>6</v>
      </c>
      <c r="D1267" s="225">
        <v>13</v>
      </c>
      <c r="E1267" s="226">
        <v>27140</v>
      </c>
      <c r="F1267" s="227"/>
      <c r="G1267" s="1" t="str">
        <f>IFERROR(IF(ventas_b_mes9[[#This Row],[CUIT]]="","-",VLOOKUP(ventas_b_mes9[[#This Row],[CUIT]],Lista_CUIT[#All],2,0)),"CUIT NO CARGADO")</f>
        <v>-</v>
      </c>
      <c r="H1267" s="60">
        <f>ventas_b_mes9[[#This Row],[TOTAL]]/1.21</f>
        <v>2933.88</v>
      </c>
      <c r="I1267" s="228">
        <f>ventas_b_mes9[[#This Row],[IMPORTE NETO]]*0.21</f>
        <v>616.11479999999995</v>
      </c>
      <c r="J1267" s="229"/>
      <c r="K1267" s="229"/>
      <c r="L1267" s="229">
        <v>3549.9947999999999</v>
      </c>
      <c r="M1267" s="55"/>
    </row>
    <row r="1268" spans="2:13" x14ac:dyDescent="0.3">
      <c r="B1268" s="223" t="s">
        <v>2596</v>
      </c>
      <c r="C1268" s="224">
        <v>6</v>
      </c>
      <c r="D1268" s="225">
        <v>13</v>
      </c>
      <c r="E1268" s="226">
        <v>27141</v>
      </c>
      <c r="F1268" s="227"/>
      <c r="G1268" s="1" t="str">
        <f>IFERROR(IF(ventas_b_mes9[[#This Row],[CUIT]]="","-",VLOOKUP(ventas_b_mes9[[#This Row],[CUIT]],Lista_CUIT[#All],2,0)),"CUIT NO CARGADO")</f>
        <v>-</v>
      </c>
      <c r="H1268" s="60">
        <f>ventas_b_mes9[[#This Row],[TOTAL]]/1.21</f>
        <v>7333.88</v>
      </c>
      <c r="I1268" s="228">
        <f>ventas_b_mes9[[#This Row],[IMPORTE NETO]]*0.21</f>
        <v>1540.1148000000001</v>
      </c>
      <c r="J1268" s="229"/>
      <c r="K1268" s="229"/>
      <c r="L1268" s="229">
        <v>8873.9948000000004</v>
      </c>
      <c r="M1268" s="55"/>
    </row>
    <row r="1269" spans="2:13" x14ac:dyDescent="0.3">
      <c r="B1269" s="223" t="s">
        <v>2596</v>
      </c>
      <c r="C1269" s="224">
        <v>6</v>
      </c>
      <c r="D1269" s="225">
        <v>13</v>
      </c>
      <c r="E1269" s="226">
        <v>27142</v>
      </c>
      <c r="F1269" s="227"/>
      <c r="G1269" s="1" t="str">
        <f>IFERROR(IF(ventas_b_mes9[[#This Row],[CUIT]]="","-",VLOOKUP(ventas_b_mes9[[#This Row],[CUIT]],Lista_CUIT[#All],2,0)),"CUIT NO CARGADO")</f>
        <v>-</v>
      </c>
      <c r="H1269" s="60">
        <f>ventas_b_mes9[[#This Row],[TOTAL]]/1.21</f>
        <v>2082.65</v>
      </c>
      <c r="I1269" s="228">
        <f>ventas_b_mes9[[#This Row],[IMPORTE NETO]]*0.21</f>
        <v>437.35649999999998</v>
      </c>
      <c r="J1269" s="229"/>
      <c r="K1269" s="229"/>
      <c r="L1269" s="229">
        <v>2520.0065</v>
      </c>
      <c r="M1269" s="55"/>
    </row>
    <row r="1270" spans="2:13" x14ac:dyDescent="0.3">
      <c r="B1270" s="223" t="s">
        <v>2596</v>
      </c>
      <c r="C1270" s="224">
        <v>6</v>
      </c>
      <c r="D1270" s="225">
        <v>13</v>
      </c>
      <c r="E1270" s="226">
        <v>27143</v>
      </c>
      <c r="F1270" s="227"/>
      <c r="G1270" s="1" t="str">
        <f>IFERROR(IF(ventas_b_mes9[[#This Row],[CUIT]]="","-",VLOOKUP(ventas_b_mes9[[#This Row],[CUIT]],Lista_CUIT[#All],2,0)),"CUIT NO CARGADO")</f>
        <v>-</v>
      </c>
      <c r="H1270" s="60">
        <f>ventas_b_mes9[[#This Row],[TOTAL]]/1.21</f>
        <v>5133.88</v>
      </c>
      <c r="I1270" s="228">
        <f>ventas_b_mes9[[#This Row],[IMPORTE NETO]]*0.21</f>
        <v>1078.1148000000001</v>
      </c>
      <c r="J1270" s="229"/>
      <c r="K1270" s="229"/>
      <c r="L1270" s="229">
        <v>6211.9948000000004</v>
      </c>
      <c r="M1270" s="55"/>
    </row>
    <row r="1271" spans="2:13" x14ac:dyDescent="0.3">
      <c r="B1271" s="223" t="s">
        <v>2596</v>
      </c>
      <c r="C1271" s="224">
        <v>6</v>
      </c>
      <c r="D1271" s="225">
        <v>13</v>
      </c>
      <c r="E1271" s="226">
        <v>27144</v>
      </c>
      <c r="F1271" s="227"/>
      <c r="G1271" s="1" t="str">
        <f>IFERROR(IF(ventas_b_mes9[[#This Row],[CUIT]]="","-",VLOOKUP(ventas_b_mes9[[#This Row],[CUIT]],Lista_CUIT[#All],2,0)),"CUIT NO CARGADO")</f>
        <v>-</v>
      </c>
      <c r="H1271" s="60">
        <f>ventas_b_mes9[[#This Row],[TOTAL]]/1.21</f>
        <v>6337.19</v>
      </c>
      <c r="I1271" s="228">
        <f>ventas_b_mes9[[#This Row],[IMPORTE NETO]]*0.21</f>
        <v>1330.8099</v>
      </c>
      <c r="J1271" s="229"/>
      <c r="K1271" s="229"/>
      <c r="L1271" s="229">
        <v>7667.9998999999998</v>
      </c>
      <c r="M1271" s="55"/>
    </row>
    <row r="1272" spans="2:13" x14ac:dyDescent="0.3">
      <c r="B1272" s="223" t="s">
        <v>2596</v>
      </c>
      <c r="C1272" s="224">
        <v>6</v>
      </c>
      <c r="D1272" s="225">
        <v>13</v>
      </c>
      <c r="E1272" s="226">
        <v>27145</v>
      </c>
      <c r="F1272" s="227"/>
      <c r="G1272" s="1" t="str">
        <f>IFERROR(IF(ventas_b_mes9[[#This Row],[CUIT]]="","-",VLOOKUP(ventas_b_mes9[[#This Row],[CUIT]],Lista_CUIT[#All],2,0)),"CUIT NO CARGADO")</f>
        <v>-</v>
      </c>
      <c r="H1272" s="60">
        <f>ventas_b_mes9[[#This Row],[TOTAL]]/1.21</f>
        <v>3719.0100000000007</v>
      </c>
      <c r="I1272" s="228">
        <f>ventas_b_mes9[[#This Row],[IMPORTE NETO]]*0.21</f>
        <v>780.99210000000016</v>
      </c>
      <c r="J1272" s="229"/>
      <c r="K1272" s="229"/>
      <c r="L1272" s="229">
        <v>4500.0021000000006</v>
      </c>
      <c r="M1272" s="55"/>
    </row>
    <row r="1273" spans="2:13" x14ac:dyDescent="0.3">
      <c r="B1273" s="223" t="s">
        <v>2596</v>
      </c>
      <c r="C1273" s="224">
        <v>6</v>
      </c>
      <c r="D1273" s="225">
        <v>11</v>
      </c>
      <c r="E1273" s="226">
        <v>30594</v>
      </c>
      <c r="F1273" s="227"/>
      <c r="G1273" s="1" t="str">
        <f>IFERROR(IF(ventas_b_mes9[[#This Row],[CUIT]]="","-",VLOOKUP(ventas_b_mes9[[#This Row],[CUIT]],Lista_CUIT[#All],2,0)),"CUIT NO CARGADO")</f>
        <v>-</v>
      </c>
      <c r="H1273" s="60">
        <f>ventas_b_mes9[[#This Row],[TOTAL]]/1.21</f>
        <v>867.7700000000001</v>
      </c>
      <c r="I1273" s="228">
        <f>ventas_b_mes9[[#This Row],[IMPORTE NETO]]*0.21</f>
        <v>182.23170000000002</v>
      </c>
      <c r="J1273" s="229"/>
      <c r="K1273" s="229"/>
      <c r="L1273" s="229">
        <v>1050.0017</v>
      </c>
      <c r="M1273" s="55"/>
    </row>
    <row r="1274" spans="2:13" x14ac:dyDescent="0.3">
      <c r="B1274" s="223" t="s">
        <v>2596</v>
      </c>
      <c r="C1274" s="224">
        <v>6</v>
      </c>
      <c r="D1274" s="225">
        <v>11</v>
      </c>
      <c r="E1274" s="226">
        <v>30595</v>
      </c>
      <c r="F1274" s="227"/>
      <c r="G1274" s="1" t="str">
        <f>IFERROR(IF(ventas_b_mes9[[#This Row],[CUIT]]="","-",VLOOKUP(ventas_b_mes9[[#This Row],[CUIT]],Lista_CUIT[#All],2,0)),"CUIT NO CARGADO")</f>
        <v>-</v>
      </c>
      <c r="H1274" s="60">
        <f>ventas_b_mes9[[#This Row],[TOTAL]]/1.21</f>
        <v>9917.36</v>
      </c>
      <c r="I1274" s="228">
        <f>ventas_b_mes9[[#This Row],[IMPORTE NETO]]*0.21</f>
        <v>2082.6455999999998</v>
      </c>
      <c r="J1274" s="229"/>
      <c r="K1274" s="229"/>
      <c r="L1274" s="229">
        <v>12000.0056</v>
      </c>
      <c r="M1274" s="55"/>
    </row>
    <row r="1275" spans="2:13" x14ac:dyDescent="0.3">
      <c r="B1275" s="223" t="s">
        <v>2596</v>
      </c>
      <c r="C1275" s="224">
        <v>6</v>
      </c>
      <c r="D1275" s="225">
        <v>11</v>
      </c>
      <c r="E1275" s="226">
        <v>30596</v>
      </c>
      <c r="F1275" s="227"/>
      <c r="G1275" s="1" t="str">
        <f>IFERROR(IF(ventas_b_mes9[[#This Row],[CUIT]]="","-",VLOOKUP(ventas_b_mes9[[#This Row],[CUIT]],Lista_CUIT[#All],2,0)),"CUIT NO CARGADO")</f>
        <v>-</v>
      </c>
      <c r="H1275" s="60">
        <f>ventas_b_mes9[[#This Row],[TOTAL]]/1.21</f>
        <v>14836.360000000002</v>
      </c>
      <c r="I1275" s="228">
        <f>ventas_b_mes9[[#This Row],[IMPORTE NETO]]*0.21</f>
        <v>3115.6356000000005</v>
      </c>
      <c r="J1275" s="229"/>
      <c r="K1275" s="229"/>
      <c r="L1275" s="229">
        <v>17951.995600000002</v>
      </c>
      <c r="M1275" s="55"/>
    </row>
    <row r="1276" spans="2:13" x14ac:dyDescent="0.3">
      <c r="B1276" s="223" t="s">
        <v>2596</v>
      </c>
      <c r="C1276" s="224">
        <v>6</v>
      </c>
      <c r="D1276" s="225">
        <v>11</v>
      </c>
      <c r="E1276" s="226">
        <v>30597</v>
      </c>
      <c r="F1276" s="227"/>
      <c r="G1276" s="1" t="str">
        <f>IFERROR(IF(ventas_b_mes9[[#This Row],[CUIT]]="","-",VLOOKUP(ventas_b_mes9[[#This Row],[CUIT]],Lista_CUIT[#All],2,0)),"CUIT NO CARGADO")</f>
        <v>-</v>
      </c>
      <c r="H1276" s="60">
        <f>ventas_b_mes9[[#This Row],[TOTAL]]/1.21</f>
        <v>1264.46</v>
      </c>
      <c r="I1276" s="228">
        <f>ventas_b_mes9[[#This Row],[IMPORTE NETO]]*0.21</f>
        <v>265.53660000000002</v>
      </c>
      <c r="J1276" s="229"/>
      <c r="K1276" s="229"/>
      <c r="L1276" s="229">
        <v>1529.9965999999999</v>
      </c>
      <c r="M1276" s="55"/>
    </row>
    <row r="1277" spans="2:13" x14ac:dyDescent="0.3">
      <c r="B1277" s="223" t="s">
        <v>2596</v>
      </c>
      <c r="C1277" s="224">
        <v>6</v>
      </c>
      <c r="D1277" s="225">
        <v>11</v>
      </c>
      <c r="E1277" s="226">
        <v>30598</v>
      </c>
      <c r="F1277" s="227"/>
      <c r="G1277" s="1" t="str">
        <f>IFERROR(IF(ventas_b_mes9[[#This Row],[CUIT]]="","-",VLOOKUP(ventas_b_mes9[[#This Row],[CUIT]],Lista_CUIT[#All],2,0)),"CUIT NO CARGADO")</f>
        <v>-</v>
      </c>
      <c r="H1277" s="60">
        <f>ventas_b_mes9[[#This Row],[TOTAL]]/1.21</f>
        <v>3666.94</v>
      </c>
      <c r="I1277" s="228">
        <f>ventas_b_mes9[[#This Row],[IMPORTE NETO]]*0.21</f>
        <v>770.05740000000003</v>
      </c>
      <c r="J1277" s="229"/>
      <c r="K1277" s="229"/>
      <c r="L1277" s="229">
        <v>4436.9974000000002</v>
      </c>
      <c r="M1277" s="55"/>
    </row>
    <row r="1278" spans="2:13" x14ac:dyDescent="0.3">
      <c r="B1278" s="223" t="s">
        <v>2596</v>
      </c>
      <c r="C1278" s="224">
        <v>6</v>
      </c>
      <c r="D1278" s="225">
        <v>11</v>
      </c>
      <c r="E1278" s="226">
        <v>30599</v>
      </c>
      <c r="F1278" s="227"/>
      <c r="G1278" s="1" t="str">
        <f>IFERROR(IF(ventas_b_mes9[[#This Row],[CUIT]]="","-",VLOOKUP(ventas_b_mes9[[#This Row],[CUIT]],Lista_CUIT[#All],2,0)),"CUIT NO CARGADO")</f>
        <v>-</v>
      </c>
      <c r="H1278" s="60">
        <f>ventas_b_mes9[[#This Row],[TOTAL]]/1.21</f>
        <v>1138.02</v>
      </c>
      <c r="I1278" s="228">
        <f>ventas_b_mes9[[#This Row],[IMPORTE NETO]]*0.21</f>
        <v>238.98419999999999</v>
      </c>
      <c r="J1278" s="229"/>
      <c r="K1278" s="229"/>
      <c r="L1278" s="229">
        <v>1377.0041999999999</v>
      </c>
      <c r="M1278" s="55"/>
    </row>
    <row r="1279" spans="2:13" x14ac:dyDescent="0.3">
      <c r="B1279" s="223" t="s">
        <v>2596</v>
      </c>
      <c r="C1279" s="224">
        <v>6</v>
      </c>
      <c r="D1279" s="225">
        <v>11</v>
      </c>
      <c r="E1279" s="226">
        <v>30600</v>
      </c>
      <c r="F1279" s="227"/>
      <c r="G1279" s="1" t="str">
        <f>IFERROR(IF(ventas_b_mes9[[#This Row],[CUIT]]="","-",VLOOKUP(ventas_b_mes9[[#This Row],[CUIT]],Lista_CUIT[#All],2,0)),"CUIT NO CARGADO")</f>
        <v>-</v>
      </c>
      <c r="H1279" s="60">
        <f>ventas_b_mes9[[#This Row],[TOTAL]]/1.21</f>
        <v>7853.7400000000007</v>
      </c>
      <c r="I1279" s="228">
        <f>ventas_b_mes9[[#This Row],[IMPORTE NETO]]*0.21</f>
        <v>1649.2854</v>
      </c>
      <c r="J1279" s="229"/>
      <c r="K1279" s="229"/>
      <c r="L1279" s="229">
        <v>9503.0254000000004</v>
      </c>
      <c r="M1279" s="55"/>
    </row>
    <row r="1280" spans="2:13" x14ac:dyDescent="0.3">
      <c r="B1280" s="223" t="s">
        <v>2596</v>
      </c>
      <c r="C1280" s="224">
        <v>6</v>
      </c>
      <c r="D1280" s="225">
        <v>11</v>
      </c>
      <c r="E1280" s="226">
        <v>30601</v>
      </c>
      <c r="F1280" s="227"/>
      <c r="G1280" s="1" t="str">
        <f>IFERROR(IF(ventas_b_mes9[[#This Row],[CUIT]]="","-",VLOOKUP(ventas_b_mes9[[#This Row],[CUIT]],Lista_CUIT[#All],2,0)),"CUIT NO CARGADO")</f>
        <v>-</v>
      </c>
      <c r="H1280" s="60">
        <f>ventas_b_mes9[[#This Row],[TOTAL]]/1.21</f>
        <v>1239.67</v>
      </c>
      <c r="I1280" s="228">
        <f>ventas_b_mes9[[#This Row],[IMPORTE NETO]]*0.21</f>
        <v>260.33069999999998</v>
      </c>
      <c r="J1280" s="229"/>
      <c r="K1280" s="229"/>
      <c r="L1280" s="229">
        <v>1500.0007000000001</v>
      </c>
      <c r="M1280" s="55"/>
    </row>
    <row r="1281" spans="2:13" x14ac:dyDescent="0.3">
      <c r="B1281" s="223" t="s">
        <v>2596</v>
      </c>
      <c r="C1281" s="224">
        <v>6</v>
      </c>
      <c r="D1281" s="225">
        <v>11</v>
      </c>
      <c r="E1281" s="226">
        <v>30602</v>
      </c>
      <c r="F1281" s="227"/>
      <c r="G1281" s="1" t="str">
        <f>IFERROR(IF(ventas_b_mes9[[#This Row],[CUIT]]="","-",VLOOKUP(ventas_b_mes9[[#This Row],[CUIT]],Lista_CUIT[#All],2,0)),"CUIT NO CARGADO")</f>
        <v>-</v>
      </c>
      <c r="H1281" s="60">
        <f>ventas_b_mes9[[#This Row],[TOTAL]]/1.21</f>
        <v>7228.9</v>
      </c>
      <c r="I1281" s="228">
        <f>ventas_b_mes9[[#This Row],[IMPORTE NETO]]*0.21</f>
        <v>1518.069</v>
      </c>
      <c r="J1281" s="229"/>
      <c r="K1281" s="229"/>
      <c r="L1281" s="229">
        <v>8746.9689999999991</v>
      </c>
      <c r="M1281" s="55"/>
    </row>
    <row r="1282" spans="2:13" x14ac:dyDescent="0.3">
      <c r="B1282" s="223" t="s">
        <v>2596</v>
      </c>
      <c r="C1282" s="224">
        <v>6</v>
      </c>
      <c r="D1282" s="225">
        <v>11</v>
      </c>
      <c r="E1282" s="226">
        <v>30603</v>
      </c>
      <c r="F1282" s="227"/>
      <c r="G1282" s="1" t="str">
        <f>IFERROR(IF(ventas_b_mes9[[#This Row],[CUIT]]="","-",VLOOKUP(ventas_b_mes9[[#This Row],[CUIT]],Lista_CUIT[#All],2,0)),"CUIT NO CARGADO")</f>
        <v>-</v>
      </c>
      <c r="H1282" s="60">
        <f>ventas_b_mes9[[#This Row],[TOTAL]]/1.21</f>
        <v>6238.01</v>
      </c>
      <c r="I1282" s="228">
        <f>ventas_b_mes9[[#This Row],[IMPORTE NETO]]*0.21</f>
        <v>1309.9820999999999</v>
      </c>
      <c r="J1282" s="229"/>
      <c r="K1282" s="229"/>
      <c r="L1282" s="229">
        <v>7547.9921000000004</v>
      </c>
      <c r="M1282" s="55"/>
    </row>
    <row r="1283" spans="2:13" x14ac:dyDescent="0.3">
      <c r="B1283" s="223" t="s">
        <v>2596</v>
      </c>
      <c r="C1283" s="224">
        <v>6</v>
      </c>
      <c r="D1283" s="225">
        <v>11</v>
      </c>
      <c r="E1283" s="226">
        <v>30604</v>
      </c>
      <c r="F1283" s="227"/>
      <c r="G1283" s="1" t="str">
        <f>IFERROR(IF(ventas_b_mes9[[#This Row],[CUIT]]="","-",VLOOKUP(ventas_b_mes9[[#This Row],[CUIT]],Lista_CUIT[#All],2,0)),"CUIT NO CARGADO")</f>
        <v>-</v>
      </c>
      <c r="H1283" s="60">
        <f>ventas_b_mes9[[#This Row],[TOTAL]]/1.21</f>
        <v>3899.3799999999997</v>
      </c>
      <c r="I1283" s="228">
        <f>ventas_b_mes9[[#This Row],[IMPORTE NETO]]*0.21</f>
        <v>818.86979999999994</v>
      </c>
      <c r="J1283" s="229"/>
      <c r="K1283" s="229"/>
      <c r="L1283" s="229">
        <v>4718.2497999999996</v>
      </c>
      <c r="M1283" s="55"/>
    </row>
    <row r="1284" spans="2:13" x14ac:dyDescent="0.3">
      <c r="B1284" s="223" t="s">
        <v>2596</v>
      </c>
      <c r="C1284" s="224">
        <v>6</v>
      </c>
      <c r="D1284" s="225">
        <v>11</v>
      </c>
      <c r="E1284" s="226">
        <v>30605</v>
      </c>
      <c r="F1284" s="227"/>
      <c r="G1284" s="1" t="str">
        <f>IFERROR(IF(ventas_b_mes9[[#This Row],[CUIT]]="","-",VLOOKUP(ventas_b_mes9[[#This Row],[CUIT]],Lista_CUIT[#All],2,0)),"CUIT NO CARGADO")</f>
        <v>-</v>
      </c>
      <c r="H1284" s="60">
        <f>ventas_b_mes9[[#This Row],[TOTAL]]/1.21</f>
        <v>3899.3799999999997</v>
      </c>
      <c r="I1284" s="228">
        <f>ventas_b_mes9[[#This Row],[IMPORTE NETO]]*0.21</f>
        <v>818.86979999999994</v>
      </c>
      <c r="J1284" s="229"/>
      <c r="K1284" s="229"/>
      <c r="L1284" s="229">
        <v>4718.2497999999996</v>
      </c>
      <c r="M1284" s="55"/>
    </row>
    <row r="1285" spans="2:13" x14ac:dyDescent="0.3">
      <c r="B1285" s="223" t="s">
        <v>2596</v>
      </c>
      <c r="C1285" s="224">
        <v>6</v>
      </c>
      <c r="D1285" s="225">
        <v>11</v>
      </c>
      <c r="E1285" s="226">
        <v>30606</v>
      </c>
      <c r="F1285" s="227"/>
      <c r="G1285" s="1" t="str">
        <f>IFERROR(IF(ventas_b_mes9[[#This Row],[CUIT]]="","-",VLOOKUP(ventas_b_mes9[[#This Row],[CUIT]],Lista_CUIT[#All],2,0)),"CUIT NO CARGADO")</f>
        <v>-</v>
      </c>
      <c r="H1285" s="60">
        <f>ventas_b_mes9[[#This Row],[TOTAL]]/1.21</f>
        <v>17768.599999999999</v>
      </c>
      <c r="I1285" s="228">
        <f>ventas_b_mes9[[#This Row],[IMPORTE NETO]]*0.21</f>
        <v>3731.4059999999995</v>
      </c>
      <c r="J1285" s="229"/>
      <c r="K1285" s="229"/>
      <c r="L1285" s="229">
        <v>21500.005999999998</v>
      </c>
      <c r="M1285" s="55"/>
    </row>
    <row r="1286" spans="2:13" x14ac:dyDescent="0.3">
      <c r="B1286" s="223" t="s">
        <v>2596</v>
      </c>
      <c r="C1286" s="224">
        <v>6</v>
      </c>
      <c r="D1286" s="225">
        <v>11</v>
      </c>
      <c r="E1286" s="226">
        <v>30607</v>
      </c>
      <c r="F1286" s="227"/>
      <c r="G1286" s="1" t="str">
        <f>IFERROR(IF(ventas_b_mes9[[#This Row],[CUIT]]="","-",VLOOKUP(ventas_b_mes9[[#This Row],[CUIT]],Lista_CUIT[#All],2,0)),"CUIT NO CARGADO")</f>
        <v>-</v>
      </c>
      <c r="H1286" s="60">
        <f>ventas_b_mes9[[#This Row],[TOTAL]]/1.21</f>
        <v>8724.7900000000009</v>
      </c>
      <c r="I1286" s="228">
        <f>ventas_b_mes9[[#This Row],[IMPORTE NETO]]*0.21</f>
        <v>1832.2059000000002</v>
      </c>
      <c r="J1286" s="229"/>
      <c r="K1286" s="229"/>
      <c r="L1286" s="229">
        <v>10556.995900000002</v>
      </c>
      <c r="M1286" s="55"/>
    </row>
    <row r="1287" spans="2:13" x14ac:dyDescent="0.3">
      <c r="B1287" s="223" t="s">
        <v>2596</v>
      </c>
      <c r="C1287" s="224">
        <v>6</v>
      </c>
      <c r="D1287" s="225">
        <v>11</v>
      </c>
      <c r="E1287" s="226">
        <v>30608</v>
      </c>
      <c r="F1287" s="227"/>
      <c r="G1287" s="1" t="str">
        <f>IFERROR(IF(ventas_b_mes9[[#This Row],[CUIT]]="","-",VLOOKUP(ventas_b_mes9[[#This Row],[CUIT]],Lista_CUIT[#All],2,0)),"CUIT NO CARGADO")</f>
        <v>-</v>
      </c>
      <c r="H1287" s="60">
        <f>ventas_b_mes9[[#This Row],[TOTAL]]/1.21</f>
        <v>5493.4</v>
      </c>
      <c r="I1287" s="228">
        <f>ventas_b_mes9[[#This Row],[IMPORTE NETO]]*0.21</f>
        <v>1153.6139999999998</v>
      </c>
      <c r="J1287" s="229"/>
      <c r="K1287" s="229"/>
      <c r="L1287" s="229">
        <v>6647.0139999999992</v>
      </c>
      <c r="M1287" s="55"/>
    </row>
    <row r="1288" spans="2:13" x14ac:dyDescent="0.3">
      <c r="B1288" s="223" t="s">
        <v>2596</v>
      </c>
      <c r="C1288" s="224">
        <v>6</v>
      </c>
      <c r="D1288" s="225">
        <v>11</v>
      </c>
      <c r="E1288" s="226">
        <v>30609</v>
      </c>
      <c r="F1288" s="227"/>
      <c r="G1288" s="1" t="str">
        <f>IFERROR(IF(ventas_b_mes9[[#This Row],[CUIT]]="","-",VLOOKUP(ventas_b_mes9[[#This Row],[CUIT]],Lista_CUIT[#All],2,0)),"CUIT NO CARGADO")</f>
        <v>-</v>
      </c>
      <c r="H1288" s="60">
        <f>ventas_b_mes9[[#This Row],[TOTAL]]/1.21</f>
        <v>5395.06</v>
      </c>
      <c r="I1288" s="228">
        <f>ventas_b_mes9[[#This Row],[IMPORTE NETO]]*0.21</f>
        <v>1132.9626000000001</v>
      </c>
      <c r="J1288" s="229"/>
      <c r="K1288" s="229"/>
      <c r="L1288" s="229">
        <v>6528.0226000000002</v>
      </c>
      <c r="M1288" s="55"/>
    </row>
    <row r="1289" spans="2:13" x14ac:dyDescent="0.3">
      <c r="B1289" s="223" t="s">
        <v>2596</v>
      </c>
      <c r="C1289" s="224">
        <v>6</v>
      </c>
      <c r="D1289" s="225">
        <v>11</v>
      </c>
      <c r="E1289" s="226">
        <v>30610</v>
      </c>
      <c r="F1289" s="227"/>
      <c r="G1289" s="1" t="str">
        <f>IFERROR(IF(ventas_b_mes9[[#This Row],[CUIT]]="","-",VLOOKUP(ventas_b_mes9[[#This Row],[CUIT]],Lista_CUIT[#All],2,0)),"CUIT NO CARGADO")</f>
        <v>-</v>
      </c>
      <c r="H1289" s="60">
        <f>ventas_b_mes9[[#This Row],[TOTAL]]/1.21</f>
        <v>7895.8900000000012</v>
      </c>
      <c r="I1289" s="228">
        <f>ventas_b_mes9[[#This Row],[IMPORTE NETO]]*0.21</f>
        <v>1658.1369000000002</v>
      </c>
      <c r="J1289" s="229"/>
      <c r="K1289" s="229"/>
      <c r="L1289" s="229">
        <v>9554.0269000000008</v>
      </c>
      <c r="M1289" s="55"/>
    </row>
    <row r="1290" spans="2:13" x14ac:dyDescent="0.3">
      <c r="B1290" s="223" t="s">
        <v>2596</v>
      </c>
      <c r="C1290" s="224">
        <v>6</v>
      </c>
      <c r="D1290" s="225">
        <v>11</v>
      </c>
      <c r="E1290" s="226">
        <v>30611</v>
      </c>
      <c r="F1290" s="227"/>
      <c r="G1290" s="1" t="str">
        <f>IFERROR(IF(ventas_b_mes9[[#This Row],[CUIT]]="","-",VLOOKUP(ventas_b_mes9[[#This Row],[CUIT]],Lista_CUIT[#All],2,0)),"CUIT NO CARGADO")</f>
        <v>-</v>
      </c>
      <c r="H1290" s="60">
        <f>ventas_b_mes9[[#This Row],[TOTAL]]/1.21</f>
        <v>5331.41</v>
      </c>
      <c r="I1290" s="228">
        <f>ventas_b_mes9[[#This Row],[IMPORTE NETO]]*0.21</f>
        <v>1119.5961</v>
      </c>
      <c r="J1290" s="229"/>
      <c r="K1290" s="229"/>
      <c r="L1290" s="229">
        <v>6451.0060999999996</v>
      </c>
      <c r="M1290" s="55"/>
    </row>
    <row r="1291" spans="2:13" x14ac:dyDescent="0.3">
      <c r="B1291" s="223" t="s">
        <v>2596</v>
      </c>
      <c r="C1291" s="224">
        <v>6</v>
      </c>
      <c r="D1291" s="225">
        <v>11</v>
      </c>
      <c r="E1291" s="226">
        <v>30612</v>
      </c>
      <c r="F1291" s="227"/>
      <c r="G1291" s="1" t="str">
        <f>IFERROR(IF(ventas_b_mes9[[#This Row],[CUIT]]="","-",VLOOKUP(ventas_b_mes9[[#This Row],[CUIT]],Lista_CUIT[#All],2,0)),"CUIT NO CARGADO")</f>
        <v>-</v>
      </c>
      <c r="H1291" s="60">
        <f>ventas_b_mes9[[#This Row],[TOTAL]]/1.21</f>
        <v>10863.64</v>
      </c>
      <c r="I1291" s="228">
        <f>ventas_b_mes9[[#This Row],[IMPORTE NETO]]*0.21</f>
        <v>2281.3643999999999</v>
      </c>
      <c r="J1291" s="229"/>
      <c r="K1291" s="229"/>
      <c r="L1291" s="229">
        <v>13145.0044</v>
      </c>
      <c r="M1291" s="55"/>
    </row>
    <row r="1292" spans="2:13" x14ac:dyDescent="0.3">
      <c r="B1292" s="223" t="s">
        <v>2596</v>
      </c>
      <c r="C1292" s="224">
        <v>6</v>
      </c>
      <c r="D1292" s="225">
        <v>11</v>
      </c>
      <c r="E1292" s="226">
        <v>30613</v>
      </c>
      <c r="F1292" s="227"/>
      <c r="G1292" s="1" t="str">
        <f>IFERROR(IF(ventas_b_mes9[[#This Row],[CUIT]]="","-",VLOOKUP(ventas_b_mes9[[#This Row],[CUIT]],Lista_CUIT[#All],2,0)),"CUIT NO CARGADO")</f>
        <v>-</v>
      </c>
      <c r="H1292" s="60">
        <f>ventas_b_mes9[[#This Row],[TOTAL]]/1.21</f>
        <v>6238.01</v>
      </c>
      <c r="I1292" s="228">
        <f>ventas_b_mes9[[#This Row],[IMPORTE NETO]]*0.21</f>
        <v>1309.9820999999999</v>
      </c>
      <c r="J1292" s="229"/>
      <c r="K1292" s="229"/>
      <c r="L1292" s="229">
        <v>7547.9921000000004</v>
      </c>
      <c r="M1292" s="55"/>
    </row>
    <row r="1293" spans="2:13" x14ac:dyDescent="0.3">
      <c r="B1293" s="223" t="s">
        <v>2596</v>
      </c>
      <c r="C1293" s="224">
        <v>6</v>
      </c>
      <c r="D1293" s="225">
        <v>15</v>
      </c>
      <c r="E1293" s="226">
        <v>7489</v>
      </c>
      <c r="F1293" s="227"/>
      <c r="G1293" s="1" t="str">
        <f>IFERROR(IF(ventas_b_mes9[[#This Row],[CUIT]]="","-",VLOOKUP(ventas_b_mes9[[#This Row],[CUIT]],Lista_CUIT[#All],2,0)),"CUIT NO CARGADO")</f>
        <v>-</v>
      </c>
      <c r="H1293" s="60">
        <f>ventas_b_mes9[[#This Row],[TOTAL]]/1.21</f>
        <v>2753.72</v>
      </c>
      <c r="I1293" s="228">
        <f>ventas_b_mes9[[#This Row],[IMPORTE NETO]]*0.21</f>
        <v>578.2811999999999</v>
      </c>
      <c r="J1293" s="229"/>
      <c r="K1293" s="229"/>
      <c r="L1293" s="229">
        <v>3332.0011999999997</v>
      </c>
      <c r="M1293" s="55"/>
    </row>
    <row r="1294" spans="2:13" x14ac:dyDescent="0.3">
      <c r="B1294" s="223" t="s">
        <v>2596</v>
      </c>
      <c r="C1294" s="224">
        <v>6</v>
      </c>
      <c r="D1294" s="225">
        <v>15</v>
      </c>
      <c r="E1294" s="226">
        <v>7490</v>
      </c>
      <c r="F1294" s="227"/>
      <c r="G1294" s="1" t="str">
        <f>IFERROR(IF(ventas_b_mes9[[#This Row],[CUIT]]="","-",VLOOKUP(ventas_b_mes9[[#This Row],[CUIT]],Lista_CUIT[#All],2,0)),"CUIT NO CARGADO")</f>
        <v>-</v>
      </c>
      <c r="H1294" s="60">
        <f>ventas_b_mes9[[#This Row],[TOTAL]]/1.21</f>
        <v>10983.49</v>
      </c>
      <c r="I1294" s="228">
        <f>ventas_b_mes9[[#This Row],[IMPORTE NETO]]*0.21</f>
        <v>2306.5328999999997</v>
      </c>
      <c r="J1294" s="229"/>
      <c r="K1294" s="229"/>
      <c r="L1294" s="229">
        <v>13290.0229</v>
      </c>
      <c r="M1294" s="55"/>
    </row>
    <row r="1295" spans="2:13" x14ac:dyDescent="0.3">
      <c r="B1295" s="223" t="s">
        <v>2596</v>
      </c>
      <c r="C1295" s="224">
        <v>6</v>
      </c>
      <c r="D1295" s="225">
        <v>15</v>
      </c>
      <c r="E1295" s="226">
        <v>7491</v>
      </c>
      <c r="F1295" s="227"/>
      <c r="G1295" s="1" t="str">
        <f>IFERROR(IF(ventas_b_mes9[[#This Row],[CUIT]]="","-",VLOOKUP(ventas_b_mes9[[#This Row],[CUIT]],Lista_CUIT[#All],2,0)),"CUIT NO CARGADO")</f>
        <v>-</v>
      </c>
      <c r="H1295" s="60">
        <f>ventas_b_mes9[[#This Row],[TOTAL]]/1.21</f>
        <v>1818.18</v>
      </c>
      <c r="I1295" s="228">
        <f>ventas_b_mes9[[#This Row],[IMPORTE NETO]]*0.21</f>
        <v>381.81779999999998</v>
      </c>
      <c r="J1295" s="229"/>
      <c r="K1295" s="229"/>
      <c r="L1295" s="229">
        <v>2199.9978000000001</v>
      </c>
      <c r="M1295" s="55"/>
    </row>
    <row r="1296" spans="2:13" x14ac:dyDescent="0.3">
      <c r="B1296" s="223" t="s">
        <v>2596</v>
      </c>
      <c r="C1296" s="224">
        <v>6</v>
      </c>
      <c r="D1296" s="225">
        <v>15</v>
      </c>
      <c r="E1296" s="226">
        <v>7492</v>
      </c>
      <c r="F1296" s="227"/>
      <c r="G1296" s="1" t="str">
        <f>IFERROR(IF(ventas_b_mes9[[#This Row],[CUIT]]="","-",VLOOKUP(ventas_b_mes9[[#This Row],[CUIT]],Lista_CUIT[#All],2,0)),"CUIT NO CARGADO")</f>
        <v>-</v>
      </c>
      <c r="H1296" s="60">
        <f>ventas_b_mes9[[#This Row],[TOTAL]]/1.21</f>
        <v>7148.7599999999993</v>
      </c>
      <c r="I1296" s="228">
        <f>ventas_b_mes9[[#This Row],[IMPORTE NETO]]*0.21</f>
        <v>1501.2395999999999</v>
      </c>
      <c r="J1296" s="229"/>
      <c r="K1296" s="229"/>
      <c r="L1296" s="229">
        <v>8649.9995999999992</v>
      </c>
      <c r="M1296" s="55"/>
    </row>
    <row r="1297" spans="2:13" x14ac:dyDescent="0.3">
      <c r="B1297" s="223" t="s">
        <v>2596</v>
      </c>
      <c r="C1297" s="224">
        <v>6</v>
      </c>
      <c r="D1297" s="225">
        <v>15</v>
      </c>
      <c r="E1297" s="226">
        <v>7493</v>
      </c>
      <c r="F1297" s="227"/>
      <c r="G1297" s="1" t="str">
        <f>IFERROR(IF(ventas_b_mes9[[#This Row],[CUIT]]="","-",VLOOKUP(ventas_b_mes9[[#This Row],[CUIT]],Lista_CUIT[#All],2,0)),"CUIT NO CARGADO")</f>
        <v>-</v>
      </c>
      <c r="H1297" s="60">
        <f>ventas_b_mes9[[#This Row],[TOTAL]]/1.21</f>
        <v>1983.47</v>
      </c>
      <c r="I1297" s="228">
        <f>ventas_b_mes9[[#This Row],[IMPORTE NETO]]*0.21</f>
        <v>416.52870000000001</v>
      </c>
      <c r="J1297" s="229"/>
      <c r="K1297" s="229"/>
      <c r="L1297" s="229">
        <v>2399.9987000000001</v>
      </c>
      <c r="M1297" s="55"/>
    </row>
    <row r="1298" spans="2:13" x14ac:dyDescent="0.3">
      <c r="B1298" s="223" t="s">
        <v>2596</v>
      </c>
      <c r="C1298" s="224">
        <v>6</v>
      </c>
      <c r="D1298" s="225">
        <v>15</v>
      </c>
      <c r="E1298" s="226">
        <v>7494</v>
      </c>
      <c r="F1298" s="227"/>
      <c r="G1298" s="1" t="str">
        <f>IFERROR(IF(ventas_b_mes9[[#This Row],[CUIT]]="","-",VLOOKUP(ventas_b_mes9[[#This Row],[CUIT]],Lista_CUIT[#All],2,0)),"CUIT NO CARGADO")</f>
        <v>-</v>
      </c>
      <c r="H1298" s="60">
        <f>ventas_b_mes9[[#This Row],[TOTAL]]/1.21</f>
        <v>3417.3600000000006</v>
      </c>
      <c r="I1298" s="228">
        <f>ventas_b_mes9[[#This Row],[IMPORTE NETO]]*0.21</f>
        <v>717.64560000000006</v>
      </c>
      <c r="J1298" s="229"/>
      <c r="K1298" s="229"/>
      <c r="L1298" s="229">
        <v>4135.0056000000004</v>
      </c>
      <c r="M1298" s="55"/>
    </row>
    <row r="1299" spans="2:13" x14ac:dyDescent="0.3">
      <c r="B1299" s="223" t="s">
        <v>2596</v>
      </c>
      <c r="C1299" s="224">
        <v>6</v>
      </c>
      <c r="D1299" s="225">
        <v>15</v>
      </c>
      <c r="E1299" s="226">
        <v>7495</v>
      </c>
      <c r="F1299" s="227"/>
      <c r="G1299" s="1" t="str">
        <f>IFERROR(IF(ventas_b_mes9[[#This Row],[CUIT]]="","-",VLOOKUP(ventas_b_mes9[[#This Row],[CUIT]],Lista_CUIT[#All],2,0)),"CUIT NO CARGADO")</f>
        <v>-</v>
      </c>
      <c r="H1299" s="60">
        <f>ventas_b_mes9[[#This Row],[TOTAL]]/1.21</f>
        <v>4958.68</v>
      </c>
      <c r="I1299" s="228">
        <f>ventas_b_mes9[[#This Row],[IMPORTE NETO]]*0.21</f>
        <v>1041.3227999999999</v>
      </c>
      <c r="J1299" s="229"/>
      <c r="K1299" s="229"/>
      <c r="L1299" s="229">
        <v>6000.0028000000002</v>
      </c>
      <c r="M1299" s="55"/>
    </row>
    <row r="1300" spans="2:13" x14ac:dyDescent="0.3">
      <c r="B1300" s="223" t="s">
        <v>2596</v>
      </c>
      <c r="C1300" s="224">
        <v>6</v>
      </c>
      <c r="D1300" s="225">
        <v>15</v>
      </c>
      <c r="E1300" s="226">
        <v>7496</v>
      </c>
      <c r="F1300" s="227"/>
      <c r="G1300" s="1" t="str">
        <f>IFERROR(IF(ventas_b_mes9[[#This Row],[CUIT]]="","-",VLOOKUP(ventas_b_mes9[[#This Row],[CUIT]],Lista_CUIT[#All],2,0)),"CUIT NO CARGADO")</f>
        <v>-</v>
      </c>
      <c r="H1300" s="60">
        <f>ventas_b_mes9[[#This Row],[TOTAL]]/1.21</f>
        <v>4958.68</v>
      </c>
      <c r="I1300" s="228">
        <f>ventas_b_mes9[[#This Row],[IMPORTE NETO]]*0.21</f>
        <v>1041.3227999999999</v>
      </c>
      <c r="J1300" s="229"/>
      <c r="K1300" s="229"/>
      <c r="L1300" s="229">
        <v>6000.0028000000002</v>
      </c>
      <c r="M1300" s="55"/>
    </row>
    <row r="1301" spans="2:13" x14ac:dyDescent="0.3">
      <c r="B1301" s="223" t="s">
        <v>2596</v>
      </c>
      <c r="C1301" s="224">
        <v>6</v>
      </c>
      <c r="D1301" s="225">
        <v>10</v>
      </c>
      <c r="E1301" s="226">
        <v>44488</v>
      </c>
      <c r="F1301" s="227"/>
      <c r="G1301" s="1" t="str">
        <f>IFERROR(IF(ventas_b_mes9[[#This Row],[CUIT]]="","-",VLOOKUP(ventas_b_mes9[[#This Row],[CUIT]],Lista_CUIT[#All],2,0)),"CUIT NO CARGADO")</f>
        <v>-</v>
      </c>
      <c r="H1301" s="60">
        <f>ventas_b_mes9[[#This Row],[TOTAL]]/1.21</f>
        <v>2148.7600000000002</v>
      </c>
      <c r="I1301" s="228">
        <f>ventas_b_mes9[[#This Row],[IMPORTE NETO]]*0.21</f>
        <v>451.23960000000005</v>
      </c>
      <c r="J1301" s="229"/>
      <c r="K1301" s="229"/>
      <c r="L1301" s="229">
        <v>2599.9996000000001</v>
      </c>
      <c r="M1301" s="55"/>
    </row>
    <row r="1302" spans="2:13" x14ac:dyDescent="0.3">
      <c r="B1302" s="223" t="s">
        <v>2596</v>
      </c>
      <c r="C1302" s="224">
        <v>6</v>
      </c>
      <c r="D1302" s="225">
        <v>10</v>
      </c>
      <c r="E1302" s="226">
        <v>44489</v>
      </c>
      <c r="F1302" s="227"/>
      <c r="G1302" s="1" t="str">
        <f>IFERROR(IF(ventas_b_mes9[[#This Row],[CUIT]]="","-",VLOOKUP(ventas_b_mes9[[#This Row],[CUIT]],Lista_CUIT[#All],2,0)),"CUIT NO CARGADO")</f>
        <v>-</v>
      </c>
      <c r="H1302" s="60">
        <f>ventas_b_mes9[[#This Row],[TOTAL]]/1.21</f>
        <v>7923.9700000000012</v>
      </c>
      <c r="I1302" s="228">
        <f>ventas_b_mes9[[#This Row],[IMPORTE NETO]]*0.21</f>
        <v>1664.0337000000002</v>
      </c>
      <c r="J1302" s="229"/>
      <c r="K1302" s="229"/>
      <c r="L1302" s="229">
        <v>9588.0037000000011</v>
      </c>
      <c r="M1302" s="55"/>
    </row>
    <row r="1303" spans="2:13" x14ac:dyDescent="0.3">
      <c r="B1303" s="223" t="s">
        <v>2596</v>
      </c>
      <c r="C1303" s="224">
        <v>6</v>
      </c>
      <c r="D1303" s="225">
        <v>10</v>
      </c>
      <c r="E1303" s="226">
        <v>44490</v>
      </c>
      <c r="F1303" s="227"/>
      <c r="G1303" s="1" t="str">
        <f>IFERROR(IF(ventas_b_mes9[[#This Row],[CUIT]]="","-",VLOOKUP(ventas_b_mes9[[#This Row],[CUIT]],Lista_CUIT[#All],2,0)),"CUIT NO CARGADO")</f>
        <v>-</v>
      </c>
      <c r="H1303" s="60">
        <f>ventas_b_mes9[[#This Row],[TOTAL]]/1.21</f>
        <v>4116.53</v>
      </c>
      <c r="I1303" s="228">
        <f>ventas_b_mes9[[#This Row],[IMPORTE NETO]]*0.21</f>
        <v>864.47129999999993</v>
      </c>
      <c r="J1303" s="229"/>
      <c r="K1303" s="229"/>
      <c r="L1303" s="229">
        <v>4981.0012999999999</v>
      </c>
      <c r="M1303" s="55"/>
    </row>
    <row r="1304" spans="2:13" x14ac:dyDescent="0.3">
      <c r="B1304" s="223" t="s">
        <v>2596</v>
      </c>
      <c r="C1304" s="224">
        <v>6</v>
      </c>
      <c r="D1304" s="225">
        <v>10</v>
      </c>
      <c r="E1304" s="226">
        <v>44491</v>
      </c>
      <c r="F1304" s="227"/>
      <c r="G1304" s="1" t="str">
        <f>IFERROR(IF(ventas_b_mes9[[#This Row],[CUIT]]="","-",VLOOKUP(ventas_b_mes9[[#This Row],[CUIT]],Lista_CUIT[#All],2,0)),"CUIT NO CARGADO")</f>
        <v>-</v>
      </c>
      <c r="H1304" s="60">
        <f>ventas_b_mes9[[#This Row],[TOTAL]]/1.21</f>
        <v>14709.92</v>
      </c>
      <c r="I1304" s="228">
        <f>ventas_b_mes9[[#This Row],[IMPORTE NETO]]*0.21</f>
        <v>3089.0832</v>
      </c>
      <c r="J1304" s="229"/>
      <c r="K1304" s="229"/>
      <c r="L1304" s="229">
        <v>17799.003199999999</v>
      </c>
      <c r="M1304" s="55"/>
    </row>
    <row r="1305" spans="2:13" x14ac:dyDescent="0.3">
      <c r="B1305" s="223" t="s">
        <v>2596</v>
      </c>
      <c r="C1305" s="224">
        <v>6</v>
      </c>
      <c r="D1305" s="225">
        <v>10</v>
      </c>
      <c r="E1305" s="226">
        <v>44492</v>
      </c>
      <c r="F1305" s="227"/>
      <c r="G1305" s="1" t="str">
        <f>IFERROR(IF(ventas_b_mes9[[#This Row],[CUIT]]="","-",VLOOKUP(ventas_b_mes9[[#This Row],[CUIT]],Lista_CUIT[#All],2,0)),"CUIT NO CARGADO")</f>
        <v>-</v>
      </c>
      <c r="H1305" s="60">
        <f>ventas_b_mes9[[#This Row],[TOTAL]]/1.21</f>
        <v>16452.07</v>
      </c>
      <c r="I1305" s="228">
        <f>ventas_b_mes9[[#This Row],[IMPORTE NETO]]*0.21</f>
        <v>3454.9346999999998</v>
      </c>
      <c r="J1305" s="229"/>
      <c r="K1305" s="229"/>
      <c r="L1305" s="229">
        <v>19907.004699999998</v>
      </c>
      <c r="M1305" s="55"/>
    </row>
    <row r="1306" spans="2:13" x14ac:dyDescent="0.3">
      <c r="B1306" s="223" t="s">
        <v>2596</v>
      </c>
      <c r="C1306" s="224">
        <v>6</v>
      </c>
      <c r="D1306" s="225">
        <v>10</v>
      </c>
      <c r="E1306" s="226">
        <v>44493</v>
      </c>
      <c r="F1306" s="227"/>
      <c r="G1306" s="1" t="str">
        <f>IFERROR(IF(ventas_b_mes9[[#This Row],[CUIT]]="","-",VLOOKUP(ventas_b_mes9[[#This Row],[CUIT]],Lista_CUIT[#All],2,0)),"CUIT NO CARGADO")</f>
        <v>-</v>
      </c>
      <c r="H1306" s="60">
        <f>ventas_b_mes9[[#This Row],[TOTAL]]/1.21</f>
        <v>6247.93</v>
      </c>
      <c r="I1306" s="228">
        <f>ventas_b_mes9[[#This Row],[IMPORTE NETO]]*0.21</f>
        <v>1312.0653</v>
      </c>
      <c r="J1306" s="229"/>
      <c r="K1306" s="229"/>
      <c r="L1306" s="229">
        <v>7559.9953000000005</v>
      </c>
      <c r="M1306" s="55"/>
    </row>
    <row r="1307" spans="2:13" x14ac:dyDescent="0.3">
      <c r="B1307" s="223" t="s">
        <v>2596</v>
      </c>
      <c r="C1307" s="224">
        <v>6</v>
      </c>
      <c r="D1307" s="225">
        <v>10</v>
      </c>
      <c r="E1307" s="226">
        <v>44494</v>
      </c>
      <c r="F1307" s="227"/>
      <c r="G1307" s="1" t="str">
        <f>IFERROR(IF(ventas_b_mes9[[#This Row],[CUIT]]="","-",VLOOKUP(ventas_b_mes9[[#This Row],[CUIT]],Lista_CUIT[#All],2,0)),"CUIT NO CARGADO")</f>
        <v>-</v>
      </c>
      <c r="H1307" s="60">
        <f>ventas_b_mes9[[#This Row],[TOTAL]]/1.21</f>
        <v>1882.64</v>
      </c>
      <c r="I1307" s="228">
        <f>ventas_b_mes9[[#This Row],[IMPORTE NETO]]*0.21</f>
        <v>395.3544</v>
      </c>
      <c r="J1307" s="229"/>
      <c r="K1307" s="229"/>
      <c r="L1307" s="229">
        <v>2277.9944</v>
      </c>
      <c r="M1307" s="55"/>
    </row>
    <row r="1308" spans="2:13" x14ac:dyDescent="0.3">
      <c r="B1308" s="223" t="s">
        <v>2596</v>
      </c>
      <c r="C1308" s="224">
        <v>6</v>
      </c>
      <c r="D1308" s="225">
        <v>10</v>
      </c>
      <c r="E1308" s="226">
        <v>44495</v>
      </c>
      <c r="F1308" s="227"/>
      <c r="G1308" s="1" t="str">
        <f>IFERROR(IF(ventas_b_mes9[[#This Row],[CUIT]]="","-",VLOOKUP(ventas_b_mes9[[#This Row],[CUIT]],Lista_CUIT[#All],2,0)),"CUIT NO CARGADO")</f>
        <v>-</v>
      </c>
      <c r="H1308" s="60">
        <f>ventas_b_mes9[[#This Row],[TOTAL]]/1.21</f>
        <v>4958.68</v>
      </c>
      <c r="I1308" s="228">
        <f>ventas_b_mes9[[#This Row],[IMPORTE NETO]]*0.21</f>
        <v>1041.3227999999999</v>
      </c>
      <c r="J1308" s="229"/>
      <c r="K1308" s="229"/>
      <c r="L1308" s="229">
        <v>6000.0028000000002</v>
      </c>
      <c r="M1308" s="55"/>
    </row>
    <row r="1309" spans="2:13" x14ac:dyDescent="0.3">
      <c r="B1309" s="223" t="s">
        <v>2596</v>
      </c>
      <c r="C1309" s="224">
        <v>6</v>
      </c>
      <c r="D1309" s="225">
        <v>10</v>
      </c>
      <c r="E1309" s="226">
        <v>44496</v>
      </c>
      <c r="F1309" s="227"/>
      <c r="G1309" s="1" t="str">
        <f>IFERROR(IF(ventas_b_mes9[[#This Row],[CUIT]]="","-",VLOOKUP(ventas_b_mes9[[#This Row],[CUIT]],Lista_CUIT[#All],2,0)),"CUIT NO CARGADO")</f>
        <v>-</v>
      </c>
      <c r="H1309" s="60">
        <f>ventas_b_mes9[[#This Row],[TOTAL]]/1.21</f>
        <v>1180.17</v>
      </c>
      <c r="I1309" s="228">
        <f>ventas_b_mes9[[#This Row],[IMPORTE NETO]]*0.21</f>
        <v>247.8357</v>
      </c>
      <c r="J1309" s="229"/>
      <c r="K1309" s="229"/>
      <c r="L1309" s="229">
        <v>1428.0057000000002</v>
      </c>
      <c r="M1309" s="55"/>
    </row>
    <row r="1310" spans="2:13" x14ac:dyDescent="0.3">
      <c r="B1310" s="223" t="s">
        <v>2596</v>
      </c>
      <c r="C1310" s="224">
        <v>6</v>
      </c>
      <c r="D1310" s="225">
        <v>10</v>
      </c>
      <c r="E1310" s="226">
        <v>44497</v>
      </c>
      <c r="F1310" s="227"/>
      <c r="G1310" s="1" t="str">
        <f>IFERROR(IF(ventas_b_mes9[[#This Row],[CUIT]]="","-",VLOOKUP(ventas_b_mes9[[#This Row],[CUIT]],Lista_CUIT[#All],2,0)),"CUIT NO CARGADO")</f>
        <v>-</v>
      </c>
      <c r="H1310" s="60">
        <f>ventas_b_mes9[[#This Row],[TOTAL]]/1.21</f>
        <v>10674.38</v>
      </c>
      <c r="I1310" s="228">
        <f>ventas_b_mes9[[#This Row],[IMPORTE NETO]]*0.21</f>
        <v>2241.6197999999999</v>
      </c>
      <c r="J1310" s="229"/>
      <c r="K1310" s="229"/>
      <c r="L1310" s="229">
        <v>12915.9998</v>
      </c>
      <c r="M1310" s="55"/>
    </row>
    <row r="1311" spans="2:13" x14ac:dyDescent="0.3">
      <c r="B1311" s="223" t="s">
        <v>2596</v>
      </c>
      <c r="C1311" s="224">
        <v>6</v>
      </c>
      <c r="D1311" s="225">
        <v>10</v>
      </c>
      <c r="E1311" s="226">
        <v>44498</v>
      </c>
      <c r="F1311" s="227"/>
      <c r="G1311" s="1" t="str">
        <f>IFERROR(IF(ventas_b_mes9[[#This Row],[CUIT]]="","-",VLOOKUP(ventas_b_mes9[[#This Row],[CUIT]],Lista_CUIT[#All],2,0)),"CUIT NO CARGADO")</f>
        <v>-</v>
      </c>
      <c r="H1311" s="60">
        <f>ventas_b_mes9[[#This Row],[TOTAL]]/1.21</f>
        <v>12390.83</v>
      </c>
      <c r="I1311" s="228">
        <f>ventas_b_mes9[[#This Row],[IMPORTE NETO]]*0.21</f>
        <v>2602.0742999999998</v>
      </c>
      <c r="J1311" s="229"/>
      <c r="K1311" s="229"/>
      <c r="L1311" s="229">
        <v>14992.9043</v>
      </c>
      <c r="M1311" s="55"/>
    </row>
    <row r="1312" spans="2:13" x14ac:dyDescent="0.3">
      <c r="B1312" s="223" t="s">
        <v>2596</v>
      </c>
      <c r="C1312" s="224">
        <v>6</v>
      </c>
      <c r="D1312" s="225">
        <v>10</v>
      </c>
      <c r="E1312" s="226">
        <v>44499</v>
      </c>
      <c r="F1312" s="227"/>
      <c r="G1312" s="1" t="str">
        <f>IFERROR(IF(ventas_b_mes9[[#This Row],[CUIT]]="","-",VLOOKUP(ventas_b_mes9[[#This Row],[CUIT]],Lista_CUIT[#All],2,0)),"CUIT NO CARGADO")</f>
        <v>-</v>
      </c>
      <c r="H1312" s="60">
        <f>ventas_b_mes9[[#This Row],[TOTAL]]/1.21</f>
        <v>27226.450000000004</v>
      </c>
      <c r="I1312" s="228">
        <f>ventas_b_mes9[[#This Row],[IMPORTE NETO]]*0.21</f>
        <v>5717.5545000000011</v>
      </c>
      <c r="J1312" s="229"/>
      <c r="K1312" s="229"/>
      <c r="L1312" s="229">
        <v>32944.004500000003</v>
      </c>
      <c r="M1312" s="55"/>
    </row>
    <row r="1313" spans="2:13" x14ac:dyDescent="0.3">
      <c r="B1313" s="223" t="s">
        <v>2596</v>
      </c>
      <c r="C1313" s="224">
        <v>6</v>
      </c>
      <c r="D1313" s="225">
        <v>10</v>
      </c>
      <c r="E1313" s="226">
        <v>44500</v>
      </c>
      <c r="F1313" s="227"/>
      <c r="G1313" s="1" t="str">
        <f>IFERROR(IF(ventas_b_mes9[[#This Row],[CUIT]]="","-",VLOOKUP(ventas_b_mes9[[#This Row],[CUIT]],Lista_CUIT[#All],2,0)),"CUIT NO CARGADO")</f>
        <v>-</v>
      </c>
      <c r="H1313" s="60">
        <f>ventas_b_mes9[[#This Row],[TOTAL]]/1.21</f>
        <v>33314.629999999997</v>
      </c>
      <c r="I1313" s="228">
        <f>ventas_b_mes9[[#This Row],[IMPORTE NETO]]*0.21</f>
        <v>6996.0722999999989</v>
      </c>
      <c r="J1313" s="229"/>
      <c r="K1313" s="229"/>
      <c r="L1313" s="229">
        <v>40310.702299999997</v>
      </c>
      <c r="M1313" s="55"/>
    </row>
    <row r="1314" spans="2:13" x14ac:dyDescent="0.3">
      <c r="B1314" s="223" t="s">
        <v>2596</v>
      </c>
      <c r="C1314" s="224">
        <v>6</v>
      </c>
      <c r="D1314" s="225">
        <v>10</v>
      </c>
      <c r="E1314" s="226">
        <v>44501</v>
      </c>
      <c r="F1314" s="227"/>
      <c r="G1314" s="1" t="str">
        <f>IFERROR(IF(ventas_b_mes9[[#This Row],[CUIT]]="","-",VLOOKUP(ventas_b_mes9[[#This Row],[CUIT]],Lista_CUIT[#All],2,0)),"CUIT NO CARGADO")</f>
        <v>-</v>
      </c>
      <c r="H1314" s="60">
        <f>ventas_b_mes9[[#This Row],[TOTAL]]/1.21</f>
        <v>6052.07</v>
      </c>
      <c r="I1314" s="228">
        <f>ventas_b_mes9[[#This Row],[IMPORTE NETO]]*0.21</f>
        <v>1270.9346999999998</v>
      </c>
      <c r="J1314" s="229"/>
      <c r="K1314" s="229"/>
      <c r="L1314" s="229">
        <v>7323.0046999999995</v>
      </c>
      <c r="M1314" s="55"/>
    </row>
    <row r="1315" spans="2:13" x14ac:dyDescent="0.3">
      <c r="B1315" s="223" t="s">
        <v>2596</v>
      </c>
      <c r="C1315" s="224">
        <v>6</v>
      </c>
      <c r="D1315" s="225">
        <v>10</v>
      </c>
      <c r="E1315" s="226">
        <v>44502</v>
      </c>
      <c r="F1315" s="227"/>
      <c r="G1315" s="1" t="str">
        <f>IFERROR(IF(ventas_b_mes9[[#This Row],[CUIT]]="","-",VLOOKUP(ventas_b_mes9[[#This Row],[CUIT]],Lista_CUIT[#All],2,0)),"CUIT NO CARGADO")</f>
        <v>-</v>
      </c>
      <c r="H1315" s="60">
        <f>ventas_b_mes9[[#This Row],[TOTAL]]/1.21</f>
        <v>5504.96</v>
      </c>
      <c r="I1315" s="228">
        <f>ventas_b_mes9[[#This Row],[IMPORTE NETO]]*0.21</f>
        <v>1156.0416</v>
      </c>
      <c r="J1315" s="229"/>
      <c r="K1315" s="229"/>
      <c r="L1315" s="229">
        <v>6661.0015999999996</v>
      </c>
      <c r="M1315" s="55"/>
    </row>
    <row r="1316" spans="2:13" x14ac:dyDescent="0.3">
      <c r="B1316" s="223" t="s">
        <v>2596</v>
      </c>
      <c r="C1316" s="224">
        <v>6</v>
      </c>
      <c r="D1316" s="225">
        <v>10</v>
      </c>
      <c r="E1316" s="226">
        <v>44503</v>
      </c>
      <c r="F1316" s="227"/>
      <c r="G1316" s="1" t="str">
        <f>IFERROR(IF(ventas_b_mes9[[#This Row],[CUIT]]="","-",VLOOKUP(ventas_b_mes9[[#This Row],[CUIT]],Lista_CUIT[#All],2,0)),"CUIT NO CARGADO")</f>
        <v>-</v>
      </c>
      <c r="H1316" s="60">
        <f>ventas_b_mes9[[#This Row],[TOTAL]]/1.21</f>
        <v>8724.7900000000009</v>
      </c>
      <c r="I1316" s="228">
        <f>ventas_b_mes9[[#This Row],[IMPORTE NETO]]*0.21</f>
        <v>1832.2059000000002</v>
      </c>
      <c r="J1316" s="229"/>
      <c r="K1316" s="229"/>
      <c r="L1316" s="229">
        <v>10556.995900000002</v>
      </c>
      <c r="M1316" s="55"/>
    </row>
    <row r="1317" spans="2:13" x14ac:dyDescent="0.3">
      <c r="B1317" s="223" t="s">
        <v>2596</v>
      </c>
      <c r="C1317" s="224">
        <v>6</v>
      </c>
      <c r="D1317" s="225">
        <v>12</v>
      </c>
      <c r="E1317" s="226">
        <v>23075</v>
      </c>
      <c r="F1317" s="227"/>
      <c r="G1317" s="1" t="str">
        <f>IFERROR(IF(ventas_b_mes9[[#This Row],[CUIT]]="","-",VLOOKUP(ventas_b_mes9[[#This Row],[CUIT]],Lista_CUIT[#All],2,0)),"CUIT NO CARGADO")</f>
        <v>-</v>
      </c>
      <c r="H1317" s="60">
        <f>ventas_b_mes9[[#This Row],[TOTAL]]/1.21</f>
        <v>1446.28</v>
      </c>
      <c r="I1317" s="228">
        <f>ventas_b_mes9[[#This Row],[IMPORTE NETO]]*0.21</f>
        <v>303.71879999999999</v>
      </c>
      <c r="J1317" s="229"/>
      <c r="K1317" s="229"/>
      <c r="L1317" s="229">
        <v>1749.9987999999998</v>
      </c>
      <c r="M1317" s="55"/>
    </row>
    <row r="1318" spans="2:13" x14ac:dyDescent="0.3">
      <c r="B1318" s="223" t="s">
        <v>2596</v>
      </c>
      <c r="C1318" s="224">
        <v>6</v>
      </c>
      <c r="D1318" s="225">
        <v>12</v>
      </c>
      <c r="E1318" s="226">
        <v>23076</v>
      </c>
      <c r="F1318" s="227"/>
      <c r="G1318" s="1" t="str">
        <f>IFERROR(IF(ventas_b_mes9[[#This Row],[CUIT]]="","-",VLOOKUP(ventas_b_mes9[[#This Row],[CUIT]],Lista_CUIT[#All],2,0)),"CUIT NO CARGADO")</f>
        <v>-</v>
      </c>
      <c r="H1318" s="60">
        <f>ventas_b_mes9[[#This Row],[TOTAL]]/1.21</f>
        <v>9385.5400000000009</v>
      </c>
      <c r="I1318" s="228">
        <f>ventas_b_mes9[[#This Row],[IMPORTE NETO]]*0.21</f>
        <v>1970.9634000000001</v>
      </c>
      <c r="J1318" s="229"/>
      <c r="K1318" s="229"/>
      <c r="L1318" s="229">
        <v>11356.503400000001</v>
      </c>
      <c r="M1318" s="55"/>
    </row>
    <row r="1319" spans="2:13" x14ac:dyDescent="0.3">
      <c r="B1319" s="223" t="s">
        <v>2596</v>
      </c>
      <c r="C1319" s="224">
        <v>6</v>
      </c>
      <c r="D1319" s="225">
        <v>12</v>
      </c>
      <c r="E1319" s="226">
        <v>23077</v>
      </c>
      <c r="F1319" s="227"/>
      <c r="G1319" s="1" t="str">
        <f>IFERROR(IF(ventas_b_mes9[[#This Row],[CUIT]]="","-",VLOOKUP(ventas_b_mes9[[#This Row],[CUIT]],Lista_CUIT[#All],2,0)),"CUIT NO CARGADO")</f>
        <v>-</v>
      </c>
      <c r="H1319" s="60">
        <f>ventas_b_mes9[[#This Row],[TOTAL]]/1.21</f>
        <v>3709.1</v>
      </c>
      <c r="I1319" s="228">
        <f>ventas_b_mes9[[#This Row],[IMPORTE NETO]]*0.21</f>
        <v>778.91099999999994</v>
      </c>
      <c r="J1319" s="229"/>
      <c r="K1319" s="229"/>
      <c r="L1319" s="229">
        <v>4488.0109999999995</v>
      </c>
      <c r="M1319" s="55"/>
    </row>
    <row r="1320" spans="2:13" x14ac:dyDescent="0.3">
      <c r="B1320" s="223" t="s">
        <v>2596</v>
      </c>
      <c r="C1320" s="224">
        <v>6</v>
      </c>
      <c r="D1320" s="225">
        <v>12</v>
      </c>
      <c r="E1320" s="226">
        <v>23078</v>
      </c>
      <c r="F1320" s="227"/>
      <c r="G1320" s="1" t="str">
        <f>IFERROR(IF(ventas_b_mes9[[#This Row],[CUIT]]="","-",VLOOKUP(ventas_b_mes9[[#This Row],[CUIT]],Lista_CUIT[#All],2,0)),"CUIT NO CARGADO")</f>
        <v>-</v>
      </c>
      <c r="H1320" s="60">
        <f>ventas_b_mes9[[#This Row],[TOTAL]]/1.21</f>
        <v>1390.91</v>
      </c>
      <c r="I1320" s="228">
        <f>ventas_b_mes9[[#This Row],[IMPORTE NETO]]*0.21</f>
        <v>292.09109999999998</v>
      </c>
      <c r="J1320" s="229"/>
      <c r="K1320" s="229"/>
      <c r="L1320" s="229">
        <v>1683.0011</v>
      </c>
      <c r="M1320" s="55"/>
    </row>
    <row r="1321" spans="2:13" x14ac:dyDescent="0.3">
      <c r="B1321" s="223" t="s">
        <v>2596</v>
      </c>
      <c r="C1321" s="224">
        <v>6</v>
      </c>
      <c r="D1321" s="225">
        <v>12</v>
      </c>
      <c r="E1321" s="226">
        <v>23079</v>
      </c>
      <c r="F1321" s="227"/>
      <c r="G1321" s="1" t="str">
        <f>IFERROR(IF(ventas_b_mes9[[#This Row],[CUIT]]="","-",VLOOKUP(ventas_b_mes9[[#This Row],[CUIT]],Lista_CUIT[#All],2,0)),"CUIT NO CARGADO")</f>
        <v>-</v>
      </c>
      <c r="H1321" s="60">
        <f>ventas_b_mes9[[#This Row],[TOTAL]]/1.21</f>
        <v>10027.290000000001</v>
      </c>
      <c r="I1321" s="228">
        <f>ventas_b_mes9[[#This Row],[IMPORTE NETO]]*0.21</f>
        <v>2105.7309</v>
      </c>
      <c r="J1321" s="229"/>
      <c r="K1321" s="229"/>
      <c r="L1321" s="229">
        <v>12133.020900000001</v>
      </c>
      <c r="M1321" s="55"/>
    </row>
    <row r="1322" spans="2:13" x14ac:dyDescent="0.3">
      <c r="B1322" s="223" t="s">
        <v>2596</v>
      </c>
      <c r="C1322" s="224">
        <v>6</v>
      </c>
      <c r="D1322" s="225">
        <v>12</v>
      </c>
      <c r="E1322" s="226">
        <v>23080</v>
      </c>
      <c r="F1322" s="227"/>
      <c r="G1322" s="1" t="str">
        <f>IFERROR(IF(ventas_b_mes9[[#This Row],[CUIT]]="","-",VLOOKUP(ventas_b_mes9[[#This Row],[CUIT]],Lista_CUIT[#All],2,0)),"CUIT NO CARGADO")</f>
        <v>-</v>
      </c>
      <c r="H1322" s="60">
        <f>ventas_b_mes9[[#This Row],[TOTAL]]/1.21</f>
        <v>2753.73</v>
      </c>
      <c r="I1322" s="228">
        <f>ventas_b_mes9[[#This Row],[IMPORTE NETO]]*0.21</f>
        <v>578.28329999999994</v>
      </c>
      <c r="J1322" s="229"/>
      <c r="K1322" s="229"/>
      <c r="L1322" s="229">
        <v>3332.0133000000001</v>
      </c>
      <c r="M1322" s="55"/>
    </row>
    <row r="1323" spans="2:13" x14ac:dyDescent="0.3">
      <c r="B1323" s="223" t="s">
        <v>2596</v>
      </c>
      <c r="C1323" s="224">
        <v>6</v>
      </c>
      <c r="D1323" s="225">
        <v>12</v>
      </c>
      <c r="E1323" s="226">
        <v>23081</v>
      </c>
      <c r="F1323" s="227"/>
      <c r="G1323" s="1" t="str">
        <f>IFERROR(IF(ventas_b_mes9[[#This Row],[CUIT]]="","-",VLOOKUP(ventas_b_mes9[[#This Row],[CUIT]],Lista_CUIT[#All],2,0)),"CUIT NO CARGADO")</f>
        <v>-</v>
      </c>
      <c r="H1323" s="60">
        <f>ventas_b_mes9[[#This Row],[TOTAL]]/1.21</f>
        <v>1446.28</v>
      </c>
      <c r="I1323" s="228">
        <f>ventas_b_mes9[[#This Row],[IMPORTE NETO]]*0.21</f>
        <v>303.71879999999999</v>
      </c>
      <c r="J1323" s="229"/>
      <c r="K1323" s="229"/>
      <c r="L1323" s="229">
        <v>1749.9987999999998</v>
      </c>
      <c r="M1323" s="55"/>
    </row>
    <row r="1324" spans="2:13" x14ac:dyDescent="0.3">
      <c r="B1324" s="223" t="s">
        <v>2596</v>
      </c>
      <c r="C1324" s="224">
        <v>6</v>
      </c>
      <c r="D1324" s="225">
        <v>12</v>
      </c>
      <c r="E1324" s="226">
        <v>23082</v>
      </c>
      <c r="F1324" s="227"/>
      <c r="G1324" s="1" t="str">
        <f>IFERROR(IF(ventas_b_mes9[[#This Row],[CUIT]]="","-",VLOOKUP(ventas_b_mes9[[#This Row],[CUIT]],Lista_CUIT[#All],2,0)),"CUIT NO CARGADO")</f>
        <v>-</v>
      </c>
      <c r="H1324" s="60">
        <f>ventas_b_mes9[[#This Row],[TOTAL]]/1.21</f>
        <v>7594.22</v>
      </c>
      <c r="I1324" s="228">
        <f>ventas_b_mes9[[#This Row],[IMPORTE NETO]]*0.21</f>
        <v>1594.7862</v>
      </c>
      <c r="J1324" s="229"/>
      <c r="K1324" s="229"/>
      <c r="L1324" s="229">
        <v>9189.0061999999998</v>
      </c>
      <c r="M1324" s="55"/>
    </row>
    <row r="1325" spans="2:13" x14ac:dyDescent="0.3">
      <c r="B1325" s="223" t="s">
        <v>2596</v>
      </c>
      <c r="C1325" s="224">
        <v>6</v>
      </c>
      <c r="D1325" s="225">
        <v>12</v>
      </c>
      <c r="E1325" s="226">
        <v>23083</v>
      </c>
      <c r="F1325" s="227"/>
      <c r="G1325" s="1" t="str">
        <f>IFERROR(IF(ventas_b_mes9[[#This Row],[CUIT]]="","-",VLOOKUP(ventas_b_mes9[[#This Row],[CUIT]],Lista_CUIT[#All],2,0)),"CUIT NO CARGADO")</f>
        <v>-</v>
      </c>
      <c r="H1325" s="60">
        <f>ventas_b_mes9[[#This Row],[TOTAL]]/1.21</f>
        <v>12613.22</v>
      </c>
      <c r="I1325" s="228">
        <f>ventas_b_mes9[[#This Row],[IMPORTE NETO]]*0.21</f>
        <v>2648.7761999999998</v>
      </c>
      <c r="J1325" s="229"/>
      <c r="K1325" s="229"/>
      <c r="L1325" s="229">
        <v>15261.9962</v>
      </c>
      <c r="M1325" s="55"/>
    </row>
    <row r="1326" spans="2:13" x14ac:dyDescent="0.3">
      <c r="B1326" s="223" t="s">
        <v>2596</v>
      </c>
      <c r="C1326" s="224">
        <v>6</v>
      </c>
      <c r="D1326" s="225">
        <v>12</v>
      </c>
      <c r="E1326" s="226">
        <v>23084</v>
      </c>
      <c r="F1326" s="227"/>
      <c r="G1326" s="1" t="str">
        <f>IFERROR(IF(ventas_b_mes9[[#This Row],[CUIT]]="","-",VLOOKUP(ventas_b_mes9[[#This Row],[CUIT]],Lista_CUIT[#All],2,0)),"CUIT NO CARGADO")</f>
        <v>-</v>
      </c>
      <c r="H1326" s="60">
        <f>ventas_b_mes9[[#This Row],[TOTAL]]/1.21</f>
        <v>7421.49</v>
      </c>
      <c r="I1326" s="228">
        <f>ventas_b_mes9[[#This Row],[IMPORTE NETO]]*0.21</f>
        <v>1558.5128999999999</v>
      </c>
      <c r="J1326" s="229"/>
      <c r="K1326" s="229"/>
      <c r="L1326" s="229">
        <v>8980.0028999999995</v>
      </c>
      <c r="M1326" s="55"/>
    </row>
    <row r="1327" spans="2:13" x14ac:dyDescent="0.3">
      <c r="B1327" s="223" t="s">
        <v>2596</v>
      </c>
      <c r="C1327" s="224">
        <v>6</v>
      </c>
      <c r="D1327" s="225">
        <v>12</v>
      </c>
      <c r="E1327" s="226">
        <v>23085</v>
      </c>
      <c r="F1327" s="227"/>
      <c r="G1327" s="1" t="str">
        <f>IFERROR(IF(ventas_b_mes9[[#This Row],[CUIT]]="","-",VLOOKUP(ventas_b_mes9[[#This Row],[CUIT]],Lista_CUIT[#All],2,0)),"CUIT NO CARGADO")</f>
        <v>-</v>
      </c>
      <c r="H1327" s="60">
        <f>ventas_b_mes9[[#This Row],[TOTAL]]/1.21</f>
        <v>3245.46</v>
      </c>
      <c r="I1327" s="228">
        <f>ventas_b_mes9[[#This Row],[IMPORTE NETO]]*0.21</f>
        <v>681.54660000000001</v>
      </c>
      <c r="J1327" s="229"/>
      <c r="K1327" s="229"/>
      <c r="L1327" s="229">
        <v>3927.0066000000002</v>
      </c>
      <c r="M1327" s="55"/>
    </row>
    <row r="1328" spans="2:13" x14ac:dyDescent="0.3">
      <c r="B1328" s="223" t="s">
        <v>2596</v>
      </c>
      <c r="C1328" s="224">
        <v>6</v>
      </c>
      <c r="D1328" s="225">
        <v>12</v>
      </c>
      <c r="E1328" s="226">
        <v>23086</v>
      </c>
      <c r="F1328" s="227"/>
      <c r="G1328" s="1" t="str">
        <f>IFERROR(IF(ventas_b_mes9[[#This Row],[CUIT]]="","-",VLOOKUP(ventas_b_mes9[[#This Row],[CUIT]],Lista_CUIT[#All],2,0)),"CUIT NO CARGADO")</f>
        <v>-</v>
      </c>
      <c r="H1328" s="60">
        <f>ventas_b_mes9[[#This Row],[TOTAL]]/1.21</f>
        <v>4958.68</v>
      </c>
      <c r="I1328" s="228">
        <f>ventas_b_mes9[[#This Row],[IMPORTE NETO]]*0.21</f>
        <v>1041.3227999999999</v>
      </c>
      <c r="J1328" s="229"/>
      <c r="K1328" s="229"/>
      <c r="L1328" s="229">
        <v>6000.0028000000002</v>
      </c>
      <c r="M1328" s="55"/>
    </row>
    <row r="1329" spans="2:13" x14ac:dyDescent="0.3">
      <c r="B1329" s="223" t="s">
        <v>2596</v>
      </c>
      <c r="C1329" s="224">
        <v>6</v>
      </c>
      <c r="D1329" s="225">
        <v>12</v>
      </c>
      <c r="E1329" s="226">
        <v>23087</v>
      </c>
      <c r="F1329" s="227"/>
      <c r="G1329" s="1" t="str">
        <f>IFERROR(IF(ventas_b_mes9[[#This Row],[CUIT]]="","-",VLOOKUP(ventas_b_mes9[[#This Row],[CUIT]],Lista_CUIT[#All],2,0)),"CUIT NO CARGADO")</f>
        <v>-</v>
      </c>
      <c r="H1329" s="60">
        <f>ventas_b_mes9[[#This Row],[TOTAL]]/1.21</f>
        <v>2598.35</v>
      </c>
      <c r="I1329" s="228">
        <f>ventas_b_mes9[[#This Row],[IMPORTE NETO]]*0.21</f>
        <v>545.65350000000001</v>
      </c>
      <c r="J1329" s="229"/>
      <c r="K1329" s="229"/>
      <c r="L1329" s="229">
        <v>3144.0034999999998</v>
      </c>
      <c r="M1329" s="55"/>
    </row>
    <row r="1330" spans="2:13" x14ac:dyDescent="0.3">
      <c r="B1330" s="223" t="s">
        <v>2596</v>
      </c>
      <c r="C1330" s="224">
        <v>6</v>
      </c>
      <c r="D1330" s="225">
        <v>12</v>
      </c>
      <c r="E1330" s="226">
        <v>23088</v>
      </c>
      <c r="F1330" s="227"/>
      <c r="G1330" s="1" t="str">
        <f>IFERROR(IF(ventas_b_mes9[[#This Row],[CUIT]]="","-",VLOOKUP(ventas_b_mes9[[#This Row],[CUIT]],Lista_CUIT[#All],2,0)),"CUIT NO CARGADO")</f>
        <v>-</v>
      </c>
      <c r="H1330" s="60">
        <f>ventas_b_mes9[[#This Row],[TOTAL]]/1.21</f>
        <v>1735.5400000000002</v>
      </c>
      <c r="I1330" s="228">
        <f>ventas_b_mes9[[#This Row],[IMPORTE NETO]]*0.21</f>
        <v>364.46340000000004</v>
      </c>
      <c r="J1330" s="229"/>
      <c r="K1330" s="229"/>
      <c r="L1330" s="229">
        <v>2100.0034000000001</v>
      </c>
      <c r="M1330" s="55"/>
    </row>
    <row r="1331" spans="2:13" x14ac:dyDescent="0.3">
      <c r="B1331" s="223" t="s">
        <v>2597</v>
      </c>
      <c r="C1331" s="224">
        <v>6</v>
      </c>
      <c r="D1331" s="225">
        <v>13</v>
      </c>
      <c r="E1331" s="226">
        <v>27146</v>
      </c>
      <c r="F1331" s="227"/>
      <c r="G1331" s="1" t="str">
        <f>IFERROR(IF(ventas_b_mes9[[#This Row],[CUIT]]="","-",VLOOKUP(ventas_b_mes9[[#This Row],[CUIT]],Lista_CUIT[#All],2,0)),"CUIT NO CARGADO")</f>
        <v>-</v>
      </c>
      <c r="H1331" s="60">
        <f>ventas_b_mes9[[#This Row],[TOTAL]]/1.21</f>
        <v>3471.07</v>
      </c>
      <c r="I1331" s="228">
        <f>ventas_b_mes9[[#This Row],[IMPORTE NETO]]*0.21</f>
        <v>728.92470000000003</v>
      </c>
      <c r="J1331" s="229"/>
      <c r="K1331" s="229"/>
      <c r="L1331" s="229">
        <v>4199.9947000000002</v>
      </c>
      <c r="M1331" s="55"/>
    </row>
    <row r="1332" spans="2:13" x14ac:dyDescent="0.3">
      <c r="B1332" s="223" t="s">
        <v>2597</v>
      </c>
      <c r="C1332" s="224">
        <v>6</v>
      </c>
      <c r="D1332" s="225">
        <v>13</v>
      </c>
      <c r="E1332" s="226">
        <v>27147</v>
      </c>
      <c r="F1332" s="227"/>
      <c r="G1332" s="1" t="str">
        <f>IFERROR(IF(ventas_b_mes9[[#This Row],[CUIT]]="","-",VLOOKUP(ventas_b_mes9[[#This Row],[CUIT]],Lista_CUIT[#All],2,0)),"CUIT NO CARGADO")</f>
        <v>-</v>
      </c>
      <c r="H1332" s="60">
        <f>ventas_b_mes9[[#This Row],[TOTAL]]/1.21</f>
        <v>6363.63</v>
      </c>
      <c r="I1332" s="228">
        <f>ventas_b_mes9[[#This Row],[IMPORTE NETO]]*0.21</f>
        <v>1336.3623</v>
      </c>
      <c r="J1332" s="229"/>
      <c r="K1332" s="229"/>
      <c r="L1332" s="229">
        <v>7699.9922999999999</v>
      </c>
      <c r="M1332" s="55"/>
    </row>
    <row r="1333" spans="2:13" x14ac:dyDescent="0.3">
      <c r="B1333" s="223" t="s">
        <v>2597</v>
      </c>
      <c r="C1333" s="224">
        <v>6</v>
      </c>
      <c r="D1333" s="225">
        <v>13</v>
      </c>
      <c r="E1333" s="226">
        <v>27148</v>
      </c>
      <c r="F1333" s="227"/>
      <c r="G1333" s="1" t="str">
        <f>IFERROR(IF(ventas_b_mes9[[#This Row],[CUIT]]="","-",VLOOKUP(ventas_b_mes9[[#This Row],[CUIT]],Lista_CUIT[#All],2,0)),"CUIT NO CARGADO")</f>
        <v>-</v>
      </c>
      <c r="H1333" s="60">
        <f>ventas_b_mes9[[#This Row],[TOTAL]]/1.21</f>
        <v>3066.12</v>
      </c>
      <c r="I1333" s="228">
        <f>ventas_b_mes9[[#This Row],[IMPORTE NETO]]*0.21</f>
        <v>643.88519999999994</v>
      </c>
      <c r="J1333" s="229"/>
      <c r="K1333" s="229"/>
      <c r="L1333" s="229">
        <v>3710.0051999999996</v>
      </c>
      <c r="M1333" s="55"/>
    </row>
    <row r="1334" spans="2:13" x14ac:dyDescent="0.3">
      <c r="B1334" s="223" t="s">
        <v>2597</v>
      </c>
      <c r="C1334" s="224">
        <v>6</v>
      </c>
      <c r="D1334" s="225">
        <v>13</v>
      </c>
      <c r="E1334" s="226">
        <v>27149</v>
      </c>
      <c r="F1334" s="227"/>
      <c r="G1334" s="1" t="str">
        <f>IFERROR(IF(ventas_b_mes9[[#This Row],[CUIT]]="","-",VLOOKUP(ventas_b_mes9[[#This Row],[CUIT]],Lista_CUIT[#All],2,0)),"CUIT NO CARGADO")</f>
        <v>-</v>
      </c>
      <c r="H1334" s="60">
        <f>ventas_b_mes9[[#This Row],[TOTAL]]/1.21</f>
        <v>2065.29</v>
      </c>
      <c r="I1334" s="228">
        <f>ventas_b_mes9[[#This Row],[IMPORTE NETO]]*0.21</f>
        <v>433.71089999999998</v>
      </c>
      <c r="J1334" s="229"/>
      <c r="K1334" s="229"/>
      <c r="L1334" s="229">
        <v>2499.0009</v>
      </c>
      <c r="M1334" s="55"/>
    </row>
    <row r="1335" spans="2:13" x14ac:dyDescent="0.3">
      <c r="B1335" s="223" t="s">
        <v>2597</v>
      </c>
      <c r="C1335" s="224">
        <v>6</v>
      </c>
      <c r="D1335" s="225">
        <v>13</v>
      </c>
      <c r="E1335" s="226">
        <v>27150</v>
      </c>
      <c r="F1335" s="227"/>
      <c r="G1335" s="1" t="str">
        <f>IFERROR(IF(ventas_b_mes9[[#This Row],[CUIT]]="","-",VLOOKUP(ventas_b_mes9[[#This Row],[CUIT]],Lista_CUIT[#All],2,0)),"CUIT NO CARGADO")</f>
        <v>-</v>
      </c>
      <c r="H1335" s="60">
        <f>ventas_b_mes9[[#This Row],[TOTAL]]/1.21</f>
        <v>1578.51</v>
      </c>
      <c r="I1335" s="228">
        <f>ventas_b_mes9[[#This Row],[IMPORTE NETO]]*0.21</f>
        <v>331.4871</v>
      </c>
      <c r="J1335" s="229"/>
      <c r="K1335" s="229"/>
      <c r="L1335" s="229">
        <v>1909.9971</v>
      </c>
      <c r="M1335" s="55"/>
    </row>
    <row r="1336" spans="2:13" x14ac:dyDescent="0.3">
      <c r="B1336" s="223" t="s">
        <v>2597</v>
      </c>
      <c r="C1336" s="224">
        <v>6</v>
      </c>
      <c r="D1336" s="225">
        <v>13</v>
      </c>
      <c r="E1336" s="226">
        <v>27151</v>
      </c>
      <c r="F1336" s="227"/>
      <c r="G1336" s="1" t="str">
        <f>IFERROR(IF(ventas_b_mes9[[#This Row],[CUIT]]="","-",VLOOKUP(ventas_b_mes9[[#This Row],[CUIT]],Lista_CUIT[#All],2,0)),"CUIT NO CARGADO")</f>
        <v>-</v>
      </c>
      <c r="H1336" s="60">
        <f>ventas_b_mes9[[#This Row],[TOTAL]]/1.21</f>
        <v>10589.26</v>
      </c>
      <c r="I1336" s="228">
        <f>ventas_b_mes9[[#This Row],[IMPORTE NETO]]*0.21</f>
        <v>2223.7446</v>
      </c>
      <c r="J1336" s="229"/>
      <c r="K1336" s="229"/>
      <c r="L1336" s="229">
        <v>12813.0046</v>
      </c>
      <c r="M1336" s="55"/>
    </row>
    <row r="1337" spans="2:13" x14ac:dyDescent="0.3">
      <c r="B1337" s="223" t="s">
        <v>2597</v>
      </c>
      <c r="C1337" s="224">
        <v>6</v>
      </c>
      <c r="D1337" s="225">
        <v>13</v>
      </c>
      <c r="E1337" s="226">
        <v>27152</v>
      </c>
      <c r="F1337" s="227"/>
      <c r="G1337" s="1" t="str">
        <f>IFERROR(IF(ventas_b_mes9[[#This Row],[CUIT]]="","-",VLOOKUP(ventas_b_mes9[[#This Row],[CUIT]],Lista_CUIT[#All],2,0)),"CUIT NO CARGADO")</f>
        <v>-</v>
      </c>
      <c r="H1337" s="60">
        <f>ventas_b_mes9[[#This Row],[TOTAL]]/1.21</f>
        <v>3371.89</v>
      </c>
      <c r="I1337" s="228">
        <f>ventas_b_mes9[[#This Row],[IMPORTE NETO]]*0.21</f>
        <v>708.09689999999989</v>
      </c>
      <c r="J1337" s="229"/>
      <c r="K1337" s="229"/>
      <c r="L1337" s="229">
        <v>4079.9868999999999</v>
      </c>
      <c r="M1337" s="55"/>
    </row>
    <row r="1338" spans="2:13" x14ac:dyDescent="0.3">
      <c r="B1338" s="223" t="s">
        <v>2597</v>
      </c>
      <c r="C1338" s="224">
        <v>6</v>
      </c>
      <c r="D1338" s="225">
        <v>13</v>
      </c>
      <c r="E1338" s="226">
        <v>27153</v>
      </c>
      <c r="F1338" s="227"/>
      <c r="G1338" s="1" t="str">
        <f>IFERROR(IF(ventas_b_mes9[[#This Row],[CUIT]]="","-",VLOOKUP(ventas_b_mes9[[#This Row],[CUIT]],Lista_CUIT[#All],2,0)),"CUIT NO CARGADO")</f>
        <v>-</v>
      </c>
      <c r="H1338" s="60">
        <f>ventas_b_mes9[[#This Row],[TOTAL]]/1.21</f>
        <v>10242.16</v>
      </c>
      <c r="I1338" s="228">
        <f>ventas_b_mes9[[#This Row],[IMPORTE NETO]]*0.21</f>
        <v>2150.8535999999999</v>
      </c>
      <c r="J1338" s="229"/>
      <c r="K1338" s="229"/>
      <c r="L1338" s="229">
        <v>12393.0136</v>
      </c>
      <c r="M1338" s="55"/>
    </row>
    <row r="1339" spans="2:13" x14ac:dyDescent="0.3">
      <c r="B1339" s="223" t="s">
        <v>2597</v>
      </c>
      <c r="C1339" s="224">
        <v>6</v>
      </c>
      <c r="D1339" s="225">
        <v>11</v>
      </c>
      <c r="E1339" s="226">
        <v>30614</v>
      </c>
      <c r="F1339" s="227"/>
      <c r="G1339" s="1" t="str">
        <f>IFERROR(IF(ventas_b_mes9[[#This Row],[CUIT]]="","-",VLOOKUP(ventas_b_mes9[[#This Row],[CUIT]],Lista_CUIT[#All],2,0)),"CUIT NO CARGADO")</f>
        <v>-</v>
      </c>
      <c r="H1339" s="60">
        <f>ventas_b_mes9[[#This Row],[TOTAL]]/1.21</f>
        <v>14380.170000000002</v>
      </c>
      <c r="I1339" s="228">
        <f>ventas_b_mes9[[#This Row],[IMPORTE NETO]]*0.21</f>
        <v>3019.8357000000001</v>
      </c>
      <c r="J1339" s="229"/>
      <c r="K1339" s="229"/>
      <c r="L1339" s="229">
        <v>17400.005700000002</v>
      </c>
      <c r="M1339" s="55"/>
    </row>
    <row r="1340" spans="2:13" x14ac:dyDescent="0.3">
      <c r="B1340" s="223" t="s">
        <v>2597</v>
      </c>
      <c r="C1340" s="224">
        <v>6</v>
      </c>
      <c r="D1340" s="225">
        <v>11</v>
      </c>
      <c r="E1340" s="226">
        <v>30615</v>
      </c>
      <c r="F1340" s="227"/>
      <c r="G1340" s="1" t="str">
        <f>IFERROR(IF(ventas_b_mes9[[#This Row],[CUIT]]="","-",VLOOKUP(ventas_b_mes9[[#This Row],[CUIT]],Lista_CUIT[#All],2,0)),"CUIT NO CARGADO")</f>
        <v>-</v>
      </c>
      <c r="H1340" s="60">
        <f>ventas_b_mes9[[#This Row],[TOTAL]]/1.21</f>
        <v>14380.170000000002</v>
      </c>
      <c r="I1340" s="228">
        <f>ventas_b_mes9[[#This Row],[IMPORTE NETO]]*0.21</f>
        <v>3019.8357000000001</v>
      </c>
      <c r="J1340" s="229"/>
      <c r="K1340" s="229"/>
      <c r="L1340" s="229">
        <v>17400.005700000002</v>
      </c>
      <c r="M1340" s="55"/>
    </row>
    <row r="1341" spans="2:13" x14ac:dyDescent="0.3">
      <c r="B1341" s="223" t="s">
        <v>2597</v>
      </c>
      <c r="C1341" s="224">
        <v>6</v>
      </c>
      <c r="D1341" s="225">
        <v>11</v>
      </c>
      <c r="E1341" s="226">
        <v>30616</v>
      </c>
      <c r="F1341" s="227"/>
      <c r="G1341" s="1" t="str">
        <f>IFERROR(IF(ventas_b_mes9[[#This Row],[CUIT]]="","-",VLOOKUP(ventas_b_mes9[[#This Row],[CUIT]],Lista_CUIT[#All],2,0)),"CUIT NO CARGADO")</f>
        <v>-</v>
      </c>
      <c r="H1341" s="60">
        <f>ventas_b_mes9[[#This Row],[TOTAL]]/1.21</f>
        <v>5444.63</v>
      </c>
      <c r="I1341" s="228">
        <f>ventas_b_mes9[[#This Row],[IMPORTE NETO]]*0.21</f>
        <v>1143.3723</v>
      </c>
      <c r="J1341" s="229"/>
      <c r="K1341" s="229"/>
      <c r="L1341" s="229">
        <v>6588.0023000000001</v>
      </c>
      <c r="M1341" s="55"/>
    </row>
    <row r="1342" spans="2:13" x14ac:dyDescent="0.3">
      <c r="B1342" s="223" t="s">
        <v>2597</v>
      </c>
      <c r="C1342" s="224">
        <v>6</v>
      </c>
      <c r="D1342" s="225">
        <v>11</v>
      </c>
      <c r="E1342" s="226">
        <v>30617</v>
      </c>
      <c r="F1342" s="227"/>
      <c r="G1342" s="1" t="str">
        <f>IFERROR(IF(ventas_b_mes9[[#This Row],[CUIT]]="","-",VLOOKUP(ventas_b_mes9[[#This Row],[CUIT]],Lista_CUIT[#All],2,0)),"CUIT NO CARGADO")</f>
        <v>-</v>
      </c>
      <c r="H1342" s="60">
        <f>ventas_b_mes9[[#This Row],[TOTAL]]/1.21</f>
        <v>4257.03</v>
      </c>
      <c r="I1342" s="228">
        <f>ventas_b_mes9[[#This Row],[IMPORTE NETO]]*0.21</f>
        <v>893.97629999999992</v>
      </c>
      <c r="J1342" s="229"/>
      <c r="K1342" s="229"/>
      <c r="L1342" s="229">
        <v>5151.0063</v>
      </c>
      <c r="M1342" s="55"/>
    </row>
    <row r="1343" spans="2:13" x14ac:dyDescent="0.3">
      <c r="B1343" s="223" t="s">
        <v>2597</v>
      </c>
      <c r="C1343" s="224">
        <v>6</v>
      </c>
      <c r="D1343" s="225">
        <v>11</v>
      </c>
      <c r="E1343" s="226">
        <v>30618</v>
      </c>
      <c r="F1343" s="227"/>
      <c r="G1343" s="1" t="str">
        <f>IFERROR(IF(ventas_b_mes9[[#This Row],[CUIT]]="","-",VLOOKUP(ventas_b_mes9[[#This Row],[CUIT]],Lista_CUIT[#All],2,0)),"CUIT NO CARGADO")</f>
        <v>-</v>
      </c>
      <c r="H1343" s="60">
        <f>ventas_b_mes9[[#This Row],[TOTAL]]/1.21</f>
        <v>1053.72</v>
      </c>
      <c r="I1343" s="228">
        <f>ventas_b_mes9[[#This Row],[IMPORTE NETO]]*0.21</f>
        <v>221.28119999999998</v>
      </c>
      <c r="J1343" s="229"/>
      <c r="K1343" s="229"/>
      <c r="L1343" s="229">
        <v>1275.0011999999999</v>
      </c>
      <c r="M1343" s="55"/>
    </row>
    <row r="1344" spans="2:13" x14ac:dyDescent="0.3">
      <c r="B1344" s="223" t="s">
        <v>2597</v>
      </c>
      <c r="C1344" s="224">
        <v>6</v>
      </c>
      <c r="D1344" s="225">
        <v>11</v>
      </c>
      <c r="E1344" s="226">
        <v>30619</v>
      </c>
      <c r="F1344" s="227"/>
      <c r="G1344" s="1" t="str">
        <f>IFERROR(IF(ventas_b_mes9[[#This Row],[CUIT]]="","-",VLOOKUP(ventas_b_mes9[[#This Row],[CUIT]],Lista_CUIT[#All],2,0)),"CUIT NO CARGADO")</f>
        <v>-</v>
      </c>
      <c r="H1344" s="60">
        <f>ventas_b_mes9[[#This Row],[TOTAL]]/1.21</f>
        <v>7586.7800000000007</v>
      </c>
      <c r="I1344" s="228">
        <f>ventas_b_mes9[[#This Row],[IMPORTE NETO]]*0.21</f>
        <v>1593.2238</v>
      </c>
      <c r="J1344" s="229"/>
      <c r="K1344" s="229"/>
      <c r="L1344" s="229">
        <v>9180.0038000000004</v>
      </c>
      <c r="M1344" s="55"/>
    </row>
    <row r="1345" spans="2:13" x14ac:dyDescent="0.3">
      <c r="B1345" s="223" t="s">
        <v>2597</v>
      </c>
      <c r="C1345" s="224">
        <v>6</v>
      </c>
      <c r="D1345" s="225">
        <v>11</v>
      </c>
      <c r="E1345" s="226">
        <v>30620</v>
      </c>
      <c r="F1345" s="227"/>
      <c r="G1345" s="1" t="str">
        <f>IFERROR(IF(ventas_b_mes9[[#This Row],[CUIT]]="","-",VLOOKUP(ventas_b_mes9[[#This Row],[CUIT]],Lista_CUIT[#All],2,0)),"CUIT NO CARGADO")</f>
        <v>-</v>
      </c>
      <c r="H1345" s="60">
        <f>ventas_b_mes9[[#This Row],[TOTAL]]/1.21</f>
        <v>1145.45</v>
      </c>
      <c r="I1345" s="228">
        <f>ventas_b_mes9[[#This Row],[IMPORTE NETO]]*0.21</f>
        <v>240.5445</v>
      </c>
      <c r="J1345" s="229"/>
      <c r="K1345" s="229"/>
      <c r="L1345" s="229">
        <v>1385.9945</v>
      </c>
      <c r="M1345" s="55"/>
    </row>
    <row r="1346" spans="2:13" x14ac:dyDescent="0.3">
      <c r="B1346" s="223" t="s">
        <v>2597</v>
      </c>
      <c r="C1346" s="224">
        <v>6</v>
      </c>
      <c r="D1346" s="225">
        <v>11</v>
      </c>
      <c r="E1346" s="226">
        <v>30621</v>
      </c>
      <c r="F1346" s="227"/>
      <c r="G1346" s="1" t="str">
        <f>IFERROR(IF(ventas_b_mes9[[#This Row],[CUIT]]="","-",VLOOKUP(ventas_b_mes9[[#This Row],[CUIT]],Lista_CUIT[#All],2,0)),"CUIT NO CARGADO")</f>
        <v>-</v>
      </c>
      <c r="H1346" s="60">
        <f>ventas_b_mes9[[#This Row],[TOTAL]]/1.21</f>
        <v>2781.82</v>
      </c>
      <c r="I1346" s="228">
        <f>ventas_b_mes9[[#This Row],[IMPORTE NETO]]*0.21</f>
        <v>584.18219999999997</v>
      </c>
      <c r="J1346" s="229"/>
      <c r="K1346" s="229"/>
      <c r="L1346" s="229">
        <v>3366.0021999999999</v>
      </c>
      <c r="M1346" s="55"/>
    </row>
    <row r="1347" spans="2:13" x14ac:dyDescent="0.3">
      <c r="B1347" s="223" t="s">
        <v>2597</v>
      </c>
      <c r="C1347" s="224">
        <v>6</v>
      </c>
      <c r="D1347" s="225">
        <v>11</v>
      </c>
      <c r="E1347" s="226">
        <v>30622</v>
      </c>
      <c r="F1347" s="227"/>
      <c r="G1347" s="1" t="str">
        <f>IFERROR(IF(ventas_b_mes9[[#This Row],[CUIT]]="","-",VLOOKUP(ventas_b_mes9[[#This Row],[CUIT]],Lista_CUIT[#All],2,0)),"CUIT NO CARGADO")</f>
        <v>-</v>
      </c>
      <c r="H1347" s="60">
        <f>ventas_b_mes9[[#This Row],[TOTAL]]/1.21</f>
        <v>10705.76</v>
      </c>
      <c r="I1347" s="228">
        <f>ventas_b_mes9[[#This Row],[IMPORTE NETO]]*0.21</f>
        <v>2248.2096000000001</v>
      </c>
      <c r="J1347" s="229"/>
      <c r="K1347" s="229"/>
      <c r="L1347" s="229">
        <v>12953.9696</v>
      </c>
      <c r="M1347" s="55"/>
    </row>
    <row r="1348" spans="2:13" x14ac:dyDescent="0.3">
      <c r="B1348" s="223" t="s">
        <v>2597</v>
      </c>
      <c r="C1348" s="224">
        <v>6</v>
      </c>
      <c r="D1348" s="225">
        <v>11</v>
      </c>
      <c r="E1348" s="226">
        <v>30623</v>
      </c>
      <c r="F1348" s="227"/>
      <c r="G1348" s="1" t="str">
        <f>IFERROR(IF(ventas_b_mes9[[#This Row],[CUIT]]="","-",VLOOKUP(ventas_b_mes9[[#This Row],[CUIT]],Lista_CUIT[#All],2,0)),"CUIT NO CARGADO")</f>
        <v>-</v>
      </c>
      <c r="H1348" s="60">
        <f>ventas_b_mes9[[#This Row],[TOTAL]]/1.21</f>
        <v>2238.02</v>
      </c>
      <c r="I1348" s="228">
        <f>ventas_b_mes9[[#This Row],[IMPORTE NETO]]*0.21</f>
        <v>469.98419999999999</v>
      </c>
      <c r="J1348" s="229"/>
      <c r="K1348" s="229"/>
      <c r="L1348" s="229">
        <v>2708.0041999999999</v>
      </c>
      <c r="M1348" s="55"/>
    </row>
    <row r="1349" spans="2:13" x14ac:dyDescent="0.3">
      <c r="B1349" s="223" t="s">
        <v>2597</v>
      </c>
      <c r="C1349" s="224">
        <v>6</v>
      </c>
      <c r="D1349" s="225">
        <v>11</v>
      </c>
      <c r="E1349" s="226">
        <v>30624</v>
      </c>
      <c r="F1349" s="227"/>
      <c r="G1349" s="1" t="str">
        <f>IFERROR(IF(ventas_b_mes9[[#This Row],[CUIT]]="","-",VLOOKUP(ventas_b_mes9[[#This Row],[CUIT]],Lista_CUIT[#All],2,0)),"CUIT NO CARGADO")</f>
        <v>-</v>
      </c>
      <c r="H1349" s="60">
        <f>ventas_b_mes9[[#This Row],[TOTAL]]/1.21</f>
        <v>3421.49</v>
      </c>
      <c r="I1349" s="228">
        <f>ventas_b_mes9[[#This Row],[IMPORTE NETO]]*0.21</f>
        <v>718.51289999999995</v>
      </c>
      <c r="J1349" s="229"/>
      <c r="K1349" s="229"/>
      <c r="L1349" s="229">
        <v>4140.0028999999995</v>
      </c>
      <c r="M1349" s="55"/>
    </row>
    <row r="1350" spans="2:13" x14ac:dyDescent="0.3">
      <c r="B1350" s="223" t="s">
        <v>2597</v>
      </c>
      <c r="C1350" s="224">
        <v>6</v>
      </c>
      <c r="D1350" s="225">
        <v>15</v>
      </c>
      <c r="E1350" s="226">
        <v>7497</v>
      </c>
      <c r="F1350" s="227"/>
      <c r="G1350" s="1" t="str">
        <f>IFERROR(IF(ventas_b_mes9[[#This Row],[CUIT]]="","-",VLOOKUP(ventas_b_mes9[[#This Row],[CUIT]],Lista_CUIT[#All],2,0)),"CUIT NO CARGADO")</f>
        <v>-</v>
      </c>
      <c r="H1350" s="60">
        <f>ventas_b_mes9[[#This Row],[TOTAL]]/1.21</f>
        <v>14476.86</v>
      </c>
      <c r="I1350" s="228">
        <f>ventas_b_mes9[[#This Row],[IMPORTE NETO]]*0.21</f>
        <v>3040.1406000000002</v>
      </c>
      <c r="J1350" s="229"/>
      <c r="K1350" s="229"/>
      <c r="L1350" s="229">
        <v>17517.000599999999</v>
      </c>
      <c r="M1350" s="55"/>
    </row>
    <row r="1351" spans="2:13" x14ac:dyDescent="0.3">
      <c r="B1351" s="223" t="s">
        <v>2597</v>
      </c>
      <c r="C1351" s="224">
        <v>6</v>
      </c>
      <c r="D1351" s="225">
        <v>15</v>
      </c>
      <c r="E1351" s="226">
        <v>7498</v>
      </c>
      <c r="F1351" s="227"/>
      <c r="G1351" s="1" t="str">
        <f>IFERROR(IF(ventas_b_mes9[[#This Row],[CUIT]]="","-",VLOOKUP(ventas_b_mes9[[#This Row],[CUIT]],Lista_CUIT[#All],2,0)),"CUIT NO CARGADO")</f>
        <v>-</v>
      </c>
      <c r="H1351" s="60">
        <f>ventas_b_mes9[[#This Row],[TOTAL]]/1.21</f>
        <v>1735.5400000000002</v>
      </c>
      <c r="I1351" s="228">
        <f>ventas_b_mes9[[#This Row],[IMPORTE NETO]]*0.21</f>
        <v>364.46340000000004</v>
      </c>
      <c r="J1351" s="229"/>
      <c r="K1351" s="229"/>
      <c r="L1351" s="229">
        <v>2100.0034000000001</v>
      </c>
      <c r="M1351" s="55"/>
    </row>
    <row r="1352" spans="2:13" x14ac:dyDescent="0.3">
      <c r="B1352" s="223" t="s">
        <v>2597</v>
      </c>
      <c r="C1352" s="224">
        <v>6</v>
      </c>
      <c r="D1352" s="225">
        <v>15</v>
      </c>
      <c r="E1352" s="226">
        <v>7499</v>
      </c>
      <c r="F1352" s="227"/>
      <c r="G1352" s="1" t="str">
        <f>IFERROR(IF(ventas_b_mes9[[#This Row],[CUIT]]="","-",VLOOKUP(ventas_b_mes9[[#This Row],[CUIT]],Lista_CUIT[#All],2,0)),"CUIT NO CARGADO")</f>
        <v>-</v>
      </c>
      <c r="H1352" s="60">
        <f>ventas_b_mes9[[#This Row],[TOTAL]]/1.21</f>
        <v>4958.68</v>
      </c>
      <c r="I1352" s="228">
        <f>ventas_b_mes9[[#This Row],[IMPORTE NETO]]*0.21</f>
        <v>1041.3227999999999</v>
      </c>
      <c r="J1352" s="229"/>
      <c r="K1352" s="229"/>
      <c r="L1352" s="229">
        <v>6000.0028000000002</v>
      </c>
      <c r="M1352" s="55"/>
    </row>
    <row r="1353" spans="2:13" x14ac:dyDescent="0.3">
      <c r="B1353" s="223" t="s">
        <v>2597</v>
      </c>
      <c r="C1353" s="224">
        <v>6</v>
      </c>
      <c r="D1353" s="225">
        <v>15</v>
      </c>
      <c r="E1353" s="226">
        <v>7500</v>
      </c>
      <c r="F1353" s="227"/>
      <c r="G1353" s="1" t="str">
        <f>IFERROR(IF(ventas_b_mes9[[#This Row],[CUIT]]="","-",VLOOKUP(ventas_b_mes9[[#This Row],[CUIT]],Lista_CUIT[#All],2,0)),"CUIT NO CARGADO")</f>
        <v>-</v>
      </c>
      <c r="H1353" s="60">
        <f>ventas_b_mes9[[#This Row],[TOTAL]]/1.21</f>
        <v>2045.4499999999998</v>
      </c>
      <c r="I1353" s="228">
        <f>ventas_b_mes9[[#This Row],[IMPORTE NETO]]*0.21</f>
        <v>429.54449999999997</v>
      </c>
      <c r="J1353" s="229"/>
      <c r="K1353" s="229"/>
      <c r="L1353" s="229">
        <v>2474.9944999999998</v>
      </c>
      <c r="M1353" s="55"/>
    </row>
    <row r="1354" spans="2:13" x14ac:dyDescent="0.3">
      <c r="B1354" s="223" t="s">
        <v>2597</v>
      </c>
      <c r="C1354" s="224">
        <v>6</v>
      </c>
      <c r="D1354" s="225">
        <v>15</v>
      </c>
      <c r="E1354" s="226">
        <v>7501</v>
      </c>
      <c r="F1354" s="227"/>
      <c r="G1354" s="1" t="str">
        <f>IFERROR(IF(ventas_b_mes9[[#This Row],[CUIT]]="","-",VLOOKUP(ventas_b_mes9[[#This Row],[CUIT]],Lista_CUIT[#All],2,0)),"CUIT NO CARGADO")</f>
        <v>-</v>
      </c>
      <c r="H1354" s="60">
        <f>ventas_b_mes9[[#This Row],[TOTAL]]/1.21</f>
        <v>4046.2900000000004</v>
      </c>
      <c r="I1354" s="228">
        <f>ventas_b_mes9[[#This Row],[IMPORTE NETO]]*0.21</f>
        <v>849.72090000000003</v>
      </c>
      <c r="J1354" s="229"/>
      <c r="K1354" s="229"/>
      <c r="L1354" s="229">
        <v>4896.0109000000002</v>
      </c>
      <c r="M1354" s="55"/>
    </row>
    <row r="1355" spans="2:13" x14ac:dyDescent="0.3">
      <c r="B1355" s="223" t="s">
        <v>2597</v>
      </c>
      <c r="C1355" s="224">
        <v>6</v>
      </c>
      <c r="D1355" s="225">
        <v>15</v>
      </c>
      <c r="E1355" s="226">
        <v>7502</v>
      </c>
      <c r="F1355" s="227"/>
      <c r="G1355" s="1" t="str">
        <f>IFERROR(IF(ventas_b_mes9[[#This Row],[CUIT]]="","-",VLOOKUP(ventas_b_mes9[[#This Row],[CUIT]],Lista_CUIT[#All],2,0)),"CUIT NO CARGADO")</f>
        <v>-</v>
      </c>
      <c r="H1355" s="60">
        <f>ventas_b_mes9[[#This Row],[TOTAL]]/1.21</f>
        <v>4958.68</v>
      </c>
      <c r="I1355" s="228">
        <f>ventas_b_mes9[[#This Row],[IMPORTE NETO]]*0.21</f>
        <v>1041.3227999999999</v>
      </c>
      <c r="J1355" s="229"/>
      <c r="K1355" s="229"/>
      <c r="L1355" s="229">
        <v>6000.0028000000002</v>
      </c>
      <c r="M1355" s="55"/>
    </row>
    <row r="1356" spans="2:13" x14ac:dyDescent="0.3">
      <c r="B1356" s="223" t="s">
        <v>2597</v>
      </c>
      <c r="C1356" s="224">
        <v>6</v>
      </c>
      <c r="D1356" s="225">
        <v>15</v>
      </c>
      <c r="E1356" s="226">
        <v>7503</v>
      </c>
      <c r="F1356" s="227"/>
      <c r="G1356" s="1" t="str">
        <f>IFERROR(IF(ventas_b_mes9[[#This Row],[CUIT]]="","-",VLOOKUP(ventas_b_mes9[[#This Row],[CUIT]],Lista_CUIT[#All],2,0)),"CUIT NO CARGADO")</f>
        <v>-</v>
      </c>
      <c r="H1356" s="60">
        <f>ventas_b_mes9[[#This Row],[TOTAL]]/1.21</f>
        <v>6533.06</v>
      </c>
      <c r="I1356" s="228">
        <f>ventas_b_mes9[[#This Row],[IMPORTE NETO]]*0.21</f>
        <v>1371.9426000000001</v>
      </c>
      <c r="J1356" s="229"/>
      <c r="K1356" s="229"/>
      <c r="L1356" s="229">
        <v>7905.0026000000007</v>
      </c>
      <c r="M1356" s="55"/>
    </row>
    <row r="1357" spans="2:13" x14ac:dyDescent="0.3">
      <c r="B1357" s="223" t="s">
        <v>2597</v>
      </c>
      <c r="C1357" s="224">
        <v>6</v>
      </c>
      <c r="D1357" s="225">
        <v>15</v>
      </c>
      <c r="E1357" s="226">
        <v>7504</v>
      </c>
      <c r="F1357" s="227"/>
      <c r="G1357" s="1" t="str">
        <f>IFERROR(IF(ventas_b_mes9[[#This Row],[CUIT]]="","-",VLOOKUP(ventas_b_mes9[[#This Row],[CUIT]],Lista_CUIT[#All],2,0)),"CUIT NO CARGADO")</f>
        <v>-</v>
      </c>
      <c r="H1357" s="60">
        <f>ventas_b_mes9[[#This Row],[TOTAL]]/1.21</f>
        <v>3456.2</v>
      </c>
      <c r="I1357" s="228">
        <f>ventas_b_mes9[[#This Row],[IMPORTE NETO]]*0.21</f>
        <v>725.80199999999991</v>
      </c>
      <c r="J1357" s="229"/>
      <c r="K1357" s="229"/>
      <c r="L1357" s="229">
        <v>4182.0019999999995</v>
      </c>
      <c r="M1357" s="55"/>
    </row>
    <row r="1358" spans="2:13" x14ac:dyDescent="0.3">
      <c r="B1358" s="223" t="s">
        <v>2597</v>
      </c>
      <c r="C1358" s="224">
        <v>6</v>
      </c>
      <c r="D1358" s="225">
        <v>15</v>
      </c>
      <c r="E1358" s="226">
        <v>7505</v>
      </c>
      <c r="F1358" s="227"/>
      <c r="G1358" s="1" t="str">
        <f>IFERROR(IF(ventas_b_mes9[[#This Row],[CUIT]]="","-",VLOOKUP(ventas_b_mes9[[#This Row],[CUIT]],Lista_CUIT[#All],2,0)),"CUIT NO CARGADO")</f>
        <v>-</v>
      </c>
      <c r="H1358" s="60">
        <f>ventas_b_mes9[[#This Row],[TOTAL]]/1.21</f>
        <v>1896.6900000000003</v>
      </c>
      <c r="I1358" s="228">
        <f>ventas_b_mes9[[#This Row],[IMPORTE NETO]]*0.21</f>
        <v>398.30490000000003</v>
      </c>
      <c r="J1358" s="229"/>
      <c r="K1358" s="229"/>
      <c r="L1358" s="229">
        <v>2294.9949000000001</v>
      </c>
      <c r="M1358" s="55"/>
    </row>
    <row r="1359" spans="2:13" x14ac:dyDescent="0.3">
      <c r="B1359" s="223" t="s">
        <v>2597</v>
      </c>
      <c r="C1359" s="224">
        <v>6</v>
      </c>
      <c r="D1359" s="225">
        <v>15</v>
      </c>
      <c r="E1359" s="226">
        <v>7506</v>
      </c>
      <c r="F1359" s="227"/>
      <c r="G1359" s="1" t="str">
        <f>IFERROR(IF(ventas_b_mes9[[#This Row],[CUIT]]="","-",VLOOKUP(ventas_b_mes9[[#This Row],[CUIT]],Lista_CUIT[#All],2,0)),"CUIT NO CARGADO")</f>
        <v>-</v>
      </c>
      <c r="H1359" s="60">
        <f>ventas_b_mes9[[#This Row],[TOTAL]]/1.21</f>
        <v>6153.73</v>
      </c>
      <c r="I1359" s="228">
        <f>ventas_b_mes9[[#This Row],[IMPORTE NETO]]*0.21</f>
        <v>1292.2832999999998</v>
      </c>
      <c r="J1359" s="229"/>
      <c r="K1359" s="229"/>
      <c r="L1359" s="229">
        <v>7446.0132999999996</v>
      </c>
      <c r="M1359" s="55"/>
    </row>
    <row r="1360" spans="2:13" x14ac:dyDescent="0.3">
      <c r="B1360" s="223" t="s">
        <v>2597</v>
      </c>
      <c r="C1360" s="224">
        <v>6</v>
      </c>
      <c r="D1360" s="225">
        <v>15</v>
      </c>
      <c r="E1360" s="226">
        <v>7507</v>
      </c>
      <c r="F1360" s="227"/>
      <c r="G1360" s="1" t="str">
        <f>IFERROR(IF(ventas_b_mes9[[#This Row],[CUIT]]="","-",VLOOKUP(ventas_b_mes9[[#This Row],[CUIT]],Lista_CUIT[#All],2,0)),"CUIT NO CARGADO")</f>
        <v>-</v>
      </c>
      <c r="H1360" s="60">
        <f>ventas_b_mes9[[#This Row],[TOTAL]]/1.21</f>
        <v>4545.46</v>
      </c>
      <c r="I1360" s="228">
        <f>ventas_b_mes9[[#This Row],[IMPORTE NETO]]*0.21</f>
        <v>954.54660000000001</v>
      </c>
      <c r="J1360" s="229"/>
      <c r="K1360" s="229"/>
      <c r="L1360" s="229">
        <v>5500.0065999999997</v>
      </c>
      <c r="M1360" s="55"/>
    </row>
    <row r="1361" spans="2:13" x14ac:dyDescent="0.3">
      <c r="B1361" s="223" t="s">
        <v>2597</v>
      </c>
      <c r="C1361" s="224">
        <v>6</v>
      </c>
      <c r="D1361" s="225">
        <v>15</v>
      </c>
      <c r="E1361" s="226">
        <v>7508</v>
      </c>
      <c r="F1361" s="227"/>
      <c r="G1361" s="1" t="str">
        <f>IFERROR(IF(ventas_b_mes9[[#This Row],[CUIT]]="","-",VLOOKUP(ventas_b_mes9[[#This Row],[CUIT]],Lista_CUIT[#All],2,0)),"CUIT NO CARGADO")</f>
        <v>-</v>
      </c>
      <c r="H1361" s="60">
        <f>ventas_b_mes9[[#This Row],[TOTAL]]/1.21</f>
        <v>5310.74</v>
      </c>
      <c r="I1361" s="228">
        <f>ventas_b_mes9[[#This Row],[IMPORTE NETO]]*0.21</f>
        <v>1115.2554</v>
      </c>
      <c r="J1361" s="229"/>
      <c r="K1361" s="229"/>
      <c r="L1361" s="229">
        <v>6425.9953999999998</v>
      </c>
      <c r="M1361" s="55"/>
    </row>
    <row r="1362" spans="2:13" x14ac:dyDescent="0.3">
      <c r="B1362" s="223" t="s">
        <v>2597</v>
      </c>
      <c r="C1362" s="224">
        <v>6</v>
      </c>
      <c r="D1362" s="225">
        <v>15</v>
      </c>
      <c r="E1362" s="226">
        <v>7509</v>
      </c>
      <c r="F1362" s="227"/>
      <c r="G1362" s="1" t="str">
        <f>IFERROR(IF(ventas_b_mes9[[#This Row],[CUIT]]="","-",VLOOKUP(ventas_b_mes9[[#This Row],[CUIT]],Lista_CUIT[#All],2,0)),"CUIT NO CARGADO")</f>
        <v>-</v>
      </c>
      <c r="H1362" s="60">
        <f>ventas_b_mes9[[#This Row],[TOTAL]]/1.21</f>
        <v>2578.5100000000007</v>
      </c>
      <c r="I1362" s="228">
        <f>ventas_b_mes9[[#This Row],[IMPORTE NETO]]*0.21</f>
        <v>541.48710000000017</v>
      </c>
      <c r="J1362" s="229"/>
      <c r="K1362" s="229"/>
      <c r="L1362" s="229">
        <v>3119.9971000000005</v>
      </c>
      <c r="M1362" s="55"/>
    </row>
    <row r="1363" spans="2:13" x14ac:dyDescent="0.3">
      <c r="B1363" s="223" t="s">
        <v>2597</v>
      </c>
      <c r="C1363" s="224">
        <v>6</v>
      </c>
      <c r="D1363" s="225">
        <v>15</v>
      </c>
      <c r="E1363" s="226">
        <v>7510</v>
      </c>
      <c r="F1363" s="227"/>
      <c r="G1363" s="1" t="str">
        <f>IFERROR(IF(ventas_b_mes9[[#This Row],[CUIT]]="","-",VLOOKUP(ventas_b_mes9[[#This Row],[CUIT]],Lista_CUIT[#All],2,0)),"CUIT NO CARGADO")</f>
        <v>-</v>
      </c>
      <c r="H1363" s="60">
        <f>ventas_b_mes9[[#This Row],[TOTAL]]/1.21</f>
        <v>4132.2299999999996</v>
      </c>
      <c r="I1363" s="228">
        <f>ventas_b_mes9[[#This Row],[IMPORTE NETO]]*0.21</f>
        <v>867.76829999999984</v>
      </c>
      <c r="J1363" s="229"/>
      <c r="K1363" s="229"/>
      <c r="L1363" s="229">
        <v>4999.9982999999993</v>
      </c>
      <c r="M1363" s="55"/>
    </row>
    <row r="1364" spans="2:13" x14ac:dyDescent="0.3">
      <c r="B1364" s="223" t="s">
        <v>2597</v>
      </c>
      <c r="C1364" s="224">
        <v>6</v>
      </c>
      <c r="D1364" s="225">
        <v>10</v>
      </c>
      <c r="E1364" s="226">
        <v>44504</v>
      </c>
      <c r="F1364" s="227"/>
      <c r="G1364" s="1" t="str">
        <f>IFERROR(IF(ventas_b_mes9[[#This Row],[CUIT]]="","-",VLOOKUP(ventas_b_mes9[[#This Row],[CUIT]],Lista_CUIT[#All],2,0)),"CUIT NO CARGADO")</f>
        <v>-</v>
      </c>
      <c r="H1364" s="60">
        <f>ventas_b_mes9[[#This Row],[TOTAL]]/1.21</f>
        <v>1652.89</v>
      </c>
      <c r="I1364" s="228">
        <f>ventas_b_mes9[[#This Row],[IMPORTE NETO]]*0.21</f>
        <v>347.1069</v>
      </c>
      <c r="J1364" s="229"/>
      <c r="K1364" s="229"/>
      <c r="L1364" s="229">
        <v>1999.9969000000001</v>
      </c>
      <c r="M1364" s="55"/>
    </row>
    <row r="1365" spans="2:13" x14ac:dyDescent="0.3">
      <c r="B1365" s="223" t="s">
        <v>2597</v>
      </c>
      <c r="C1365" s="224">
        <v>6</v>
      </c>
      <c r="D1365" s="225">
        <v>10</v>
      </c>
      <c r="E1365" s="226">
        <v>44505</v>
      </c>
      <c r="F1365" s="227"/>
      <c r="G1365" s="1" t="str">
        <f>IFERROR(IF(ventas_b_mes9[[#This Row],[CUIT]]="","-",VLOOKUP(ventas_b_mes9[[#This Row],[CUIT]],Lista_CUIT[#All],2,0)),"CUIT NO CARGADO")</f>
        <v>-</v>
      </c>
      <c r="H1365" s="60">
        <f>ventas_b_mes9[[#This Row],[TOTAL]]/1.21</f>
        <v>21057.85</v>
      </c>
      <c r="I1365" s="228">
        <f>ventas_b_mes9[[#This Row],[IMPORTE NETO]]*0.21</f>
        <v>4422.1484999999993</v>
      </c>
      <c r="J1365" s="229"/>
      <c r="K1365" s="229"/>
      <c r="L1365" s="229">
        <v>25479.998499999998</v>
      </c>
      <c r="M1365" s="55"/>
    </row>
    <row r="1366" spans="2:13" x14ac:dyDescent="0.3">
      <c r="B1366" s="223" t="s">
        <v>2597</v>
      </c>
      <c r="C1366" s="224">
        <v>6</v>
      </c>
      <c r="D1366" s="225">
        <v>10</v>
      </c>
      <c r="E1366" s="226">
        <v>44506</v>
      </c>
      <c r="F1366" s="227"/>
      <c r="G1366" s="1" t="str">
        <f>IFERROR(IF(ventas_b_mes9[[#This Row],[CUIT]]="","-",VLOOKUP(ventas_b_mes9[[#This Row],[CUIT]],Lista_CUIT[#All],2,0)),"CUIT NO CARGADO")</f>
        <v>-</v>
      </c>
      <c r="H1366" s="60">
        <f>ventas_b_mes9[[#This Row],[TOTAL]]/1.21</f>
        <v>3793.3900000000003</v>
      </c>
      <c r="I1366" s="228">
        <f>ventas_b_mes9[[#This Row],[IMPORTE NETO]]*0.21</f>
        <v>796.61189999999999</v>
      </c>
      <c r="J1366" s="229"/>
      <c r="K1366" s="229"/>
      <c r="L1366" s="229">
        <v>4590.0019000000002</v>
      </c>
      <c r="M1366" s="55"/>
    </row>
    <row r="1367" spans="2:13" x14ac:dyDescent="0.3">
      <c r="B1367" s="223" t="s">
        <v>2597</v>
      </c>
      <c r="C1367" s="224">
        <v>6</v>
      </c>
      <c r="D1367" s="225">
        <v>10</v>
      </c>
      <c r="E1367" s="226">
        <v>44507</v>
      </c>
      <c r="F1367" s="227"/>
      <c r="G1367" s="1" t="str">
        <f>IFERROR(IF(ventas_b_mes9[[#This Row],[CUIT]]="","-",VLOOKUP(ventas_b_mes9[[#This Row],[CUIT]],Lista_CUIT[#All],2,0)),"CUIT NO CARGADO")</f>
        <v>-</v>
      </c>
      <c r="H1367" s="60">
        <f>ventas_b_mes9[[#This Row],[TOTAL]]/1.21</f>
        <v>18298.349999999999</v>
      </c>
      <c r="I1367" s="228">
        <f>ventas_b_mes9[[#This Row],[IMPORTE NETO]]*0.21</f>
        <v>3842.6534999999994</v>
      </c>
      <c r="J1367" s="229"/>
      <c r="K1367" s="229"/>
      <c r="L1367" s="229">
        <v>22141.003499999999</v>
      </c>
      <c r="M1367" s="55"/>
    </row>
    <row r="1368" spans="2:13" x14ac:dyDescent="0.3">
      <c r="B1368" s="223" t="s">
        <v>2597</v>
      </c>
      <c r="C1368" s="224">
        <v>6</v>
      </c>
      <c r="D1368" s="225">
        <v>10</v>
      </c>
      <c r="E1368" s="226">
        <v>44508</v>
      </c>
      <c r="F1368" s="227"/>
      <c r="G1368" s="1" t="str">
        <f>IFERROR(IF(ventas_b_mes9[[#This Row],[CUIT]]="","-",VLOOKUP(ventas_b_mes9[[#This Row],[CUIT]],Lista_CUIT[#All],2,0)),"CUIT NO CARGADO")</f>
        <v>-</v>
      </c>
      <c r="H1368" s="60">
        <f>ventas_b_mes9[[#This Row],[TOTAL]]/1.21</f>
        <v>36134.71</v>
      </c>
      <c r="I1368" s="228">
        <f>ventas_b_mes9[[#This Row],[IMPORTE NETO]]*0.21</f>
        <v>7588.2891</v>
      </c>
      <c r="J1368" s="229"/>
      <c r="K1368" s="229"/>
      <c r="L1368" s="229">
        <v>43722.999100000001</v>
      </c>
      <c r="M1368" s="55"/>
    </row>
    <row r="1369" spans="2:13" x14ac:dyDescent="0.3">
      <c r="B1369" s="223" t="s">
        <v>2597</v>
      </c>
      <c r="C1369" s="224">
        <v>6</v>
      </c>
      <c r="D1369" s="225">
        <v>10</v>
      </c>
      <c r="E1369" s="226">
        <v>44509</v>
      </c>
      <c r="F1369" s="227"/>
      <c r="G1369" s="1" t="str">
        <f>IFERROR(IF(ventas_b_mes9[[#This Row],[CUIT]]="","-",VLOOKUP(ventas_b_mes9[[#This Row],[CUIT]],Lista_CUIT[#All],2,0)),"CUIT NO CARGADO")</f>
        <v>-</v>
      </c>
      <c r="H1369" s="60">
        <f>ventas_b_mes9[[#This Row],[TOTAL]]/1.21</f>
        <v>10330.58</v>
      </c>
      <c r="I1369" s="228">
        <f>ventas_b_mes9[[#This Row],[IMPORTE NETO]]*0.21</f>
        <v>2169.4218000000001</v>
      </c>
      <c r="J1369" s="229"/>
      <c r="K1369" s="229"/>
      <c r="L1369" s="229">
        <v>12500.0018</v>
      </c>
      <c r="M1369" s="55"/>
    </row>
    <row r="1370" spans="2:13" x14ac:dyDescent="0.3">
      <c r="B1370" s="223" t="s">
        <v>2597</v>
      </c>
      <c r="C1370" s="224">
        <v>6</v>
      </c>
      <c r="D1370" s="225">
        <v>10</v>
      </c>
      <c r="E1370" s="226">
        <v>44510</v>
      </c>
      <c r="F1370" s="227"/>
      <c r="G1370" s="1" t="str">
        <f>IFERROR(IF(ventas_b_mes9[[#This Row],[CUIT]]="","-",VLOOKUP(ventas_b_mes9[[#This Row],[CUIT]],Lista_CUIT[#All],2,0)),"CUIT NO CARGADO")</f>
        <v>-</v>
      </c>
      <c r="H1370" s="60">
        <f>ventas_b_mes9[[#This Row],[TOTAL]]/1.21</f>
        <v>14157.02</v>
      </c>
      <c r="I1370" s="228">
        <f>ventas_b_mes9[[#This Row],[IMPORTE NETO]]*0.21</f>
        <v>2972.9742000000001</v>
      </c>
      <c r="J1370" s="229"/>
      <c r="K1370" s="229"/>
      <c r="L1370" s="229">
        <v>17129.994200000001</v>
      </c>
      <c r="M1370" s="55"/>
    </row>
    <row r="1371" spans="2:13" x14ac:dyDescent="0.3">
      <c r="B1371" s="223" t="s">
        <v>2597</v>
      </c>
      <c r="C1371" s="224">
        <v>6</v>
      </c>
      <c r="D1371" s="225">
        <v>10</v>
      </c>
      <c r="E1371" s="226">
        <v>44511</v>
      </c>
      <c r="F1371" s="227"/>
      <c r="G1371" s="1" t="str">
        <f>IFERROR(IF(ventas_b_mes9[[#This Row],[CUIT]]="","-",VLOOKUP(ventas_b_mes9[[#This Row],[CUIT]],Lista_CUIT[#All],2,0)),"CUIT NO CARGADO")</f>
        <v>-</v>
      </c>
      <c r="H1371" s="60">
        <f>ventas_b_mes9[[#This Row],[TOTAL]]/1.21</f>
        <v>10330.58</v>
      </c>
      <c r="I1371" s="228">
        <f>ventas_b_mes9[[#This Row],[IMPORTE NETO]]*0.21</f>
        <v>2169.4218000000001</v>
      </c>
      <c r="J1371" s="229"/>
      <c r="K1371" s="229"/>
      <c r="L1371" s="229">
        <v>12500.0018</v>
      </c>
      <c r="M1371" s="55"/>
    </row>
    <row r="1372" spans="2:13" x14ac:dyDescent="0.3">
      <c r="B1372" s="223" t="s">
        <v>2597</v>
      </c>
      <c r="C1372" s="224">
        <v>6</v>
      </c>
      <c r="D1372" s="225">
        <v>10</v>
      </c>
      <c r="E1372" s="226">
        <v>44512</v>
      </c>
      <c r="F1372" s="227"/>
      <c r="G1372" s="1" t="str">
        <f>IFERROR(IF(ventas_b_mes9[[#This Row],[CUIT]]="","-",VLOOKUP(ventas_b_mes9[[#This Row],[CUIT]],Lista_CUIT[#All],2,0)),"CUIT NO CARGADO")</f>
        <v>-</v>
      </c>
      <c r="H1372" s="60">
        <f>ventas_b_mes9[[#This Row],[TOTAL]]/1.21</f>
        <v>1559.5</v>
      </c>
      <c r="I1372" s="228">
        <f>ventas_b_mes9[[#This Row],[IMPORTE NETO]]*0.21</f>
        <v>327.495</v>
      </c>
      <c r="J1372" s="229"/>
      <c r="K1372" s="229"/>
      <c r="L1372" s="229">
        <v>1886.9949999999999</v>
      </c>
      <c r="M1372" s="55"/>
    </row>
    <row r="1373" spans="2:13" x14ac:dyDescent="0.3">
      <c r="B1373" s="223" t="s">
        <v>2597</v>
      </c>
      <c r="C1373" s="224">
        <v>6</v>
      </c>
      <c r="D1373" s="225">
        <v>10</v>
      </c>
      <c r="E1373" s="226">
        <v>44513</v>
      </c>
      <c r="F1373" s="227"/>
      <c r="G1373" s="1" t="str">
        <f>IFERROR(IF(ventas_b_mes9[[#This Row],[CUIT]]="","-",VLOOKUP(ventas_b_mes9[[#This Row],[CUIT]],Lista_CUIT[#All],2,0)),"CUIT NO CARGADO")</f>
        <v>-</v>
      </c>
      <c r="H1373" s="60">
        <f>ventas_b_mes9[[#This Row],[TOTAL]]/1.21</f>
        <v>14157.02</v>
      </c>
      <c r="I1373" s="228">
        <f>ventas_b_mes9[[#This Row],[IMPORTE NETO]]*0.21</f>
        <v>2972.9742000000001</v>
      </c>
      <c r="J1373" s="229"/>
      <c r="K1373" s="229"/>
      <c r="L1373" s="229">
        <v>17129.994200000001</v>
      </c>
      <c r="M1373" s="55"/>
    </row>
    <row r="1374" spans="2:13" x14ac:dyDescent="0.3">
      <c r="B1374" s="223" t="s">
        <v>2597</v>
      </c>
      <c r="C1374" s="224">
        <v>6</v>
      </c>
      <c r="D1374" s="225">
        <v>10</v>
      </c>
      <c r="E1374" s="226">
        <v>44514</v>
      </c>
      <c r="F1374" s="227"/>
      <c r="G1374" s="1" t="str">
        <f>IFERROR(IF(ventas_b_mes9[[#This Row],[CUIT]]="","-",VLOOKUP(ventas_b_mes9[[#This Row],[CUIT]],Lista_CUIT[#All],2,0)),"CUIT NO CARGADO")</f>
        <v>-</v>
      </c>
      <c r="H1374" s="60">
        <f>ventas_b_mes9[[#This Row],[TOTAL]]/1.21</f>
        <v>1938.02</v>
      </c>
      <c r="I1374" s="228">
        <f>ventas_b_mes9[[#This Row],[IMPORTE NETO]]*0.21</f>
        <v>406.98419999999999</v>
      </c>
      <c r="J1374" s="229"/>
      <c r="K1374" s="229"/>
      <c r="L1374" s="229">
        <v>2345.0041999999999</v>
      </c>
      <c r="M1374" s="55"/>
    </row>
    <row r="1375" spans="2:13" x14ac:dyDescent="0.3">
      <c r="B1375" s="223" t="s">
        <v>2597</v>
      </c>
      <c r="C1375" s="224">
        <v>6</v>
      </c>
      <c r="D1375" s="225">
        <v>10</v>
      </c>
      <c r="E1375" s="226">
        <v>44515</v>
      </c>
      <c r="F1375" s="227"/>
      <c r="G1375" s="1" t="str">
        <f>IFERROR(IF(ventas_b_mes9[[#This Row],[CUIT]]="","-",VLOOKUP(ventas_b_mes9[[#This Row],[CUIT]],Lista_CUIT[#All],2,0)),"CUIT NO CARGADO")</f>
        <v>-</v>
      </c>
      <c r="H1375" s="60">
        <f>ventas_b_mes9[[#This Row],[TOTAL]]/1.21</f>
        <v>1096.94</v>
      </c>
      <c r="I1375" s="228">
        <f>ventas_b_mes9[[#This Row],[IMPORTE NETO]]*0.21</f>
        <v>230.35740000000001</v>
      </c>
      <c r="J1375" s="229"/>
      <c r="K1375" s="229"/>
      <c r="L1375" s="229">
        <v>1327.2974000000002</v>
      </c>
      <c r="M1375" s="55"/>
    </row>
    <row r="1376" spans="2:13" x14ac:dyDescent="0.3">
      <c r="B1376" s="223" t="s">
        <v>2597</v>
      </c>
      <c r="C1376" s="224">
        <v>6</v>
      </c>
      <c r="D1376" s="225">
        <v>10</v>
      </c>
      <c r="E1376" s="226">
        <v>44516</v>
      </c>
      <c r="F1376" s="227"/>
      <c r="G1376" s="1" t="str">
        <f>IFERROR(IF(ventas_b_mes9[[#This Row],[CUIT]]="","-",VLOOKUP(ventas_b_mes9[[#This Row],[CUIT]],Lista_CUIT[#All],2,0)),"CUIT NO CARGADO")</f>
        <v>-</v>
      </c>
      <c r="H1376" s="60">
        <f>ventas_b_mes9[[#This Row],[TOTAL]]/1.21</f>
        <v>6617.36</v>
      </c>
      <c r="I1376" s="228">
        <f>ventas_b_mes9[[#This Row],[IMPORTE NETO]]*0.21</f>
        <v>1389.6455999999998</v>
      </c>
      <c r="J1376" s="229"/>
      <c r="K1376" s="229"/>
      <c r="L1376" s="229">
        <v>8007.0055999999995</v>
      </c>
      <c r="M1376" s="55"/>
    </row>
    <row r="1377" spans="2:13" x14ac:dyDescent="0.3">
      <c r="B1377" s="223" t="s">
        <v>2597</v>
      </c>
      <c r="C1377" s="224">
        <v>6</v>
      </c>
      <c r="D1377" s="225">
        <v>10</v>
      </c>
      <c r="E1377" s="226">
        <v>44517</v>
      </c>
      <c r="F1377" s="227"/>
      <c r="G1377" s="1" t="str">
        <f>IFERROR(IF(ventas_b_mes9[[#This Row],[CUIT]]="","-",VLOOKUP(ventas_b_mes9[[#This Row],[CUIT]],Lista_CUIT[#All],2,0)),"CUIT NO CARGADO")</f>
        <v>-</v>
      </c>
      <c r="H1377" s="60">
        <f>ventas_b_mes9[[#This Row],[TOTAL]]/1.21</f>
        <v>3666.94</v>
      </c>
      <c r="I1377" s="228">
        <f>ventas_b_mes9[[#This Row],[IMPORTE NETO]]*0.21</f>
        <v>770.05740000000003</v>
      </c>
      <c r="J1377" s="229"/>
      <c r="K1377" s="229"/>
      <c r="L1377" s="229">
        <v>4436.9974000000002</v>
      </c>
      <c r="M1377" s="55"/>
    </row>
    <row r="1378" spans="2:13" x14ac:dyDescent="0.3">
      <c r="B1378" s="223" t="s">
        <v>2597</v>
      </c>
      <c r="C1378" s="224">
        <v>6</v>
      </c>
      <c r="D1378" s="225">
        <v>10</v>
      </c>
      <c r="E1378" s="226">
        <v>44518</v>
      </c>
      <c r="F1378" s="227"/>
      <c r="G1378" s="1" t="str">
        <f>IFERROR(IF(ventas_b_mes9[[#This Row],[CUIT]]="","-",VLOOKUP(ventas_b_mes9[[#This Row],[CUIT]],Lista_CUIT[#All],2,0)),"CUIT NO CARGADO")</f>
        <v>-</v>
      </c>
      <c r="H1378" s="60">
        <f>ventas_b_mes9[[#This Row],[TOTAL]]/1.21</f>
        <v>13843.8</v>
      </c>
      <c r="I1378" s="228">
        <f>ventas_b_mes9[[#This Row],[IMPORTE NETO]]*0.21</f>
        <v>2907.1979999999999</v>
      </c>
      <c r="J1378" s="229"/>
      <c r="K1378" s="229"/>
      <c r="L1378" s="229">
        <v>16750.998</v>
      </c>
      <c r="M1378" s="55"/>
    </row>
    <row r="1379" spans="2:13" x14ac:dyDescent="0.3">
      <c r="B1379" s="223" t="s">
        <v>2597</v>
      </c>
      <c r="C1379" s="224">
        <v>6</v>
      </c>
      <c r="D1379" s="225">
        <v>10</v>
      </c>
      <c r="E1379" s="226">
        <v>44519</v>
      </c>
      <c r="F1379" s="227"/>
      <c r="G1379" s="1" t="str">
        <f>IFERROR(IF(ventas_b_mes9[[#This Row],[CUIT]]="","-",VLOOKUP(ventas_b_mes9[[#This Row],[CUIT]],Lista_CUIT[#All],2,0)),"CUIT NO CARGADO")</f>
        <v>-</v>
      </c>
      <c r="H1379" s="60">
        <f>ventas_b_mes9[[#This Row],[TOTAL]]/1.21</f>
        <v>8064.4600000000009</v>
      </c>
      <c r="I1379" s="228">
        <f>ventas_b_mes9[[#This Row],[IMPORTE NETO]]*0.21</f>
        <v>1693.5366000000001</v>
      </c>
      <c r="J1379" s="229"/>
      <c r="K1379" s="229"/>
      <c r="L1379" s="229">
        <v>9757.9966000000004</v>
      </c>
      <c r="M1379" s="55"/>
    </row>
    <row r="1380" spans="2:13" x14ac:dyDescent="0.3">
      <c r="B1380" s="223" t="s">
        <v>2597</v>
      </c>
      <c r="C1380" s="224">
        <v>6</v>
      </c>
      <c r="D1380" s="225">
        <v>10</v>
      </c>
      <c r="E1380" s="226">
        <v>44520</v>
      </c>
      <c r="F1380" s="227"/>
      <c r="G1380" s="1" t="str">
        <f>IFERROR(IF(ventas_b_mes9[[#This Row],[CUIT]]="","-",VLOOKUP(ventas_b_mes9[[#This Row],[CUIT]],Lista_CUIT[#All],2,0)),"CUIT NO CARGADO")</f>
        <v>-</v>
      </c>
      <c r="H1380" s="60">
        <f>ventas_b_mes9[[#This Row],[TOTAL]]/1.21</f>
        <v>11811.57</v>
      </c>
      <c r="I1380" s="228">
        <f>ventas_b_mes9[[#This Row],[IMPORTE NETO]]*0.21</f>
        <v>2480.4296999999997</v>
      </c>
      <c r="J1380" s="229"/>
      <c r="K1380" s="229"/>
      <c r="L1380" s="229">
        <v>14291.9997</v>
      </c>
      <c r="M1380" s="55"/>
    </row>
    <row r="1381" spans="2:13" x14ac:dyDescent="0.3">
      <c r="B1381" s="223" t="s">
        <v>2597</v>
      </c>
      <c r="C1381" s="224">
        <v>6</v>
      </c>
      <c r="D1381" s="225">
        <v>12</v>
      </c>
      <c r="E1381" s="226">
        <v>23089</v>
      </c>
      <c r="F1381" s="227"/>
      <c r="G1381" s="1" t="str">
        <f>IFERROR(IF(ventas_b_mes9[[#This Row],[CUIT]]="","-",VLOOKUP(ventas_b_mes9[[#This Row],[CUIT]],Lista_CUIT[#All],2,0)),"CUIT NO CARGADO")</f>
        <v>-</v>
      </c>
      <c r="H1381" s="60">
        <f>ventas_b_mes9[[#This Row],[TOTAL]]/1.21</f>
        <v>4958.68</v>
      </c>
      <c r="I1381" s="228">
        <f>ventas_b_mes9[[#This Row],[IMPORTE NETO]]*0.21</f>
        <v>1041.3227999999999</v>
      </c>
      <c r="J1381" s="229"/>
      <c r="K1381" s="229"/>
      <c r="L1381" s="229">
        <v>6000.0028000000002</v>
      </c>
      <c r="M1381" s="55"/>
    </row>
    <row r="1382" spans="2:13" x14ac:dyDescent="0.3">
      <c r="B1382" s="223" t="s">
        <v>2597</v>
      </c>
      <c r="C1382" s="224">
        <v>6</v>
      </c>
      <c r="D1382" s="225">
        <v>12</v>
      </c>
      <c r="E1382" s="226">
        <v>23090</v>
      </c>
      <c r="F1382" s="227"/>
      <c r="G1382" s="1" t="str">
        <f>IFERROR(IF(ventas_b_mes9[[#This Row],[CUIT]]="","-",VLOOKUP(ventas_b_mes9[[#This Row],[CUIT]],Lista_CUIT[#All],2,0)),"CUIT NO CARGADO")</f>
        <v>-</v>
      </c>
      <c r="H1382" s="60">
        <f>ventas_b_mes9[[#This Row],[TOTAL]]/1.21</f>
        <v>2677.6800000000003</v>
      </c>
      <c r="I1382" s="228">
        <f>ventas_b_mes9[[#This Row],[IMPORTE NETO]]*0.21</f>
        <v>562.31280000000004</v>
      </c>
      <c r="J1382" s="229"/>
      <c r="K1382" s="229"/>
      <c r="L1382" s="229">
        <v>3239.9928</v>
      </c>
      <c r="M1382" s="55"/>
    </row>
    <row r="1383" spans="2:13" x14ac:dyDescent="0.3">
      <c r="B1383" s="223" t="s">
        <v>2597</v>
      </c>
      <c r="C1383" s="224">
        <v>6</v>
      </c>
      <c r="D1383" s="225">
        <v>12</v>
      </c>
      <c r="E1383" s="226">
        <v>23091</v>
      </c>
      <c r="F1383" s="227"/>
      <c r="G1383" s="1" t="str">
        <f>IFERROR(IF(ventas_b_mes9[[#This Row],[CUIT]]="","-",VLOOKUP(ventas_b_mes9[[#This Row],[CUIT]],Lista_CUIT[#All],2,0)),"CUIT NO CARGADO")</f>
        <v>-</v>
      </c>
      <c r="H1383" s="60">
        <f>ventas_b_mes9[[#This Row],[TOTAL]]/1.21</f>
        <v>4622.3100000000004</v>
      </c>
      <c r="I1383" s="228">
        <f>ventas_b_mes9[[#This Row],[IMPORTE NETO]]*0.21</f>
        <v>970.68510000000003</v>
      </c>
      <c r="J1383" s="229"/>
      <c r="K1383" s="229"/>
      <c r="L1383" s="229">
        <v>5592.9951000000001</v>
      </c>
      <c r="M1383" s="55"/>
    </row>
    <row r="1384" spans="2:13" x14ac:dyDescent="0.3">
      <c r="B1384" s="223" t="s">
        <v>2597</v>
      </c>
      <c r="C1384" s="224">
        <v>6</v>
      </c>
      <c r="D1384" s="225">
        <v>12</v>
      </c>
      <c r="E1384" s="226">
        <v>23092</v>
      </c>
      <c r="F1384" s="227"/>
      <c r="G1384" s="1" t="str">
        <f>IFERROR(IF(ventas_b_mes9[[#This Row],[CUIT]]="","-",VLOOKUP(ventas_b_mes9[[#This Row],[CUIT]],Lista_CUIT[#All],2,0)),"CUIT NO CARGADO")</f>
        <v>-</v>
      </c>
      <c r="H1384" s="60">
        <f>ventas_b_mes9[[#This Row],[TOTAL]]/1.21</f>
        <v>15229.770000000002</v>
      </c>
      <c r="I1384" s="228">
        <f>ventas_b_mes9[[#This Row],[IMPORTE NETO]]*0.21</f>
        <v>3198.2517000000003</v>
      </c>
      <c r="J1384" s="229"/>
      <c r="K1384" s="229"/>
      <c r="L1384" s="229">
        <v>18428.021700000001</v>
      </c>
      <c r="M1384" s="55"/>
    </row>
    <row r="1385" spans="2:13" x14ac:dyDescent="0.3">
      <c r="B1385" s="223" t="s">
        <v>2597</v>
      </c>
      <c r="C1385" s="224">
        <v>6</v>
      </c>
      <c r="D1385" s="225">
        <v>12</v>
      </c>
      <c r="E1385" s="226">
        <v>23093</v>
      </c>
      <c r="F1385" s="227"/>
      <c r="G1385" s="1" t="str">
        <f>IFERROR(IF(ventas_b_mes9[[#This Row],[CUIT]]="","-",VLOOKUP(ventas_b_mes9[[#This Row],[CUIT]],Lista_CUIT[#All],2,0)),"CUIT NO CARGADO")</f>
        <v>-</v>
      </c>
      <c r="H1385" s="60">
        <f>ventas_b_mes9[[#This Row],[TOTAL]]/1.21</f>
        <v>4958.68</v>
      </c>
      <c r="I1385" s="228">
        <f>ventas_b_mes9[[#This Row],[IMPORTE NETO]]*0.21</f>
        <v>1041.3227999999999</v>
      </c>
      <c r="J1385" s="229"/>
      <c r="K1385" s="229"/>
      <c r="L1385" s="229">
        <v>6000.0028000000002</v>
      </c>
      <c r="M1385" s="55"/>
    </row>
    <row r="1386" spans="2:13" x14ac:dyDescent="0.3">
      <c r="B1386" s="223" t="s">
        <v>2597</v>
      </c>
      <c r="C1386" s="224">
        <v>6</v>
      </c>
      <c r="D1386" s="225">
        <v>12</v>
      </c>
      <c r="E1386" s="226">
        <v>23094</v>
      </c>
      <c r="F1386" s="227"/>
      <c r="G1386" s="1" t="str">
        <f>IFERROR(IF(ventas_b_mes9[[#This Row],[CUIT]]="","-",VLOOKUP(ventas_b_mes9[[#This Row],[CUIT]],Lista_CUIT[#All],2,0)),"CUIT NO CARGADO")</f>
        <v>-</v>
      </c>
      <c r="H1386" s="60">
        <f>ventas_b_mes9[[#This Row],[TOTAL]]/1.21</f>
        <v>10330.58</v>
      </c>
      <c r="I1386" s="228">
        <f>ventas_b_mes9[[#This Row],[IMPORTE NETO]]*0.21</f>
        <v>2169.4218000000001</v>
      </c>
      <c r="J1386" s="229"/>
      <c r="K1386" s="229"/>
      <c r="L1386" s="229">
        <v>12500.0018</v>
      </c>
      <c r="M1386" s="55"/>
    </row>
    <row r="1387" spans="2:13" x14ac:dyDescent="0.3">
      <c r="B1387" s="223" t="s">
        <v>2597</v>
      </c>
      <c r="C1387" s="224">
        <v>6</v>
      </c>
      <c r="D1387" s="225">
        <v>12</v>
      </c>
      <c r="E1387" s="226">
        <v>23095</v>
      </c>
      <c r="F1387" s="227"/>
      <c r="G1387" s="1" t="str">
        <f>IFERROR(IF(ventas_b_mes9[[#This Row],[CUIT]]="","-",VLOOKUP(ventas_b_mes9[[#This Row],[CUIT]],Lista_CUIT[#All],2,0)),"CUIT NO CARGADO")</f>
        <v>-</v>
      </c>
      <c r="H1387" s="60">
        <f>ventas_b_mes9[[#This Row],[TOTAL]]/1.21</f>
        <v>2444.63</v>
      </c>
      <c r="I1387" s="228">
        <f>ventas_b_mes9[[#This Row],[IMPORTE NETO]]*0.21</f>
        <v>513.3723</v>
      </c>
      <c r="J1387" s="229"/>
      <c r="K1387" s="229"/>
      <c r="L1387" s="229">
        <v>2958.0023000000001</v>
      </c>
      <c r="M1387" s="55"/>
    </row>
    <row r="1388" spans="2:13" x14ac:dyDescent="0.3">
      <c r="B1388" s="223" t="s">
        <v>2597</v>
      </c>
      <c r="C1388" s="224">
        <v>6</v>
      </c>
      <c r="D1388" s="225">
        <v>12</v>
      </c>
      <c r="E1388" s="226">
        <v>23096</v>
      </c>
      <c r="F1388" s="227"/>
      <c r="G1388" s="1" t="str">
        <f>IFERROR(IF(ventas_b_mes9[[#This Row],[CUIT]]="","-",VLOOKUP(ventas_b_mes9[[#This Row],[CUIT]],Lista_CUIT[#All],2,0)),"CUIT NO CARGADO")</f>
        <v>-</v>
      </c>
      <c r="H1388" s="60">
        <f>ventas_b_mes9[[#This Row],[TOTAL]]/1.21</f>
        <v>27166.940000000002</v>
      </c>
      <c r="I1388" s="228">
        <f>ventas_b_mes9[[#This Row],[IMPORTE NETO]]*0.21</f>
        <v>5705.0574000000006</v>
      </c>
      <c r="J1388" s="229"/>
      <c r="K1388" s="229"/>
      <c r="L1388" s="229">
        <v>32871.9974</v>
      </c>
      <c r="M1388" s="55"/>
    </row>
    <row r="1389" spans="2:13" x14ac:dyDescent="0.3">
      <c r="B1389" s="223" t="s">
        <v>2597</v>
      </c>
      <c r="C1389" s="224">
        <v>6</v>
      </c>
      <c r="D1389" s="225">
        <v>12</v>
      </c>
      <c r="E1389" s="226">
        <v>23097</v>
      </c>
      <c r="F1389" s="227"/>
      <c r="G1389" s="1" t="str">
        <f>IFERROR(IF(ventas_b_mes9[[#This Row],[CUIT]]="","-",VLOOKUP(ventas_b_mes9[[#This Row],[CUIT]],Lista_CUIT[#All],2,0)),"CUIT NO CARGADO")</f>
        <v>-</v>
      </c>
      <c r="H1389" s="60">
        <f>ventas_b_mes9[[#This Row],[TOTAL]]/1.21</f>
        <v>4165.3100000000004</v>
      </c>
      <c r="I1389" s="228">
        <f>ventas_b_mes9[[#This Row],[IMPORTE NETO]]*0.21</f>
        <v>874.71510000000001</v>
      </c>
      <c r="J1389" s="229"/>
      <c r="K1389" s="229"/>
      <c r="L1389" s="229">
        <v>5040.0251000000007</v>
      </c>
      <c r="M1389" s="55"/>
    </row>
    <row r="1390" spans="2:13" x14ac:dyDescent="0.3">
      <c r="B1390" s="223" t="s">
        <v>2597</v>
      </c>
      <c r="C1390" s="224">
        <v>6</v>
      </c>
      <c r="D1390" s="225">
        <v>12</v>
      </c>
      <c r="E1390" s="226">
        <v>23098</v>
      </c>
      <c r="F1390" s="227"/>
      <c r="G1390" s="1" t="str">
        <f>IFERROR(IF(ventas_b_mes9[[#This Row],[CUIT]]="","-",VLOOKUP(ventas_b_mes9[[#This Row],[CUIT]],Lista_CUIT[#All],2,0)),"CUIT NO CARGADO")</f>
        <v>-</v>
      </c>
      <c r="H1390" s="60">
        <f>ventas_b_mes9[[#This Row],[TOTAL]]/1.21</f>
        <v>7839.6900000000005</v>
      </c>
      <c r="I1390" s="228">
        <f>ventas_b_mes9[[#This Row],[IMPORTE NETO]]*0.21</f>
        <v>1646.3349000000001</v>
      </c>
      <c r="J1390" s="229"/>
      <c r="K1390" s="229"/>
      <c r="L1390" s="229">
        <v>9486.0249000000003</v>
      </c>
      <c r="M1390" s="55"/>
    </row>
    <row r="1391" spans="2:13" x14ac:dyDescent="0.3">
      <c r="B1391" s="223" t="s">
        <v>2597</v>
      </c>
      <c r="C1391" s="224">
        <v>6</v>
      </c>
      <c r="D1391" s="225">
        <v>12</v>
      </c>
      <c r="E1391" s="226">
        <v>23099</v>
      </c>
      <c r="F1391" s="227"/>
      <c r="G1391" s="1" t="str">
        <f>IFERROR(IF(ventas_b_mes9[[#This Row],[CUIT]]="","-",VLOOKUP(ventas_b_mes9[[#This Row],[CUIT]],Lista_CUIT[#All],2,0)),"CUIT NO CARGADO")</f>
        <v>-</v>
      </c>
      <c r="H1391" s="60">
        <f>ventas_b_mes9[[#This Row],[TOTAL]]/1.21</f>
        <v>5135.54</v>
      </c>
      <c r="I1391" s="228">
        <f>ventas_b_mes9[[#This Row],[IMPORTE NETO]]*0.21</f>
        <v>1078.4633999999999</v>
      </c>
      <c r="J1391" s="229"/>
      <c r="K1391" s="229"/>
      <c r="L1391" s="229">
        <v>6214.0033999999996</v>
      </c>
      <c r="M1391" s="55"/>
    </row>
    <row r="1392" spans="2:13" x14ac:dyDescent="0.3">
      <c r="B1392" s="223" t="s">
        <v>2597</v>
      </c>
      <c r="C1392" s="224">
        <v>6</v>
      </c>
      <c r="D1392" s="225">
        <v>12</v>
      </c>
      <c r="E1392" s="226">
        <v>23100</v>
      </c>
      <c r="F1392" s="227"/>
      <c r="G1392" s="1" t="str">
        <f>IFERROR(IF(ventas_b_mes9[[#This Row],[CUIT]]="","-",VLOOKUP(ventas_b_mes9[[#This Row],[CUIT]],Lista_CUIT[#All],2,0)),"CUIT NO CARGADO")</f>
        <v>-</v>
      </c>
      <c r="H1392" s="60">
        <f>ventas_b_mes9[[#This Row],[TOTAL]]/1.21</f>
        <v>2486.7800000000002</v>
      </c>
      <c r="I1392" s="228">
        <f>ventas_b_mes9[[#This Row],[IMPORTE NETO]]*0.21</f>
        <v>522.22379999999998</v>
      </c>
      <c r="J1392" s="229"/>
      <c r="K1392" s="229"/>
      <c r="L1392" s="229">
        <v>3009.0038000000004</v>
      </c>
      <c r="M1392" s="55"/>
    </row>
    <row r="1393" spans="2:13" x14ac:dyDescent="0.3">
      <c r="B1393" s="223" t="s">
        <v>2597</v>
      </c>
      <c r="C1393" s="224">
        <v>6</v>
      </c>
      <c r="D1393" s="225">
        <v>12</v>
      </c>
      <c r="E1393" s="226">
        <v>23101</v>
      </c>
      <c r="F1393" s="227"/>
      <c r="G1393" s="1" t="str">
        <f>IFERROR(IF(ventas_b_mes9[[#This Row],[CUIT]]="","-",VLOOKUP(ventas_b_mes9[[#This Row],[CUIT]],Lista_CUIT[#All],2,0)),"CUIT NO CARGADO")</f>
        <v>-</v>
      </c>
      <c r="H1393" s="60">
        <f>ventas_b_mes9[[#This Row],[TOTAL]]/1.21</f>
        <v>14157.02</v>
      </c>
      <c r="I1393" s="228">
        <f>ventas_b_mes9[[#This Row],[IMPORTE NETO]]*0.21</f>
        <v>2972.9742000000001</v>
      </c>
      <c r="J1393" s="229"/>
      <c r="K1393" s="229"/>
      <c r="L1393" s="229">
        <v>17129.994200000001</v>
      </c>
      <c r="M1393" s="55"/>
    </row>
    <row r="1394" spans="2:13" x14ac:dyDescent="0.3">
      <c r="B1394" s="223" t="s">
        <v>2597</v>
      </c>
      <c r="C1394" s="224">
        <v>6</v>
      </c>
      <c r="D1394" s="225">
        <v>12</v>
      </c>
      <c r="E1394" s="226">
        <v>23102</v>
      </c>
      <c r="F1394" s="227"/>
      <c r="G1394" s="1" t="str">
        <f>IFERROR(IF(ventas_b_mes9[[#This Row],[CUIT]]="","-",VLOOKUP(ventas_b_mes9[[#This Row],[CUIT]],Lista_CUIT[#All],2,0)),"CUIT NO CARGADO")</f>
        <v>-</v>
      </c>
      <c r="H1394" s="60">
        <f>ventas_b_mes9[[#This Row],[TOTAL]]/1.21</f>
        <v>7214.880000000001</v>
      </c>
      <c r="I1394" s="228">
        <f>ventas_b_mes9[[#This Row],[IMPORTE NETO]]*0.21</f>
        <v>1515.1248000000001</v>
      </c>
      <c r="J1394" s="229"/>
      <c r="K1394" s="229"/>
      <c r="L1394" s="229">
        <v>8730.0048000000006</v>
      </c>
      <c r="M1394" s="55"/>
    </row>
    <row r="1395" spans="2:13" x14ac:dyDescent="0.3">
      <c r="B1395" s="223" t="s">
        <v>2597</v>
      </c>
      <c r="C1395" s="224">
        <v>6</v>
      </c>
      <c r="D1395" s="225">
        <v>12</v>
      </c>
      <c r="E1395" s="226">
        <v>23103</v>
      </c>
      <c r="F1395" s="227"/>
      <c r="G1395" s="1" t="str">
        <f>IFERROR(IF(ventas_b_mes9[[#This Row],[CUIT]]="","-",VLOOKUP(ventas_b_mes9[[#This Row],[CUIT]],Lista_CUIT[#All],2,0)),"CUIT NO CARGADO")</f>
        <v>-</v>
      </c>
      <c r="H1395" s="60">
        <f>ventas_b_mes9[[#This Row],[TOTAL]]/1.21</f>
        <v>2655.37</v>
      </c>
      <c r="I1395" s="228">
        <f>ventas_b_mes9[[#This Row],[IMPORTE NETO]]*0.21</f>
        <v>557.6277</v>
      </c>
      <c r="J1395" s="229"/>
      <c r="K1395" s="229"/>
      <c r="L1395" s="229">
        <v>3212.9976999999999</v>
      </c>
      <c r="M1395" s="55"/>
    </row>
    <row r="1396" spans="2:13" x14ac:dyDescent="0.3">
      <c r="B1396" s="223" t="s">
        <v>2597</v>
      </c>
      <c r="C1396" s="224">
        <v>6</v>
      </c>
      <c r="D1396" s="225">
        <v>12</v>
      </c>
      <c r="E1396" s="226">
        <v>23104</v>
      </c>
      <c r="F1396" s="227"/>
      <c r="G1396" s="1" t="str">
        <f>IFERROR(IF(ventas_b_mes9[[#This Row],[CUIT]]="","-",VLOOKUP(ventas_b_mes9[[#This Row],[CUIT]],Lista_CUIT[#All],2,0)),"CUIT NO CARGADO")</f>
        <v>-</v>
      </c>
      <c r="H1396" s="60">
        <f>ventas_b_mes9[[#This Row],[TOTAL]]/1.21</f>
        <v>7544.63</v>
      </c>
      <c r="I1396" s="228">
        <f>ventas_b_mes9[[#This Row],[IMPORTE NETO]]*0.21</f>
        <v>1584.3723</v>
      </c>
      <c r="J1396" s="229"/>
      <c r="K1396" s="229"/>
      <c r="L1396" s="229">
        <v>9129.0023000000001</v>
      </c>
      <c r="M1396" s="55"/>
    </row>
    <row r="1397" spans="2:13" x14ac:dyDescent="0.3">
      <c r="B1397" s="223" t="s">
        <v>2597</v>
      </c>
      <c r="C1397" s="224">
        <v>6</v>
      </c>
      <c r="D1397" s="225">
        <v>12</v>
      </c>
      <c r="E1397" s="226">
        <v>23105</v>
      </c>
      <c r="F1397" s="227"/>
      <c r="G1397" s="1" t="str">
        <f>IFERROR(IF(ventas_b_mes9[[#This Row],[CUIT]]="","-",VLOOKUP(ventas_b_mes9[[#This Row],[CUIT]],Lista_CUIT[#All],2,0)),"CUIT NO CARGADO")</f>
        <v>-</v>
      </c>
      <c r="H1397" s="60">
        <f>ventas_b_mes9[[#This Row],[TOTAL]]/1.21</f>
        <v>1643.79</v>
      </c>
      <c r="I1397" s="228">
        <f>ventas_b_mes9[[#This Row],[IMPORTE NETO]]*0.21</f>
        <v>345.19589999999999</v>
      </c>
      <c r="J1397" s="229"/>
      <c r="K1397" s="229"/>
      <c r="L1397" s="229">
        <v>1988.9858999999999</v>
      </c>
      <c r="M1397" s="55"/>
    </row>
    <row r="1398" spans="2:13" x14ac:dyDescent="0.3">
      <c r="B1398" s="223" t="s">
        <v>2597</v>
      </c>
      <c r="C1398" s="224">
        <v>6</v>
      </c>
      <c r="D1398" s="225">
        <v>12</v>
      </c>
      <c r="E1398" s="226">
        <v>23106</v>
      </c>
      <c r="F1398" s="227"/>
      <c r="G1398" s="1" t="str">
        <f>IFERROR(IF(ventas_b_mes9[[#This Row],[CUIT]]="","-",VLOOKUP(ventas_b_mes9[[#This Row],[CUIT]],Lista_CUIT[#All],2,0)),"CUIT NO CARGADO")</f>
        <v>-</v>
      </c>
      <c r="H1398" s="60">
        <f>ventas_b_mes9[[#This Row],[TOTAL]]/1.21</f>
        <v>6696.7</v>
      </c>
      <c r="I1398" s="228">
        <f>ventas_b_mes9[[#This Row],[IMPORTE NETO]]*0.21</f>
        <v>1406.307</v>
      </c>
      <c r="J1398" s="229"/>
      <c r="K1398" s="229"/>
      <c r="L1398" s="229">
        <v>8103.0069999999996</v>
      </c>
      <c r="M1398" s="55"/>
    </row>
    <row r="1399" spans="2:13" x14ac:dyDescent="0.3">
      <c r="B1399" s="223" t="s">
        <v>2598</v>
      </c>
      <c r="C1399" s="224">
        <v>6</v>
      </c>
      <c r="D1399" s="225">
        <v>13</v>
      </c>
      <c r="E1399" s="226">
        <v>27154</v>
      </c>
      <c r="F1399" s="227"/>
      <c r="G1399" s="1" t="str">
        <f>IFERROR(IF(ventas_b_mes9[[#This Row],[CUIT]]="","-",VLOOKUP(ventas_b_mes9[[#This Row],[CUIT]],Lista_CUIT[#All],2,0)),"CUIT NO CARGADO")</f>
        <v>-</v>
      </c>
      <c r="H1399" s="60">
        <f>ventas_b_mes9[[#This Row],[TOTAL]]/1.21</f>
        <v>6153.72</v>
      </c>
      <c r="I1399" s="228">
        <f>ventas_b_mes9[[#This Row],[IMPORTE NETO]]*0.21</f>
        <v>1292.2811999999999</v>
      </c>
      <c r="J1399" s="229"/>
      <c r="K1399" s="229"/>
      <c r="L1399" s="229">
        <v>7446.0012000000006</v>
      </c>
      <c r="M1399" s="55"/>
    </row>
    <row r="1400" spans="2:13" x14ac:dyDescent="0.3">
      <c r="B1400" s="223" t="s">
        <v>2598</v>
      </c>
      <c r="C1400" s="224">
        <v>6</v>
      </c>
      <c r="D1400" s="225">
        <v>13</v>
      </c>
      <c r="E1400" s="226">
        <v>27155</v>
      </c>
      <c r="F1400" s="227"/>
      <c r="G1400" s="1" t="str">
        <f>IFERROR(IF(ventas_b_mes9[[#This Row],[CUIT]]="","-",VLOOKUP(ventas_b_mes9[[#This Row],[CUIT]],Lista_CUIT[#All],2,0)),"CUIT NO CARGADO")</f>
        <v>-</v>
      </c>
      <c r="H1400" s="60">
        <f>ventas_b_mes9[[#This Row],[TOTAL]]/1.21</f>
        <v>3006.61</v>
      </c>
      <c r="I1400" s="228">
        <f>ventas_b_mes9[[#This Row],[IMPORTE NETO]]*0.21</f>
        <v>631.38810000000001</v>
      </c>
      <c r="J1400" s="229"/>
      <c r="K1400" s="229"/>
      <c r="L1400" s="229">
        <v>3637.9981000000002</v>
      </c>
      <c r="M1400" s="55"/>
    </row>
    <row r="1401" spans="2:13" x14ac:dyDescent="0.3">
      <c r="B1401" s="223" t="s">
        <v>2598</v>
      </c>
      <c r="C1401" s="224">
        <v>6</v>
      </c>
      <c r="D1401" s="225">
        <v>13</v>
      </c>
      <c r="E1401" s="226">
        <v>27156</v>
      </c>
      <c r="F1401" s="227"/>
      <c r="G1401" s="1" t="str">
        <f>IFERROR(IF(ventas_b_mes9[[#This Row],[CUIT]]="","-",VLOOKUP(ventas_b_mes9[[#This Row],[CUIT]],Lista_CUIT[#All],2,0)),"CUIT NO CARGADO")</f>
        <v>-</v>
      </c>
      <c r="H1401" s="60">
        <f>ventas_b_mes9[[#This Row],[TOTAL]]/1.21</f>
        <v>11479.33</v>
      </c>
      <c r="I1401" s="228">
        <f>ventas_b_mes9[[#This Row],[IMPORTE NETO]]*0.21</f>
        <v>2410.6592999999998</v>
      </c>
      <c r="J1401" s="229"/>
      <c r="K1401" s="229"/>
      <c r="L1401" s="229">
        <v>13889.989299999999</v>
      </c>
      <c r="M1401" s="55"/>
    </row>
    <row r="1402" spans="2:13" x14ac:dyDescent="0.3">
      <c r="B1402" s="223" t="s">
        <v>2598</v>
      </c>
      <c r="C1402" s="224">
        <v>6</v>
      </c>
      <c r="D1402" s="225">
        <v>13</v>
      </c>
      <c r="E1402" s="226">
        <v>27157</v>
      </c>
      <c r="F1402" s="227"/>
      <c r="G1402" s="1" t="str">
        <f>IFERROR(IF(ventas_b_mes9[[#This Row],[CUIT]]="","-",VLOOKUP(ventas_b_mes9[[#This Row],[CUIT]],Lista_CUIT[#All],2,0)),"CUIT NO CARGADO")</f>
        <v>-</v>
      </c>
      <c r="H1402" s="60">
        <f>ventas_b_mes9[[#This Row],[TOTAL]]/1.21</f>
        <v>12231.39</v>
      </c>
      <c r="I1402" s="228">
        <f>ventas_b_mes9[[#This Row],[IMPORTE NETO]]*0.21</f>
        <v>2568.5918999999999</v>
      </c>
      <c r="J1402" s="229"/>
      <c r="K1402" s="229"/>
      <c r="L1402" s="229">
        <v>14799.981899999999</v>
      </c>
      <c r="M1402" s="55"/>
    </row>
    <row r="1403" spans="2:13" x14ac:dyDescent="0.3">
      <c r="B1403" s="223" t="s">
        <v>2598</v>
      </c>
      <c r="C1403" s="224">
        <v>6</v>
      </c>
      <c r="D1403" s="225">
        <v>13</v>
      </c>
      <c r="E1403" s="226">
        <v>27158</v>
      </c>
      <c r="F1403" s="227"/>
      <c r="G1403" s="1" t="str">
        <f>IFERROR(IF(ventas_b_mes9[[#This Row],[CUIT]]="","-",VLOOKUP(ventas_b_mes9[[#This Row],[CUIT]],Lista_CUIT[#All],2,0)),"CUIT NO CARGADO")</f>
        <v>-</v>
      </c>
      <c r="H1403" s="60">
        <f>ventas_b_mes9[[#This Row],[TOTAL]]/1.21</f>
        <v>4209.91</v>
      </c>
      <c r="I1403" s="228">
        <f>ventas_b_mes9[[#This Row],[IMPORTE NETO]]*0.21</f>
        <v>884.08109999999999</v>
      </c>
      <c r="J1403" s="229"/>
      <c r="K1403" s="229"/>
      <c r="L1403" s="229">
        <v>5093.9911000000002</v>
      </c>
      <c r="M1403" s="55"/>
    </row>
    <row r="1404" spans="2:13" x14ac:dyDescent="0.3">
      <c r="B1404" s="223" t="s">
        <v>2598</v>
      </c>
      <c r="C1404" s="224">
        <v>6</v>
      </c>
      <c r="D1404" s="225">
        <v>13</v>
      </c>
      <c r="E1404" s="226">
        <v>27159</v>
      </c>
      <c r="F1404" s="227"/>
      <c r="G1404" s="1" t="str">
        <f>IFERROR(IF(ventas_b_mes9[[#This Row],[CUIT]]="","-",VLOOKUP(ventas_b_mes9[[#This Row],[CUIT]],Lista_CUIT[#All],2,0)),"CUIT NO CARGADO")</f>
        <v>-</v>
      </c>
      <c r="H1404" s="60">
        <f>ventas_b_mes9[[#This Row],[TOTAL]]/1.21</f>
        <v>4172.7299999999996</v>
      </c>
      <c r="I1404" s="228">
        <f>ventas_b_mes9[[#This Row],[IMPORTE NETO]]*0.21</f>
        <v>876.27329999999984</v>
      </c>
      <c r="J1404" s="229"/>
      <c r="K1404" s="229"/>
      <c r="L1404" s="229">
        <v>5049.0032999999994</v>
      </c>
      <c r="M1404" s="55"/>
    </row>
    <row r="1405" spans="2:13" x14ac:dyDescent="0.3">
      <c r="B1405" s="223" t="s">
        <v>2598</v>
      </c>
      <c r="C1405" s="224">
        <v>6</v>
      </c>
      <c r="D1405" s="225">
        <v>13</v>
      </c>
      <c r="E1405" s="226">
        <v>27160</v>
      </c>
      <c r="F1405" s="227"/>
      <c r="G1405" s="1" t="str">
        <f>IFERROR(IF(ventas_b_mes9[[#This Row],[CUIT]]="","-",VLOOKUP(ventas_b_mes9[[#This Row],[CUIT]],Lista_CUIT[#All],2,0)),"CUIT NO CARGADO")</f>
        <v>-</v>
      </c>
      <c r="H1405" s="60">
        <f>ventas_b_mes9[[#This Row],[TOTAL]]/1.21</f>
        <v>27818.199999999997</v>
      </c>
      <c r="I1405" s="228">
        <f>ventas_b_mes9[[#This Row],[IMPORTE NETO]]*0.21</f>
        <v>5841.8219999999992</v>
      </c>
      <c r="J1405" s="229"/>
      <c r="K1405" s="229"/>
      <c r="L1405" s="229">
        <v>33660.021999999997</v>
      </c>
      <c r="M1405" s="55"/>
    </row>
    <row r="1406" spans="2:13" x14ac:dyDescent="0.3">
      <c r="B1406" s="223" t="s">
        <v>2598</v>
      </c>
      <c r="C1406" s="224">
        <v>6</v>
      </c>
      <c r="D1406" s="225">
        <v>13</v>
      </c>
      <c r="E1406" s="226">
        <v>27161</v>
      </c>
      <c r="F1406" s="227"/>
      <c r="G1406" s="1" t="str">
        <f>IFERROR(IF(ventas_b_mes9[[#This Row],[CUIT]]="","-",VLOOKUP(ventas_b_mes9[[#This Row],[CUIT]],Lista_CUIT[#All],2,0)),"CUIT NO CARGADO")</f>
        <v>-</v>
      </c>
      <c r="H1406" s="60">
        <f>ventas_b_mes9[[#This Row],[TOTAL]]/1.21</f>
        <v>9286.7800000000007</v>
      </c>
      <c r="I1406" s="228">
        <f>ventas_b_mes9[[#This Row],[IMPORTE NETO]]*0.21</f>
        <v>1950.2238</v>
      </c>
      <c r="J1406" s="229"/>
      <c r="K1406" s="229"/>
      <c r="L1406" s="229">
        <v>11237.0038</v>
      </c>
      <c r="M1406" s="55"/>
    </row>
    <row r="1407" spans="2:13" x14ac:dyDescent="0.3">
      <c r="B1407" s="223" t="s">
        <v>2598</v>
      </c>
      <c r="C1407" s="224">
        <v>6</v>
      </c>
      <c r="D1407" s="225">
        <v>13</v>
      </c>
      <c r="E1407" s="226">
        <v>27162</v>
      </c>
      <c r="F1407" s="227"/>
      <c r="G1407" s="1" t="str">
        <f>IFERROR(IF(ventas_b_mes9[[#This Row],[CUIT]]="","-",VLOOKUP(ventas_b_mes9[[#This Row],[CUIT]],Lista_CUIT[#All],2,0)),"CUIT NO CARGADO")</f>
        <v>-</v>
      </c>
      <c r="H1407" s="60">
        <f>ventas_b_mes9[[#This Row],[TOTAL]]/1.21</f>
        <v>1770.25</v>
      </c>
      <c r="I1407" s="228">
        <f>ventas_b_mes9[[#This Row],[IMPORTE NETO]]*0.21</f>
        <v>371.7525</v>
      </c>
      <c r="J1407" s="229"/>
      <c r="K1407" s="229"/>
      <c r="L1407" s="229">
        <v>2142.0025000000001</v>
      </c>
      <c r="M1407" s="55"/>
    </row>
    <row r="1408" spans="2:13" x14ac:dyDescent="0.3">
      <c r="B1408" s="223" t="s">
        <v>2598</v>
      </c>
      <c r="C1408" s="224">
        <v>6</v>
      </c>
      <c r="D1408" s="225">
        <v>13</v>
      </c>
      <c r="E1408" s="226">
        <v>27163</v>
      </c>
      <c r="F1408" s="227"/>
      <c r="G1408" s="1" t="str">
        <f>IFERROR(IF(ventas_b_mes9[[#This Row],[CUIT]]="","-",VLOOKUP(ventas_b_mes9[[#This Row],[CUIT]],Lista_CUIT[#All],2,0)),"CUIT NO CARGADO")</f>
        <v>-</v>
      </c>
      <c r="H1408" s="60">
        <f>ventas_b_mes9[[#This Row],[TOTAL]]/1.21</f>
        <v>194.21</v>
      </c>
      <c r="I1408" s="228">
        <f>ventas_b_mes9[[#This Row],[IMPORTE NETO]]*0.21</f>
        <v>40.784100000000002</v>
      </c>
      <c r="J1408" s="229"/>
      <c r="K1408" s="229"/>
      <c r="L1408" s="229">
        <v>234.9941</v>
      </c>
      <c r="M1408" s="55"/>
    </row>
    <row r="1409" spans="2:13" x14ac:dyDescent="0.3">
      <c r="B1409" s="223" t="s">
        <v>2598</v>
      </c>
      <c r="C1409" s="224">
        <v>6</v>
      </c>
      <c r="D1409" s="225">
        <v>13</v>
      </c>
      <c r="E1409" s="226">
        <v>27164</v>
      </c>
      <c r="F1409" s="227"/>
      <c r="G1409" s="1" t="str">
        <f>IFERROR(IF(ventas_b_mes9[[#This Row],[CUIT]]="","-",VLOOKUP(ventas_b_mes9[[#This Row],[CUIT]],Lista_CUIT[#All],2,0)),"CUIT NO CARGADO")</f>
        <v>-</v>
      </c>
      <c r="H1409" s="60">
        <f>ventas_b_mes9[[#This Row],[TOTAL]]/1.21</f>
        <v>743.8</v>
      </c>
      <c r="I1409" s="228">
        <f>ventas_b_mes9[[#This Row],[IMPORTE NETO]]*0.21</f>
        <v>156.19799999999998</v>
      </c>
      <c r="J1409" s="229"/>
      <c r="K1409" s="229"/>
      <c r="L1409" s="229">
        <v>899.99799999999993</v>
      </c>
      <c r="M1409" s="55"/>
    </row>
    <row r="1410" spans="2:13" x14ac:dyDescent="0.3">
      <c r="B1410" s="223" t="s">
        <v>2598</v>
      </c>
      <c r="C1410" s="224">
        <v>6</v>
      </c>
      <c r="D1410" s="225">
        <v>13</v>
      </c>
      <c r="E1410" s="226">
        <v>27165</v>
      </c>
      <c r="F1410" s="227"/>
      <c r="G1410" s="1" t="str">
        <f>IFERROR(IF(ventas_b_mes9[[#This Row],[CUIT]]="","-",VLOOKUP(ventas_b_mes9[[#This Row],[CUIT]],Lista_CUIT[#All],2,0)),"CUIT NO CARGADO")</f>
        <v>-</v>
      </c>
      <c r="H1410" s="60">
        <f>ventas_b_mes9[[#This Row],[TOTAL]]/1.21</f>
        <v>6404.96</v>
      </c>
      <c r="I1410" s="228">
        <f>ventas_b_mes9[[#This Row],[IMPORTE NETO]]*0.21</f>
        <v>1345.0416</v>
      </c>
      <c r="J1410" s="229"/>
      <c r="K1410" s="229"/>
      <c r="L1410" s="229">
        <v>7750.0015999999996</v>
      </c>
      <c r="M1410" s="55"/>
    </row>
    <row r="1411" spans="2:13" x14ac:dyDescent="0.3">
      <c r="B1411" s="223" t="s">
        <v>2598</v>
      </c>
      <c r="C1411" s="224">
        <v>6</v>
      </c>
      <c r="D1411" s="225">
        <v>13</v>
      </c>
      <c r="E1411" s="226">
        <v>27166</v>
      </c>
      <c r="F1411" s="227"/>
      <c r="G1411" s="1" t="str">
        <f>IFERROR(IF(ventas_b_mes9[[#This Row],[CUIT]]="","-",VLOOKUP(ventas_b_mes9[[#This Row],[CUIT]],Lista_CUIT[#All],2,0)),"CUIT NO CARGADO")</f>
        <v>-</v>
      </c>
      <c r="H1411" s="60">
        <f>ventas_b_mes9[[#This Row],[TOTAL]]/1.21</f>
        <v>3223.14</v>
      </c>
      <c r="I1411" s="228">
        <f>ventas_b_mes9[[#This Row],[IMPORTE NETO]]*0.21</f>
        <v>676.85939999999994</v>
      </c>
      <c r="J1411" s="229"/>
      <c r="K1411" s="229"/>
      <c r="L1411" s="229">
        <v>3899.9993999999997</v>
      </c>
      <c r="M1411" s="55"/>
    </row>
    <row r="1412" spans="2:13" x14ac:dyDescent="0.3">
      <c r="B1412" s="223" t="s">
        <v>2598</v>
      </c>
      <c r="C1412" s="224">
        <v>6</v>
      </c>
      <c r="D1412" s="225">
        <v>13</v>
      </c>
      <c r="E1412" s="226">
        <v>27167</v>
      </c>
      <c r="F1412" s="227"/>
      <c r="G1412" s="1" t="str">
        <f>IFERROR(IF(ventas_b_mes9[[#This Row],[CUIT]]="","-",VLOOKUP(ventas_b_mes9[[#This Row],[CUIT]],Lista_CUIT[#All],2,0)),"CUIT NO CARGADO")</f>
        <v>-</v>
      </c>
      <c r="H1412" s="60">
        <f>ventas_b_mes9[[#This Row],[TOTAL]]/1.21</f>
        <v>2065.29</v>
      </c>
      <c r="I1412" s="228">
        <f>ventas_b_mes9[[#This Row],[IMPORTE NETO]]*0.21</f>
        <v>433.71089999999998</v>
      </c>
      <c r="J1412" s="229"/>
      <c r="K1412" s="229"/>
      <c r="L1412" s="229">
        <v>2499.0009</v>
      </c>
      <c r="M1412" s="55"/>
    </row>
    <row r="1413" spans="2:13" x14ac:dyDescent="0.3">
      <c r="B1413" s="223" t="s">
        <v>2598</v>
      </c>
      <c r="C1413" s="224">
        <v>6</v>
      </c>
      <c r="D1413" s="225">
        <v>13</v>
      </c>
      <c r="E1413" s="226">
        <v>27168</v>
      </c>
      <c r="F1413" s="227"/>
      <c r="G1413" s="1" t="str">
        <f>IFERROR(IF(ventas_b_mes9[[#This Row],[CUIT]]="","-",VLOOKUP(ventas_b_mes9[[#This Row],[CUIT]],Lista_CUIT[#All],2,0)),"CUIT NO CARGADO")</f>
        <v>-</v>
      </c>
      <c r="H1413" s="60">
        <f>ventas_b_mes9[[#This Row],[TOTAL]]/1.21</f>
        <v>1983.47</v>
      </c>
      <c r="I1413" s="228">
        <f>ventas_b_mes9[[#This Row],[IMPORTE NETO]]*0.21</f>
        <v>416.52870000000001</v>
      </c>
      <c r="J1413" s="229"/>
      <c r="K1413" s="229"/>
      <c r="L1413" s="229">
        <v>2399.9987000000001</v>
      </c>
      <c r="M1413" s="55"/>
    </row>
    <row r="1414" spans="2:13" x14ac:dyDescent="0.3">
      <c r="B1414" s="223" t="s">
        <v>2598</v>
      </c>
      <c r="C1414" s="224">
        <v>6</v>
      </c>
      <c r="D1414" s="225">
        <v>13</v>
      </c>
      <c r="E1414" s="226">
        <v>27169</v>
      </c>
      <c r="F1414" s="227"/>
      <c r="G1414" s="1" t="str">
        <f>IFERROR(IF(ventas_b_mes9[[#This Row],[CUIT]]="","-",VLOOKUP(ventas_b_mes9[[#This Row],[CUIT]],Lista_CUIT[#All],2,0)),"CUIT NO CARGADO")</f>
        <v>-</v>
      </c>
      <c r="H1414" s="60">
        <f>ventas_b_mes9[[#This Row],[TOTAL]]/1.21</f>
        <v>9752.07</v>
      </c>
      <c r="I1414" s="228">
        <f>ventas_b_mes9[[#This Row],[IMPORTE NETO]]*0.21</f>
        <v>2047.9346999999998</v>
      </c>
      <c r="J1414" s="229"/>
      <c r="K1414" s="229"/>
      <c r="L1414" s="229">
        <v>11800.0047</v>
      </c>
      <c r="M1414" s="55"/>
    </row>
    <row r="1415" spans="2:13" x14ac:dyDescent="0.3">
      <c r="B1415" s="223" t="s">
        <v>2598</v>
      </c>
      <c r="C1415" s="224">
        <v>6</v>
      </c>
      <c r="D1415" s="225">
        <v>13</v>
      </c>
      <c r="E1415" s="226">
        <v>27170</v>
      </c>
      <c r="F1415" s="227"/>
      <c r="G1415" s="1" t="str">
        <f>IFERROR(IF(ventas_b_mes9[[#This Row],[CUIT]]="","-",VLOOKUP(ventas_b_mes9[[#This Row],[CUIT]],Lista_CUIT[#All],2,0)),"CUIT NO CARGADO")</f>
        <v>-</v>
      </c>
      <c r="H1415" s="60">
        <f>ventas_b_mes9[[#This Row],[TOTAL]]/1.21</f>
        <v>25942.16</v>
      </c>
      <c r="I1415" s="228">
        <f>ventas_b_mes9[[#This Row],[IMPORTE NETO]]*0.21</f>
        <v>5447.8535999999995</v>
      </c>
      <c r="J1415" s="229"/>
      <c r="K1415" s="229"/>
      <c r="L1415" s="229">
        <v>31390.013599999998</v>
      </c>
      <c r="M1415" s="55"/>
    </row>
    <row r="1416" spans="2:13" x14ac:dyDescent="0.3">
      <c r="B1416" s="223" t="s">
        <v>2598</v>
      </c>
      <c r="C1416" s="224">
        <v>6</v>
      </c>
      <c r="D1416" s="225">
        <v>13</v>
      </c>
      <c r="E1416" s="226">
        <v>27171</v>
      </c>
      <c r="F1416" s="227"/>
      <c r="G1416" s="1" t="str">
        <f>IFERROR(IF(ventas_b_mes9[[#This Row],[CUIT]]="","-",VLOOKUP(ventas_b_mes9[[#This Row],[CUIT]],Lista_CUIT[#All],2,0)),"CUIT NO CARGADO")</f>
        <v>-</v>
      </c>
      <c r="H1416" s="60">
        <f>ventas_b_mes9[[#This Row],[TOTAL]]/1.21</f>
        <v>32102.510000000002</v>
      </c>
      <c r="I1416" s="228">
        <f>ventas_b_mes9[[#This Row],[IMPORTE NETO]]*0.21</f>
        <v>6741.5271000000002</v>
      </c>
      <c r="J1416" s="229"/>
      <c r="K1416" s="229"/>
      <c r="L1416" s="229">
        <v>38844.037100000001</v>
      </c>
      <c r="M1416" s="55"/>
    </row>
    <row r="1417" spans="2:13" x14ac:dyDescent="0.3">
      <c r="B1417" s="223" t="s">
        <v>2598</v>
      </c>
      <c r="C1417" s="224">
        <v>6</v>
      </c>
      <c r="D1417" s="225">
        <v>13</v>
      </c>
      <c r="E1417" s="226">
        <v>27172</v>
      </c>
      <c r="F1417" s="227"/>
      <c r="G1417" s="1" t="str">
        <f>IFERROR(IF(ventas_b_mes9[[#This Row],[CUIT]]="","-",VLOOKUP(ventas_b_mes9[[#This Row],[CUIT]],Lista_CUIT[#All],2,0)),"CUIT NO CARGADO")</f>
        <v>-</v>
      </c>
      <c r="H1417" s="60">
        <f>ventas_b_mes9[[#This Row],[TOTAL]]/1.21</f>
        <v>3168.5900000000006</v>
      </c>
      <c r="I1417" s="228">
        <f>ventas_b_mes9[[#This Row],[IMPORTE NETO]]*0.21</f>
        <v>665.40390000000014</v>
      </c>
      <c r="J1417" s="229"/>
      <c r="K1417" s="229"/>
      <c r="L1417" s="229">
        <v>3833.9939000000004</v>
      </c>
      <c r="M1417" s="55"/>
    </row>
    <row r="1418" spans="2:13" x14ac:dyDescent="0.3">
      <c r="B1418" s="223" t="s">
        <v>2598</v>
      </c>
      <c r="C1418" s="224">
        <v>6</v>
      </c>
      <c r="D1418" s="225">
        <v>13</v>
      </c>
      <c r="E1418" s="226">
        <v>27173</v>
      </c>
      <c r="F1418" s="227"/>
      <c r="G1418" s="1" t="str">
        <f>IFERROR(IF(ventas_b_mes9[[#This Row],[CUIT]]="","-",VLOOKUP(ventas_b_mes9[[#This Row],[CUIT]],Lista_CUIT[#All],2,0)),"CUIT NO CARGADO")</f>
        <v>-</v>
      </c>
      <c r="H1418" s="60">
        <f>ventas_b_mes9[[#This Row],[TOTAL]]/1.21</f>
        <v>9750.43</v>
      </c>
      <c r="I1418" s="228">
        <f>ventas_b_mes9[[#This Row],[IMPORTE NETO]]*0.21</f>
        <v>2047.5903000000001</v>
      </c>
      <c r="J1418" s="229"/>
      <c r="K1418" s="229"/>
      <c r="L1418" s="229">
        <v>11798.0203</v>
      </c>
      <c r="M1418" s="55"/>
    </row>
    <row r="1419" spans="2:13" x14ac:dyDescent="0.3">
      <c r="B1419" s="223" t="s">
        <v>2598</v>
      </c>
      <c r="C1419" s="224">
        <v>6</v>
      </c>
      <c r="D1419" s="225">
        <v>13</v>
      </c>
      <c r="E1419" s="226">
        <v>27174</v>
      </c>
      <c r="F1419" s="227"/>
      <c r="G1419" s="1" t="str">
        <f>IFERROR(IF(ventas_b_mes9[[#This Row],[CUIT]]="","-",VLOOKUP(ventas_b_mes9[[#This Row],[CUIT]],Lista_CUIT[#All],2,0)),"CUIT NO CARGADO")</f>
        <v>-</v>
      </c>
      <c r="H1419" s="60">
        <f>ventas_b_mes9[[#This Row],[TOTAL]]/1.21</f>
        <v>29421.5</v>
      </c>
      <c r="I1419" s="228">
        <f>ventas_b_mes9[[#This Row],[IMPORTE NETO]]*0.21</f>
        <v>6178.5149999999994</v>
      </c>
      <c r="J1419" s="229"/>
      <c r="K1419" s="229"/>
      <c r="L1419" s="229">
        <v>35600.014999999999</v>
      </c>
      <c r="M1419" s="55"/>
    </row>
    <row r="1420" spans="2:13" x14ac:dyDescent="0.3">
      <c r="B1420" s="223" t="s">
        <v>2598</v>
      </c>
      <c r="C1420" s="224">
        <v>6</v>
      </c>
      <c r="D1420" s="225">
        <v>13</v>
      </c>
      <c r="E1420" s="226">
        <v>27175</v>
      </c>
      <c r="F1420" s="227"/>
      <c r="G1420" s="1" t="str">
        <f>IFERROR(IF(ventas_b_mes9[[#This Row],[CUIT]]="","-",VLOOKUP(ventas_b_mes9[[#This Row],[CUIT]],Lista_CUIT[#All],2,0)),"CUIT NO CARGADO")</f>
        <v>-</v>
      </c>
      <c r="H1420" s="60">
        <f>ventas_b_mes9[[#This Row],[TOTAL]]/1.21</f>
        <v>11727.27</v>
      </c>
      <c r="I1420" s="228">
        <f>ventas_b_mes9[[#This Row],[IMPORTE NETO]]*0.21</f>
        <v>2462.7267000000002</v>
      </c>
      <c r="J1420" s="229"/>
      <c r="K1420" s="229"/>
      <c r="L1420" s="229">
        <v>14189.9967</v>
      </c>
      <c r="M1420" s="55"/>
    </row>
    <row r="1421" spans="2:13" x14ac:dyDescent="0.3">
      <c r="B1421" s="223" t="s">
        <v>2598</v>
      </c>
      <c r="C1421" s="224">
        <v>6</v>
      </c>
      <c r="D1421" s="225">
        <v>13</v>
      </c>
      <c r="E1421" s="226">
        <v>27176</v>
      </c>
      <c r="F1421" s="227"/>
      <c r="G1421" s="1" t="str">
        <f>IFERROR(IF(ventas_b_mes9[[#This Row],[CUIT]]="","-",VLOOKUP(ventas_b_mes9[[#This Row],[CUIT]],Lista_CUIT[#All],2,0)),"CUIT NO CARGADO")</f>
        <v>-</v>
      </c>
      <c r="H1421" s="60">
        <f>ventas_b_mes9[[#This Row],[TOTAL]]/1.21</f>
        <v>15371.92</v>
      </c>
      <c r="I1421" s="228">
        <f>ventas_b_mes9[[#This Row],[IMPORTE NETO]]*0.21</f>
        <v>3228.1032</v>
      </c>
      <c r="J1421" s="229"/>
      <c r="K1421" s="229"/>
      <c r="L1421" s="229">
        <v>18600.0232</v>
      </c>
      <c r="M1421" s="55"/>
    </row>
    <row r="1422" spans="2:13" x14ac:dyDescent="0.3">
      <c r="B1422" s="223" t="s">
        <v>2598</v>
      </c>
      <c r="C1422" s="224">
        <v>6</v>
      </c>
      <c r="D1422" s="225">
        <v>13</v>
      </c>
      <c r="E1422" s="226">
        <v>27177</v>
      </c>
      <c r="F1422" s="227"/>
      <c r="G1422" s="1" t="str">
        <f>IFERROR(IF(ventas_b_mes9[[#This Row],[CUIT]]="","-",VLOOKUP(ventas_b_mes9[[#This Row],[CUIT]],Lista_CUIT[#All],2,0)),"CUIT NO CARGADO")</f>
        <v>-</v>
      </c>
      <c r="H1422" s="60">
        <f>ventas_b_mes9[[#This Row],[TOTAL]]/1.21</f>
        <v>52148.74</v>
      </c>
      <c r="I1422" s="228">
        <f>ventas_b_mes9[[#This Row],[IMPORTE NETO]]*0.21</f>
        <v>10951.2354</v>
      </c>
      <c r="J1422" s="229"/>
      <c r="K1422" s="229"/>
      <c r="L1422" s="229">
        <v>63099.975399999996</v>
      </c>
      <c r="M1422" s="55"/>
    </row>
    <row r="1423" spans="2:13" x14ac:dyDescent="0.3">
      <c r="B1423" s="223" t="s">
        <v>2598</v>
      </c>
      <c r="C1423" s="224">
        <v>6</v>
      </c>
      <c r="D1423" s="225">
        <v>13</v>
      </c>
      <c r="E1423" s="226">
        <v>27178</v>
      </c>
      <c r="F1423" s="227"/>
      <c r="G1423" s="1" t="str">
        <f>IFERROR(IF(ventas_b_mes9[[#This Row],[CUIT]]="","-",VLOOKUP(ventas_b_mes9[[#This Row],[CUIT]],Lista_CUIT[#All],2,0)),"CUIT NO CARGADO")</f>
        <v>-</v>
      </c>
      <c r="H1423" s="60">
        <f>ventas_b_mes9[[#This Row],[TOTAL]]/1.21</f>
        <v>12016.53</v>
      </c>
      <c r="I1423" s="228">
        <f>ventas_b_mes9[[#This Row],[IMPORTE NETO]]*0.21</f>
        <v>2523.4713000000002</v>
      </c>
      <c r="J1423" s="229"/>
      <c r="K1423" s="229"/>
      <c r="L1423" s="229">
        <v>14540.0013</v>
      </c>
      <c r="M1423" s="55"/>
    </row>
    <row r="1424" spans="2:13" x14ac:dyDescent="0.3">
      <c r="B1424" s="223" t="s">
        <v>2598</v>
      </c>
      <c r="C1424" s="224">
        <v>6</v>
      </c>
      <c r="D1424" s="225">
        <v>13</v>
      </c>
      <c r="E1424" s="226">
        <v>27179</v>
      </c>
      <c r="F1424" s="227"/>
      <c r="G1424" s="1" t="str">
        <f>IFERROR(IF(ventas_b_mes9[[#This Row],[CUIT]]="","-",VLOOKUP(ventas_b_mes9[[#This Row],[CUIT]],Lista_CUIT[#All],2,0)),"CUIT NO CARGADO")</f>
        <v>-</v>
      </c>
      <c r="H1424" s="60">
        <f>ventas_b_mes9[[#This Row],[TOTAL]]/1.21</f>
        <v>6210.74</v>
      </c>
      <c r="I1424" s="228">
        <f>ventas_b_mes9[[#This Row],[IMPORTE NETO]]*0.21</f>
        <v>1304.2554</v>
      </c>
      <c r="J1424" s="229"/>
      <c r="K1424" s="229"/>
      <c r="L1424" s="229">
        <v>7514.9953999999998</v>
      </c>
      <c r="M1424" s="55"/>
    </row>
    <row r="1425" spans="2:13" x14ac:dyDescent="0.3">
      <c r="B1425" s="223" t="s">
        <v>2598</v>
      </c>
      <c r="C1425" s="224">
        <v>6</v>
      </c>
      <c r="D1425" s="225">
        <v>11</v>
      </c>
      <c r="E1425" s="226">
        <v>30625</v>
      </c>
      <c r="F1425" s="227"/>
      <c r="G1425" s="1" t="str">
        <f>IFERROR(IF(ventas_b_mes9[[#This Row],[CUIT]]="","-",VLOOKUP(ventas_b_mes9[[#This Row],[CUIT]],Lista_CUIT[#All],2,0)),"CUIT NO CARGADO")</f>
        <v>-</v>
      </c>
      <c r="H1425" s="60">
        <f>ventas_b_mes9[[#This Row],[TOTAL]]/1.21</f>
        <v>11552.89</v>
      </c>
      <c r="I1425" s="228">
        <f>ventas_b_mes9[[#This Row],[IMPORTE NETO]]*0.21</f>
        <v>2426.1068999999998</v>
      </c>
      <c r="J1425" s="229"/>
      <c r="K1425" s="229"/>
      <c r="L1425" s="229">
        <v>13978.996899999998</v>
      </c>
      <c r="M1425" s="55"/>
    </row>
    <row r="1426" spans="2:13" x14ac:dyDescent="0.3">
      <c r="B1426" s="223" t="s">
        <v>2598</v>
      </c>
      <c r="C1426" s="224">
        <v>6</v>
      </c>
      <c r="D1426" s="225">
        <v>11</v>
      </c>
      <c r="E1426" s="226">
        <v>30626</v>
      </c>
      <c r="F1426" s="227"/>
      <c r="G1426" s="1" t="str">
        <f>IFERROR(IF(ventas_b_mes9[[#This Row],[CUIT]]="","-",VLOOKUP(ventas_b_mes9[[#This Row],[CUIT]],Lista_CUIT[#All],2,0)),"CUIT NO CARGADO")</f>
        <v>-</v>
      </c>
      <c r="H1426" s="60">
        <f>ventas_b_mes9[[#This Row],[TOTAL]]/1.21</f>
        <v>4430.58</v>
      </c>
      <c r="I1426" s="228">
        <f>ventas_b_mes9[[#This Row],[IMPORTE NETO]]*0.21</f>
        <v>930.42179999999996</v>
      </c>
      <c r="J1426" s="229"/>
      <c r="K1426" s="229"/>
      <c r="L1426" s="229">
        <v>5361.0018</v>
      </c>
      <c r="M1426" s="55"/>
    </row>
    <row r="1427" spans="2:13" x14ac:dyDescent="0.3">
      <c r="B1427" s="223" t="s">
        <v>2598</v>
      </c>
      <c r="C1427" s="224">
        <v>6</v>
      </c>
      <c r="D1427" s="225">
        <v>11</v>
      </c>
      <c r="E1427" s="226">
        <v>30627</v>
      </c>
      <c r="F1427" s="227"/>
      <c r="G1427" s="1" t="str">
        <f>IFERROR(IF(ventas_b_mes9[[#This Row],[CUIT]]="","-",VLOOKUP(ventas_b_mes9[[#This Row],[CUIT]],Lista_CUIT[#All],2,0)),"CUIT NO CARGADO")</f>
        <v>-</v>
      </c>
      <c r="H1427" s="60">
        <f>ventas_b_mes9[[#This Row],[TOTAL]]/1.21</f>
        <v>5889.26</v>
      </c>
      <c r="I1427" s="228">
        <f>ventas_b_mes9[[#This Row],[IMPORTE NETO]]*0.21</f>
        <v>1236.7446</v>
      </c>
      <c r="J1427" s="229"/>
      <c r="K1427" s="229"/>
      <c r="L1427" s="229">
        <v>7126.0046000000002</v>
      </c>
      <c r="M1427" s="55"/>
    </row>
    <row r="1428" spans="2:13" x14ac:dyDescent="0.3">
      <c r="B1428" s="223" t="s">
        <v>2598</v>
      </c>
      <c r="C1428" s="224">
        <v>6</v>
      </c>
      <c r="D1428" s="225">
        <v>11</v>
      </c>
      <c r="E1428" s="226">
        <v>30628</v>
      </c>
      <c r="F1428" s="227"/>
      <c r="G1428" s="1" t="str">
        <f>IFERROR(IF(ventas_b_mes9[[#This Row],[CUIT]]="","-",VLOOKUP(ventas_b_mes9[[#This Row],[CUIT]],Lista_CUIT[#All],2,0)),"CUIT NO CARGADO")</f>
        <v>-</v>
      </c>
      <c r="H1428" s="60">
        <f>ventas_b_mes9[[#This Row],[TOTAL]]/1.21</f>
        <v>5077.6900000000005</v>
      </c>
      <c r="I1428" s="228">
        <f>ventas_b_mes9[[#This Row],[IMPORTE NETO]]*0.21</f>
        <v>1066.3149000000001</v>
      </c>
      <c r="J1428" s="229"/>
      <c r="K1428" s="229"/>
      <c r="L1428" s="229">
        <v>6144.0048999999999</v>
      </c>
      <c r="M1428" s="55"/>
    </row>
    <row r="1429" spans="2:13" x14ac:dyDescent="0.3">
      <c r="B1429" s="223" t="s">
        <v>2598</v>
      </c>
      <c r="C1429" s="224">
        <v>6</v>
      </c>
      <c r="D1429" s="225">
        <v>11</v>
      </c>
      <c r="E1429" s="226">
        <v>30629</v>
      </c>
      <c r="F1429" s="227"/>
      <c r="G1429" s="1" t="str">
        <f>IFERROR(IF(ventas_b_mes9[[#This Row],[CUIT]]="","-",VLOOKUP(ventas_b_mes9[[#This Row],[CUIT]],Lista_CUIT[#All],2,0)),"CUIT NO CARGADO")</f>
        <v>-</v>
      </c>
      <c r="H1429" s="60">
        <f>ventas_b_mes9[[#This Row],[TOTAL]]/1.21</f>
        <v>6089.2800000000007</v>
      </c>
      <c r="I1429" s="228">
        <f>ventas_b_mes9[[#This Row],[IMPORTE NETO]]*0.21</f>
        <v>1278.7488000000001</v>
      </c>
      <c r="J1429" s="229"/>
      <c r="K1429" s="229"/>
      <c r="L1429" s="229">
        <v>7368.0288</v>
      </c>
      <c r="M1429" s="55"/>
    </row>
    <row r="1430" spans="2:13" x14ac:dyDescent="0.3">
      <c r="B1430" s="223" t="s">
        <v>2598</v>
      </c>
      <c r="C1430" s="224">
        <v>6</v>
      </c>
      <c r="D1430" s="225">
        <v>11</v>
      </c>
      <c r="E1430" s="226">
        <v>30630</v>
      </c>
      <c r="F1430" s="227"/>
      <c r="G1430" s="1" t="str">
        <f>IFERROR(IF(ventas_b_mes9[[#This Row],[CUIT]]="","-",VLOOKUP(ventas_b_mes9[[#This Row],[CUIT]],Lista_CUIT[#All],2,0)),"CUIT NO CARGADO")</f>
        <v>-</v>
      </c>
      <c r="H1430" s="60">
        <f>ventas_b_mes9[[#This Row],[TOTAL]]/1.21</f>
        <v>1770.26</v>
      </c>
      <c r="I1430" s="228">
        <f>ventas_b_mes9[[#This Row],[IMPORTE NETO]]*0.21</f>
        <v>371.75459999999998</v>
      </c>
      <c r="J1430" s="229"/>
      <c r="K1430" s="229"/>
      <c r="L1430" s="229">
        <v>2142.0146</v>
      </c>
      <c r="M1430" s="55"/>
    </row>
    <row r="1431" spans="2:13" x14ac:dyDescent="0.3">
      <c r="B1431" s="223" t="s">
        <v>2598</v>
      </c>
      <c r="C1431" s="224">
        <v>6</v>
      </c>
      <c r="D1431" s="225">
        <v>11</v>
      </c>
      <c r="E1431" s="226">
        <v>30631</v>
      </c>
      <c r="F1431" s="227"/>
      <c r="G1431" s="1" t="str">
        <f>IFERROR(IF(ventas_b_mes9[[#This Row],[CUIT]]="","-",VLOOKUP(ventas_b_mes9[[#This Row],[CUIT]],Lista_CUIT[#All],2,0)),"CUIT NO CARGADO")</f>
        <v>-</v>
      </c>
      <c r="H1431" s="60">
        <f>ventas_b_mes9[[#This Row],[TOTAL]]/1.21</f>
        <v>2360.33</v>
      </c>
      <c r="I1431" s="228">
        <f>ventas_b_mes9[[#This Row],[IMPORTE NETO]]*0.21</f>
        <v>495.66929999999996</v>
      </c>
      <c r="J1431" s="229"/>
      <c r="K1431" s="229"/>
      <c r="L1431" s="229">
        <v>2855.9992999999999</v>
      </c>
      <c r="M1431" s="55"/>
    </row>
    <row r="1432" spans="2:13" x14ac:dyDescent="0.3">
      <c r="B1432" s="223" t="s">
        <v>2598</v>
      </c>
      <c r="C1432" s="224">
        <v>6</v>
      </c>
      <c r="D1432" s="225">
        <v>11</v>
      </c>
      <c r="E1432" s="226">
        <v>30632</v>
      </c>
      <c r="F1432" s="227"/>
      <c r="G1432" s="1" t="str">
        <f>IFERROR(IF(ventas_b_mes9[[#This Row],[CUIT]]="","-",VLOOKUP(ventas_b_mes9[[#This Row],[CUIT]],Lista_CUIT[#All],2,0)),"CUIT NO CARGADO")</f>
        <v>-</v>
      </c>
      <c r="H1432" s="60">
        <f>ventas_b_mes9[[#This Row],[TOTAL]]/1.21</f>
        <v>2528.9299999999998</v>
      </c>
      <c r="I1432" s="228">
        <f>ventas_b_mes9[[#This Row],[IMPORTE NETO]]*0.21</f>
        <v>531.07529999999997</v>
      </c>
      <c r="J1432" s="229"/>
      <c r="K1432" s="229"/>
      <c r="L1432" s="229">
        <v>3060.0052999999998</v>
      </c>
      <c r="M1432" s="55"/>
    </row>
    <row r="1433" spans="2:13" x14ac:dyDescent="0.3">
      <c r="B1433" s="223" t="s">
        <v>2598</v>
      </c>
      <c r="C1433" s="224">
        <v>6</v>
      </c>
      <c r="D1433" s="225">
        <v>11</v>
      </c>
      <c r="E1433" s="226">
        <v>30633</v>
      </c>
      <c r="F1433" s="227"/>
      <c r="G1433" s="1" t="str">
        <f>IFERROR(IF(ventas_b_mes9[[#This Row],[CUIT]]="","-",VLOOKUP(ventas_b_mes9[[#This Row],[CUIT]],Lista_CUIT[#All],2,0)),"CUIT NO CARGADO")</f>
        <v>-</v>
      </c>
      <c r="H1433" s="60">
        <f>ventas_b_mes9[[#This Row],[TOTAL]]/1.21</f>
        <v>7617.3600000000006</v>
      </c>
      <c r="I1433" s="228">
        <f>ventas_b_mes9[[#This Row],[IMPORTE NETO]]*0.21</f>
        <v>1599.6456000000001</v>
      </c>
      <c r="J1433" s="229"/>
      <c r="K1433" s="229"/>
      <c r="L1433" s="229">
        <v>9217.0056000000004</v>
      </c>
      <c r="M1433" s="55"/>
    </row>
    <row r="1434" spans="2:13" x14ac:dyDescent="0.3">
      <c r="B1434" s="223" t="s">
        <v>2598</v>
      </c>
      <c r="C1434" s="224">
        <v>6</v>
      </c>
      <c r="D1434" s="225">
        <v>11</v>
      </c>
      <c r="E1434" s="226">
        <v>30634</v>
      </c>
      <c r="F1434" s="227"/>
      <c r="G1434" s="1" t="str">
        <f>IFERROR(IF(ventas_b_mes9[[#This Row],[CUIT]]="","-",VLOOKUP(ventas_b_mes9[[#This Row],[CUIT]],Lista_CUIT[#All],2,0)),"CUIT NO CARGADO")</f>
        <v>-</v>
      </c>
      <c r="H1434" s="60">
        <f>ventas_b_mes9[[#This Row],[TOTAL]]/1.21</f>
        <v>16561.990000000002</v>
      </c>
      <c r="I1434" s="228">
        <f>ventas_b_mes9[[#This Row],[IMPORTE NETO]]*0.21</f>
        <v>3478.0179000000003</v>
      </c>
      <c r="J1434" s="229"/>
      <c r="K1434" s="229"/>
      <c r="L1434" s="229">
        <v>20040.007900000001</v>
      </c>
      <c r="M1434" s="55"/>
    </row>
    <row r="1435" spans="2:13" x14ac:dyDescent="0.3">
      <c r="B1435" s="223" t="s">
        <v>2598</v>
      </c>
      <c r="C1435" s="224">
        <v>6</v>
      </c>
      <c r="D1435" s="225">
        <v>15</v>
      </c>
      <c r="E1435" s="226">
        <v>7511</v>
      </c>
      <c r="F1435" s="227">
        <v>33528637</v>
      </c>
      <c r="G1435" s="1" t="str">
        <f>IFERROR(IF(ventas_b_mes9[[#This Row],[CUIT]]="","-",VLOOKUP(ventas_b_mes9[[#This Row],[CUIT]],Lista_CUIT[#All],2,0)),"CUIT NO CARGADO")</f>
        <v>CABANA,MARISOL</v>
      </c>
      <c r="H1435" s="60">
        <f>ventas_b_mes9[[#This Row],[TOTAL]]/1.21</f>
        <v>6954.5499999999993</v>
      </c>
      <c r="I1435" s="228">
        <f>ventas_b_mes9[[#This Row],[IMPORTE NETO]]*0.21</f>
        <v>1460.4554999999998</v>
      </c>
      <c r="J1435" s="229"/>
      <c r="K1435" s="229"/>
      <c r="L1435" s="229">
        <v>8415.0054999999993</v>
      </c>
      <c r="M1435" s="55"/>
    </row>
    <row r="1436" spans="2:13" x14ac:dyDescent="0.3">
      <c r="B1436" s="223" t="s">
        <v>2598</v>
      </c>
      <c r="C1436" s="224">
        <v>6</v>
      </c>
      <c r="D1436" s="225">
        <v>15</v>
      </c>
      <c r="E1436" s="226">
        <v>7512</v>
      </c>
      <c r="F1436" s="227">
        <v>25795171</v>
      </c>
      <c r="G1436" s="1" t="str">
        <f>IFERROR(IF(ventas_b_mes9[[#This Row],[CUIT]]="","-",VLOOKUP(ventas_b_mes9[[#This Row],[CUIT]],Lista_CUIT[#All],2,0)),"CUIT NO CARGADO")</f>
        <v>RUIZ DIAZ, SILVANA</v>
      </c>
      <c r="H1436" s="60">
        <f>ventas_b_mes9[[#This Row],[TOTAL]]/1.21</f>
        <v>4100.83</v>
      </c>
      <c r="I1436" s="228">
        <f>ventas_b_mes9[[#This Row],[IMPORTE NETO]]*0.21</f>
        <v>861.1742999999999</v>
      </c>
      <c r="J1436" s="229"/>
      <c r="K1436" s="229"/>
      <c r="L1436" s="229">
        <v>4962.0042999999996</v>
      </c>
      <c r="M1436" s="55"/>
    </row>
    <row r="1437" spans="2:13" x14ac:dyDescent="0.3">
      <c r="B1437" s="223" t="s">
        <v>2598</v>
      </c>
      <c r="C1437" s="224">
        <v>6</v>
      </c>
      <c r="D1437" s="225">
        <v>15</v>
      </c>
      <c r="E1437" s="226">
        <v>7513</v>
      </c>
      <c r="F1437" s="227">
        <v>26670209</v>
      </c>
      <c r="G1437" s="1" t="str">
        <f>IFERROR(IF(ventas_b_mes9[[#This Row],[CUIT]]="","-",VLOOKUP(ventas_b_mes9[[#This Row],[CUIT]],Lista_CUIT[#All],2,0)),"CUIT NO CARGADO")</f>
        <v>AGUILAR,MICAELA (ALUMNA)</v>
      </c>
      <c r="H1437" s="60">
        <f>ventas_b_mes9[[#This Row],[TOTAL]]/1.21</f>
        <v>1818.18</v>
      </c>
      <c r="I1437" s="228">
        <f>ventas_b_mes9[[#This Row],[IMPORTE NETO]]*0.21</f>
        <v>381.81779999999998</v>
      </c>
      <c r="J1437" s="229"/>
      <c r="K1437" s="229"/>
      <c r="L1437" s="229">
        <v>2199.9978000000001</v>
      </c>
      <c r="M1437" s="55"/>
    </row>
    <row r="1438" spans="2:13" x14ac:dyDescent="0.3">
      <c r="B1438" s="223" t="s">
        <v>2598</v>
      </c>
      <c r="C1438" s="224">
        <v>6</v>
      </c>
      <c r="D1438" s="225">
        <v>15</v>
      </c>
      <c r="E1438" s="226">
        <v>7514</v>
      </c>
      <c r="F1438" s="227">
        <v>95454827</v>
      </c>
      <c r="G1438" s="1" t="str">
        <f>IFERROR(IF(ventas_b_mes9[[#This Row],[CUIT]]="","-",VLOOKUP(ventas_b_mes9[[#This Row],[CUIT]],Lista_CUIT[#All],2,0)),"CUIT NO CARGADO")</f>
        <v>CUIT NO CARGADO</v>
      </c>
      <c r="H1438" s="60">
        <f>ventas_b_mes9[[#This Row],[TOTAL]]/1.21</f>
        <v>1480.99</v>
      </c>
      <c r="I1438" s="228">
        <f>ventas_b_mes9[[#This Row],[IMPORTE NETO]]*0.21</f>
        <v>311.00790000000001</v>
      </c>
      <c r="J1438" s="229"/>
      <c r="K1438" s="229"/>
      <c r="L1438" s="229">
        <v>1791.9979000000001</v>
      </c>
      <c r="M1438" s="55"/>
    </row>
    <row r="1439" spans="2:13" x14ac:dyDescent="0.3">
      <c r="B1439" s="223" t="s">
        <v>2598</v>
      </c>
      <c r="C1439" s="224">
        <v>6</v>
      </c>
      <c r="D1439" s="225">
        <v>15</v>
      </c>
      <c r="E1439" s="226">
        <v>7515</v>
      </c>
      <c r="F1439" s="227">
        <v>17681773</v>
      </c>
      <c r="G1439" s="1" t="str">
        <f>IFERROR(IF(ventas_b_mes9[[#This Row],[CUIT]]="","-",VLOOKUP(ventas_b_mes9[[#This Row],[CUIT]],Lista_CUIT[#All],2,0)),"CUIT NO CARGADO")</f>
        <v>NUÑOZ,Maria Julieta</v>
      </c>
      <c r="H1439" s="60">
        <f>ventas_b_mes9[[#This Row],[TOTAL]]/1.21</f>
        <v>842.98</v>
      </c>
      <c r="I1439" s="228">
        <f>ventas_b_mes9[[#This Row],[IMPORTE NETO]]*0.21</f>
        <v>177.0258</v>
      </c>
      <c r="J1439" s="229"/>
      <c r="K1439" s="229"/>
      <c r="L1439" s="229">
        <v>1020.0058</v>
      </c>
      <c r="M1439" s="55"/>
    </row>
    <row r="1440" spans="2:13" x14ac:dyDescent="0.3">
      <c r="B1440" s="223" t="s">
        <v>2598</v>
      </c>
      <c r="C1440" s="224">
        <v>6</v>
      </c>
      <c r="D1440" s="225">
        <v>15</v>
      </c>
      <c r="E1440" s="226">
        <v>7516</v>
      </c>
      <c r="F1440" s="227">
        <v>5150827</v>
      </c>
      <c r="G1440" s="1" t="str">
        <f>IFERROR(IF(ventas_b_mes9[[#This Row],[CUIT]]="","-",VLOOKUP(ventas_b_mes9[[#This Row],[CUIT]],Lista_CUIT[#All],2,0)),"CUIT NO CARGADO")</f>
        <v>DEAMBROGIO,Norma Helga</v>
      </c>
      <c r="H1440" s="60">
        <f>ventas_b_mes9[[#This Row],[TOTAL]]/1.21</f>
        <v>2655.37</v>
      </c>
      <c r="I1440" s="228">
        <f>ventas_b_mes9[[#This Row],[IMPORTE NETO]]*0.21</f>
        <v>557.6277</v>
      </c>
      <c r="J1440" s="229"/>
      <c r="K1440" s="229"/>
      <c r="L1440" s="229">
        <v>3212.9976999999999</v>
      </c>
      <c r="M1440" s="55"/>
    </row>
    <row r="1441" spans="2:13" x14ac:dyDescent="0.3">
      <c r="B1441" s="223" t="s">
        <v>2598</v>
      </c>
      <c r="C1441" s="224">
        <v>6</v>
      </c>
      <c r="D1441" s="225">
        <v>15</v>
      </c>
      <c r="E1441" s="226">
        <v>7517</v>
      </c>
      <c r="F1441" s="227">
        <v>20621121</v>
      </c>
      <c r="G1441" s="1" t="str">
        <f>IFERROR(IF(ventas_b_mes9[[#This Row],[CUIT]]="","-",VLOOKUP(ventas_b_mes9[[#This Row],[CUIT]],Lista_CUIT[#All],2,0)),"CUIT NO CARGADO")</f>
        <v>AGUERO, PATRICIA CLAUDIA</v>
      </c>
      <c r="H1441" s="60">
        <f>ventas_b_mes9[[#This Row],[TOTAL]]/1.21</f>
        <v>9230.58</v>
      </c>
      <c r="I1441" s="228">
        <f>ventas_b_mes9[[#This Row],[IMPORTE NETO]]*0.21</f>
        <v>1938.4217999999998</v>
      </c>
      <c r="J1441" s="229"/>
      <c r="K1441" s="229"/>
      <c r="L1441" s="229">
        <v>11169.0018</v>
      </c>
      <c r="M1441" s="55"/>
    </row>
    <row r="1442" spans="2:13" x14ac:dyDescent="0.3">
      <c r="B1442" s="223" t="s">
        <v>2598</v>
      </c>
      <c r="C1442" s="224">
        <v>6</v>
      </c>
      <c r="D1442" s="225">
        <v>15</v>
      </c>
      <c r="E1442" s="226">
        <v>7518</v>
      </c>
      <c r="F1442" s="227">
        <v>20621121</v>
      </c>
      <c r="G1442" s="1" t="str">
        <f>IFERROR(IF(ventas_b_mes9[[#This Row],[CUIT]]="","-",VLOOKUP(ventas_b_mes9[[#This Row],[CUIT]],Lista_CUIT[#All],2,0)),"CUIT NO CARGADO")</f>
        <v>AGUERO, PATRICIA CLAUDIA</v>
      </c>
      <c r="H1442" s="60">
        <f>ventas_b_mes9[[#This Row],[TOTAL]]/1.21</f>
        <v>495.87</v>
      </c>
      <c r="I1442" s="228">
        <f>ventas_b_mes9[[#This Row],[IMPORTE NETO]]*0.21</f>
        <v>104.1327</v>
      </c>
      <c r="J1442" s="229"/>
      <c r="K1442" s="229"/>
      <c r="L1442" s="229">
        <v>600.0027</v>
      </c>
      <c r="M1442" s="55"/>
    </row>
    <row r="1443" spans="2:13" x14ac:dyDescent="0.3">
      <c r="B1443" s="223" t="s">
        <v>2598</v>
      </c>
      <c r="C1443" s="224">
        <v>6</v>
      </c>
      <c r="D1443" s="225">
        <v>15</v>
      </c>
      <c r="E1443" s="226">
        <v>7519</v>
      </c>
      <c r="F1443" s="227"/>
      <c r="G1443" s="1" t="str">
        <f>IFERROR(IF(ventas_b_mes9[[#This Row],[CUIT]]="","-",VLOOKUP(ventas_b_mes9[[#This Row],[CUIT]],Lista_CUIT[#All],2,0)),"CUIT NO CARGADO")</f>
        <v>-</v>
      </c>
      <c r="H1443" s="60">
        <f>ventas_b_mes9[[#This Row],[TOTAL]]/1.21</f>
        <v>4884.29</v>
      </c>
      <c r="I1443" s="228">
        <f>ventas_b_mes9[[#This Row],[IMPORTE NETO]]*0.21</f>
        <v>1025.7009</v>
      </c>
      <c r="J1443" s="229"/>
      <c r="K1443" s="229"/>
      <c r="L1443" s="229">
        <v>5909.9908999999998</v>
      </c>
      <c r="M1443" s="55"/>
    </row>
    <row r="1444" spans="2:13" x14ac:dyDescent="0.3">
      <c r="B1444" s="223" t="s">
        <v>2598</v>
      </c>
      <c r="C1444" s="224">
        <v>6</v>
      </c>
      <c r="D1444" s="225">
        <v>10</v>
      </c>
      <c r="E1444" s="226">
        <v>44521</v>
      </c>
      <c r="F1444" s="227"/>
      <c r="G1444" s="1" t="str">
        <f>IFERROR(IF(ventas_b_mes9[[#This Row],[CUIT]]="","-",VLOOKUP(ventas_b_mes9[[#This Row],[CUIT]],Lista_CUIT[#All],2,0)),"CUIT NO CARGADO")</f>
        <v>-</v>
      </c>
      <c r="H1444" s="60">
        <f>ventas_b_mes9[[#This Row],[TOTAL]]/1.21</f>
        <v>4545.45</v>
      </c>
      <c r="I1444" s="228">
        <f>ventas_b_mes9[[#This Row],[IMPORTE NETO]]*0.21</f>
        <v>954.54449999999997</v>
      </c>
      <c r="J1444" s="229"/>
      <c r="K1444" s="229"/>
      <c r="L1444" s="229">
        <v>5499.9944999999998</v>
      </c>
      <c r="M1444" s="55"/>
    </row>
    <row r="1445" spans="2:13" x14ac:dyDescent="0.3">
      <c r="B1445" s="223" t="s">
        <v>2598</v>
      </c>
      <c r="C1445" s="224">
        <v>6</v>
      </c>
      <c r="D1445" s="225">
        <v>10</v>
      </c>
      <c r="E1445" s="226">
        <v>44522</v>
      </c>
      <c r="F1445" s="227"/>
      <c r="G1445" s="1" t="str">
        <f>IFERROR(IF(ventas_b_mes9[[#This Row],[CUIT]]="","-",VLOOKUP(ventas_b_mes9[[#This Row],[CUIT]],Lista_CUIT[#All],2,0)),"CUIT NO CARGADO")</f>
        <v>-</v>
      </c>
      <c r="H1445" s="60">
        <f>ventas_b_mes9[[#This Row],[TOTAL]]/1.21</f>
        <v>2148.7600000000002</v>
      </c>
      <c r="I1445" s="228">
        <f>ventas_b_mes9[[#This Row],[IMPORTE NETO]]*0.21</f>
        <v>451.23960000000005</v>
      </c>
      <c r="J1445" s="229"/>
      <c r="K1445" s="229"/>
      <c r="L1445" s="229">
        <v>2599.9996000000001</v>
      </c>
      <c r="M1445" s="55"/>
    </row>
    <row r="1446" spans="2:13" x14ac:dyDescent="0.3">
      <c r="B1446" s="223" t="s">
        <v>2598</v>
      </c>
      <c r="C1446" s="224">
        <v>6</v>
      </c>
      <c r="D1446" s="225">
        <v>10</v>
      </c>
      <c r="E1446" s="226">
        <v>44523</v>
      </c>
      <c r="F1446" s="227"/>
      <c r="G1446" s="1" t="str">
        <f>IFERROR(IF(ventas_b_mes9[[#This Row],[CUIT]]="","-",VLOOKUP(ventas_b_mes9[[#This Row],[CUIT]],Lista_CUIT[#All],2,0)),"CUIT NO CARGADO")</f>
        <v>-</v>
      </c>
      <c r="H1446" s="60">
        <f>ventas_b_mes9[[#This Row],[TOTAL]]/1.21</f>
        <v>5563.64</v>
      </c>
      <c r="I1446" s="228">
        <f>ventas_b_mes9[[#This Row],[IMPORTE NETO]]*0.21</f>
        <v>1168.3643999999999</v>
      </c>
      <c r="J1446" s="229"/>
      <c r="K1446" s="229"/>
      <c r="L1446" s="229">
        <v>6732.0043999999998</v>
      </c>
      <c r="M1446" s="55"/>
    </row>
    <row r="1447" spans="2:13" x14ac:dyDescent="0.3">
      <c r="B1447" s="223" t="s">
        <v>2598</v>
      </c>
      <c r="C1447" s="224">
        <v>6</v>
      </c>
      <c r="D1447" s="225">
        <v>10</v>
      </c>
      <c r="E1447" s="226">
        <v>44524</v>
      </c>
      <c r="F1447" s="227"/>
      <c r="G1447" s="1" t="str">
        <f>IFERROR(IF(ventas_b_mes9[[#This Row],[CUIT]]="","-",VLOOKUP(ventas_b_mes9[[#This Row],[CUIT]],Lista_CUIT[#All],2,0)),"CUIT NO CARGADO")</f>
        <v>-</v>
      </c>
      <c r="H1447" s="60">
        <f>ventas_b_mes9[[#This Row],[TOTAL]]/1.21</f>
        <v>4762.8100000000004</v>
      </c>
      <c r="I1447" s="228">
        <f>ventas_b_mes9[[#This Row],[IMPORTE NETO]]*0.21</f>
        <v>1000.1901</v>
      </c>
      <c r="J1447" s="229"/>
      <c r="K1447" s="229"/>
      <c r="L1447" s="229">
        <v>5763.0001000000002</v>
      </c>
      <c r="M1447" s="55"/>
    </row>
    <row r="1448" spans="2:13" x14ac:dyDescent="0.3">
      <c r="B1448" s="223" t="s">
        <v>2598</v>
      </c>
      <c r="C1448" s="224">
        <v>6</v>
      </c>
      <c r="D1448" s="225">
        <v>10</v>
      </c>
      <c r="E1448" s="226">
        <v>44525</v>
      </c>
      <c r="F1448" s="227"/>
      <c r="G1448" s="1" t="str">
        <f>IFERROR(IF(ventas_b_mes9[[#This Row],[CUIT]]="","-",VLOOKUP(ventas_b_mes9[[#This Row],[CUIT]],Lista_CUIT[#All],2,0)),"CUIT NO CARGADO")</f>
        <v>-</v>
      </c>
      <c r="H1448" s="60">
        <f>ventas_b_mes9[[#This Row],[TOTAL]]/1.21</f>
        <v>9609.92</v>
      </c>
      <c r="I1448" s="228">
        <f>ventas_b_mes9[[#This Row],[IMPORTE NETO]]*0.21</f>
        <v>2018.0832</v>
      </c>
      <c r="J1448" s="229"/>
      <c r="K1448" s="229"/>
      <c r="L1448" s="229">
        <v>11628.003199999999</v>
      </c>
      <c r="M1448" s="55"/>
    </row>
    <row r="1449" spans="2:13" x14ac:dyDescent="0.3">
      <c r="B1449" s="223" t="s">
        <v>2598</v>
      </c>
      <c r="C1449" s="224">
        <v>6</v>
      </c>
      <c r="D1449" s="225">
        <v>10</v>
      </c>
      <c r="E1449" s="226">
        <v>44526</v>
      </c>
      <c r="F1449" s="227"/>
      <c r="G1449" s="1" t="str">
        <f>IFERROR(IF(ventas_b_mes9[[#This Row],[CUIT]]="","-",VLOOKUP(ventas_b_mes9[[#This Row],[CUIT]],Lista_CUIT[#All],2,0)),"CUIT NO CARGADO")</f>
        <v>-</v>
      </c>
      <c r="H1449" s="60">
        <f>ventas_b_mes9[[#This Row],[TOTAL]]/1.21</f>
        <v>5411.57</v>
      </c>
      <c r="I1449" s="228">
        <f>ventas_b_mes9[[#This Row],[IMPORTE NETO]]*0.21</f>
        <v>1136.4296999999999</v>
      </c>
      <c r="J1449" s="229"/>
      <c r="K1449" s="229"/>
      <c r="L1449" s="229">
        <v>6547.9996999999994</v>
      </c>
      <c r="M1449" s="55"/>
    </row>
    <row r="1450" spans="2:13" x14ac:dyDescent="0.3">
      <c r="B1450" s="223" t="s">
        <v>2598</v>
      </c>
      <c r="C1450" s="224">
        <v>6</v>
      </c>
      <c r="D1450" s="225">
        <v>10</v>
      </c>
      <c r="E1450" s="226">
        <v>44527</v>
      </c>
      <c r="F1450" s="227"/>
      <c r="G1450" s="1" t="str">
        <f>IFERROR(IF(ventas_b_mes9[[#This Row],[CUIT]]="","-",VLOOKUP(ventas_b_mes9[[#This Row],[CUIT]],Lista_CUIT[#All],2,0)),"CUIT NO CARGADO")</f>
        <v>-</v>
      </c>
      <c r="H1450" s="60">
        <f>ventas_b_mes9[[#This Row],[TOTAL]]/1.21</f>
        <v>19922.310000000001</v>
      </c>
      <c r="I1450" s="228">
        <f>ventas_b_mes9[[#This Row],[IMPORTE NETO]]*0.21</f>
        <v>4183.6850999999997</v>
      </c>
      <c r="J1450" s="229"/>
      <c r="K1450" s="229"/>
      <c r="L1450" s="229">
        <v>24105.9951</v>
      </c>
      <c r="M1450" s="55"/>
    </row>
    <row r="1451" spans="2:13" x14ac:dyDescent="0.3">
      <c r="B1451" s="223" t="s">
        <v>2598</v>
      </c>
      <c r="C1451" s="224">
        <v>6</v>
      </c>
      <c r="D1451" s="225">
        <v>10</v>
      </c>
      <c r="E1451" s="226">
        <v>44528</v>
      </c>
      <c r="F1451" s="227"/>
      <c r="G1451" s="1" t="str">
        <f>IFERROR(IF(ventas_b_mes9[[#This Row],[CUIT]]="","-",VLOOKUP(ventas_b_mes9[[#This Row],[CUIT]],Lista_CUIT[#All],2,0)),"CUIT NO CARGADO")</f>
        <v>-</v>
      </c>
      <c r="H1451" s="60">
        <f>ventas_b_mes9[[#This Row],[TOTAL]]/1.21</f>
        <v>10361.98</v>
      </c>
      <c r="I1451" s="228">
        <f>ventas_b_mes9[[#This Row],[IMPORTE NETO]]*0.21</f>
        <v>2176.0157999999997</v>
      </c>
      <c r="J1451" s="229"/>
      <c r="K1451" s="229"/>
      <c r="L1451" s="229">
        <v>12537.995799999999</v>
      </c>
      <c r="M1451" s="55"/>
    </row>
    <row r="1452" spans="2:13" x14ac:dyDescent="0.3">
      <c r="B1452" s="223" t="s">
        <v>2598</v>
      </c>
      <c r="C1452" s="224">
        <v>6</v>
      </c>
      <c r="D1452" s="225">
        <v>10</v>
      </c>
      <c r="E1452" s="226">
        <v>44529</v>
      </c>
      <c r="F1452" s="227"/>
      <c r="G1452" s="1" t="str">
        <f>IFERROR(IF(ventas_b_mes9[[#This Row],[CUIT]]="","-",VLOOKUP(ventas_b_mes9[[#This Row],[CUIT]],Lista_CUIT[#All],2,0)),"CUIT NO CARGADO")</f>
        <v>-</v>
      </c>
      <c r="H1452" s="60">
        <f>ventas_b_mes9[[#This Row],[TOTAL]]/1.21</f>
        <v>25864.46</v>
      </c>
      <c r="I1452" s="228">
        <f>ventas_b_mes9[[#This Row],[IMPORTE NETO]]*0.21</f>
        <v>5431.5365999999995</v>
      </c>
      <c r="J1452" s="229"/>
      <c r="K1452" s="229"/>
      <c r="L1452" s="229">
        <v>31295.996599999999</v>
      </c>
      <c r="M1452" s="55"/>
    </row>
    <row r="1453" spans="2:13" x14ac:dyDescent="0.3">
      <c r="B1453" s="223" t="s">
        <v>2598</v>
      </c>
      <c r="C1453" s="224">
        <v>6</v>
      </c>
      <c r="D1453" s="225">
        <v>12</v>
      </c>
      <c r="E1453" s="226">
        <v>23107</v>
      </c>
      <c r="F1453" s="227"/>
      <c r="G1453" s="1" t="str">
        <f>IFERROR(IF(ventas_b_mes9[[#This Row],[CUIT]]="","-",VLOOKUP(ventas_b_mes9[[#This Row],[CUIT]],Lista_CUIT[#All],2,0)),"CUIT NO CARGADO")</f>
        <v>-</v>
      </c>
      <c r="H1453" s="60">
        <f>ventas_b_mes9[[#This Row],[TOTAL]]/1.21</f>
        <v>3414.05</v>
      </c>
      <c r="I1453" s="228">
        <f>ventas_b_mes9[[#This Row],[IMPORTE NETO]]*0.21</f>
        <v>716.95050000000003</v>
      </c>
      <c r="J1453" s="229"/>
      <c r="K1453" s="229"/>
      <c r="L1453" s="229">
        <v>4131.0005000000001</v>
      </c>
      <c r="M1453" s="55"/>
    </row>
    <row r="1454" spans="2:13" x14ac:dyDescent="0.3">
      <c r="B1454" s="223" t="s">
        <v>2598</v>
      </c>
      <c r="C1454" s="224">
        <v>6</v>
      </c>
      <c r="D1454" s="225">
        <v>12</v>
      </c>
      <c r="E1454" s="226">
        <v>23108</v>
      </c>
      <c r="F1454" s="227"/>
      <c r="G1454" s="1" t="str">
        <f>IFERROR(IF(ventas_b_mes9[[#This Row],[CUIT]]="","-",VLOOKUP(ventas_b_mes9[[#This Row],[CUIT]],Lista_CUIT[#All],2,0)),"CUIT NO CARGADO")</f>
        <v>-</v>
      </c>
      <c r="H1454" s="60">
        <f>ventas_b_mes9[[#This Row],[TOTAL]]/1.21</f>
        <v>14878.51</v>
      </c>
      <c r="I1454" s="228">
        <f>ventas_b_mes9[[#This Row],[IMPORTE NETO]]*0.21</f>
        <v>3124.4870999999998</v>
      </c>
      <c r="J1454" s="229"/>
      <c r="K1454" s="229"/>
      <c r="L1454" s="229">
        <v>18002.997100000001</v>
      </c>
      <c r="M1454" s="55"/>
    </row>
    <row r="1455" spans="2:13" x14ac:dyDescent="0.3">
      <c r="B1455" s="223" t="s">
        <v>2598</v>
      </c>
      <c r="C1455" s="224">
        <v>6</v>
      </c>
      <c r="D1455" s="225">
        <v>12</v>
      </c>
      <c r="E1455" s="226">
        <v>23109</v>
      </c>
      <c r="F1455" s="227"/>
      <c r="G1455" s="1" t="str">
        <f>IFERROR(IF(ventas_b_mes9[[#This Row],[CUIT]]="","-",VLOOKUP(ventas_b_mes9[[#This Row],[CUIT]],Lista_CUIT[#All],2,0)),"CUIT NO CARGADO")</f>
        <v>-</v>
      </c>
      <c r="H1455" s="60">
        <f>ventas_b_mes9[[#This Row],[TOTAL]]/1.21</f>
        <v>7614.8999999999987</v>
      </c>
      <c r="I1455" s="228">
        <f>ventas_b_mes9[[#This Row],[IMPORTE NETO]]*0.21</f>
        <v>1599.1289999999997</v>
      </c>
      <c r="J1455" s="229"/>
      <c r="K1455" s="229"/>
      <c r="L1455" s="229">
        <v>9214.0289999999986</v>
      </c>
      <c r="M1455" s="55"/>
    </row>
    <row r="1456" spans="2:13" x14ac:dyDescent="0.3">
      <c r="B1456" s="223" t="s">
        <v>2598</v>
      </c>
      <c r="C1456" s="224">
        <v>6</v>
      </c>
      <c r="D1456" s="225">
        <v>12</v>
      </c>
      <c r="E1456" s="226">
        <v>23110</v>
      </c>
      <c r="F1456" s="227"/>
      <c r="G1456" s="1" t="str">
        <f>IFERROR(IF(ventas_b_mes9[[#This Row],[CUIT]]="","-",VLOOKUP(ventas_b_mes9[[#This Row],[CUIT]],Lista_CUIT[#All],2,0)),"CUIT NO CARGADO")</f>
        <v>-</v>
      </c>
      <c r="H1456" s="60">
        <f>ventas_b_mes9[[#This Row],[TOTAL]]/1.21</f>
        <v>22395.040000000001</v>
      </c>
      <c r="I1456" s="228">
        <f>ventas_b_mes9[[#This Row],[IMPORTE NETO]]*0.21</f>
        <v>4702.9584000000004</v>
      </c>
      <c r="J1456" s="229"/>
      <c r="K1456" s="229"/>
      <c r="L1456" s="229">
        <v>27097.9984</v>
      </c>
      <c r="M1456" s="55"/>
    </row>
    <row r="1457" spans="2:13" x14ac:dyDescent="0.3">
      <c r="B1457" s="223" t="s">
        <v>2598</v>
      </c>
      <c r="C1457" s="224">
        <v>6</v>
      </c>
      <c r="D1457" s="225">
        <v>12</v>
      </c>
      <c r="E1457" s="226">
        <v>23111</v>
      </c>
      <c r="F1457" s="227"/>
      <c r="G1457" s="1" t="str">
        <f>IFERROR(IF(ventas_b_mes9[[#This Row],[CUIT]]="","-",VLOOKUP(ventas_b_mes9[[#This Row],[CUIT]],Lista_CUIT[#All],2,0)),"CUIT NO CARGADO")</f>
        <v>-</v>
      </c>
      <c r="H1457" s="60">
        <f>ventas_b_mes9[[#This Row],[TOTAL]]/1.21</f>
        <v>1874.39</v>
      </c>
      <c r="I1457" s="228">
        <f>ventas_b_mes9[[#This Row],[IMPORTE NETO]]*0.21</f>
        <v>393.62189999999998</v>
      </c>
      <c r="J1457" s="229"/>
      <c r="K1457" s="229"/>
      <c r="L1457" s="229">
        <v>2268.0119</v>
      </c>
      <c r="M1457" s="55"/>
    </row>
    <row r="1458" spans="2:13" x14ac:dyDescent="0.3">
      <c r="B1458" s="223" t="s">
        <v>2598</v>
      </c>
      <c r="C1458" s="224">
        <v>6</v>
      </c>
      <c r="D1458" s="225">
        <v>12</v>
      </c>
      <c r="E1458" s="226">
        <v>23112</v>
      </c>
      <c r="F1458" s="227"/>
      <c r="G1458" s="1" t="str">
        <f>IFERROR(IF(ventas_b_mes9[[#This Row],[CUIT]]="","-",VLOOKUP(ventas_b_mes9[[#This Row],[CUIT]],Lista_CUIT[#All],2,0)),"CUIT NO CARGADO")</f>
        <v>-</v>
      </c>
      <c r="H1458" s="60">
        <f>ventas_b_mes9[[#This Row],[TOTAL]]/1.21</f>
        <v>9097.11</v>
      </c>
      <c r="I1458" s="228">
        <f>ventas_b_mes9[[#This Row],[IMPORTE NETO]]*0.21</f>
        <v>1910.3931</v>
      </c>
      <c r="J1458" s="229"/>
      <c r="K1458" s="229"/>
      <c r="L1458" s="229">
        <v>11007.5031</v>
      </c>
      <c r="M1458" s="55"/>
    </row>
    <row r="1459" spans="2:13" x14ac:dyDescent="0.3">
      <c r="B1459" s="223" t="s">
        <v>2598</v>
      </c>
      <c r="C1459" s="224">
        <v>6</v>
      </c>
      <c r="D1459" s="225">
        <v>12</v>
      </c>
      <c r="E1459" s="226">
        <v>23113</v>
      </c>
      <c r="F1459" s="227"/>
      <c r="G1459" s="1" t="str">
        <f>IFERROR(IF(ventas_b_mes9[[#This Row],[CUIT]]="","-",VLOOKUP(ventas_b_mes9[[#This Row],[CUIT]],Lista_CUIT[#All],2,0)),"CUIT NO CARGADO")</f>
        <v>-</v>
      </c>
      <c r="H1459" s="60">
        <f>ventas_b_mes9[[#This Row],[TOTAL]]/1.21</f>
        <v>3131.4</v>
      </c>
      <c r="I1459" s="228">
        <f>ventas_b_mes9[[#This Row],[IMPORTE NETO]]*0.21</f>
        <v>657.59400000000005</v>
      </c>
      <c r="J1459" s="229"/>
      <c r="K1459" s="229"/>
      <c r="L1459" s="229">
        <v>3788.9940000000001</v>
      </c>
      <c r="M1459" s="55"/>
    </row>
    <row r="1460" spans="2:13" x14ac:dyDescent="0.3">
      <c r="B1460" s="223" t="s">
        <v>2598</v>
      </c>
      <c r="C1460" s="224">
        <v>6</v>
      </c>
      <c r="D1460" s="225">
        <v>12</v>
      </c>
      <c r="E1460" s="226">
        <v>23114</v>
      </c>
      <c r="F1460" s="227"/>
      <c r="G1460" s="1" t="str">
        <f>IFERROR(IF(ventas_b_mes9[[#This Row],[CUIT]]="","-",VLOOKUP(ventas_b_mes9[[#This Row],[CUIT]],Lista_CUIT[#All],2,0)),"CUIT NO CARGADO")</f>
        <v>-</v>
      </c>
      <c r="H1460" s="60">
        <f>ventas_b_mes9[[#This Row],[TOTAL]]/1.21</f>
        <v>11000.85</v>
      </c>
      <c r="I1460" s="228">
        <f>ventas_b_mes9[[#This Row],[IMPORTE NETO]]*0.21</f>
        <v>2310.1785</v>
      </c>
      <c r="J1460" s="229"/>
      <c r="K1460" s="229"/>
      <c r="L1460" s="229">
        <v>13311.0285</v>
      </c>
      <c r="M1460" s="55"/>
    </row>
    <row r="1461" spans="2:13" x14ac:dyDescent="0.3">
      <c r="B1461" s="223" t="s">
        <v>2598</v>
      </c>
      <c r="C1461" s="224">
        <v>6</v>
      </c>
      <c r="D1461" s="225">
        <v>12</v>
      </c>
      <c r="E1461" s="226">
        <v>23115</v>
      </c>
      <c r="F1461" s="227"/>
      <c r="G1461" s="1" t="str">
        <f>IFERROR(IF(ventas_b_mes9[[#This Row],[CUIT]]="","-",VLOOKUP(ventas_b_mes9[[#This Row],[CUIT]],Lista_CUIT[#All],2,0)),"CUIT NO CARGADO")</f>
        <v>-</v>
      </c>
      <c r="H1461" s="60">
        <f>ventas_b_mes9[[#This Row],[TOTAL]]/1.21</f>
        <v>22733.08</v>
      </c>
      <c r="I1461" s="228">
        <f>ventas_b_mes9[[#This Row],[IMPORTE NETO]]*0.21</f>
        <v>4773.9468000000006</v>
      </c>
      <c r="J1461" s="229"/>
      <c r="K1461" s="229"/>
      <c r="L1461" s="229">
        <v>27507.026800000003</v>
      </c>
      <c r="M1461" s="55"/>
    </row>
    <row r="1462" spans="2:13" x14ac:dyDescent="0.3">
      <c r="B1462" s="223" t="s">
        <v>2598</v>
      </c>
      <c r="C1462" s="224">
        <v>6</v>
      </c>
      <c r="D1462" s="225">
        <v>12</v>
      </c>
      <c r="E1462" s="226">
        <v>23116</v>
      </c>
      <c r="F1462" s="227"/>
      <c r="G1462" s="1" t="str">
        <f>IFERROR(IF(ventas_b_mes9[[#This Row],[CUIT]]="","-",VLOOKUP(ventas_b_mes9[[#This Row],[CUIT]],Lista_CUIT[#All],2,0)),"CUIT NO CARGADO")</f>
        <v>-</v>
      </c>
      <c r="H1462" s="60">
        <f>ventas_b_mes9[[#This Row],[TOTAL]]/1.21</f>
        <v>3016.53</v>
      </c>
      <c r="I1462" s="228">
        <f>ventas_b_mes9[[#This Row],[IMPORTE NETO]]*0.21</f>
        <v>633.47130000000004</v>
      </c>
      <c r="J1462" s="229"/>
      <c r="K1462" s="229"/>
      <c r="L1462" s="229">
        <v>3650.0013000000004</v>
      </c>
      <c r="M1462" s="55"/>
    </row>
    <row r="1463" spans="2:13" x14ac:dyDescent="0.3">
      <c r="B1463" s="223" t="s">
        <v>2598</v>
      </c>
      <c r="C1463" s="224">
        <v>6</v>
      </c>
      <c r="D1463" s="225">
        <v>12</v>
      </c>
      <c r="E1463" s="226">
        <v>23117</v>
      </c>
      <c r="F1463" s="227"/>
      <c r="G1463" s="1" t="str">
        <f>IFERROR(IF(ventas_b_mes9[[#This Row],[CUIT]]="","-",VLOOKUP(ventas_b_mes9[[#This Row],[CUIT]],Lista_CUIT[#All],2,0)),"CUIT NO CARGADO")</f>
        <v>-</v>
      </c>
      <c r="H1463" s="60">
        <f>ventas_b_mes9[[#This Row],[TOTAL]]/1.21</f>
        <v>2023.14</v>
      </c>
      <c r="I1463" s="228">
        <f>ventas_b_mes9[[#This Row],[IMPORTE NETO]]*0.21</f>
        <v>424.85939999999999</v>
      </c>
      <c r="J1463" s="229"/>
      <c r="K1463" s="229"/>
      <c r="L1463" s="229">
        <v>2447.9994000000002</v>
      </c>
      <c r="M1463" s="55"/>
    </row>
    <row r="1464" spans="2:13" x14ac:dyDescent="0.3">
      <c r="B1464" s="223" t="s">
        <v>2598</v>
      </c>
      <c r="C1464" s="224">
        <v>6</v>
      </c>
      <c r="D1464" s="225">
        <v>12</v>
      </c>
      <c r="E1464" s="226">
        <v>23118</v>
      </c>
      <c r="F1464" s="227"/>
      <c r="G1464" s="1" t="str">
        <f>IFERROR(IF(ventas_b_mes9[[#This Row],[CUIT]]="","-",VLOOKUP(ventas_b_mes9[[#This Row],[CUIT]],Lista_CUIT[#All],2,0)),"CUIT NO CARGADO")</f>
        <v>-</v>
      </c>
      <c r="H1464" s="60">
        <f>ventas_b_mes9[[#This Row],[TOTAL]]/1.21</f>
        <v>4958.68</v>
      </c>
      <c r="I1464" s="228">
        <f>ventas_b_mes9[[#This Row],[IMPORTE NETO]]*0.21</f>
        <v>1041.3227999999999</v>
      </c>
      <c r="J1464" s="229"/>
      <c r="K1464" s="229"/>
      <c r="L1464" s="229">
        <v>6000.0028000000002</v>
      </c>
      <c r="M1464" s="55"/>
    </row>
    <row r="1465" spans="2:13" x14ac:dyDescent="0.3">
      <c r="B1465" s="223" t="s">
        <v>2598</v>
      </c>
      <c r="C1465" s="224">
        <v>6</v>
      </c>
      <c r="D1465" s="225">
        <v>12</v>
      </c>
      <c r="E1465" s="226">
        <v>23119</v>
      </c>
      <c r="F1465" s="227"/>
      <c r="G1465" s="1" t="str">
        <f>IFERROR(IF(ventas_b_mes9[[#This Row],[CUIT]]="","-",VLOOKUP(ventas_b_mes9[[#This Row],[CUIT]],Lista_CUIT[#All],2,0)),"CUIT NO CARGADO")</f>
        <v>-</v>
      </c>
      <c r="H1465" s="60">
        <f>ventas_b_mes9[[#This Row],[TOTAL]]/1.21</f>
        <v>1095.8699999999999</v>
      </c>
      <c r="I1465" s="228">
        <f>ventas_b_mes9[[#This Row],[IMPORTE NETO]]*0.21</f>
        <v>230.13269999999997</v>
      </c>
      <c r="J1465" s="229"/>
      <c r="K1465" s="229"/>
      <c r="L1465" s="229">
        <v>1326.0026999999998</v>
      </c>
      <c r="M1465" s="55"/>
    </row>
    <row r="1466" spans="2:13" x14ac:dyDescent="0.3">
      <c r="B1466" s="223" t="s">
        <v>2598</v>
      </c>
      <c r="C1466" s="224">
        <v>6</v>
      </c>
      <c r="D1466" s="225">
        <v>12</v>
      </c>
      <c r="E1466" s="226">
        <v>23120</v>
      </c>
      <c r="F1466" s="227"/>
      <c r="G1466" s="1" t="str">
        <f>IFERROR(IF(ventas_b_mes9[[#This Row],[CUIT]]="","-",VLOOKUP(ventas_b_mes9[[#This Row],[CUIT]],Lista_CUIT[#All],2,0)),"CUIT NO CARGADO")</f>
        <v>-</v>
      </c>
      <c r="H1466" s="60">
        <f>ventas_b_mes9[[#This Row],[TOTAL]]/1.21</f>
        <v>3287.61</v>
      </c>
      <c r="I1466" s="228">
        <f>ventas_b_mes9[[#This Row],[IMPORTE NETO]]*0.21</f>
        <v>690.3981</v>
      </c>
      <c r="J1466" s="229"/>
      <c r="K1466" s="229"/>
      <c r="L1466" s="229">
        <v>3978.0081</v>
      </c>
      <c r="M1466" s="55"/>
    </row>
    <row r="1467" spans="2:13" x14ac:dyDescent="0.3">
      <c r="B1467" s="223" t="s">
        <v>2598</v>
      </c>
      <c r="C1467" s="224">
        <v>6</v>
      </c>
      <c r="D1467" s="225">
        <v>12</v>
      </c>
      <c r="E1467" s="226">
        <v>23121</v>
      </c>
      <c r="F1467" s="227"/>
      <c r="G1467" s="1" t="str">
        <f>IFERROR(IF(ventas_b_mes9[[#This Row],[CUIT]]="","-",VLOOKUP(ventas_b_mes9[[#This Row],[CUIT]],Lista_CUIT[#All],2,0)),"CUIT NO CARGADO")</f>
        <v>-</v>
      </c>
      <c r="H1467" s="60">
        <f>ventas_b_mes9[[#This Row],[TOTAL]]/1.21</f>
        <v>1161.1600000000001</v>
      </c>
      <c r="I1467" s="228">
        <f>ventas_b_mes9[[#This Row],[IMPORTE NETO]]*0.21</f>
        <v>243.84360000000001</v>
      </c>
      <c r="J1467" s="229"/>
      <c r="K1467" s="229"/>
      <c r="L1467" s="229">
        <v>1405.0036</v>
      </c>
      <c r="M1467" s="55"/>
    </row>
    <row r="1468" spans="2:13" x14ac:dyDescent="0.3">
      <c r="B1468" s="223" t="s">
        <v>2598</v>
      </c>
      <c r="C1468" s="224">
        <v>6</v>
      </c>
      <c r="D1468" s="225">
        <v>12</v>
      </c>
      <c r="E1468" s="226">
        <v>23122</v>
      </c>
      <c r="F1468" s="227"/>
      <c r="G1468" s="1" t="str">
        <f>IFERROR(IF(ventas_b_mes9[[#This Row],[CUIT]]="","-",VLOOKUP(ventas_b_mes9[[#This Row],[CUIT]],Lista_CUIT[#All],2,0)),"CUIT NO CARGADO")</f>
        <v>-</v>
      </c>
      <c r="H1468" s="60">
        <f>ventas_b_mes9[[#This Row],[TOTAL]]/1.21</f>
        <v>2878.5100000000007</v>
      </c>
      <c r="I1468" s="228">
        <f>ventas_b_mes9[[#This Row],[IMPORTE NETO]]*0.21</f>
        <v>604.48710000000017</v>
      </c>
      <c r="J1468" s="229"/>
      <c r="K1468" s="229"/>
      <c r="L1468" s="229">
        <v>3482.9971000000005</v>
      </c>
      <c r="M1468" s="55"/>
    </row>
    <row r="1469" spans="2:13" x14ac:dyDescent="0.3">
      <c r="B1469" s="223" t="s">
        <v>2598</v>
      </c>
      <c r="C1469" s="224">
        <v>6</v>
      </c>
      <c r="D1469" s="225">
        <v>12</v>
      </c>
      <c r="E1469" s="226">
        <v>23123</v>
      </c>
      <c r="F1469" s="227"/>
      <c r="G1469" s="1" t="str">
        <f>IFERROR(IF(ventas_b_mes9[[#This Row],[CUIT]]="","-",VLOOKUP(ventas_b_mes9[[#This Row],[CUIT]],Lista_CUIT[#All],2,0)),"CUIT NO CARGADO")</f>
        <v>-</v>
      </c>
      <c r="H1469" s="60">
        <f>ventas_b_mes9[[#This Row],[TOTAL]]/1.21</f>
        <v>2107.44</v>
      </c>
      <c r="I1469" s="228">
        <f>ventas_b_mes9[[#This Row],[IMPORTE NETO]]*0.21</f>
        <v>442.56239999999997</v>
      </c>
      <c r="J1469" s="229"/>
      <c r="K1469" s="229"/>
      <c r="L1469" s="229">
        <v>2550.0023999999999</v>
      </c>
      <c r="M1469" s="55"/>
    </row>
    <row r="1470" spans="2:13" x14ac:dyDescent="0.3">
      <c r="B1470" s="223" t="s">
        <v>2598</v>
      </c>
      <c r="C1470" s="224">
        <v>6</v>
      </c>
      <c r="D1470" s="225">
        <v>12</v>
      </c>
      <c r="E1470" s="226">
        <v>23124</v>
      </c>
      <c r="F1470" s="227"/>
      <c r="G1470" s="1" t="str">
        <f>IFERROR(IF(ventas_b_mes9[[#This Row],[CUIT]]="","-",VLOOKUP(ventas_b_mes9[[#This Row],[CUIT]],Lista_CUIT[#All],2,0)),"CUIT NO CARGADO")</f>
        <v>-</v>
      </c>
      <c r="H1470" s="60">
        <f>ventas_b_mes9[[#This Row],[TOTAL]]/1.21</f>
        <v>3466.12</v>
      </c>
      <c r="I1470" s="228">
        <f>ventas_b_mes9[[#This Row],[IMPORTE NETO]]*0.21</f>
        <v>727.88519999999994</v>
      </c>
      <c r="J1470" s="229"/>
      <c r="K1470" s="229"/>
      <c r="L1470" s="229">
        <v>4194.0051999999996</v>
      </c>
      <c r="M1470" s="55"/>
    </row>
    <row r="1471" spans="2:13" x14ac:dyDescent="0.3">
      <c r="B1471" s="223" t="s">
        <v>2599</v>
      </c>
      <c r="C1471" s="224">
        <v>6</v>
      </c>
      <c r="D1471" s="225">
        <v>12</v>
      </c>
      <c r="E1471" s="226">
        <v>23125</v>
      </c>
      <c r="F1471" s="227"/>
      <c r="G1471" s="1" t="str">
        <f>IFERROR(IF(ventas_b_mes9[[#This Row],[CUIT]]="","-",VLOOKUP(ventas_b_mes9[[#This Row],[CUIT]],Lista_CUIT[#All],2,0)),"CUIT NO CARGADO")</f>
        <v>-</v>
      </c>
      <c r="H1471" s="60">
        <f>ventas_b_mes9[[#This Row],[TOTAL]]/1.21</f>
        <v>5157.0200000000013</v>
      </c>
      <c r="I1471" s="228">
        <f>ventas_b_mes9[[#This Row],[IMPORTE NETO]]*0.21</f>
        <v>1082.9742000000003</v>
      </c>
      <c r="J1471" s="229"/>
      <c r="K1471" s="229"/>
      <c r="L1471" s="229">
        <v>6239.994200000001</v>
      </c>
      <c r="M1471" s="55"/>
    </row>
    <row r="1472" spans="2:13" x14ac:dyDescent="0.3">
      <c r="B1472" s="223" t="s">
        <v>2599</v>
      </c>
      <c r="C1472" s="224">
        <v>6</v>
      </c>
      <c r="D1472" s="225">
        <v>12</v>
      </c>
      <c r="E1472" s="226">
        <v>23126</v>
      </c>
      <c r="F1472" s="227"/>
      <c r="G1472" s="1" t="str">
        <f>IFERROR(IF(ventas_b_mes9[[#This Row],[CUIT]]="","-",VLOOKUP(ventas_b_mes9[[#This Row],[CUIT]],Lista_CUIT[#All],2,0)),"CUIT NO CARGADO")</f>
        <v>-</v>
      </c>
      <c r="H1472" s="60">
        <f>ventas_b_mes9[[#This Row],[TOTAL]]/1.21</f>
        <v>8516.5499999999993</v>
      </c>
      <c r="I1472" s="228">
        <f>ventas_b_mes9[[#This Row],[IMPORTE NETO]]*0.21</f>
        <v>1788.4754999999998</v>
      </c>
      <c r="J1472" s="229"/>
      <c r="K1472" s="229"/>
      <c r="L1472" s="229">
        <v>10305.0255</v>
      </c>
      <c r="M1472" s="55"/>
    </row>
    <row r="1473" spans="2:13" x14ac:dyDescent="0.3">
      <c r="B1473" s="223" t="s">
        <v>2600</v>
      </c>
      <c r="C1473" s="224">
        <v>6</v>
      </c>
      <c r="D1473" s="225">
        <v>13</v>
      </c>
      <c r="E1473" s="226">
        <v>27180</v>
      </c>
      <c r="F1473" s="227"/>
      <c r="G1473" s="1" t="str">
        <f>IFERROR(IF(ventas_b_mes9[[#This Row],[CUIT]]="","-",VLOOKUP(ventas_b_mes9[[#This Row],[CUIT]],Lista_CUIT[#All],2,0)),"CUIT NO CARGADO")</f>
        <v>-</v>
      </c>
      <c r="H1473" s="60">
        <f>ventas_b_mes9[[#This Row],[TOTAL]]/1.21</f>
        <v>4958.68</v>
      </c>
      <c r="I1473" s="228">
        <f>ventas_b_mes9[[#This Row],[IMPORTE NETO]]*0.21</f>
        <v>1041.3227999999999</v>
      </c>
      <c r="J1473" s="229"/>
      <c r="K1473" s="229"/>
      <c r="L1473" s="229">
        <v>6000.0028000000002</v>
      </c>
      <c r="M1473" s="55"/>
    </row>
    <row r="1474" spans="2:13" x14ac:dyDescent="0.3">
      <c r="B1474" s="223" t="s">
        <v>2600</v>
      </c>
      <c r="C1474" s="224">
        <v>6</v>
      </c>
      <c r="D1474" s="225">
        <v>13</v>
      </c>
      <c r="E1474" s="226">
        <v>27181</v>
      </c>
      <c r="F1474" s="227"/>
      <c r="G1474" s="1" t="str">
        <f>IFERROR(IF(ventas_b_mes9[[#This Row],[CUIT]]="","-",VLOOKUP(ventas_b_mes9[[#This Row],[CUIT]],Lista_CUIT[#All],2,0)),"CUIT NO CARGADO")</f>
        <v>-</v>
      </c>
      <c r="H1474" s="60">
        <f>ventas_b_mes9[[#This Row],[TOTAL]]/1.21</f>
        <v>18181.8</v>
      </c>
      <c r="I1474" s="228">
        <f>ventas_b_mes9[[#This Row],[IMPORTE NETO]]*0.21</f>
        <v>3818.1779999999999</v>
      </c>
      <c r="J1474" s="229"/>
      <c r="K1474" s="229"/>
      <c r="L1474" s="229">
        <v>21999.977999999999</v>
      </c>
      <c r="M1474" s="55"/>
    </row>
    <row r="1475" spans="2:13" x14ac:dyDescent="0.3">
      <c r="B1475" s="223" t="s">
        <v>2600</v>
      </c>
      <c r="C1475" s="224">
        <v>6</v>
      </c>
      <c r="D1475" s="225">
        <v>13</v>
      </c>
      <c r="E1475" s="226">
        <v>27182</v>
      </c>
      <c r="F1475" s="227"/>
      <c r="G1475" s="1" t="str">
        <f>IFERROR(IF(ventas_b_mes9[[#This Row],[CUIT]]="","-",VLOOKUP(ventas_b_mes9[[#This Row],[CUIT]],Lista_CUIT[#All],2,0)),"CUIT NO CARGADO")</f>
        <v>-</v>
      </c>
      <c r="H1475" s="60">
        <f>ventas_b_mes9[[#This Row],[TOTAL]]/1.21</f>
        <v>5605.79</v>
      </c>
      <c r="I1475" s="228">
        <f>ventas_b_mes9[[#This Row],[IMPORTE NETO]]*0.21</f>
        <v>1177.2158999999999</v>
      </c>
      <c r="J1475" s="229"/>
      <c r="K1475" s="229"/>
      <c r="L1475" s="229">
        <v>6783.0059000000001</v>
      </c>
      <c r="M1475" s="55"/>
    </row>
    <row r="1476" spans="2:13" x14ac:dyDescent="0.3">
      <c r="B1476" s="223" t="s">
        <v>2600</v>
      </c>
      <c r="C1476" s="224">
        <v>6</v>
      </c>
      <c r="D1476" s="225">
        <v>13</v>
      </c>
      <c r="E1476" s="226">
        <v>27183</v>
      </c>
      <c r="F1476" s="227"/>
      <c r="G1476" s="1" t="str">
        <f>IFERROR(IF(ventas_b_mes9[[#This Row],[CUIT]]="","-",VLOOKUP(ventas_b_mes9[[#This Row],[CUIT]],Lista_CUIT[#All],2,0)),"CUIT NO CARGADO")</f>
        <v>-</v>
      </c>
      <c r="H1476" s="60">
        <f>ventas_b_mes9[[#This Row],[TOTAL]]/1.21</f>
        <v>8152.07</v>
      </c>
      <c r="I1476" s="228">
        <f>ventas_b_mes9[[#This Row],[IMPORTE NETO]]*0.21</f>
        <v>1711.9346999999998</v>
      </c>
      <c r="J1476" s="229"/>
      <c r="K1476" s="229"/>
      <c r="L1476" s="229">
        <v>9864.0046999999995</v>
      </c>
      <c r="M1476" s="55"/>
    </row>
    <row r="1477" spans="2:13" x14ac:dyDescent="0.3">
      <c r="B1477" s="223" t="s">
        <v>2600</v>
      </c>
      <c r="C1477" s="224">
        <v>6</v>
      </c>
      <c r="D1477" s="225">
        <v>13</v>
      </c>
      <c r="E1477" s="226">
        <v>27184</v>
      </c>
      <c r="F1477" s="227"/>
      <c r="G1477" s="1" t="str">
        <f>IFERROR(IF(ventas_b_mes9[[#This Row],[CUIT]]="","-",VLOOKUP(ventas_b_mes9[[#This Row],[CUIT]],Lista_CUIT[#All],2,0)),"CUIT NO CARGADO")</f>
        <v>-</v>
      </c>
      <c r="H1477" s="60">
        <f>ventas_b_mes9[[#This Row],[TOTAL]]/1.21</f>
        <v>10831.4</v>
      </c>
      <c r="I1477" s="228">
        <f>ventas_b_mes9[[#This Row],[IMPORTE NETO]]*0.21</f>
        <v>2274.5940000000001</v>
      </c>
      <c r="J1477" s="229"/>
      <c r="K1477" s="229"/>
      <c r="L1477" s="229">
        <v>13105.993999999999</v>
      </c>
      <c r="M1477" s="55"/>
    </row>
    <row r="1478" spans="2:13" x14ac:dyDescent="0.3">
      <c r="B1478" s="223" t="s">
        <v>2600</v>
      </c>
      <c r="C1478" s="224">
        <v>6</v>
      </c>
      <c r="D1478" s="225">
        <v>13</v>
      </c>
      <c r="E1478" s="226">
        <v>27185</v>
      </c>
      <c r="F1478" s="227"/>
      <c r="G1478" s="1" t="str">
        <f>IFERROR(IF(ventas_b_mes9[[#This Row],[CUIT]]="","-",VLOOKUP(ventas_b_mes9[[#This Row],[CUIT]],Lista_CUIT[#All],2,0)),"CUIT NO CARGADO")</f>
        <v>-</v>
      </c>
      <c r="H1478" s="60">
        <f>ventas_b_mes9[[#This Row],[TOTAL]]/1.21</f>
        <v>8690.91</v>
      </c>
      <c r="I1478" s="228">
        <f>ventas_b_mes9[[#This Row],[IMPORTE NETO]]*0.21</f>
        <v>1825.0910999999999</v>
      </c>
      <c r="J1478" s="229"/>
      <c r="K1478" s="229"/>
      <c r="L1478" s="229">
        <v>10516.001099999999</v>
      </c>
      <c r="M1478" s="55"/>
    </row>
    <row r="1479" spans="2:13" x14ac:dyDescent="0.3">
      <c r="B1479" s="223" t="s">
        <v>2600</v>
      </c>
      <c r="C1479" s="224">
        <v>6</v>
      </c>
      <c r="D1479" s="225">
        <v>13</v>
      </c>
      <c r="E1479" s="226">
        <v>27186</v>
      </c>
      <c r="F1479" s="227"/>
      <c r="G1479" s="1" t="str">
        <f>IFERROR(IF(ventas_b_mes9[[#This Row],[CUIT]]="","-",VLOOKUP(ventas_b_mes9[[#This Row],[CUIT]],Lista_CUIT[#All],2,0)),"CUIT NO CARGADO")</f>
        <v>-</v>
      </c>
      <c r="H1479" s="60">
        <f>ventas_b_mes9[[#This Row],[TOTAL]]/1.21</f>
        <v>1636.36</v>
      </c>
      <c r="I1479" s="228">
        <f>ventas_b_mes9[[#This Row],[IMPORTE NETO]]*0.21</f>
        <v>343.63559999999995</v>
      </c>
      <c r="J1479" s="229"/>
      <c r="K1479" s="229"/>
      <c r="L1479" s="229">
        <v>1979.9955999999997</v>
      </c>
      <c r="M1479" s="55"/>
    </row>
    <row r="1480" spans="2:13" x14ac:dyDescent="0.3">
      <c r="B1480" s="223" t="s">
        <v>2600</v>
      </c>
      <c r="C1480" s="224">
        <v>6</v>
      </c>
      <c r="D1480" s="225">
        <v>13</v>
      </c>
      <c r="E1480" s="226">
        <v>27187</v>
      </c>
      <c r="F1480" s="227"/>
      <c r="G1480" s="1" t="str">
        <f>IFERROR(IF(ventas_b_mes9[[#This Row],[CUIT]]="","-",VLOOKUP(ventas_b_mes9[[#This Row],[CUIT]],Lista_CUIT[#All],2,0)),"CUIT NO CARGADO")</f>
        <v>-</v>
      </c>
      <c r="H1480" s="60">
        <f>ventas_b_mes9[[#This Row],[TOTAL]]/1.21</f>
        <v>3819.84</v>
      </c>
      <c r="I1480" s="228">
        <f>ventas_b_mes9[[#This Row],[IMPORTE NETO]]*0.21</f>
        <v>802.16639999999995</v>
      </c>
      <c r="J1480" s="229"/>
      <c r="K1480" s="229"/>
      <c r="L1480" s="229">
        <v>4622.0064000000002</v>
      </c>
      <c r="M1480" s="55"/>
    </row>
    <row r="1481" spans="2:13" x14ac:dyDescent="0.3">
      <c r="B1481" s="223" t="s">
        <v>2600</v>
      </c>
      <c r="C1481" s="224">
        <v>6</v>
      </c>
      <c r="D1481" s="225">
        <v>13</v>
      </c>
      <c r="E1481" s="226">
        <v>27188</v>
      </c>
      <c r="F1481" s="227"/>
      <c r="G1481" s="1" t="str">
        <f>IFERROR(IF(ventas_b_mes9[[#This Row],[CUIT]]="","-",VLOOKUP(ventas_b_mes9[[#This Row],[CUIT]],Lista_CUIT[#All],2,0)),"CUIT NO CARGADO")</f>
        <v>-</v>
      </c>
      <c r="H1481" s="60">
        <f>ventas_b_mes9[[#This Row],[TOTAL]]/1.21</f>
        <v>5762.0000000000009</v>
      </c>
      <c r="I1481" s="228">
        <f>ventas_b_mes9[[#This Row],[IMPORTE NETO]]*0.21</f>
        <v>1210.0200000000002</v>
      </c>
      <c r="J1481" s="229"/>
      <c r="K1481" s="229"/>
      <c r="L1481" s="229">
        <v>6972.02</v>
      </c>
      <c r="M1481" s="55"/>
    </row>
    <row r="1482" spans="2:13" x14ac:dyDescent="0.3">
      <c r="B1482" s="223" t="s">
        <v>2600</v>
      </c>
      <c r="C1482" s="224">
        <v>6</v>
      </c>
      <c r="D1482" s="225">
        <v>13</v>
      </c>
      <c r="E1482" s="226">
        <v>27189</v>
      </c>
      <c r="F1482" s="227"/>
      <c r="G1482" s="1" t="str">
        <f>IFERROR(IF(ventas_b_mes9[[#This Row],[CUIT]]="","-",VLOOKUP(ventas_b_mes9[[#This Row],[CUIT]],Lista_CUIT[#All],2,0)),"CUIT NO CARGADO")</f>
        <v>-</v>
      </c>
      <c r="H1482" s="60">
        <f>ventas_b_mes9[[#This Row],[TOTAL]]/1.21</f>
        <v>4819.8300000000008</v>
      </c>
      <c r="I1482" s="228">
        <f>ventas_b_mes9[[#This Row],[IMPORTE NETO]]*0.21</f>
        <v>1012.1643000000001</v>
      </c>
      <c r="J1482" s="229"/>
      <c r="K1482" s="229"/>
      <c r="L1482" s="229">
        <v>5831.9943000000003</v>
      </c>
      <c r="M1482" s="55"/>
    </row>
    <row r="1483" spans="2:13" x14ac:dyDescent="0.3">
      <c r="B1483" s="223" t="s">
        <v>2600</v>
      </c>
      <c r="C1483" s="224">
        <v>6</v>
      </c>
      <c r="D1483" s="225">
        <v>13</v>
      </c>
      <c r="E1483" s="226">
        <v>27190</v>
      </c>
      <c r="F1483" s="227"/>
      <c r="G1483" s="1" t="str">
        <f>IFERROR(IF(ventas_b_mes9[[#This Row],[CUIT]]="","-",VLOOKUP(ventas_b_mes9[[#This Row],[CUIT]],Lista_CUIT[#All],2,0)),"CUIT NO CARGADO")</f>
        <v>-</v>
      </c>
      <c r="H1483" s="60">
        <f>ventas_b_mes9[[#This Row],[TOTAL]]/1.21</f>
        <v>7031.4100000000008</v>
      </c>
      <c r="I1483" s="228">
        <f>ventas_b_mes9[[#This Row],[IMPORTE NETO]]*0.21</f>
        <v>1476.5961000000002</v>
      </c>
      <c r="J1483" s="229"/>
      <c r="K1483" s="229"/>
      <c r="L1483" s="229">
        <v>8508.0061000000005</v>
      </c>
      <c r="M1483" s="55"/>
    </row>
    <row r="1484" spans="2:13" x14ac:dyDescent="0.3">
      <c r="B1484" s="223" t="s">
        <v>2600</v>
      </c>
      <c r="C1484" s="224">
        <v>6</v>
      </c>
      <c r="D1484" s="225">
        <v>11</v>
      </c>
      <c r="E1484" s="226">
        <v>30635</v>
      </c>
      <c r="F1484" s="227"/>
      <c r="G1484" s="1" t="str">
        <f>IFERROR(IF(ventas_b_mes9[[#This Row],[CUIT]]="","-",VLOOKUP(ventas_b_mes9[[#This Row],[CUIT]],Lista_CUIT[#All],2,0)),"CUIT NO CARGADO")</f>
        <v>-</v>
      </c>
      <c r="H1484" s="60">
        <f>ventas_b_mes9[[#This Row],[TOTAL]]/1.21</f>
        <v>3957.02</v>
      </c>
      <c r="I1484" s="228">
        <f>ventas_b_mes9[[#This Row],[IMPORTE NETO]]*0.21</f>
        <v>830.9742</v>
      </c>
      <c r="J1484" s="229"/>
      <c r="K1484" s="229"/>
      <c r="L1484" s="229">
        <v>4787.9942000000001</v>
      </c>
      <c r="M1484" s="55"/>
    </row>
    <row r="1485" spans="2:13" x14ac:dyDescent="0.3">
      <c r="B1485" s="223" t="s">
        <v>2600</v>
      </c>
      <c r="C1485" s="224">
        <v>6</v>
      </c>
      <c r="D1485" s="225">
        <v>11</v>
      </c>
      <c r="E1485" s="226">
        <v>30636</v>
      </c>
      <c r="F1485" s="227"/>
      <c r="G1485" s="1" t="str">
        <f>IFERROR(IF(ventas_b_mes9[[#This Row],[CUIT]]="","-",VLOOKUP(ventas_b_mes9[[#This Row],[CUIT]],Lista_CUIT[#All],2,0)),"CUIT NO CARGADO")</f>
        <v>-</v>
      </c>
      <c r="H1485" s="60">
        <f>ventas_b_mes9[[#This Row],[TOTAL]]/1.21</f>
        <v>4958.68</v>
      </c>
      <c r="I1485" s="228">
        <f>ventas_b_mes9[[#This Row],[IMPORTE NETO]]*0.21</f>
        <v>1041.3227999999999</v>
      </c>
      <c r="J1485" s="229"/>
      <c r="K1485" s="229"/>
      <c r="L1485" s="229">
        <v>6000.0028000000002</v>
      </c>
      <c r="M1485" s="55"/>
    </row>
    <row r="1486" spans="2:13" x14ac:dyDescent="0.3">
      <c r="B1486" s="223" t="s">
        <v>2600</v>
      </c>
      <c r="C1486" s="224">
        <v>6</v>
      </c>
      <c r="D1486" s="225">
        <v>11</v>
      </c>
      <c r="E1486" s="226">
        <v>30637</v>
      </c>
      <c r="F1486" s="227"/>
      <c r="G1486" s="1" t="str">
        <f>IFERROR(IF(ventas_b_mes9[[#This Row],[CUIT]]="","-",VLOOKUP(ventas_b_mes9[[#This Row],[CUIT]],Lista_CUIT[#All],2,0)),"CUIT NO CARGADO")</f>
        <v>-</v>
      </c>
      <c r="H1486" s="60">
        <f>ventas_b_mes9[[#This Row],[TOTAL]]/1.21</f>
        <v>392.56000000000006</v>
      </c>
      <c r="I1486" s="228">
        <f>ventas_b_mes9[[#This Row],[IMPORTE NETO]]*0.21</f>
        <v>82.437600000000003</v>
      </c>
      <c r="J1486" s="229"/>
      <c r="K1486" s="229"/>
      <c r="L1486" s="229">
        <v>474.99760000000003</v>
      </c>
      <c r="M1486" s="55"/>
    </row>
    <row r="1487" spans="2:13" x14ac:dyDescent="0.3">
      <c r="B1487" s="223" t="s">
        <v>2600</v>
      </c>
      <c r="C1487" s="224">
        <v>6</v>
      </c>
      <c r="D1487" s="225">
        <v>11</v>
      </c>
      <c r="E1487" s="226">
        <v>30638</v>
      </c>
      <c r="F1487" s="227"/>
      <c r="G1487" s="1" t="str">
        <f>IFERROR(IF(ventas_b_mes9[[#This Row],[CUIT]]="","-",VLOOKUP(ventas_b_mes9[[#This Row],[CUIT]],Lista_CUIT[#All],2,0)),"CUIT NO CARGADO")</f>
        <v>-</v>
      </c>
      <c r="H1487" s="60">
        <f>ventas_b_mes9[[#This Row],[TOTAL]]/1.21</f>
        <v>4958.68</v>
      </c>
      <c r="I1487" s="228">
        <f>ventas_b_mes9[[#This Row],[IMPORTE NETO]]*0.21</f>
        <v>1041.3227999999999</v>
      </c>
      <c r="J1487" s="229"/>
      <c r="K1487" s="229"/>
      <c r="L1487" s="229">
        <v>6000.0028000000002</v>
      </c>
      <c r="M1487" s="55"/>
    </row>
    <row r="1488" spans="2:13" x14ac:dyDescent="0.3">
      <c r="B1488" s="223" t="s">
        <v>2600</v>
      </c>
      <c r="C1488" s="224">
        <v>6</v>
      </c>
      <c r="D1488" s="225">
        <v>11</v>
      </c>
      <c r="E1488" s="226">
        <v>30639</v>
      </c>
      <c r="F1488" s="227"/>
      <c r="G1488" s="1" t="str">
        <f>IFERROR(IF(ventas_b_mes9[[#This Row],[CUIT]]="","-",VLOOKUP(ventas_b_mes9[[#This Row],[CUIT]],Lista_CUIT[#All],2,0)),"CUIT NO CARGADO")</f>
        <v>-</v>
      </c>
      <c r="H1488" s="60">
        <f>ventas_b_mes9[[#This Row],[TOTAL]]/1.21</f>
        <v>1735.5400000000002</v>
      </c>
      <c r="I1488" s="228">
        <f>ventas_b_mes9[[#This Row],[IMPORTE NETO]]*0.21</f>
        <v>364.46340000000004</v>
      </c>
      <c r="J1488" s="229"/>
      <c r="K1488" s="229"/>
      <c r="L1488" s="229">
        <v>2100.0034000000001</v>
      </c>
      <c r="M1488" s="55"/>
    </row>
    <row r="1489" spans="2:13" x14ac:dyDescent="0.3">
      <c r="B1489" s="223" t="s">
        <v>2600</v>
      </c>
      <c r="C1489" s="224">
        <v>6</v>
      </c>
      <c r="D1489" s="225">
        <v>11</v>
      </c>
      <c r="E1489" s="226">
        <v>30640</v>
      </c>
      <c r="F1489" s="227"/>
      <c r="G1489" s="1" t="str">
        <f>IFERROR(IF(ventas_b_mes9[[#This Row],[CUIT]]="","-",VLOOKUP(ventas_b_mes9[[#This Row],[CUIT]],Lista_CUIT[#All],2,0)),"CUIT NO CARGADO")</f>
        <v>-</v>
      </c>
      <c r="H1489" s="60">
        <f>ventas_b_mes9[[#This Row],[TOTAL]]/1.21</f>
        <v>8831.18</v>
      </c>
      <c r="I1489" s="228">
        <f>ventas_b_mes9[[#This Row],[IMPORTE NETO]]*0.21</f>
        <v>1854.5478000000001</v>
      </c>
      <c r="J1489" s="229"/>
      <c r="K1489" s="229"/>
      <c r="L1489" s="229">
        <v>10685.727800000001</v>
      </c>
      <c r="M1489" s="55"/>
    </row>
    <row r="1490" spans="2:13" x14ac:dyDescent="0.3">
      <c r="B1490" s="223" t="s">
        <v>2600</v>
      </c>
      <c r="C1490" s="224">
        <v>6</v>
      </c>
      <c r="D1490" s="225">
        <v>11</v>
      </c>
      <c r="E1490" s="226">
        <v>30641</v>
      </c>
      <c r="F1490" s="227"/>
      <c r="G1490" s="1" t="str">
        <f>IFERROR(IF(ventas_b_mes9[[#This Row],[CUIT]]="","-",VLOOKUP(ventas_b_mes9[[#This Row],[CUIT]],Lista_CUIT[#All],2,0)),"CUIT NO CARGADO")</f>
        <v>-</v>
      </c>
      <c r="H1490" s="60">
        <f>ventas_b_mes9[[#This Row],[TOTAL]]/1.21</f>
        <v>1745.4499999999998</v>
      </c>
      <c r="I1490" s="228">
        <f>ventas_b_mes9[[#This Row],[IMPORTE NETO]]*0.21</f>
        <v>366.54449999999997</v>
      </c>
      <c r="J1490" s="229"/>
      <c r="K1490" s="229"/>
      <c r="L1490" s="229">
        <v>2111.9944999999998</v>
      </c>
      <c r="M1490" s="55"/>
    </row>
    <row r="1491" spans="2:13" x14ac:dyDescent="0.3">
      <c r="B1491" s="223" t="s">
        <v>2600</v>
      </c>
      <c r="C1491" s="224">
        <v>6</v>
      </c>
      <c r="D1491" s="225">
        <v>11</v>
      </c>
      <c r="E1491" s="226">
        <v>30642</v>
      </c>
      <c r="F1491" s="227"/>
      <c r="G1491" s="1" t="str">
        <f>IFERROR(IF(ventas_b_mes9[[#This Row],[CUIT]]="","-",VLOOKUP(ventas_b_mes9[[#This Row],[CUIT]],Lista_CUIT[#All],2,0)),"CUIT NO CARGADO")</f>
        <v>-</v>
      </c>
      <c r="H1491" s="60">
        <f>ventas_b_mes9[[#This Row],[TOTAL]]/1.21</f>
        <v>4958.68</v>
      </c>
      <c r="I1491" s="228">
        <f>ventas_b_mes9[[#This Row],[IMPORTE NETO]]*0.21</f>
        <v>1041.3227999999999</v>
      </c>
      <c r="J1491" s="229"/>
      <c r="K1491" s="229"/>
      <c r="L1491" s="229">
        <v>6000.0028000000002</v>
      </c>
      <c r="M1491" s="55"/>
    </row>
    <row r="1492" spans="2:13" x14ac:dyDescent="0.3">
      <c r="B1492" s="223" t="s">
        <v>2600</v>
      </c>
      <c r="C1492" s="224">
        <v>6</v>
      </c>
      <c r="D1492" s="225">
        <v>11</v>
      </c>
      <c r="E1492" s="226">
        <v>30643</v>
      </c>
      <c r="F1492" s="227"/>
      <c r="G1492" s="1" t="str">
        <f>IFERROR(IF(ventas_b_mes9[[#This Row],[CUIT]]="","-",VLOOKUP(ventas_b_mes9[[#This Row],[CUIT]],Lista_CUIT[#All],2,0)),"CUIT NO CARGADO")</f>
        <v>-</v>
      </c>
      <c r="H1492" s="60">
        <f>ventas_b_mes9[[#This Row],[TOTAL]]/1.21</f>
        <v>6503.32</v>
      </c>
      <c r="I1492" s="228">
        <f>ventas_b_mes9[[#This Row],[IMPORTE NETO]]*0.21</f>
        <v>1365.6971999999998</v>
      </c>
      <c r="J1492" s="229"/>
      <c r="K1492" s="229"/>
      <c r="L1492" s="229">
        <v>7869.0171999999993</v>
      </c>
      <c r="M1492" s="55"/>
    </row>
    <row r="1493" spans="2:13" x14ac:dyDescent="0.3">
      <c r="B1493" s="223" t="s">
        <v>2600</v>
      </c>
      <c r="C1493" s="224">
        <v>6</v>
      </c>
      <c r="D1493" s="225">
        <v>11</v>
      </c>
      <c r="E1493" s="226">
        <v>30644</v>
      </c>
      <c r="F1493" s="227"/>
      <c r="G1493" s="1" t="str">
        <f>IFERROR(IF(ventas_b_mes9[[#This Row],[CUIT]]="","-",VLOOKUP(ventas_b_mes9[[#This Row],[CUIT]],Lista_CUIT[#All],2,0)),"CUIT NO CARGADO")</f>
        <v>-</v>
      </c>
      <c r="H1493" s="60">
        <f>ventas_b_mes9[[#This Row],[TOTAL]]/1.21</f>
        <v>1467.77</v>
      </c>
      <c r="I1493" s="228">
        <f>ventas_b_mes9[[#This Row],[IMPORTE NETO]]*0.21</f>
        <v>308.23169999999999</v>
      </c>
      <c r="J1493" s="229"/>
      <c r="K1493" s="229"/>
      <c r="L1493" s="229">
        <v>1776.0017</v>
      </c>
      <c r="M1493" s="55"/>
    </row>
    <row r="1494" spans="2:13" x14ac:dyDescent="0.3">
      <c r="B1494" s="223" t="s">
        <v>2600</v>
      </c>
      <c r="C1494" s="224">
        <v>6</v>
      </c>
      <c r="D1494" s="225">
        <v>15</v>
      </c>
      <c r="E1494" s="226">
        <v>7520</v>
      </c>
      <c r="F1494" s="227">
        <v>36740584</v>
      </c>
      <c r="G1494" s="1" t="str">
        <f>IFERROR(IF(ventas_b_mes9[[#This Row],[CUIT]]="","-",VLOOKUP(ventas_b_mes9[[#This Row],[CUIT]],Lista_CUIT[#All],2,0)),"CUIT NO CARGADO")</f>
        <v>ESQUIVEL,Ines Solange (alumna)</v>
      </c>
      <c r="H1494" s="60">
        <f>ventas_b_mes9[[#This Row],[TOTAL]]/1.21</f>
        <v>632.23</v>
      </c>
      <c r="I1494" s="228">
        <f>ventas_b_mes9[[#This Row],[IMPORTE NETO]]*0.21</f>
        <v>132.76830000000001</v>
      </c>
      <c r="J1494" s="229"/>
      <c r="K1494" s="229"/>
      <c r="L1494" s="229">
        <v>764.99829999999997</v>
      </c>
      <c r="M1494" s="55"/>
    </row>
    <row r="1495" spans="2:13" x14ac:dyDescent="0.3">
      <c r="B1495" s="223" t="s">
        <v>2600</v>
      </c>
      <c r="C1495" s="224">
        <v>6</v>
      </c>
      <c r="D1495" s="225">
        <v>15</v>
      </c>
      <c r="E1495" s="226">
        <v>7521</v>
      </c>
      <c r="F1495" s="227"/>
      <c r="G1495" s="1" t="str">
        <f>IFERROR(IF(ventas_b_mes9[[#This Row],[CUIT]]="","-",VLOOKUP(ventas_b_mes9[[#This Row],[CUIT]],Lista_CUIT[#All],2,0)),"CUIT NO CARGADO")</f>
        <v>-</v>
      </c>
      <c r="H1495" s="60">
        <f>ventas_b_mes9[[#This Row],[TOTAL]]/1.21</f>
        <v>1983.47</v>
      </c>
      <c r="I1495" s="228">
        <f>ventas_b_mes9[[#This Row],[IMPORTE NETO]]*0.21</f>
        <v>416.52870000000001</v>
      </c>
      <c r="J1495" s="229"/>
      <c r="K1495" s="229"/>
      <c r="L1495" s="229">
        <v>2399.9987000000001</v>
      </c>
      <c r="M1495" s="55"/>
    </row>
    <row r="1496" spans="2:13" x14ac:dyDescent="0.3">
      <c r="B1496" s="223" t="s">
        <v>2600</v>
      </c>
      <c r="C1496" s="224">
        <v>6</v>
      </c>
      <c r="D1496" s="225">
        <v>15</v>
      </c>
      <c r="E1496" s="226">
        <v>7522</v>
      </c>
      <c r="F1496" s="227"/>
      <c r="G1496" s="1" t="str">
        <f>IFERROR(IF(ventas_b_mes9[[#This Row],[CUIT]]="","-",VLOOKUP(ventas_b_mes9[[#This Row],[CUIT]],Lista_CUIT[#All],2,0)),"CUIT NO CARGADO")</f>
        <v>-</v>
      </c>
      <c r="H1496" s="60">
        <f>ventas_b_mes9[[#This Row],[TOTAL]]/1.21</f>
        <v>3161.1600000000003</v>
      </c>
      <c r="I1496" s="228">
        <f>ventas_b_mes9[[#This Row],[IMPORTE NETO]]*0.21</f>
        <v>663.84360000000004</v>
      </c>
      <c r="J1496" s="229"/>
      <c r="K1496" s="229"/>
      <c r="L1496" s="229">
        <v>3825.0036</v>
      </c>
      <c r="M1496" s="55"/>
    </row>
    <row r="1497" spans="2:13" x14ac:dyDescent="0.3">
      <c r="B1497" s="223" t="s">
        <v>2600</v>
      </c>
      <c r="C1497" s="224">
        <v>6</v>
      </c>
      <c r="D1497" s="225">
        <v>15</v>
      </c>
      <c r="E1497" s="226">
        <v>7523</v>
      </c>
      <c r="F1497" s="227">
        <v>13262270</v>
      </c>
      <c r="G1497" s="1" t="str">
        <f>IFERROR(IF(ventas_b_mes9[[#This Row],[CUIT]]="","-",VLOOKUP(ventas_b_mes9[[#This Row],[CUIT]],Lista_CUIT[#All],2,0)),"CUIT NO CARGADO")</f>
        <v>GENOUD,Cristina</v>
      </c>
      <c r="H1497" s="60">
        <f>ventas_b_mes9[[#This Row],[TOTAL]]/1.21</f>
        <v>4467.7700000000004</v>
      </c>
      <c r="I1497" s="228">
        <f>ventas_b_mes9[[#This Row],[IMPORTE NETO]]*0.21</f>
        <v>938.23170000000005</v>
      </c>
      <c r="J1497" s="229"/>
      <c r="K1497" s="229"/>
      <c r="L1497" s="229">
        <v>5406.0017000000007</v>
      </c>
      <c r="M1497" s="55"/>
    </row>
    <row r="1498" spans="2:13" x14ac:dyDescent="0.3">
      <c r="B1498" s="223" t="s">
        <v>2600</v>
      </c>
      <c r="C1498" s="224">
        <v>6</v>
      </c>
      <c r="D1498" s="225">
        <v>15</v>
      </c>
      <c r="E1498" s="226">
        <v>7524</v>
      </c>
      <c r="F1498" s="227"/>
      <c r="G1498" s="1" t="str">
        <f>IFERROR(IF(ventas_b_mes9[[#This Row],[CUIT]]="","-",VLOOKUP(ventas_b_mes9[[#This Row],[CUIT]],Lista_CUIT[#All],2,0)),"CUIT NO CARGADO")</f>
        <v>-</v>
      </c>
      <c r="H1498" s="60">
        <f>ventas_b_mes9[[#This Row],[TOTAL]]/1.21</f>
        <v>1983.47</v>
      </c>
      <c r="I1498" s="228">
        <f>ventas_b_mes9[[#This Row],[IMPORTE NETO]]*0.21</f>
        <v>416.52870000000001</v>
      </c>
      <c r="J1498" s="229"/>
      <c r="K1498" s="229"/>
      <c r="L1498" s="229">
        <v>2399.9987000000001</v>
      </c>
      <c r="M1498" s="55"/>
    </row>
    <row r="1499" spans="2:13" x14ac:dyDescent="0.3">
      <c r="B1499" s="223" t="s">
        <v>2600</v>
      </c>
      <c r="C1499" s="224">
        <v>6</v>
      </c>
      <c r="D1499" s="225">
        <v>15</v>
      </c>
      <c r="E1499" s="226">
        <v>7525</v>
      </c>
      <c r="F1499" s="227"/>
      <c r="G1499" s="1" t="str">
        <f>IFERROR(IF(ventas_b_mes9[[#This Row],[CUIT]]="","-",VLOOKUP(ventas_b_mes9[[#This Row],[CUIT]],Lista_CUIT[#All],2,0)),"CUIT NO CARGADO")</f>
        <v>-</v>
      </c>
      <c r="H1499" s="60">
        <f>ventas_b_mes9[[#This Row],[TOTAL]]/1.21</f>
        <v>1983.47</v>
      </c>
      <c r="I1499" s="228">
        <f>ventas_b_mes9[[#This Row],[IMPORTE NETO]]*0.21</f>
        <v>416.52870000000001</v>
      </c>
      <c r="J1499" s="229"/>
      <c r="K1499" s="229"/>
      <c r="L1499" s="229">
        <v>2399.9987000000001</v>
      </c>
      <c r="M1499" s="55"/>
    </row>
    <row r="1500" spans="2:13" x14ac:dyDescent="0.3">
      <c r="B1500" s="223" t="s">
        <v>2600</v>
      </c>
      <c r="C1500" s="224">
        <v>6</v>
      </c>
      <c r="D1500" s="225">
        <v>15</v>
      </c>
      <c r="E1500" s="226">
        <v>7526</v>
      </c>
      <c r="F1500" s="227">
        <v>24215334</v>
      </c>
      <c r="G1500" s="1" t="str">
        <f>IFERROR(IF(ventas_b_mes9[[#This Row],[CUIT]]="","-",VLOOKUP(ventas_b_mes9[[#This Row],[CUIT]],Lista_CUIT[#All],2,0)),"CUIT NO CARGADO")</f>
        <v>TABORDA,CAROLINA (ALUMNA)</v>
      </c>
      <c r="H1500" s="60">
        <f>ventas_b_mes9[[#This Row],[TOTAL]]/1.21</f>
        <v>4958.68</v>
      </c>
      <c r="I1500" s="228">
        <f>ventas_b_mes9[[#This Row],[IMPORTE NETO]]*0.21</f>
        <v>1041.3227999999999</v>
      </c>
      <c r="J1500" s="229"/>
      <c r="K1500" s="229"/>
      <c r="L1500" s="229">
        <v>6000.0028000000002</v>
      </c>
      <c r="M1500" s="55"/>
    </row>
    <row r="1501" spans="2:13" x14ac:dyDescent="0.3">
      <c r="B1501" s="223" t="s">
        <v>2600</v>
      </c>
      <c r="C1501" s="224">
        <v>6</v>
      </c>
      <c r="D1501" s="225">
        <v>15</v>
      </c>
      <c r="E1501" s="226">
        <v>7527</v>
      </c>
      <c r="F1501" s="227">
        <v>34651132</v>
      </c>
      <c r="G1501" s="1" t="str">
        <f>IFERROR(IF(ventas_b_mes9[[#This Row],[CUIT]]="","-",VLOOKUP(ventas_b_mes9[[#This Row],[CUIT]],Lista_CUIT[#All],2,0)),"CUIT NO CARGADO")</f>
        <v>EURO BOLUMBURU, MARIA FERNANDA</v>
      </c>
      <c r="H1501" s="60">
        <f>ventas_b_mes9[[#This Row],[TOTAL]]/1.21</f>
        <v>1884.2999999999997</v>
      </c>
      <c r="I1501" s="228">
        <f>ventas_b_mes9[[#This Row],[IMPORTE NETO]]*0.21</f>
        <v>395.70299999999992</v>
      </c>
      <c r="J1501" s="229"/>
      <c r="K1501" s="229"/>
      <c r="L1501" s="229">
        <v>2280.0029999999997</v>
      </c>
      <c r="M1501" s="55"/>
    </row>
    <row r="1502" spans="2:13" x14ac:dyDescent="0.3">
      <c r="B1502" s="223" t="s">
        <v>2600</v>
      </c>
      <c r="C1502" s="224">
        <v>6</v>
      </c>
      <c r="D1502" s="225">
        <v>15</v>
      </c>
      <c r="E1502" s="226">
        <v>7528</v>
      </c>
      <c r="F1502" s="227"/>
      <c r="G1502" s="1" t="str">
        <f>IFERROR(IF(ventas_b_mes9[[#This Row],[CUIT]]="","-",VLOOKUP(ventas_b_mes9[[#This Row],[CUIT]],Lista_CUIT[#All],2,0)),"CUIT NO CARGADO")</f>
        <v>-</v>
      </c>
      <c r="H1502" s="60">
        <f>ventas_b_mes9[[#This Row],[TOTAL]]/1.21</f>
        <v>3111.57</v>
      </c>
      <c r="I1502" s="228">
        <f>ventas_b_mes9[[#This Row],[IMPORTE NETO]]*0.21</f>
        <v>653.42970000000003</v>
      </c>
      <c r="J1502" s="229"/>
      <c r="K1502" s="229"/>
      <c r="L1502" s="229">
        <v>3764.9997000000003</v>
      </c>
      <c r="M1502" s="55"/>
    </row>
    <row r="1503" spans="2:13" x14ac:dyDescent="0.3">
      <c r="B1503" s="223" t="s">
        <v>2600</v>
      </c>
      <c r="C1503" s="224">
        <v>6</v>
      </c>
      <c r="D1503" s="225">
        <v>10</v>
      </c>
      <c r="E1503" s="226">
        <v>44530</v>
      </c>
      <c r="F1503" s="227"/>
      <c r="G1503" s="1" t="str">
        <f>IFERROR(IF(ventas_b_mes9[[#This Row],[CUIT]]="","-",VLOOKUP(ventas_b_mes9[[#This Row],[CUIT]],Lista_CUIT[#All],2,0)),"CUIT NO CARGADO")</f>
        <v>-</v>
      </c>
      <c r="H1503" s="60">
        <f>ventas_b_mes9[[#This Row],[TOTAL]]/1.21</f>
        <v>9879.8799999999992</v>
      </c>
      <c r="I1503" s="228">
        <f>ventas_b_mes9[[#This Row],[IMPORTE NETO]]*0.21</f>
        <v>2074.7747999999997</v>
      </c>
      <c r="J1503" s="229"/>
      <c r="K1503" s="229"/>
      <c r="L1503" s="229">
        <v>11954.654799999998</v>
      </c>
      <c r="M1503" s="55"/>
    </row>
    <row r="1504" spans="2:13" x14ac:dyDescent="0.3">
      <c r="B1504" s="223" t="s">
        <v>2600</v>
      </c>
      <c r="C1504" s="224">
        <v>6</v>
      </c>
      <c r="D1504" s="225">
        <v>10</v>
      </c>
      <c r="E1504" s="226">
        <v>44531</v>
      </c>
      <c r="F1504" s="227"/>
      <c r="G1504" s="1" t="str">
        <f>IFERROR(IF(ventas_b_mes9[[#This Row],[CUIT]]="","-",VLOOKUP(ventas_b_mes9[[#This Row],[CUIT]],Lista_CUIT[#All],2,0)),"CUIT NO CARGADO")</f>
        <v>-</v>
      </c>
      <c r="H1504" s="60">
        <f>ventas_b_mes9[[#This Row],[TOTAL]]/1.21</f>
        <v>4720.66</v>
      </c>
      <c r="I1504" s="228">
        <f>ventas_b_mes9[[#This Row],[IMPORTE NETO]]*0.21</f>
        <v>991.33859999999993</v>
      </c>
      <c r="J1504" s="229"/>
      <c r="K1504" s="229"/>
      <c r="L1504" s="229">
        <v>5711.9985999999999</v>
      </c>
      <c r="M1504" s="55"/>
    </row>
    <row r="1505" spans="2:13" x14ac:dyDescent="0.3">
      <c r="B1505" s="223" t="s">
        <v>2600</v>
      </c>
      <c r="C1505" s="224">
        <v>6</v>
      </c>
      <c r="D1505" s="225">
        <v>10</v>
      </c>
      <c r="E1505" s="226">
        <v>44532</v>
      </c>
      <c r="F1505" s="227"/>
      <c r="G1505" s="1" t="str">
        <f>IFERROR(IF(ventas_b_mes9[[#This Row],[CUIT]]="","-",VLOOKUP(ventas_b_mes9[[#This Row],[CUIT]],Lista_CUIT[#All],2,0)),"CUIT NO CARGADO")</f>
        <v>-</v>
      </c>
      <c r="H1505" s="60">
        <f>ventas_b_mes9[[#This Row],[TOTAL]]/1.21</f>
        <v>2892.56</v>
      </c>
      <c r="I1505" s="228">
        <f>ventas_b_mes9[[#This Row],[IMPORTE NETO]]*0.21</f>
        <v>607.43759999999997</v>
      </c>
      <c r="J1505" s="229"/>
      <c r="K1505" s="229"/>
      <c r="L1505" s="229">
        <v>3499.9975999999997</v>
      </c>
      <c r="M1505" s="55"/>
    </row>
    <row r="1506" spans="2:13" x14ac:dyDescent="0.3">
      <c r="B1506" s="223" t="s">
        <v>2600</v>
      </c>
      <c r="C1506" s="224">
        <v>6</v>
      </c>
      <c r="D1506" s="225">
        <v>10</v>
      </c>
      <c r="E1506" s="226">
        <v>44533</v>
      </c>
      <c r="F1506" s="227"/>
      <c r="G1506" s="1" t="str">
        <f>IFERROR(IF(ventas_b_mes9[[#This Row],[CUIT]]="","-",VLOOKUP(ventas_b_mes9[[#This Row],[CUIT]],Lista_CUIT[#All],2,0)),"CUIT NO CARGADO")</f>
        <v>-</v>
      </c>
      <c r="H1506" s="60">
        <f>ventas_b_mes9[[#This Row],[TOTAL]]/1.21</f>
        <v>2148.7600000000002</v>
      </c>
      <c r="I1506" s="228">
        <f>ventas_b_mes9[[#This Row],[IMPORTE NETO]]*0.21</f>
        <v>451.23960000000005</v>
      </c>
      <c r="J1506" s="229"/>
      <c r="K1506" s="229"/>
      <c r="L1506" s="229">
        <v>2599.9996000000001</v>
      </c>
      <c r="M1506" s="55"/>
    </row>
    <row r="1507" spans="2:13" x14ac:dyDescent="0.3">
      <c r="B1507" s="223">
        <v>44921</v>
      </c>
      <c r="C1507" s="224">
        <v>6</v>
      </c>
      <c r="D1507" s="225">
        <v>10</v>
      </c>
      <c r="E1507" s="226">
        <v>44534</v>
      </c>
      <c r="F1507" s="227"/>
      <c r="G1507" s="1" t="str">
        <f>IFERROR(IF(ventas_b_mes9[[#This Row],[CUIT]]="","-",VLOOKUP(ventas_b_mes9[[#This Row],[CUIT]],Lista_CUIT[#All],2,0)),"CUIT NO CARGADO")</f>
        <v>-</v>
      </c>
      <c r="H1507" s="60">
        <f>ventas_b_mes9[[#This Row],[TOTAL]]/1.21</f>
        <v>2985.12</v>
      </c>
      <c r="I1507" s="228">
        <f>ventas_b_mes9[[#This Row],[IMPORTE NETO]]*0.21</f>
        <v>626.87519999999995</v>
      </c>
      <c r="J1507" s="229"/>
      <c r="K1507" s="229"/>
      <c r="L1507" s="229">
        <v>3611.9951999999998</v>
      </c>
      <c r="M1507" s="55"/>
    </row>
    <row r="1508" spans="2:13" x14ac:dyDescent="0.3">
      <c r="B1508" s="223">
        <v>44921</v>
      </c>
      <c r="C1508" s="224">
        <v>6</v>
      </c>
      <c r="D1508" s="225">
        <v>10</v>
      </c>
      <c r="E1508" s="226">
        <v>44535</v>
      </c>
      <c r="F1508" s="227"/>
      <c r="G1508" s="1" t="str">
        <f>IFERROR(IF(ventas_b_mes9[[#This Row],[CUIT]]="","-",VLOOKUP(ventas_b_mes9[[#This Row],[CUIT]],Lista_CUIT[#All],2,0)),"CUIT NO CARGADO")</f>
        <v>-</v>
      </c>
      <c r="H1508" s="60">
        <f>ventas_b_mes9[[#This Row],[TOTAL]]/1.21</f>
        <v>19421.46</v>
      </c>
      <c r="I1508" s="228">
        <f>ventas_b_mes9[[#This Row],[IMPORTE NETO]]*0.21</f>
        <v>4078.5065999999997</v>
      </c>
      <c r="J1508" s="229"/>
      <c r="K1508" s="229"/>
      <c r="L1508" s="229">
        <v>23499.9666</v>
      </c>
      <c r="M1508" s="55"/>
    </row>
    <row r="1509" spans="2:13" x14ac:dyDescent="0.3">
      <c r="B1509" s="223">
        <v>44921</v>
      </c>
      <c r="C1509" s="224">
        <v>6</v>
      </c>
      <c r="D1509" s="225">
        <v>10</v>
      </c>
      <c r="E1509" s="226">
        <v>44536</v>
      </c>
      <c r="F1509" s="227"/>
      <c r="G1509" s="1" t="str">
        <f>IFERROR(IF(ventas_b_mes9[[#This Row],[CUIT]]="","-",VLOOKUP(ventas_b_mes9[[#This Row],[CUIT]],Lista_CUIT[#All],2,0)),"CUIT NO CARGADO")</f>
        <v>-</v>
      </c>
      <c r="H1509" s="60">
        <f>ventas_b_mes9[[#This Row],[TOTAL]]/1.21</f>
        <v>1031.4000000000001</v>
      </c>
      <c r="I1509" s="228">
        <f>ventas_b_mes9[[#This Row],[IMPORTE NETO]]*0.21</f>
        <v>216.59400000000002</v>
      </c>
      <c r="J1509" s="229"/>
      <c r="K1509" s="229"/>
      <c r="L1509" s="229">
        <v>1247.9940000000001</v>
      </c>
      <c r="M1509" s="55"/>
    </row>
    <row r="1510" spans="2:13" x14ac:dyDescent="0.3">
      <c r="B1510" s="223">
        <v>44921</v>
      </c>
      <c r="C1510" s="224">
        <v>6</v>
      </c>
      <c r="D1510" s="225">
        <v>10</v>
      </c>
      <c r="E1510" s="226">
        <v>44537</v>
      </c>
      <c r="F1510" s="227"/>
      <c r="G1510" s="1" t="str">
        <f>IFERROR(IF(ventas_b_mes9[[#This Row],[CUIT]]="","-",VLOOKUP(ventas_b_mes9[[#This Row],[CUIT]],Lista_CUIT[#All],2,0)),"CUIT NO CARGADO")</f>
        <v>-</v>
      </c>
      <c r="H1510" s="60">
        <f>ventas_b_mes9[[#This Row],[TOTAL]]/1.21</f>
        <v>1815.6999999999998</v>
      </c>
      <c r="I1510" s="228">
        <f>ventas_b_mes9[[#This Row],[IMPORTE NETO]]*0.21</f>
        <v>381.29699999999997</v>
      </c>
      <c r="J1510" s="229"/>
      <c r="K1510" s="229"/>
      <c r="L1510" s="229">
        <v>2196.9969999999998</v>
      </c>
      <c r="M1510" s="55"/>
    </row>
    <row r="1511" spans="2:13" x14ac:dyDescent="0.3">
      <c r="B1511" s="223">
        <v>44921</v>
      </c>
      <c r="C1511" s="224">
        <v>6</v>
      </c>
      <c r="D1511" s="225">
        <v>10</v>
      </c>
      <c r="E1511" s="226">
        <v>44538</v>
      </c>
      <c r="F1511" s="227"/>
      <c r="G1511" s="1" t="str">
        <f>IFERROR(IF(ventas_b_mes9[[#This Row],[CUIT]]="","-",VLOOKUP(ventas_b_mes9[[#This Row],[CUIT]],Lista_CUIT[#All],2,0)),"CUIT NO CARGADO")</f>
        <v>-</v>
      </c>
      <c r="H1511" s="60">
        <f>ventas_b_mes9[[#This Row],[TOTAL]]/1.21</f>
        <v>7200</v>
      </c>
      <c r="I1511" s="228">
        <f>ventas_b_mes9[[#This Row],[IMPORTE NETO]]*0.21</f>
        <v>1512</v>
      </c>
      <c r="J1511" s="229"/>
      <c r="K1511" s="229"/>
      <c r="L1511" s="229">
        <v>8712</v>
      </c>
      <c r="M1511" s="55"/>
    </row>
    <row r="1512" spans="2:13" x14ac:dyDescent="0.3">
      <c r="B1512" s="223">
        <v>44921</v>
      </c>
      <c r="C1512" s="224">
        <v>6</v>
      </c>
      <c r="D1512" s="225">
        <v>10</v>
      </c>
      <c r="E1512" s="226">
        <v>44539</v>
      </c>
      <c r="F1512" s="227"/>
      <c r="G1512" s="1" t="str">
        <f>IFERROR(IF(ventas_b_mes9[[#This Row],[CUIT]]="","-",VLOOKUP(ventas_b_mes9[[#This Row],[CUIT]],Lista_CUIT[#All],2,0)),"CUIT NO CARGADO")</f>
        <v>-</v>
      </c>
      <c r="H1512" s="60">
        <f>ventas_b_mes9[[#This Row],[TOTAL]]/1.21</f>
        <v>2118.1799999999998</v>
      </c>
      <c r="I1512" s="228">
        <f>ventas_b_mes9[[#This Row],[IMPORTE NETO]]*0.21</f>
        <v>444.81779999999998</v>
      </c>
      <c r="J1512" s="229"/>
      <c r="K1512" s="229"/>
      <c r="L1512" s="229">
        <v>2562.9977999999996</v>
      </c>
      <c r="M1512" s="55"/>
    </row>
    <row r="1513" spans="2:13" x14ac:dyDescent="0.3">
      <c r="B1513" s="223">
        <v>44921</v>
      </c>
      <c r="C1513" s="224">
        <v>6</v>
      </c>
      <c r="D1513" s="225">
        <v>10</v>
      </c>
      <c r="E1513" s="226">
        <v>44540</v>
      </c>
      <c r="F1513" s="227"/>
      <c r="G1513" s="1" t="str">
        <f>IFERROR(IF(ventas_b_mes9[[#This Row],[CUIT]]="","-",VLOOKUP(ventas_b_mes9[[#This Row],[CUIT]],Lista_CUIT[#All],2,0)),"CUIT NO CARGADO")</f>
        <v>-</v>
      </c>
      <c r="H1513" s="60">
        <f>ventas_b_mes9[[#This Row],[TOTAL]]/1.21</f>
        <v>3669.42</v>
      </c>
      <c r="I1513" s="228">
        <f>ventas_b_mes9[[#This Row],[IMPORTE NETO]]*0.21</f>
        <v>770.57820000000004</v>
      </c>
      <c r="J1513" s="229"/>
      <c r="K1513" s="229"/>
      <c r="L1513" s="229">
        <v>4439.9982</v>
      </c>
      <c r="M1513" s="55"/>
    </row>
    <row r="1514" spans="2:13" x14ac:dyDescent="0.3">
      <c r="B1514" s="223">
        <v>44921</v>
      </c>
      <c r="C1514" s="224">
        <v>6</v>
      </c>
      <c r="D1514" s="225">
        <v>10</v>
      </c>
      <c r="E1514" s="226">
        <v>44541</v>
      </c>
      <c r="F1514" s="227"/>
      <c r="G1514" s="1" t="str">
        <f>IFERROR(IF(ventas_b_mes9[[#This Row],[CUIT]]="","-",VLOOKUP(ventas_b_mes9[[#This Row],[CUIT]],Lista_CUIT[#All],2,0)),"CUIT NO CARGADO")</f>
        <v>-</v>
      </c>
      <c r="H1514" s="60">
        <f>ventas_b_mes9[[#This Row],[TOTAL]]/1.21</f>
        <v>1943.8000000000002</v>
      </c>
      <c r="I1514" s="228">
        <f>ventas_b_mes9[[#This Row],[IMPORTE NETO]]*0.21</f>
        <v>408.19800000000004</v>
      </c>
      <c r="J1514" s="229"/>
      <c r="K1514" s="229"/>
      <c r="L1514" s="229">
        <v>2351.998</v>
      </c>
      <c r="M1514" s="55"/>
    </row>
    <row r="1515" spans="2:13" x14ac:dyDescent="0.3">
      <c r="B1515" s="223">
        <v>44921</v>
      </c>
      <c r="C1515" s="224">
        <v>6</v>
      </c>
      <c r="D1515" s="225">
        <v>10</v>
      </c>
      <c r="E1515" s="226">
        <v>44542</v>
      </c>
      <c r="F1515" s="227"/>
      <c r="G1515" s="1" t="str">
        <f>IFERROR(IF(ventas_b_mes9[[#This Row],[CUIT]]="","-",VLOOKUP(ventas_b_mes9[[#This Row],[CUIT]],Lista_CUIT[#All],2,0)),"CUIT NO CARGADO")</f>
        <v>-</v>
      </c>
      <c r="H1515" s="60">
        <f>ventas_b_mes9[[#This Row],[TOTAL]]/1.21</f>
        <v>2148.7600000000002</v>
      </c>
      <c r="I1515" s="228">
        <f>ventas_b_mes9[[#This Row],[IMPORTE NETO]]*0.21</f>
        <v>451.23960000000005</v>
      </c>
      <c r="J1515" s="229"/>
      <c r="K1515" s="229"/>
      <c r="L1515" s="229">
        <v>2599.9996000000001</v>
      </c>
      <c r="M1515" s="55"/>
    </row>
    <row r="1516" spans="2:13" x14ac:dyDescent="0.3">
      <c r="B1516" s="223">
        <v>44921</v>
      </c>
      <c r="C1516" s="224">
        <v>6</v>
      </c>
      <c r="D1516" s="225">
        <v>10</v>
      </c>
      <c r="E1516" s="226">
        <v>44543</v>
      </c>
      <c r="F1516" s="227"/>
      <c r="G1516" s="1" t="str">
        <f>IFERROR(IF(ventas_b_mes9[[#This Row],[CUIT]]="","-",VLOOKUP(ventas_b_mes9[[#This Row],[CUIT]],Lista_CUIT[#All],2,0)),"CUIT NO CARGADO")</f>
        <v>-</v>
      </c>
      <c r="H1516" s="60">
        <f>ventas_b_mes9[[#This Row],[TOTAL]]/1.21</f>
        <v>2023.14</v>
      </c>
      <c r="I1516" s="228">
        <f>ventas_b_mes9[[#This Row],[IMPORTE NETO]]*0.21</f>
        <v>424.85939999999999</v>
      </c>
      <c r="J1516" s="229"/>
      <c r="K1516" s="229"/>
      <c r="L1516" s="229">
        <v>2447.9994000000002</v>
      </c>
      <c r="M1516" s="55"/>
    </row>
    <row r="1517" spans="2:13" x14ac:dyDescent="0.3">
      <c r="B1517" s="223">
        <v>44921</v>
      </c>
      <c r="C1517" s="224">
        <v>6</v>
      </c>
      <c r="D1517" s="225">
        <v>10</v>
      </c>
      <c r="E1517" s="226">
        <v>44544</v>
      </c>
      <c r="F1517" s="227"/>
      <c r="G1517" s="1" t="str">
        <f>IFERROR(IF(ventas_b_mes9[[#This Row],[CUIT]]="","-",VLOOKUP(ventas_b_mes9[[#This Row],[CUIT]],Lista_CUIT[#All],2,0)),"CUIT NO CARGADO")</f>
        <v>-</v>
      </c>
      <c r="H1517" s="60">
        <f>ventas_b_mes9[[#This Row],[TOTAL]]/1.21</f>
        <v>6344.63</v>
      </c>
      <c r="I1517" s="228">
        <f>ventas_b_mes9[[#This Row],[IMPORTE NETO]]*0.21</f>
        <v>1332.3723</v>
      </c>
      <c r="J1517" s="229"/>
      <c r="K1517" s="229"/>
      <c r="L1517" s="229">
        <v>7677.0023000000001</v>
      </c>
      <c r="M1517" s="55"/>
    </row>
    <row r="1518" spans="2:13" x14ac:dyDescent="0.3">
      <c r="B1518" s="223">
        <v>44921</v>
      </c>
      <c r="C1518" s="224">
        <v>6</v>
      </c>
      <c r="D1518" s="225">
        <v>10</v>
      </c>
      <c r="E1518" s="226">
        <v>44545</v>
      </c>
      <c r="F1518" s="227"/>
      <c r="G1518" s="1" t="str">
        <f>IFERROR(IF(ventas_b_mes9[[#This Row],[CUIT]]="","-",VLOOKUP(ventas_b_mes9[[#This Row],[CUIT]],Lista_CUIT[#All],2,0)),"CUIT NO CARGADO")</f>
        <v>-</v>
      </c>
      <c r="H1518" s="60">
        <f>ventas_b_mes9[[#This Row],[TOTAL]]/1.21</f>
        <v>4886.78</v>
      </c>
      <c r="I1518" s="228">
        <f>ventas_b_mes9[[#This Row],[IMPORTE NETO]]*0.21</f>
        <v>1026.2238</v>
      </c>
      <c r="J1518" s="229"/>
      <c r="K1518" s="229"/>
      <c r="L1518" s="229">
        <v>5913.0037999999995</v>
      </c>
      <c r="M1518" s="55"/>
    </row>
    <row r="1519" spans="2:13" x14ac:dyDescent="0.3">
      <c r="B1519" s="223">
        <v>44921</v>
      </c>
      <c r="C1519" s="224">
        <v>6</v>
      </c>
      <c r="D1519" s="225">
        <v>10</v>
      </c>
      <c r="E1519" s="226">
        <v>44546</v>
      </c>
      <c r="F1519" s="227"/>
      <c r="G1519" s="1" t="str">
        <f>IFERROR(IF(ventas_b_mes9[[#This Row],[CUIT]]="","-",VLOOKUP(ventas_b_mes9[[#This Row],[CUIT]],Lista_CUIT[#All],2,0)),"CUIT NO CARGADO")</f>
        <v>-</v>
      </c>
      <c r="H1519" s="60">
        <f>ventas_b_mes9[[#This Row],[TOTAL]]/1.21</f>
        <v>4410.74</v>
      </c>
      <c r="I1519" s="228">
        <f>ventas_b_mes9[[#This Row],[IMPORTE NETO]]*0.21</f>
        <v>926.2553999999999</v>
      </c>
      <c r="J1519" s="229"/>
      <c r="K1519" s="229"/>
      <c r="L1519" s="229">
        <v>5336.9953999999998</v>
      </c>
      <c r="M1519" s="55"/>
    </row>
    <row r="1520" spans="2:13" x14ac:dyDescent="0.3">
      <c r="B1520" s="223">
        <v>44921</v>
      </c>
      <c r="C1520" s="224">
        <v>6</v>
      </c>
      <c r="D1520" s="225">
        <v>10</v>
      </c>
      <c r="E1520" s="226">
        <v>44547</v>
      </c>
      <c r="F1520" s="227"/>
      <c r="G1520" s="1" t="str">
        <f>IFERROR(IF(ventas_b_mes9[[#This Row],[CUIT]]="","-",VLOOKUP(ventas_b_mes9[[#This Row],[CUIT]],Lista_CUIT[#All],2,0)),"CUIT NO CARGADO")</f>
        <v>-</v>
      </c>
      <c r="H1520" s="60">
        <f>ventas_b_mes9[[#This Row],[TOTAL]]/1.21</f>
        <v>1011.57</v>
      </c>
      <c r="I1520" s="228">
        <f>ventas_b_mes9[[#This Row],[IMPORTE NETO]]*0.21</f>
        <v>212.4297</v>
      </c>
      <c r="J1520" s="229"/>
      <c r="K1520" s="229"/>
      <c r="L1520" s="229">
        <v>1223.9997000000001</v>
      </c>
      <c r="M1520" s="55"/>
    </row>
    <row r="1521" spans="2:13" x14ac:dyDescent="0.3">
      <c r="B1521" s="223">
        <v>44921</v>
      </c>
      <c r="C1521" s="224">
        <v>6</v>
      </c>
      <c r="D1521" s="225">
        <v>12</v>
      </c>
      <c r="E1521" s="226">
        <v>23127</v>
      </c>
      <c r="F1521" s="227"/>
      <c r="G1521" s="1" t="str">
        <f>IFERROR(IF(ventas_b_mes9[[#This Row],[CUIT]]="","-",VLOOKUP(ventas_b_mes9[[#This Row],[CUIT]],Lista_CUIT[#All],2,0)),"CUIT NO CARGADO")</f>
        <v>-</v>
      </c>
      <c r="H1521" s="60">
        <f>ventas_b_mes9[[#This Row],[TOTAL]]/1.21</f>
        <v>7460.32</v>
      </c>
      <c r="I1521" s="228">
        <f>ventas_b_mes9[[#This Row],[IMPORTE NETO]]*0.21</f>
        <v>1566.6671999999999</v>
      </c>
      <c r="J1521" s="229"/>
      <c r="K1521" s="229"/>
      <c r="L1521" s="229">
        <v>9026.9871999999996</v>
      </c>
      <c r="M1521" s="55"/>
    </row>
    <row r="1522" spans="2:13" x14ac:dyDescent="0.3">
      <c r="B1522" s="223">
        <v>44921</v>
      </c>
      <c r="C1522" s="224">
        <v>6</v>
      </c>
      <c r="D1522" s="225">
        <v>12</v>
      </c>
      <c r="E1522" s="226">
        <v>23128</v>
      </c>
      <c r="F1522" s="227"/>
      <c r="G1522" s="1" t="str">
        <f>IFERROR(IF(ventas_b_mes9[[#This Row],[CUIT]]="","-",VLOOKUP(ventas_b_mes9[[#This Row],[CUIT]],Lista_CUIT[#All],2,0)),"CUIT NO CARGADO")</f>
        <v>-</v>
      </c>
      <c r="H1522" s="60">
        <f>ventas_b_mes9[[#This Row],[TOTAL]]/1.21</f>
        <v>4909.09</v>
      </c>
      <c r="I1522" s="228">
        <f>ventas_b_mes9[[#This Row],[IMPORTE NETO]]*0.21</f>
        <v>1030.9088999999999</v>
      </c>
      <c r="J1522" s="229"/>
      <c r="K1522" s="229"/>
      <c r="L1522" s="229">
        <v>5939.9989000000005</v>
      </c>
      <c r="M1522" s="55"/>
    </row>
    <row r="1523" spans="2:13" x14ac:dyDescent="0.3">
      <c r="B1523" s="223">
        <v>44921</v>
      </c>
      <c r="C1523" s="224">
        <v>6</v>
      </c>
      <c r="D1523" s="225">
        <v>12</v>
      </c>
      <c r="E1523" s="226">
        <v>23129</v>
      </c>
      <c r="F1523" s="227"/>
      <c r="G1523" s="1" t="str">
        <f>IFERROR(IF(ventas_b_mes9[[#This Row],[CUIT]]="","-",VLOOKUP(ventas_b_mes9[[#This Row],[CUIT]],Lista_CUIT[#All],2,0)),"CUIT NO CARGADO")</f>
        <v>-</v>
      </c>
      <c r="H1523" s="60">
        <f>ventas_b_mes9[[#This Row],[TOTAL]]/1.21</f>
        <v>4552.07</v>
      </c>
      <c r="I1523" s="228">
        <f>ventas_b_mes9[[#This Row],[IMPORTE NETO]]*0.21</f>
        <v>955.93469999999991</v>
      </c>
      <c r="J1523" s="229"/>
      <c r="K1523" s="229"/>
      <c r="L1523" s="229">
        <v>5508.0046999999995</v>
      </c>
      <c r="M1523" s="55"/>
    </row>
    <row r="1524" spans="2:13" x14ac:dyDescent="0.3">
      <c r="B1524" s="223">
        <v>44921</v>
      </c>
      <c r="C1524" s="224">
        <v>6</v>
      </c>
      <c r="D1524" s="225">
        <v>12</v>
      </c>
      <c r="E1524" s="226">
        <v>23130</v>
      </c>
      <c r="F1524" s="227"/>
      <c r="G1524" s="1" t="str">
        <f>IFERROR(IF(ventas_b_mes9[[#This Row],[CUIT]]="","-",VLOOKUP(ventas_b_mes9[[#This Row],[CUIT]],Lista_CUIT[#All],2,0)),"CUIT NO CARGADO")</f>
        <v>-</v>
      </c>
      <c r="H1524" s="60">
        <f>ventas_b_mes9[[#This Row],[TOTAL]]/1.21</f>
        <v>3862.8100000000004</v>
      </c>
      <c r="I1524" s="228">
        <f>ventas_b_mes9[[#This Row],[IMPORTE NETO]]*0.21</f>
        <v>811.19010000000003</v>
      </c>
      <c r="J1524" s="229"/>
      <c r="K1524" s="229"/>
      <c r="L1524" s="229">
        <v>4674.0001000000002</v>
      </c>
      <c r="M1524" s="55"/>
    </row>
    <row r="1525" spans="2:13" x14ac:dyDescent="0.3">
      <c r="B1525" s="223">
        <v>44921</v>
      </c>
      <c r="C1525" s="224">
        <v>6</v>
      </c>
      <c r="D1525" s="225">
        <v>12</v>
      </c>
      <c r="E1525" s="226">
        <v>23131</v>
      </c>
      <c r="F1525" s="227"/>
      <c r="G1525" s="1" t="str">
        <f>IFERROR(IF(ventas_b_mes9[[#This Row],[CUIT]]="","-",VLOOKUP(ventas_b_mes9[[#This Row],[CUIT]],Lista_CUIT[#All],2,0)),"CUIT NO CARGADO")</f>
        <v>-</v>
      </c>
      <c r="H1525" s="60">
        <f>ventas_b_mes9[[#This Row],[TOTAL]]/1.21</f>
        <v>7933.88</v>
      </c>
      <c r="I1525" s="228">
        <f>ventas_b_mes9[[#This Row],[IMPORTE NETO]]*0.21</f>
        <v>1666.1148000000001</v>
      </c>
      <c r="J1525" s="229"/>
      <c r="K1525" s="229"/>
      <c r="L1525" s="229">
        <v>9599.9948000000004</v>
      </c>
      <c r="M1525" s="55"/>
    </row>
    <row r="1526" spans="2:13" x14ac:dyDescent="0.3">
      <c r="B1526" s="223">
        <v>44921</v>
      </c>
      <c r="C1526" s="224">
        <v>6</v>
      </c>
      <c r="D1526" s="225">
        <v>12</v>
      </c>
      <c r="E1526" s="226">
        <v>23132</v>
      </c>
      <c r="F1526" s="227"/>
      <c r="G1526" s="1" t="str">
        <f>IFERROR(IF(ventas_b_mes9[[#This Row],[CUIT]]="","-",VLOOKUP(ventas_b_mes9[[#This Row],[CUIT]],Lista_CUIT[#All],2,0)),"CUIT NO CARGADO")</f>
        <v>-</v>
      </c>
      <c r="H1526" s="60">
        <f>ventas_b_mes9[[#This Row],[TOTAL]]/1.21</f>
        <v>11028.09</v>
      </c>
      <c r="I1526" s="228">
        <f>ventas_b_mes9[[#This Row],[IMPORTE NETO]]*0.21</f>
        <v>2315.8989000000001</v>
      </c>
      <c r="J1526" s="229"/>
      <c r="K1526" s="229"/>
      <c r="L1526" s="229">
        <v>13343.9889</v>
      </c>
      <c r="M1526" s="55"/>
    </row>
    <row r="1527" spans="2:13" x14ac:dyDescent="0.3">
      <c r="B1527" s="223">
        <v>44921</v>
      </c>
      <c r="C1527" s="224">
        <v>6</v>
      </c>
      <c r="D1527" s="225">
        <v>12</v>
      </c>
      <c r="E1527" s="226">
        <v>23133</v>
      </c>
      <c r="F1527" s="227"/>
      <c r="G1527" s="1" t="str">
        <f>IFERROR(IF(ventas_b_mes9[[#This Row],[CUIT]]="","-",VLOOKUP(ventas_b_mes9[[#This Row],[CUIT]],Lista_CUIT[#All],2,0)),"CUIT NO CARGADO")</f>
        <v>-</v>
      </c>
      <c r="H1527" s="60">
        <f>ventas_b_mes9[[#This Row],[TOTAL]]/1.21</f>
        <v>9628.09</v>
      </c>
      <c r="I1527" s="228">
        <f>ventas_b_mes9[[#This Row],[IMPORTE NETO]]*0.21</f>
        <v>2021.8988999999999</v>
      </c>
      <c r="J1527" s="229"/>
      <c r="K1527" s="229"/>
      <c r="L1527" s="229">
        <v>11649.9889</v>
      </c>
      <c r="M1527" s="55"/>
    </row>
    <row r="1528" spans="2:13" x14ac:dyDescent="0.3">
      <c r="B1528" s="223">
        <v>44921</v>
      </c>
      <c r="C1528" s="224">
        <v>6</v>
      </c>
      <c r="D1528" s="225">
        <v>12</v>
      </c>
      <c r="E1528" s="226">
        <v>23134</v>
      </c>
      <c r="F1528" s="227"/>
      <c r="G1528" s="1" t="str">
        <f>IFERROR(IF(ventas_b_mes9[[#This Row],[CUIT]]="","-",VLOOKUP(ventas_b_mes9[[#This Row],[CUIT]],Lista_CUIT[#All],2,0)),"CUIT NO CARGADO")</f>
        <v>-</v>
      </c>
      <c r="H1528" s="60">
        <f>ventas_b_mes9[[#This Row],[TOTAL]]/1.21</f>
        <v>3695.0300000000007</v>
      </c>
      <c r="I1528" s="228">
        <f>ventas_b_mes9[[#This Row],[IMPORTE NETO]]*0.21</f>
        <v>775.95630000000006</v>
      </c>
      <c r="J1528" s="229"/>
      <c r="K1528" s="229"/>
      <c r="L1528" s="229">
        <v>4470.9863000000005</v>
      </c>
      <c r="M1528" s="55"/>
    </row>
    <row r="1529" spans="2:13" x14ac:dyDescent="0.3">
      <c r="B1529" s="223">
        <v>44921</v>
      </c>
      <c r="C1529" s="224">
        <v>6</v>
      </c>
      <c r="D1529" s="225">
        <v>12</v>
      </c>
      <c r="E1529" s="226">
        <v>23135</v>
      </c>
      <c r="F1529" s="227"/>
      <c r="G1529" s="1" t="str">
        <f>IFERROR(IF(ventas_b_mes9[[#This Row],[CUIT]]="","-",VLOOKUP(ventas_b_mes9[[#This Row],[CUIT]],Lista_CUIT[#All],2,0)),"CUIT NO CARGADO")</f>
        <v>-</v>
      </c>
      <c r="H1529" s="60">
        <f>ventas_b_mes9[[#This Row],[TOTAL]]/1.21</f>
        <v>2008.27</v>
      </c>
      <c r="I1529" s="228">
        <f>ventas_b_mes9[[#This Row],[IMPORTE NETO]]*0.21</f>
        <v>421.73669999999998</v>
      </c>
      <c r="J1529" s="229"/>
      <c r="K1529" s="229"/>
      <c r="L1529" s="229">
        <v>2430.0066999999999</v>
      </c>
      <c r="M1529" s="55"/>
    </row>
    <row r="1530" spans="2:13" x14ac:dyDescent="0.3">
      <c r="B1530" s="223">
        <v>44921</v>
      </c>
      <c r="C1530" s="224">
        <v>6</v>
      </c>
      <c r="D1530" s="225">
        <v>12</v>
      </c>
      <c r="E1530" s="226">
        <v>23136</v>
      </c>
      <c r="F1530" s="227"/>
      <c r="G1530" s="1" t="str">
        <f>IFERROR(IF(ventas_b_mes9[[#This Row],[CUIT]]="","-",VLOOKUP(ventas_b_mes9[[#This Row],[CUIT]],Lista_CUIT[#All],2,0)),"CUIT NO CARGADO")</f>
        <v>-</v>
      </c>
      <c r="H1530" s="60">
        <f>ventas_b_mes9[[#This Row],[TOTAL]]/1.21</f>
        <v>3927.27</v>
      </c>
      <c r="I1530" s="228">
        <f>ventas_b_mes9[[#This Row],[IMPORTE NETO]]*0.21</f>
        <v>824.72669999999994</v>
      </c>
      <c r="J1530" s="229"/>
      <c r="K1530" s="229"/>
      <c r="L1530" s="229">
        <v>4751.9966999999997</v>
      </c>
      <c r="M1530" s="55"/>
    </row>
    <row r="1531" spans="2:13" x14ac:dyDescent="0.3">
      <c r="B1531" s="223">
        <v>44921</v>
      </c>
      <c r="C1531" s="224">
        <v>6</v>
      </c>
      <c r="D1531" s="225">
        <v>12</v>
      </c>
      <c r="E1531" s="226">
        <v>23137</v>
      </c>
      <c r="F1531" s="227"/>
      <c r="G1531" s="1" t="str">
        <f>IFERROR(IF(ventas_b_mes9[[#This Row],[CUIT]]="","-",VLOOKUP(ventas_b_mes9[[#This Row],[CUIT]],Lista_CUIT[#All],2,0)),"CUIT NO CARGADO")</f>
        <v>-</v>
      </c>
      <c r="H1531" s="60">
        <f>ventas_b_mes9[[#This Row],[TOTAL]]/1.21</f>
        <v>3528.1000000000004</v>
      </c>
      <c r="I1531" s="228">
        <f>ventas_b_mes9[[#This Row],[IMPORTE NETO]]*0.21</f>
        <v>740.90100000000007</v>
      </c>
      <c r="J1531" s="229"/>
      <c r="K1531" s="229"/>
      <c r="L1531" s="229">
        <v>4269.0010000000002</v>
      </c>
      <c r="M1531" s="55"/>
    </row>
    <row r="1532" spans="2:13" x14ac:dyDescent="0.3">
      <c r="B1532" s="223">
        <v>44921</v>
      </c>
      <c r="C1532" s="224">
        <v>6</v>
      </c>
      <c r="D1532" s="225">
        <v>12</v>
      </c>
      <c r="E1532" s="226">
        <v>23138</v>
      </c>
      <c r="F1532" s="227"/>
      <c r="G1532" s="1" t="str">
        <f>IFERROR(IF(ventas_b_mes9[[#This Row],[CUIT]]="","-",VLOOKUP(ventas_b_mes9[[#This Row],[CUIT]],Lista_CUIT[#All],2,0)),"CUIT NO CARGADO")</f>
        <v>-</v>
      </c>
      <c r="H1532" s="60">
        <f>ventas_b_mes9[[#This Row],[TOTAL]]/1.21</f>
        <v>4214.88</v>
      </c>
      <c r="I1532" s="228">
        <f>ventas_b_mes9[[#This Row],[IMPORTE NETO]]*0.21</f>
        <v>885.12479999999994</v>
      </c>
      <c r="J1532" s="229"/>
      <c r="K1532" s="229"/>
      <c r="L1532" s="229">
        <v>5100.0047999999997</v>
      </c>
      <c r="M1532" s="55"/>
    </row>
    <row r="1533" spans="2:13" x14ac:dyDescent="0.3">
      <c r="B1533" s="223">
        <v>44921</v>
      </c>
      <c r="C1533" s="224">
        <v>6</v>
      </c>
      <c r="D1533" s="225">
        <v>12</v>
      </c>
      <c r="E1533" s="226">
        <v>23139</v>
      </c>
      <c r="F1533" s="227"/>
      <c r="G1533" s="1" t="str">
        <f>IFERROR(IF(ventas_b_mes9[[#This Row],[CUIT]]="","-",VLOOKUP(ventas_b_mes9[[#This Row],[CUIT]],Lista_CUIT[#All],2,0)),"CUIT NO CARGADO")</f>
        <v>-</v>
      </c>
      <c r="H1533" s="60">
        <f>ventas_b_mes9[[#This Row],[TOTAL]]/1.21</f>
        <v>1770.26</v>
      </c>
      <c r="I1533" s="228">
        <f>ventas_b_mes9[[#This Row],[IMPORTE NETO]]*0.21</f>
        <v>371.75459999999998</v>
      </c>
      <c r="J1533" s="229"/>
      <c r="K1533" s="229"/>
      <c r="L1533" s="229">
        <v>2142.0146</v>
      </c>
      <c r="M1533" s="55"/>
    </row>
    <row r="1534" spans="2:13" x14ac:dyDescent="0.3">
      <c r="B1534" s="223">
        <v>44921</v>
      </c>
      <c r="C1534" s="224">
        <v>6</v>
      </c>
      <c r="D1534" s="225">
        <v>12</v>
      </c>
      <c r="E1534" s="226">
        <v>23140</v>
      </c>
      <c r="F1534" s="227"/>
      <c r="G1534" s="1" t="str">
        <f>IFERROR(IF(ventas_b_mes9[[#This Row],[CUIT]]="","-",VLOOKUP(ventas_b_mes9[[#This Row],[CUIT]],Lista_CUIT[#All],2,0)),"CUIT NO CARGADO")</f>
        <v>-</v>
      </c>
      <c r="H1534" s="60">
        <f>ventas_b_mes9[[#This Row],[TOTAL]]/1.21</f>
        <v>5861.16</v>
      </c>
      <c r="I1534" s="228">
        <f>ventas_b_mes9[[#This Row],[IMPORTE NETO]]*0.21</f>
        <v>1230.8435999999999</v>
      </c>
      <c r="J1534" s="229"/>
      <c r="K1534" s="229"/>
      <c r="L1534" s="229">
        <v>7092.0036</v>
      </c>
      <c r="M1534" s="55"/>
    </row>
    <row r="1535" spans="2:13" x14ac:dyDescent="0.3">
      <c r="B1535" s="223">
        <v>44921</v>
      </c>
      <c r="C1535" s="224">
        <v>6</v>
      </c>
      <c r="D1535" s="225">
        <v>12</v>
      </c>
      <c r="E1535" s="226">
        <v>23141</v>
      </c>
      <c r="F1535" s="227"/>
      <c r="G1535" s="1" t="str">
        <f>IFERROR(IF(ventas_b_mes9[[#This Row],[CUIT]]="","-",VLOOKUP(ventas_b_mes9[[#This Row],[CUIT]],Lista_CUIT[#All],2,0)),"CUIT NO CARGADO")</f>
        <v>-</v>
      </c>
      <c r="H1535" s="60">
        <f>ventas_b_mes9[[#This Row],[TOTAL]]/1.21</f>
        <v>8516.5499999999993</v>
      </c>
      <c r="I1535" s="228">
        <f>ventas_b_mes9[[#This Row],[IMPORTE NETO]]*0.21</f>
        <v>1788.4754999999998</v>
      </c>
      <c r="J1535" s="229"/>
      <c r="K1535" s="229"/>
      <c r="L1535" s="229">
        <v>10305.0255</v>
      </c>
      <c r="M1535" s="55"/>
    </row>
    <row r="1536" spans="2:13" x14ac:dyDescent="0.3">
      <c r="B1536" s="223">
        <v>44921</v>
      </c>
      <c r="C1536" s="224">
        <v>6</v>
      </c>
      <c r="D1536" s="225">
        <v>12</v>
      </c>
      <c r="E1536" s="226">
        <v>23142</v>
      </c>
      <c r="F1536" s="227"/>
      <c r="G1536" s="1" t="str">
        <f>IFERROR(IF(ventas_b_mes9[[#This Row],[CUIT]]="","-",VLOOKUP(ventas_b_mes9[[#This Row],[CUIT]],Lista_CUIT[#All],2,0)),"CUIT NO CARGADO")</f>
        <v>-</v>
      </c>
      <c r="H1536" s="60">
        <f>ventas_b_mes9[[#This Row],[TOTAL]]/1.21</f>
        <v>1309.0899999999999</v>
      </c>
      <c r="I1536" s="228">
        <f>ventas_b_mes9[[#This Row],[IMPORTE NETO]]*0.21</f>
        <v>274.90889999999996</v>
      </c>
      <c r="J1536" s="229"/>
      <c r="K1536" s="229"/>
      <c r="L1536" s="229">
        <v>1583.9988999999998</v>
      </c>
      <c r="M1536" s="55"/>
    </row>
    <row r="1537" spans="2:13" x14ac:dyDescent="0.3">
      <c r="B1537" s="223">
        <v>44922</v>
      </c>
      <c r="C1537" s="224">
        <v>6</v>
      </c>
      <c r="D1537" s="225">
        <v>13</v>
      </c>
      <c r="E1537" s="226">
        <v>27191</v>
      </c>
      <c r="F1537" s="227"/>
      <c r="G1537" s="1" t="str">
        <f>IFERROR(IF(ventas_b_mes9[[#This Row],[CUIT]]="","-",VLOOKUP(ventas_b_mes9[[#This Row],[CUIT]],Lista_CUIT[#All],2,0)),"CUIT NO CARGADO")</f>
        <v>-</v>
      </c>
      <c r="H1537" s="60">
        <f>ventas_b_mes9[[#This Row],[TOTAL]]/1.21</f>
        <v>6188.43</v>
      </c>
      <c r="I1537" s="228">
        <f>ventas_b_mes9[[#This Row],[IMPORTE NETO]]*0.21</f>
        <v>1299.5703000000001</v>
      </c>
      <c r="J1537" s="229"/>
      <c r="K1537" s="229"/>
      <c r="L1537" s="229">
        <v>7488.0003000000006</v>
      </c>
      <c r="M1537" s="55"/>
    </row>
    <row r="1538" spans="2:13" x14ac:dyDescent="0.3">
      <c r="B1538" s="223">
        <v>44922</v>
      </c>
      <c r="C1538" s="224">
        <v>6</v>
      </c>
      <c r="D1538" s="225">
        <v>13</v>
      </c>
      <c r="E1538" s="226">
        <v>27192</v>
      </c>
      <c r="F1538" s="227"/>
      <c r="G1538" s="1" t="str">
        <f>IFERROR(IF(ventas_b_mes9[[#This Row],[CUIT]]="","-",VLOOKUP(ventas_b_mes9[[#This Row],[CUIT]],Lista_CUIT[#All],2,0)),"CUIT NO CARGADO")</f>
        <v>-</v>
      </c>
      <c r="H1538" s="60">
        <f>ventas_b_mes9[[#This Row],[TOTAL]]/1.21</f>
        <v>18852.48</v>
      </c>
      <c r="I1538" s="228">
        <f>ventas_b_mes9[[#This Row],[IMPORTE NETO]]*0.21</f>
        <v>3959.0207999999998</v>
      </c>
      <c r="J1538" s="229"/>
      <c r="K1538" s="229"/>
      <c r="L1538" s="229">
        <v>22811.500799999998</v>
      </c>
      <c r="M1538" s="55"/>
    </row>
    <row r="1539" spans="2:13" x14ac:dyDescent="0.3">
      <c r="B1539" s="223">
        <v>44922</v>
      </c>
      <c r="C1539" s="224">
        <v>6</v>
      </c>
      <c r="D1539" s="225">
        <v>13</v>
      </c>
      <c r="E1539" s="226">
        <v>27193</v>
      </c>
      <c r="F1539" s="227"/>
      <c r="G1539" s="1" t="str">
        <f>IFERROR(IF(ventas_b_mes9[[#This Row],[CUIT]]="","-",VLOOKUP(ventas_b_mes9[[#This Row],[CUIT]],Lista_CUIT[#All],2,0)),"CUIT NO CARGADO")</f>
        <v>-</v>
      </c>
      <c r="H1539" s="60">
        <f>ventas_b_mes9[[#This Row],[TOTAL]]/1.21</f>
        <v>19081</v>
      </c>
      <c r="I1539" s="228">
        <f>ventas_b_mes9[[#This Row],[IMPORTE NETO]]*0.21</f>
        <v>4007.0099999999998</v>
      </c>
      <c r="J1539" s="229"/>
      <c r="K1539" s="229"/>
      <c r="L1539" s="229">
        <v>23088.01</v>
      </c>
      <c r="M1539" s="55"/>
    </row>
    <row r="1540" spans="2:13" x14ac:dyDescent="0.3">
      <c r="B1540" s="223">
        <v>44922</v>
      </c>
      <c r="C1540" s="224">
        <v>6</v>
      </c>
      <c r="D1540" s="225">
        <v>13</v>
      </c>
      <c r="E1540" s="226">
        <v>27194</v>
      </c>
      <c r="F1540" s="227"/>
      <c r="G1540" s="1" t="str">
        <f>IFERROR(IF(ventas_b_mes9[[#This Row],[CUIT]]="","-",VLOOKUP(ventas_b_mes9[[#This Row],[CUIT]],Lista_CUIT[#All],2,0)),"CUIT NO CARGADO")</f>
        <v>-</v>
      </c>
      <c r="H1540" s="60">
        <f>ventas_b_mes9[[#This Row],[TOTAL]]/1.21</f>
        <v>4132.2299999999996</v>
      </c>
      <c r="I1540" s="228">
        <f>ventas_b_mes9[[#This Row],[IMPORTE NETO]]*0.21</f>
        <v>867.76829999999984</v>
      </c>
      <c r="J1540" s="229"/>
      <c r="K1540" s="229"/>
      <c r="L1540" s="229">
        <v>4999.9982999999993</v>
      </c>
      <c r="M1540" s="55"/>
    </row>
    <row r="1541" spans="2:13" x14ac:dyDescent="0.3">
      <c r="B1541" s="223">
        <v>44922</v>
      </c>
      <c r="C1541" s="224">
        <v>6</v>
      </c>
      <c r="D1541" s="225">
        <v>13</v>
      </c>
      <c r="E1541" s="226">
        <v>27195</v>
      </c>
      <c r="F1541" s="227"/>
      <c r="G1541" s="1" t="str">
        <f>IFERROR(IF(ventas_b_mes9[[#This Row],[CUIT]]="","-",VLOOKUP(ventas_b_mes9[[#This Row],[CUIT]],Lista_CUIT[#All],2,0)),"CUIT NO CARGADO")</f>
        <v>-</v>
      </c>
      <c r="H1541" s="60">
        <f>ventas_b_mes9[[#This Row],[TOTAL]]/1.21</f>
        <v>23545.43</v>
      </c>
      <c r="I1541" s="228">
        <f>ventas_b_mes9[[#This Row],[IMPORTE NETO]]*0.21</f>
        <v>4944.5402999999997</v>
      </c>
      <c r="J1541" s="229"/>
      <c r="K1541" s="229"/>
      <c r="L1541" s="229">
        <v>28489.970300000001</v>
      </c>
      <c r="M1541" s="55"/>
    </row>
    <row r="1542" spans="2:13" x14ac:dyDescent="0.3">
      <c r="B1542" s="223">
        <v>44922</v>
      </c>
      <c r="C1542" s="224">
        <v>6</v>
      </c>
      <c r="D1542" s="225">
        <v>13</v>
      </c>
      <c r="E1542" s="226">
        <v>27196</v>
      </c>
      <c r="F1542" s="227"/>
      <c r="G1542" s="1" t="str">
        <f>IFERROR(IF(ventas_b_mes9[[#This Row],[CUIT]]="","-",VLOOKUP(ventas_b_mes9[[#This Row],[CUIT]],Lista_CUIT[#All],2,0)),"CUIT NO CARGADO")</f>
        <v>-</v>
      </c>
      <c r="H1542" s="60">
        <f>ventas_b_mes9[[#This Row],[TOTAL]]/1.21</f>
        <v>9337.2000000000007</v>
      </c>
      <c r="I1542" s="228">
        <f>ventas_b_mes9[[#This Row],[IMPORTE NETO]]*0.21</f>
        <v>1960.8120000000001</v>
      </c>
      <c r="J1542" s="229"/>
      <c r="K1542" s="229"/>
      <c r="L1542" s="229">
        <v>11298.012000000001</v>
      </c>
      <c r="M1542" s="55"/>
    </row>
    <row r="1543" spans="2:13" x14ac:dyDescent="0.3">
      <c r="B1543" s="223">
        <v>44922</v>
      </c>
      <c r="C1543" s="224">
        <v>6</v>
      </c>
      <c r="D1543" s="225">
        <v>13</v>
      </c>
      <c r="E1543" s="226">
        <v>27197</v>
      </c>
      <c r="F1543" s="227"/>
      <c r="G1543" s="1" t="str">
        <f>IFERROR(IF(ventas_b_mes9[[#This Row],[CUIT]]="","-",VLOOKUP(ventas_b_mes9[[#This Row],[CUIT]],Lista_CUIT[#All],2,0)),"CUIT NO CARGADO")</f>
        <v>-</v>
      </c>
      <c r="H1543" s="60">
        <f>ventas_b_mes9[[#This Row],[TOTAL]]/1.21</f>
        <v>3322.32</v>
      </c>
      <c r="I1543" s="228">
        <f>ventas_b_mes9[[#This Row],[IMPORTE NETO]]*0.21</f>
        <v>697.68719999999996</v>
      </c>
      <c r="J1543" s="229"/>
      <c r="K1543" s="229"/>
      <c r="L1543" s="229">
        <v>4020.0072</v>
      </c>
      <c r="M1543" s="55"/>
    </row>
    <row r="1544" spans="2:13" x14ac:dyDescent="0.3">
      <c r="B1544" s="223">
        <v>44922</v>
      </c>
      <c r="C1544" s="224">
        <v>6</v>
      </c>
      <c r="D1544" s="225">
        <v>13</v>
      </c>
      <c r="E1544" s="226">
        <v>27198</v>
      </c>
      <c r="F1544" s="227"/>
      <c r="G1544" s="1" t="str">
        <f>IFERROR(IF(ventas_b_mes9[[#This Row],[CUIT]]="","-",VLOOKUP(ventas_b_mes9[[#This Row],[CUIT]],Lista_CUIT[#All],2,0)),"CUIT NO CARGADO")</f>
        <v>-</v>
      </c>
      <c r="H1544" s="60">
        <f>ventas_b_mes9[[#This Row],[TOTAL]]/1.21</f>
        <v>6929.6499999999987</v>
      </c>
      <c r="I1544" s="228">
        <f>ventas_b_mes9[[#This Row],[IMPORTE NETO]]*0.21</f>
        <v>1455.2264999999998</v>
      </c>
      <c r="J1544" s="229"/>
      <c r="K1544" s="229"/>
      <c r="L1544" s="229">
        <v>8384.8764999999985</v>
      </c>
      <c r="M1544" s="55"/>
    </row>
    <row r="1545" spans="2:13" x14ac:dyDescent="0.3">
      <c r="B1545" s="223">
        <v>44922</v>
      </c>
      <c r="C1545" s="224">
        <v>6</v>
      </c>
      <c r="D1545" s="225">
        <v>13</v>
      </c>
      <c r="E1545" s="226">
        <v>27199</v>
      </c>
      <c r="F1545" s="227"/>
      <c r="G1545" s="1" t="str">
        <f>IFERROR(IF(ventas_b_mes9[[#This Row],[CUIT]]="","-",VLOOKUP(ventas_b_mes9[[#This Row],[CUIT]],Lista_CUIT[#All],2,0)),"CUIT NO CARGADO")</f>
        <v>-</v>
      </c>
      <c r="H1545" s="60">
        <f>ventas_b_mes9[[#This Row],[TOTAL]]/1.21</f>
        <v>2856.2</v>
      </c>
      <c r="I1545" s="228">
        <f>ventas_b_mes9[[#This Row],[IMPORTE NETO]]*0.21</f>
        <v>599.80199999999991</v>
      </c>
      <c r="J1545" s="229"/>
      <c r="K1545" s="229"/>
      <c r="L1545" s="229">
        <v>3456.0019999999995</v>
      </c>
      <c r="M1545" s="55"/>
    </row>
    <row r="1546" spans="2:13" x14ac:dyDescent="0.3">
      <c r="B1546" s="223">
        <v>44922</v>
      </c>
      <c r="C1546" s="224">
        <v>6</v>
      </c>
      <c r="D1546" s="225">
        <v>13</v>
      </c>
      <c r="E1546" s="226">
        <v>27200</v>
      </c>
      <c r="F1546" s="227"/>
      <c r="G1546" s="1" t="str">
        <f>IFERROR(IF(ventas_b_mes9[[#This Row],[CUIT]]="","-",VLOOKUP(ventas_b_mes9[[#This Row],[CUIT]],Lista_CUIT[#All],2,0)),"CUIT NO CARGADO")</f>
        <v>-</v>
      </c>
      <c r="H1546" s="60">
        <f>ventas_b_mes9[[#This Row],[TOTAL]]/1.21</f>
        <v>7299.17</v>
      </c>
      <c r="I1546" s="228">
        <f>ventas_b_mes9[[#This Row],[IMPORTE NETO]]*0.21</f>
        <v>1532.8256999999999</v>
      </c>
      <c r="J1546" s="229"/>
      <c r="K1546" s="229"/>
      <c r="L1546" s="229">
        <v>8831.9956999999995</v>
      </c>
      <c r="M1546" s="55"/>
    </row>
    <row r="1547" spans="2:13" x14ac:dyDescent="0.3">
      <c r="B1547" s="223">
        <v>44922</v>
      </c>
      <c r="C1547" s="224">
        <v>6</v>
      </c>
      <c r="D1547" s="225">
        <v>13</v>
      </c>
      <c r="E1547" s="226">
        <v>27201</v>
      </c>
      <c r="F1547" s="227"/>
      <c r="G1547" s="1" t="str">
        <f>IFERROR(IF(ventas_b_mes9[[#This Row],[CUIT]]="","-",VLOOKUP(ventas_b_mes9[[#This Row],[CUIT]],Lista_CUIT[#All],2,0)),"CUIT NO CARGADO")</f>
        <v>-</v>
      </c>
      <c r="H1547" s="60">
        <f>ventas_b_mes9[[#This Row],[TOTAL]]/1.21</f>
        <v>7512.4</v>
      </c>
      <c r="I1547" s="228">
        <f>ventas_b_mes9[[#This Row],[IMPORTE NETO]]*0.21</f>
        <v>1577.6039999999998</v>
      </c>
      <c r="J1547" s="229"/>
      <c r="K1547" s="229"/>
      <c r="L1547" s="229">
        <v>9090.003999999999</v>
      </c>
      <c r="M1547" s="55"/>
    </row>
    <row r="1548" spans="2:13" x14ac:dyDescent="0.3">
      <c r="B1548" s="223">
        <v>44922</v>
      </c>
      <c r="C1548" s="224">
        <v>6</v>
      </c>
      <c r="D1548" s="225">
        <v>11</v>
      </c>
      <c r="E1548" s="226">
        <v>30645</v>
      </c>
      <c r="F1548" s="227"/>
      <c r="G1548" s="1" t="str">
        <f>IFERROR(IF(ventas_b_mes9[[#This Row],[CUIT]]="","-",VLOOKUP(ventas_b_mes9[[#This Row],[CUIT]],Lista_CUIT[#All],2,0)),"CUIT NO CARGADO")</f>
        <v>-</v>
      </c>
      <c r="H1548" s="60">
        <f>ventas_b_mes9[[#This Row],[TOTAL]]/1.21</f>
        <v>2631.41</v>
      </c>
      <c r="I1548" s="228">
        <f>ventas_b_mes9[[#This Row],[IMPORTE NETO]]*0.21</f>
        <v>552.59609999999998</v>
      </c>
      <c r="J1548" s="229"/>
      <c r="K1548" s="229"/>
      <c r="L1548" s="229">
        <v>3184.0060999999996</v>
      </c>
      <c r="M1548" s="55"/>
    </row>
    <row r="1549" spans="2:13" x14ac:dyDescent="0.3">
      <c r="B1549" s="223">
        <v>44922</v>
      </c>
      <c r="C1549" s="224">
        <v>6</v>
      </c>
      <c r="D1549" s="225">
        <v>11</v>
      </c>
      <c r="E1549" s="226">
        <v>30646</v>
      </c>
      <c r="F1549" s="227"/>
      <c r="G1549" s="1" t="str">
        <f>IFERROR(IF(ventas_b_mes9[[#This Row],[CUIT]]="","-",VLOOKUP(ventas_b_mes9[[#This Row],[CUIT]],Lista_CUIT[#All],2,0)),"CUIT NO CARGADO")</f>
        <v>-</v>
      </c>
      <c r="H1549" s="60">
        <f>ventas_b_mes9[[#This Row],[TOTAL]]/1.21</f>
        <v>3109.08</v>
      </c>
      <c r="I1549" s="228">
        <f>ventas_b_mes9[[#This Row],[IMPORTE NETO]]*0.21</f>
        <v>652.90679999999998</v>
      </c>
      <c r="J1549" s="229"/>
      <c r="K1549" s="229"/>
      <c r="L1549" s="229">
        <v>3761.9867999999997</v>
      </c>
      <c r="M1549" s="55"/>
    </row>
    <row r="1550" spans="2:13" x14ac:dyDescent="0.3">
      <c r="B1550" s="223">
        <v>44922</v>
      </c>
      <c r="C1550" s="224">
        <v>6</v>
      </c>
      <c r="D1550" s="225">
        <v>11</v>
      </c>
      <c r="E1550" s="226">
        <v>30647</v>
      </c>
      <c r="F1550" s="227"/>
      <c r="G1550" s="1" t="str">
        <f>IFERROR(IF(ventas_b_mes9[[#This Row],[CUIT]]="","-",VLOOKUP(ventas_b_mes9[[#This Row],[CUIT]],Lista_CUIT[#All],2,0)),"CUIT NO CARGADO")</f>
        <v>-</v>
      </c>
      <c r="H1550" s="60">
        <f>ventas_b_mes9[[#This Row],[TOTAL]]/1.21</f>
        <v>5479.3500000000013</v>
      </c>
      <c r="I1550" s="228">
        <f>ventas_b_mes9[[#This Row],[IMPORTE NETO]]*0.21</f>
        <v>1150.6635000000001</v>
      </c>
      <c r="J1550" s="229"/>
      <c r="K1550" s="229"/>
      <c r="L1550" s="229">
        <v>6630.0135000000009</v>
      </c>
      <c r="M1550" s="55"/>
    </row>
    <row r="1551" spans="2:13" x14ac:dyDescent="0.3">
      <c r="B1551" s="223">
        <v>44922</v>
      </c>
      <c r="C1551" s="224">
        <v>6</v>
      </c>
      <c r="D1551" s="225">
        <v>11</v>
      </c>
      <c r="E1551" s="226">
        <v>30648</v>
      </c>
      <c r="F1551" s="227"/>
      <c r="G1551" s="1" t="str">
        <f>IFERROR(IF(ventas_b_mes9[[#This Row],[CUIT]]="","-",VLOOKUP(ventas_b_mes9[[#This Row],[CUIT]],Lista_CUIT[#All],2,0)),"CUIT NO CARGADO")</f>
        <v>-</v>
      </c>
      <c r="H1551" s="60">
        <f>ventas_b_mes9[[#This Row],[TOTAL]]/1.21</f>
        <v>2863.64</v>
      </c>
      <c r="I1551" s="228">
        <f>ventas_b_mes9[[#This Row],[IMPORTE NETO]]*0.21</f>
        <v>601.36439999999993</v>
      </c>
      <c r="J1551" s="229"/>
      <c r="K1551" s="229"/>
      <c r="L1551" s="229">
        <v>3465.0043999999998</v>
      </c>
      <c r="M1551" s="55"/>
    </row>
    <row r="1552" spans="2:13" x14ac:dyDescent="0.3">
      <c r="B1552" s="223">
        <v>44922</v>
      </c>
      <c r="C1552" s="224">
        <v>6</v>
      </c>
      <c r="D1552" s="225">
        <v>11</v>
      </c>
      <c r="E1552" s="226">
        <v>30649</v>
      </c>
      <c r="F1552" s="227"/>
      <c r="G1552" s="1" t="str">
        <f>IFERROR(IF(ventas_b_mes9[[#This Row],[CUIT]]="","-",VLOOKUP(ventas_b_mes9[[#This Row],[CUIT]],Lista_CUIT[#All],2,0)),"CUIT NO CARGADO")</f>
        <v>-</v>
      </c>
      <c r="H1552" s="60">
        <f>ventas_b_mes9[[#This Row],[TOTAL]]/1.21</f>
        <v>2900.83</v>
      </c>
      <c r="I1552" s="228">
        <f>ventas_b_mes9[[#This Row],[IMPORTE NETO]]*0.21</f>
        <v>609.17430000000002</v>
      </c>
      <c r="J1552" s="229"/>
      <c r="K1552" s="229"/>
      <c r="L1552" s="229">
        <v>3510.0043000000001</v>
      </c>
      <c r="M1552" s="55"/>
    </row>
    <row r="1553" spans="2:13" x14ac:dyDescent="0.3">
      <c r="B1553" s="223">
        <v>44922</v>
      </c>
      <c r="C1553" s="224">
        <v>6</v>
      </c>
      <c r="D1553" s="225">
        <v>11</v>
      </c>
      <c r="E1553" s="226">
        <v>30650</v>
      </c>
      <c r="F1553" s="227"/>
      <c r="G1553" s="1" t="str">
        <f>IFERROR(IF(ventas_b_mes9[[#This Row],[CUIT]]="","-",VLOOKUP(ventas_b_mes9[[#This Row],[CUIT]],Lista_CUIT[#All],2,0)),"CUIT NO CARGADO")</f>
        <v>-</v>
      </c>
      <c r="H1553" s="60">
        <f>ventas_b_mes9[[#This Row],[TOTAL]]/1.21</f>
        <v>632.23</v>
      </c>
      <c r="I1553" s="228">
        <f>ventas_b_mes9[[#This Row],[IMPORTE NETO]]*0.21</f>
        <v>132.76830000000001</v>
      </c>
      <c r="J1553" s="229"/>
      <c r="K1553" s="229"/>
      <c r="L1553" s="229">
        <v>764.99829999999997</v>
      </c>
      <c r="M1553" s="55"/>
    </row>
    <row r="1554" spans="2:13" x14ac:dyDescent="0.3">
      <c r="B1554" s="223">
        <v>44922</v>
      </c>
      <c r="C1554" s="224">
        <v>6</v>
      </c>
      <c r="D1554" s="225">
        <v>11</v>
      </c>
      <c r="E1554" s="226">
        <v>30651</v>
      </c>
      <c r="F1554" s="227"/>
      <c r="G1554" s="1" t="str">
        <f>IFERROR(IF(ventas_b_mes9[[#This Row],[CUIT]]="","-",VLOOKUP(ventas_b_mes9[[#This Row],[CUIT]],Lista_CUIT[#All],2,0)),"CUIT NO CARGADO")</f>
        <v>-</v>
      </c>
      <c r="H1554" s="60">
        <f>ventas_b_mes9[[#This Row],[TOTAL]]/1.21</f>
        <v>8429.76</v>
      </c>
      <c r="I1554" s="228">
        <f>ventas_b_mes9[[#This Row],[IMPORTE NETO]]*0.21</f>
        <v>1770.2495999999999</v>
      </c>
      <c r="J1554" s="229"/>
      <c r="K1554" s="229"/>
      <c r="L1554" s="229">
        <v>10200.009599999999</v>
      </c>
      <c r="M1554" s="55"/>
    </row>
    <row r="1555" spans="2:13" x14ac:dyDescent="0.3">
      <c r="B1555" s="223">
        <v>44922</v>
      </c>
      <c r="C1555" s="224">
        <v>6</v>
      </c>
      <c r="D1555" s="225">
        <v>15</v>
      </c>
      <c r="E1555" s="226">
        <v>7529</v>
      </c>
      <c r="F1555" s="227"/>
      <c r="G1555" s="1" t="str">
        <f>IFERROR(IF(ventas_b_mes9[[#This Row],[CUIT]]="","-",VLOOKUP(ventas_b_mes9[[#This Row],[CUIT]],Lista_CUIT[#All],2,0)),"CUIT NO CARGADO")</f>
        <v>-</v>
      </c>
      <c r="H1555" s="60">
        <f>ventas_b_mes9[[#This Row],[TOTAL]]/1.21</f>
        <v>8066.9500000000007</v>
      </c>
      <c r="I1555" s="228">
        <f>ventas_b_mes9[[#This Row],[IMPORTE NETO]]*0.21</f>
        <v>1694.0595000000001</v>
      </c>
      <c r="J1555" s="229"/>
      <c r="K1555" s="229"/>
      <c r="L1555" s="229">
        <v>9761.0095000000001</v>
      </c>
      <c r="M1555" s="55"/>
    </row>
    <row r="1556" spans="2:13" x14ac:dyDescent="0.3">
      <c r="B1556" s="223">
        <v>44922</v>
      </c>
      <c r="C1556" s="224">
        <v>6</v>
      </c>
      <c r="D1556" s="225">
        <v>15</v>
      </c>
      <c r="E1556" s="226">
        <v>7530</v>
      </c>
      <c r="F1556" s="227">
        <v>23787603</v>
      </c>
      <c r="G1556" s="1" t="str">
        <f>IFERROR(IF(ventas_b_mes9[[#This Row],[CUIT]]="","-",VLOOKUP(ventas_b_mes9[[#This Row],[CUIT]],Lista_CUIT[#All],2,0)),"CUIT NO CARGADO")</f>
        <v>VOLPI, VALERIA</v>
      </c>
      <c r="H1556" s="60">
        <f>ventas_b_mes9[[#This Row],[TOTAL]]/1.21</f>
        <v>11312.4</v>
      </c>
      <c r="I1556" s="228">
        <f>ventas_b_mes9[[#This Row],[IMPORTE NETO]]*0.21</f>
        <v>2375.6039999999998</v>
      </c>
      <c r="J1556" s="229"/>
      <c r="K1556" s="229"/>
      <c r="L1556" s="229">
        <v>13688.003999999999</v>
      </c>
      <c r="M1556" s="55"/>
    </row>
    <row r="1557" spans="2:13" x14ac:dyDescent="0.3">
      <c r="B1557" s="223">
        <v>44922</v>
      </c>
      <c r="C1557" s="224">
        <v>6</v>
      </c>
      <c r="D1557" s="225">
        <v>15</v>
      </c>
      <c r="E1557" s="226">
        <v>7531</v>
      </c>
      <c r="F1557" s="227"/>
      <c r="G1557" s="1" t="str">
        <f>IFERROR(IF(ventas_b_mes9[[#This Row],[CUIT]]="","-",VLOOKUP(ventas_b_mes9[[#This Row],[CUIT]],Lista_CUIT[#All],2,0)),"CUIT NO CARGADO")</f>
        <v>-</v>
      </c>
      <c r="H1557" s="60">
        <f>ventas_b_mes9[[#This Row],[TOTAL]]/1.21</f>
        <v>1983.47</v>
      </c>
      <c r="I1557" s="228">
        <f>ventas_b_mes9[[#This Row],[IMPORTE NETO]]*0.21</f>
        <v>416.52870000000001</v>
      </c>
      <c r="J1557" s="229"/>
      <c r="K1557" s="229"/>
      <c r="L1557" s="229">
        <v>2399.9987000000001</v>
      </c>
      <c r="M1557" s="55"/>
    </row>
    <row r="1558" spans="2:13" x14ac:dyDescent="0.3">
      <c r="B1558" s="223">
        <v>44922</v>
      </c>
      <c r="C1558" s="224">
        <v>6</v>
      </c>
      <c r="D1558" s="225">
        <v>15</v>
      </c>
      <c r="E1558" s="226">
        <v>7532</v>
      </c>
      <c r="F1558" s="227">
        <v>42043394</v>
      </c>
      <c r="G1558" s="1" t="str">
        <f>IFERROR(IF(ventas_b_mes9[[#This Row],[CUIT]]="","-",VLOOKUP(ventas_b_mes9[[#This Row],[CUIT]],Lista_CUIT[#All],2,0)),"CUIT NO CARGADO")</f>
        <v>MORENO PICARDO, SOFIA (alumna)</v>
      </c>
      <c r="H1558" s="60">
        <f>ventas_b_mes9[[#This Row],[TOTAL]]/1.21</f>
        <v>2062.81</v>
      </c>
      <c r="I1558" s="228">
        <f>ventas_b_mes9[[#This Row],[IMPORTE NETO]]*0.21</f>
        <v>433.19009999999997</v>
      </c>
      <c r="J1558" s="229"/>
      <c r="K1558" s="229"/>
      <c r="L1558" s="229">
        <v>2496.0000999999997</v>
      </c>
      <c r="M1558" s="55"/>
    </row>
    <row r="1559" spans="2:13" x14ac:dyDescent="0.3">
      <c r="B1559" s="223">
        <v>44922</v>
      </c>
      <c r="C1559" s="224">
        <v>6</v>
      </c>
      <c r="D1559" s="225">
        <v>15</v>
      </c>
      <c r="E1559" s="226">
        <v>7533</v>
      </c>
      <c r="F1559" s="227">
        <v>42043394</v>
      </c>
      <c r="G1559" s="1" t="str">
        <f>IFERROR(IF(ventas_b_mes9[[#This Row],[CUIT]]="","-",VLOOKUP(ventas_b_mes9[[#This Row],[CUIT]],Lista_CUIT[#All],2,0)),"CUIT NO CARGADO")</f>
        <v>MORENO PICARDO, SOFIA (alumna)</v>
      </c>
      <c r="H1559" s="60">
        <f>ventas_b_mes9[[#This Row],[TOTAL]]/1.21</f>
        <v>4958.68</v>
      </c>
      <c r="I1559" s="228">
        <f>ventas_b_mes9[[#This Row],[IMPORTE NETO]]*0.21</f>
        <v>1041.3227999999999</v>
      </c>
      <c r="J1559" s="229"/>
      <c r="K1559" s="229"/>
      <c r="L1559" s="229">
        <v>6000.0028000000002</v>
      </c>
      <c r="M1559" s="55"/>
    </row>
    <row r="1560" spans="2:13" x14ac:dyDescent="0.3">
      <c r="B1560" s="223">
        <v>44922</v>
      </c>
      <c r="C1560" s="224">
        <v>6</v>
      </c>
      <c r="D1560" s="225">
        <v>15</v>
      </c>
      <c r="E1560" s="226">
        <v>7534</v>
      </c>
      <c r="F1560" s="227"/>
      <c r="G1560" s="1" t="str">
        <f>IFERROR(IF(ventas_b_mes9[[#This Row],[CUIT]]="","-",VLOOKUP(ventas_b_mes9[[#This Row],[CUIT]],Lista_CUIT[#All],2,0)),"CUIT NO CARGADO")</f>
        <v>-</v>
      </c>
      <c r="H1560" s="60">
        <f>ventas_b_mes9[[#This Row],[TOTAL]]/1.21</f>
        <v>5771.89</v>
      </c>
      <c r="I1560" s="228">
        <f>ventas_b_mes9[[#This Row],[IMPORTE NETO]]*0.21</f>
        <v>1212.0969</v>
      </c>
      <c r="J1560" s="229"/>
      <c r="K1560" s="229"/>
      <c r="L1560" s="229">
        <v>6983.9868999999999</v>
      </c>
      <c r="M1560" s="55"/>
    </row>
    <row r="1561" spans="2:13" x14ac:dyDescent="0.3">
      <c r="B1561" s="223">
        <v>44922</v>
      </c>
      <c r="C1561" s="224">
        <v>6</v>
      </c>
      <c r="D1561" s="225">
        <v>15</v>
      </c>
      <c r="E1561" s="226">
        <v>7535</v>
      </c>
      <c r="F1561" s="227">
        <v>28951546</v>
      </c>
      <c r="G1561" s="1" t="str">
        <f>IFERROR(IF(ventas_b_mes9[[#This Row],[CUIT]]="","-",VLOOKUP(ventas_b_mes9[[#This Row],[CUIT]],Lista_CUIT[#All],2,0)),"CUIT NO CARGADO")</f>
        <v>SUAREZ, LAURA VERONICA</v>
      </c>
      <c r="H1561" s="60">
        <f>ventas_b_mes9[[#This Row],[TOTAL]]/1.21</f>
        <v>7021.49</v>
      </c>
      <c r="I1561" s="228">
        <f>ventas_b_mes9[[#This Row],[IMPORTE NETO]]*0.21</f>
        <v>1474.5128999999999</v>
      </c>
      <c r="J1561" s="229"/>
      <c r="K1561" s="229"/>
      <c r="L1561" s="229">
        <v>8496.0028999999995</v>
      </c>
      <c r="M1561" s="55"/>
    </row>
    <row r="1562" spans="2:13" x14ac:dyDescent="0.3">
      <c r="B1562" s="223">
        <v>44922</v>
      </c>
      <c r="C1562" s="224">
        <v>6</v>
      </c>
      <c r="D1562" s="225">
        <v>15</v>
      </c>
      <c r="E1562" s="226">
        <v>7536</v>
      </c>
      <c r="F1562" s="227">
        <v>28951546</v>
      </c>
      <c r="G1562" s="1" t="str">
        <f>IFERROR(IF(ventas_b_mes9[[#This Row],[CUIT]]="","-",VLOOKUP(ventas_b_mes9[[#This Row],[CUIT]],Lista_CUIT[#All],2,0)),"CUIT NO CARGADO")</f>
        <v>SUAREZ, LAURA VERONICA</v>
      </c>
      <c r="H1562" s="60">
        <f>ventas_b_mes9[[#This Row],[TOTAL]]/1.21</f>
        <v>1190.08</v>
      </c>
      <c r="I1562" s="228">
        <f>ventas_b_mes9[[#This Row],[IMPORTE NETO]]*0.21</f>
        <v>249.91679999999997</v>
      </c>
      <c r="J1562" s="229"/>
      <c r="K1562" s="229"/>
      <c r="L1562" s="229">
        <v>1439.9967999999999</v>
      </c>
      <c r="M1562" s="55"/>
    </row>
    <row r="1563" spans="2:13" x14ac:dyDescent="0.3">
      <c r="B1563" s="223">
        <v>44922</v>
      </c>
      <c r="C1563" s="224">
        <v>6</v>
      </c>
      <c r="D1563" s="225">
        <v>15</v>
      </c>
      <c r="E1563" s="226">
        <v>7537</v>
      </c>
      <c r="F1563" s="227">
        <v>36291697</v>
      </c>
      <c r="G1563" s="1" t="str">
        <f>IFERROR(IF(ventas_b_mes9[[#This Row],[CUIT]]="","-",VLOOKUP(ventas_b_mes9[[#This Row],[CUIT]],Lista_CUIT[#All],2,0)),"CUIT NO CARGADO")</f>
        <v>CHIARITO, JESSICA DANIELA (ALUMNA)</v>
      </c>
      <c r="H1563" s="60">
        <f>ventas_b_mes9[[#This Row],[TOTAL]]/1.21</f>
        <v>4826.9799999999996</v>
      </c>
      <c r="I1563" s="228">
        <f>ventas_b_mes9[[#This Row],[IMPORTE NETO]]*0.21</f>
        <v>1013.6657999999999</v>
      </c>
      <c r="J1563" s="229"/>
      <c r="K1563" s="229"/>
      <c r="L1563" s="229">
        <v>5840.6457999999993</v>
      </c>
      <c r="M1563" s="55"/>
    </row>
    <row r="1564" spans="2:13" x14ac:dyDescent="0.3">
      <c r="B1564" s="223">
        <v>44922</v>
      </c>
      <c r="C1564" s="224">
        <v>6</v>
      </c>
      <c r="D1564" s="225">
        <v>15</v>
      </c>
      <c r="E1564" s="226">
        <v>7538</v>
      </c>
      <c r="F1564" s="227"/>
      <c r="G1564" s="1" t="str">
        <f>IFERROR(IF(ventas_b_mes9[[#This Row],[CUIT]]="","-",VLOOKUP(ventas_b_mes9[[#This Row],[CUIT]],Lista_CUIT[#All],2,0)),"CUIT NO CARGADO")</f>
        <v>-</v>
      </c>
      <c r="H1564" s="60">
        <f>ventas_b_mes9[[#This Row],[TOTAL]]/1.21</f>
        <v>2016.53</v>
      </c>
      <c r="I1564" s="228">
        <f>ventas_b_mes9[[#This Row],[IMPORTE NETO]]*0.21</f>
        <v>423.47129999999999</v>
      </c>
      <c r="J1564" s="229"/>
      <c r="K1564" s="229"/>
      <c r="L1564" s="229">
        <v>2440.0012999999999</v>
      </c>
      <c r="M1564" s="55"/>
    </row>
    <row r="1565" spans="2:13" x14ac:dyDescent="0.3">
      <c r="B1565" s="223">
        <v>44922</v>
      </c>
      <c r="C1565" s="224">
        <v>6</v>
      </c>
      <c r="D1565" s="225">
        <v>10</v>
      </c>
      <c r="E1565" s="226">
        <v>44548</v>
      </c>
      <c r="F1565" s="227"/>
      <c r="G1565" s="1" t="str">
        <f>IFERROR(IF(ventas_b_mes9[[#This Row],[CUIT]]="","-",VLOOKUP(ventas_b_mes9[[#This Row],[CUIT]],Lista_CUIT[#All],2,0)),"CUIT NO CARGADO")</f>
        <v>-</v>
      </c>
      <c r="H1565" s="60">
        <f>ventas_b_mes9[[#This Row],[TOTAL]]/1.21</f>
        <v>4958.68</v>
      </c>
      <c r="I1565" s="228">
        <f>ventas_b_mes9[[#This Row],[IMPORTE NETO]]*0.21</f>
        <v>1041.3227999999999</v>
      </c>
      <c r="J1565" s="229"/>
      <c r="K1565" s="229"/>
      <c r="L1565" s="229">
        <v>6000.0028000000002</v>
      </c>
      <c r="M1565" s="55"/>
    </row>
    <row r="1566" spans="2:13" x14ac:dyDescent="0.3">
      <c r="B1566" s="223">
        <v>44922</v>
      </c>
      <c r="C1566" s="224">
        <v>6</v>
      </c>
      <c r="D1566" s="225">
        <v>10</v>
      </c>
      <c r="E1566" s="226">
        <v>44549</v>
      </c>
      <c r="F1566" s="227"/>
      <c r="G1566" s="1" t="str">
        <f>IFERROR(IF(ventas_b_mes9[[#This Row],[CUIT]]="","-",VLOOKUP(ventas_b_mes9[[#This Row],[CUIT]],Lista_CUIT[#All],2,0)),"CUIT NO CARGADO")</f>
        <v>-</v>
      </c>
      <c r="H1566" s="60">
        <f>ventas_b_mes9[[#This Row],[TOTAL]]/1.21</f>
        <v>5942.31</v>
      </c>
      <c r="I1566" s="228">
        <f>ventas_b_mes9[[#This Row],[IMPORTE NETO]]*0.21</f>
        <v>1247.8851</v>
      </c>
      <c r="J1566" s="229"/>
      <c r="K1566" s="229"/>
      <c r="L1566" s="229">
        <v>7190.1951000000008</v>
      </c>
      <c r="M1566" s="55"/>
    </row>
    <row r="1567" spans="2:13" x14ac:dyDescent="0.3">
      <c r="B1567" s="223">
        <v>44922</v>
      </c>
      <c r="C1567" s="224">
        <v>6</v>
      </c>
      <c r="D1567" s="225">
        <v>10</v>
      </c>
      <c r="E1567" s="226">
        <v>44550</v>
      </c>
      <c r="F1567" s="227"/>
      <c r="G1567" s="1" t="str">
        <f>IFERROR(IF(ventas_b_mes9[[#This Row],[CUIT]]="","-",VLOOKUP(ventas_b_mes9[[#This Row],[CUIT]],Lista_CUIT[#All],2,0)),"CUIT NO CARGADO")</f>
        <v>-</v>
      </c>
      <c r="H1567" s="60">
        <f>ventas_b_mes9[[#This Row],[TOTAL]]/1.21</f>
        <v>12778.51</v>
      </c>
      <c r="I1567" s="228">
        <f>ventas_b_mes9[[#This Row],[IMPORTE NETO]]*0.21</f>
        <v>2683.4870999999998</v>
      </c>
      <c r="J1567" s="229"/>
      <c r="K1567" s="229"/>
      <c r="L1567" s="229">
        <v>15461.997100000001</v>
      </c>
      <c r="M1567" s="55"/>
    </row>
    <row r="1568" spans="2:13" x14ac:dyDescent="0.3">
      <c r="B1568" s="223">
        <v>44922</v>
      </c>
      <c r="C1568" s="224">
        <v>6</v>
      </c>
      <c r="D1568" s="225">
        <v>10</v>
      </c>
      <c r="E1568" s="226">
        <v>44551</v>
      </c>
      <c r="F1568" s="227"/>
      <c r="G1568" s="1" t="str">
        <f>IFERROR(IF(ventas_b_mes9[[#This Row],[CUIT]]="","-",VLOOKUP(ventas_b_mes9[[#This Row],[CUIT]],Lista_CUIT[#All],2,0)),"CUIT NO CARGADO")</f>
        <v>-</v>
      </c>
      <c r="H1568" s="60">
        <f>ventas_b_mes9[[#This Row],[TOTAL]]/1.21</f>
        <v>6575.21</v>
      </c>
      <c r="I1568" s="228">
        <f>ventas_b_mes9[[#This Row],[IMPORTE NETO]]*0.21</f>
        <v>1380.7940999999998</v>
      </c>
      <c r="J1568" s="229"/>
      <c r="K1568" s="229"/>
      <c r="L1568" s="229">
        <v>7956.0041000000001</v>
      </c>
      <c r="M1568" s="55"/>
    </row>
    <row r="1569" spans="2:13" x14ac:dyDescent="0.3">
      <c r="B1569" s="223">
        <v>44922</v>
      </c>
      <c r="C1569" s="224">
        <v>6</v>
      </c>
      <c r="D1569" s="225">
        <v>10</v>
      </c>
      <c r="E1569" s="226">
        <v>44552</v>
      </c>
      <c r="F1569" s="227"/>
      <c r="G1569" s="1" t="str">
        <f>IFERROR(IF(ventas_b_mes9[[#This Row],[CUIT]]="","-",VLOOKUP(ventas_b_mes9[[#This Row],[CUIT]],Lista_CUIT[#All],2,0)),"CUIT NO CARGADO")</f>
        <v>-</v>
      </c>
      <c r="H1569" s="60">
        <f>ventas_b_mes9[[#This Row],[TOTAL]]/1.21</f>
        <v>26145.58</v>
      </c>
      <c r="I1569" s="228">
        <f>ventas_b_mes9[[#This Row],[IMPORTE NETO]]*0.21</f>
        <v>5490.5717999999997</v>
      </c>
      <c r="J1569" s="229"/>
      <c r="K1569" s="229"/>
      <c r="L1569" s="229">
        <v>31636.1518</v>
      </c>
      <c r="M1569" s="55"/>
    </row>
    <row r="1570" spans="2:13" x14ac:dyDescent="0.3">
      <c r="B1570" s="223">
        <v>44922</v>
      </c>
      <c r="C1570" s="224">
        <v>6</v>
      </c>
      <c r="D1570" s="225">
        <v>10</v>
      </c>
      <c r="E1570" s="226">
        <v>44553</v>
      </c>
      <c r="F1570" s="227"/>
      <c r="G1570" s="1" t="str">
        <f>IFERROR(IF(ventas_b_mes9[[#This Row],[CUIT]]="","-",VLOOKUP(ventas_b_mes9[[#This Row],[CUIT]],Lista_CUIT[#All],2,0)),"CUIT NO CARGADO")</f>
        <v>-</v>
      </c>
      <c r="H1570" s="60">
        <f>ventas_b_mes9[[#This Row],[TOTAL]]/1.21</f>
        <v>2918.8</v>
      </c>
      <c r="I1570" s="228">
        <f>ventas_b_mes9[[#This Row],[IMPORTE NETO]]*0.21</f>
        <v>612.94799999999998</v>
      </c>
      <c r="J1570" s="229"/>
      <c r="K1570" s="229"/>
      <c r="L1570" s="229">
        <v>3531.748</v>
      </c>
      <c r="M1570" s="55"/>
    </row>
    <row r="1571" spans="2:13" x14ac:dyDescent="0.3">
      <c r="B1571" s="223">
        <v>44922</v>
      </c>
      <c r="C1571" s="224">
        <v>6</v>
      </c>
      <c r="D1571" s="225">
        <v>10</v>
      </c>
      <c r="E1571" s="226">
        <v>44554</v>
      </c>
      <c r="F1571" s="227"/>
      <c r="G1571" s="1" t="str">
        <f>IFERROR(IF(ventas_b_mes9[[#This Row],[CUIT]]="","-",VLOOKUP(ventas_b_mes9[[#This Row],[CUIT]],Lista_CUIT[#All],2,0)),"CUIT NO CARGADO")</f>
        <v>-</v>
      </c>
      <c r="H1571" s="60">
        <f>ventas_b_mes9[[#This Row],[TOTAL]]/1.21</f>
        <v>6575.21</v>
      </c>
      <c r="I1571" s="228">
        <f>ventas_b_mes9[[#This Row],[IMPORTE NETO]]*0.21</f>
        <v>1380.7940999999998</v>
      </c>
      <c r="J1571" s="229"/>
      <c r="K1571" s="229"/>
      <c r="L1571" s="229">
        <v>7956.0041000000001</v>
      </c>
      <c r="M1571" s="55"/>
    </row>
    <row r="1572" spans="2:13" x14ac:dyDescent="0.3">
      <c r="B1572" s="223">
        <v>44922</v>
      </c>
      <c r="C1572" s="224">
        <v>6</v>
      </c>
      <c r="D1572" s="225">
        <v>10</v>
      </c>
      <c r="E1572" s="226">
        <v>44555</v>
      </c>
      <c r="F1572" s="227"/>
      <c r="G1572" s="1" t="str">
        <f>IFERROR(IF(ventas_b_mes9[[#This Row],[CUIT]]="","-",VLOOKUP(ventas_b_mes9[[#This Row],[CUIT]],Lista_CUIT[#All],2,0)),"CUIT NO CARGADO")</f>
        <v>-</v>
      </c>
      <c r="H1572" s="60">
        <f>ventas_b_mes9[[#This Row],[TOTAL]]/1.21</f>
        <v>15591.410000000002</v>
      </c>
      <c r="I1572" s="228">
        <f>ventas_b_mes9[[#This Row],[IMPORTE NETO]]*0.21</f>
        <v>3274.1961000000001</v>
      </c>
      <c r="J1572" s="229"/>
      <c r="K1572" s="229"/>
      <c r="L1572" s="229">
        <v>18865.606100000001</v>
      </c>
      <c r="M1572" s="55"/>
    </row>
    <row r="1573" spans="2:13" x14ac:dyDescent="0.3">
      <c r="B1573" s="223">
        <v>44922</v>
      </c>
      <c r="C1573" s="224">
        <v>6</v>
      </c>
      <c r="D1573" s="225">
        <v>10</v>
      </c>
      <c r="E1573" s="226">
        <v>44556</v>
      </c>
      <c r="F1573" s="227"/>
      <c r="G1573" s="1" t="str">
        <f>IFERROR(IF(ventas_b_mes9[[#This Row],[CUIT]]="","-",VLOOKUP(ventas_b_mes9[[#This Row],[CUIT]],Lista_CUIT[#All],2,0)),"CUIT NO CARGADO")</f>
        <v>-</v>
      </c>
      <c r="H1573" s="60">
        <f>ventas_b_mes9[[#This Row],[TOTAL]]/1.21</f>
        <v>2276.0300000000002</v>
      </c>
      <c r="I1573" s="228">
        <f>ventas_b_mes9[[#This Row],[IMPORTE NETO]]*0.21</f>
        <v>477.96630000000005</v>
      </c>
      <c r="J1573" s="229"/>
      <c r="K1573" s="229"/>
      <c r="L1573" s="229">
        <v>2753.9963000000002</v>
      </c>
      <c r="M1573" s="55"/>
    </row>
    <row r="1574" spans="2:13" x14ac:dyDescent="0.3">
      <c r="B1574" s="223">
        <v>44922</v>
      </c>
      <c r="C1574" s="224">
        <v>6</v>
      </c>
      <c r="D1574" s="225">
        <v>10</v>
      </c>
      <c r="E1574" s="226">
        <v>44557</v>
      </c>
      <c r="F1574" s="227"/>
      <c r="G1574" s="1" t="str">
        <f>IFERROR(IF(ventas_b_mes9[[#This Row],[CUIT]]="","-",VLOOKUP(ventas_b_mes9[[#This Row],[CUIT]],Lista_CUIT[#All],2,0)),"CUIT NO CARGADO")</f>
        <v>-</v>
      </c>
      <c r="H1574" s="60">
        <f>ventas_b_mes9[[#This Row],[TOTAL]]/1.21</f>
        <v>19551.240000000002</v>
      </c>
      <c r="I1574" s="228">
        <f>ventas_b_mes9[[#This Row],[IMPORTE NETO]]*0.21</f>
        <v>4105.7604000000001</v>
      </c>
      <c r="J1574" s="229"/>
      <c r="K1574" s="229"/>
      <c r="L1574" s="229">
        <v>23657.000400000001</v>
      </c>
      <c r="M1574" s="55"/>
    </row>
    <row r="1575" spans="2:13" x14ac:dyDescent="0.3">
      <c r="B1575" s="223">
        <v>44922</v>
      </c>
      <c r="C1575" s="224">
        <v>6</v>
      </c>
      <c r="D1575" s="225">
        <v>10</v>
      </c>
      <c r="E1575" s="226">
        <v>44558</v>
      </c>
      <c r="F1575" s="227"/>
      <c r="G1575" s="1" t="str">
        <f>IFERROR(IF(ventas_b_mes9[[#This Row],[CUIT]]="","-",VLOOKUP(ventas_b_mes9[[#This Row],[CUIT]],Lista_CUIT[#All],2,0)),"CUIT NO CARGADO")</f>
        <v>-</v>
      </c>
      <c r="H1575" s="60">
        <f>ventas_b_mes9[[#This Row],[TOTAL]]/1.21</f>
        <v>5760.33</v>
      </c>
      <c r="I1575" s="228">
        <f>ventas_b_mes9[[#This Row],[IMPORTE NETO]]*0.21</f>
        <v>1209.6693</v>
      </c>
      <c r="J1575" s="229"/>
      <c r="K1575" s="229"/>
      <c r="L1575" s="229">
        <v>6969.9992999999995</v>
      </c>
      <c r="M1575" s="55"/>
    </row>
    <row r="1576" spans="2:13" x14ac:dyDescent="0.3">
      <c r="B1576" s="223">
        <v>44922</v>
      </c>
      <c r="C1576" s="224">
        <v>6</v>
      </c>
      <c r="D1576" s="225">
        <v>10</v>
      </c>
      <c r="E1576" s="226">
        <v>44559</v>
      </c>
      <c r="F1576" s="227"/>
      <c r="G1576" s="1" t="str">
        <f>IFERROR(IF(ventas_b_mes9[[#This Row],[CUIT]]="","-",VLOOKUP(ventas_b_mes9[[#This Row],[CUIT]],Lista_CUIT[#All],2,0)),"CUIT NO CARGADO")</f>
        <v>-</v>
      </c>
      <c r="H1576" s="60">
        <f>ventas_b_mes9[[#This Row],[TOTAL]]/1.21</f>
        <v>2221.4899999999998</v>
      </c>
      <c r="I1576" s="228">
        <f>ventas_b_mes9[[#This Row],[IMPORTE NETO]]*0.21</f>
        <v>466.51289999999995</v>
      </c>
      <c r="J1576" s="229"/>
      <c r="K1576" s="229"/>
      <c r="L1576" s="229">
        <v>2688.0028999999995</v>
      </c>
      <c r="M1576" s="55"/>
    </row>
    <row r="1577" spans="2:13" x14ac:dyDescent="0.3">
      <c r="B1577" s="223">
        <v>44922</v>
      </c>
      <c r="C1577" s="224">
        <v>6</v>
      </c>
      <c r="D1577" s="225">
        <v>10</v>
      </c>
      <c r="E1577" s="226">
        <v>44560</v>
      </c>
      <c r="F1577" s="227"/>
      <c r="G1577" s="1" t="str">
        <f>IFERROR(IF(ventas_b_mes9[[#This Row],[CUIT]]="","-",VLOOKUP(ventas_b_mes9[[#This Row],[CUIT]],Lista_CUIT[#All],2,0)),"CUIT NO CARGADO")</f>
        <v>-</v>
      </c>
      <c r="H1577" s="60">
        <f>ventas_b_mes9[[#This Row],[TOTAL]]/1.21</f>
        <v>11295.87</v>
      </c>
      <c r="I1577" s="228">
        <f>ventas_b_mes9[[#This Row],[IMPORTE NETO]]*0.21</f>
        <v>2372.1327000000001</v>
      </c>
      <c r="J1577" s="229"/>
      <c r="K1577" s="229"/>
      <c r="L1577" s="229">
        <v>13668.002700000001</v>
      </c>
      <c r="M1577" s="55"/>
    </row>
    <row r="1578" spans="2:13" x14ac:dyDescent="0.3">
      <c r="B1578" s="223">
        <v>44922</v>
      </c>
      <c r="C1578" s="224">
        <v>6</v>
      </c>
      <c r="D1578" s="225">
        <v>10</v>
      </c>
      <c r="E1578" s="226">
        <v>44561</v>
      </c>
      <c r="F1578" s="227"/>
      <c r="G1578" s="1" t="str">
        <f>IFERROR(IF(ventas_b_mes9[[#This Row],[CUIT]]="","-",VLOOKUP(ventas_b_mes9[[#This Row],[CUIT]],Lista_CUIT[#All],2,0)),"CUIT NO CARGADO")</f>
        <v>-</v>
      </c>
      <c r="H1578" s="60">
        <f>ventas_b_mes9[[#This Row],[TOTAL]]/1.21</f>
        <v>10153.39</v>
      </c>
      <c r="I1578" s="228">
        <f>ventas_b_mes9[[#This Row],[IMPORTE NETO]]*0.21</f>
        <v>2132.2118999999998</v>
      </c>
      <c r="J1578" s="229"/>
      <c r="K1578" s="229"/>
      <c r="L1578" s="229">
        <v>12285.6019</v>
      </c>
      <c r="M1578" s="55"/>
    </row>
    <row r="1579" spans="2:13" x14ac:dyDescent="0.3">
      <c r="B1579" s="223">
        <v>44922</v>
      </c>
      <c r="C1579" s="224">
        <v>6</v>
      </c>
      <c r="D1579" s="225">
        <v>10</v>
      </c>
      <c r="E1579" s="226">
        <v>44562</v>
      </c>
      <c r="F1579" s="227"/>
      <c r="G1579" s="1" t="str">
        <f>IFERROR(IF(ventas_b_mes9[[#This Row],[CUIT]]="","-",VLOOKUP(ventas_b_mes9[[#This Row],[CUIT]],Lista_CUIT[#All],2,0)),"CUIT NO CARGADO")</f>
        <v>-</v>
      </c>
      <c r="H1579" s="60">
        <f>ventas_b_mes9[[#This Row],[TOTAL]]/1.21</f>
        <v>4625.8599999999997</v>
      </c>
      <c r="I1579" s="228">
        <f>ventas_b_mes9[[#This Row],[IMPORTE NETO]]*0.21</f>
        <v>971.43059999999991</v>
      </c>
      <c r="J1579" s="229"/>
      <c r="K1579" s="229"/>
      <c r="L1579" s="229">
        <v>5597.2905999999994</v>
      </c>
      <c r="M1579" s="55"/>
    </row>
    <row r="1580" spans="2:13" x14ac:dyDescent="0.3">
      <c r="B1580" s="223">
        <v>44922</v>
      </c>
      <c r="C1580" s="224">
        <v>6</v>
      </c>
      <c r="D1580" s="225">
        <v>10</v>
      </c>
      <c r="E1580" s="226">
        <v>44563</v>
      </c>
      <c r="F1580" s="227"/>
      <c r="G1580" s="1" t="str">
        <f>IFERROR(IF(ventas_b_mes9[[#This Row],[CUIT]]="","-",VLOOKUP(ventas_b_mes9[[#This Row],[CUIT]],Lista_CUIT[#All],2,0)),"CUIT NO CARGADO")</f>
        <v>-</v>
      </c>
      <c r="H1580" s="60">
        <f>ventas_b_mes9[[#This Row],[TOTAL]]/1.21</f>
        <v>7073.9700000000012</v>
      </c>
      <c r="I1580" s="228">
        <f>ventas_b_mes9[[#This Row],[IMPORTE NETO]]*0.21</f>
        <v>1485.5337000000002</v>
      </c>
      <c r="J1580" s="229"/>
      <c r="K1580" s="229"/>
      <c r="L1580" s="229">
        <v>8559.5037000000011</v>
      </c>
      <c r="M1580" s="55"/>
    </row>
    <row r="1581" spans="2:13" x14ac:dyDescent="0.3">
      <c r="B1581" s="223">
        <v>44922</v>
      </c>
      <c r="C1581" s="224">
        <v>6</v>
      </c>
      <c r="D1581" s="225">
        <v>10</v>
      </c>
      <c r="E1581" s="226">
        <v>44564</v>
      </c>
      <c r="F1581" s="227"/>
      <c r="G1581" s="1" t="str">
        <f>IFERROR(IF(ventas_b_mes9[[#This Row],[CUIT]]="","-",VLOOKUP(ventas_b_mes9[[#This Row],[CUIT]],Lista_CUIT[#All],2,0)),"CUIT NO CARGADO")</f>
        <v>-</v>
      </c>
      <c r="H1581" s="60">
        <f>ventas_b_mes9[[#This Row],[TOTAL]]/1.21</f>
        <v>4244.63</v>
      </c>
      <c r="I1581" s="228">
        <f>ventas_b_mes9[[#This Row],[IMPORTE NETO]]*0.21</f>
        <v>891.3723</v>
      </c>
      <c r="J1581" s="229"/>
      <c r="K1581" s="229"/>
      <c r="L1581" s="229">
        <v>5136.0023000000001</v>
      </c>
      <c r="M1581" s="55"/>
    </row>
    <row r="1582" spans="2:13" x14ac:dyDescent="0.3">
      <c r="B1582" s="223">
        <v>44922</v>
      </c>
      <c r="C1582" s="224">
        <v>6</v>
      </c>
      <c r="D1582" s="225">
        <v>10</v>
      </c>
      <c r="E1582" s="226">
        <v>44565</v>
      </c>
      <c r="F1582" s="227"/>
      <c r="G1582" s="1" t="str">
        <f>IFERROR(IF(ventas_b_mes9[[#This Row],[CUIT]]="","-",VLOOKUP(ventas_b_mes9[[#This Row],[CUIT]],Lista_CUIT[#All],2,0)),"CUIT NO CARGADO")</f>
        <v>-</v>
      </c>
      <c r="H1582" s="60">
        <f>ventas_b_mes9[[#This Row],[TOTAL]]/1.21</f>
        <v>1467.77</v>
      </c>
      <c r="I1582" s="228">
        <f>ventas_b_mes9[[#This Row],[IMPORTE NETO]]*0.21</f>
        <v>308.23169999999999</v>
      </c>
      <c r="J1582" s="229"/>
      <c r="K1582" s="229"/>
      <c r="L1582" s="229">
        <v>1776.0017</v>
      </c>
      <c r="M1582" s="55"/>
    </row>
    <row r="1583" spans="2:13" x14ac:dyDescent="0.3">
      <c r="B1583" s="223">
        <v>44922</v>
      </c>
      <c r="C1583" s="224">
        <v>6</v>
      </c>
      <c r="D1583" s="225">
        <v>10</v>
      </c>
      <c r="E1583" s="226">
        <v>44566</v>
      </c>
      <c r="F1583" s="227"/>
      <c r="G1583" s="1" t="str">
        <f>IFERROR(IF(ventas_b_mes9[[#This Row],[CUIT]]="","-",VLOOKUP(ventas_b_mes9[[#This Row],[CUIT]],Lista_CUIT[#All],2,0)),"CUIT NO CARGADO")</f>
        <v>-</v>
      </c>
      <c r="H1583" s="60">
        <f>ventas_b_mes9[[#This Row],[TOTAL]]/1.21</f>
        <v>8296.2800000000007</v>
      </c>
      <c r="I1583" s="228">
        <f>ventas_b_mes9[[#This Row],[IMPORTE NETO]]*0.21</f>
        <v>1742.2188000000001</v>
      </c>
      <c r="J1583" s="229"/>
      <c r="K1583" s="229"/>
      <c r="L1583" s="229">
        <v>10038.498800000001</v>
      </c>
      <c r="M1583" s="55"/>
    </row>
    <row r="1584" spans="2:13" x14ac:dyDescent="0.3">
      <c r="B1584" s="223">
        <v>44922</v>
      </c>
      <c r="C1584" s="224">
        <v>6</v>
      </c>
      <c r="D1584" s="225">
        <v>10</v>
      </c>
      <c r="E1584" s="226">
        <v>44567</v>
      </c>
      <c r="F1584" s="227"/>
      <c r="G1584" s="1" t="str">
        <f>IFERROR(IF(ventas_b_mes9[[#This Row],[CUIT]]="","-",VLOOKUP(ventas_b_mes9[[#This Row],[CUIT]],Lista_CUIT[#All],2,0)),"CUIT NO CARGADO")</f>
        <v>-</v>
      </c>
      <c r="H1584" s="60">
        <f>ventas_b_mes9[[#This Row],[TOTAL]]/1.21</f>
        <v>4244.63</v>
      </c>
      <c r="I1584" s="228">
        <f>ventas_b_mes9[[#This Row],[IMPORTE NETO]]*0.21</f>
        <v>891.3723</v>
      </c>
      <c r="J1584" s="229"/>
      <c r="K1584" s="229"/>
      <c r="L1584" s="229">
        <v>5136.0023000000001</v>
      </c>
      <c r="M1584" s="55"/>
    </row>
    <row r="1585" spans="2:13" x14ac:dyDescent="0.3">
      <c r="B1585" s="223">
        <v>44922</v>
      </c>
      <c r="C1585" s="224">
        <v>6</v>
      </c>
      <c r="D1585" s="225">
        <v>10</v>
      </c>
      <c r="E1585" s="226">
        <v>44568</v>
      </c>
      <c r="F1585" s="227"/>
      <c r="G1585" s="1" t="str">
        <f>IFERROR(IF(ventas_b_mes9[[#This Row],[CUIT]]="","-",VLOOKUP(ventas_b_mes9[[#This Row],[CUIT]],Lista_CUIT[#All],2,0)),"CUIT NO CARGADO")</f>
        <v>-</v>
      </c>
      <c r="H1585" s="60">
        <f>ventas_b_mes9[[#This Row],[TOTAL]]/1.21</f>
        <v>11123.97</v>
      </c>
      <c r="I1585" s="228">
        <f>ventas_b_mes9[[#This Row],[IMPORTE NETO]]*0.21</f>
        <v>2336.0337</v>
      </c>
      <c r="J1585" s="229"/>
      <c r="K1585" s="229"/>
      <c r="L1585" s="229">
        <v>13460.003699999999</v>
      </c>
      <c r="M1585" s="55"/>
    </row>
    <row r="1586" spans="2:13" x14ac:dyDescent="0.3">
      <c r="B1586" s="223">
        <v>44922</v>
      </c>
      <c r="C1586" s="224">
        <v>6</v>
      </c>
      <c r="D1586" s="225">
        <v>12</v>
      </c>
      <c r="E1586" s="226">
        <v>23143</v>
      </c>
      <c r="F1586" s="227"/>
      <c r="G1586" s="1" t="str">
        <f>IFERROR(IF(ventas_b_mes9[[#This Row],[CUIT]]="","-",VLOOKUP(ventas_b_mes9[[#This Row],[CUIT]],Lista_CUIT[#All],2,0)),"CUIT NO CARGADO")</f>
        <v>-</v>
      </c>
      <c r="H1586" s="60">
        <f>ventas_b_mes9[[#This Row],[TOTAL]]/1.21</f>
        <v>6267.78</v>
      </c>
      <c r="I1586" s="228">
        <f>ventas_b_mes9[[#This Row],[IMPORTE NETO]]*0.21</f>
        <v>1316.2338</v>
      </c>
      <c r="J1586" s="229"/>
      <c r="K1586" s="229"/>
      <c r="L1586" s="229">
        <v>7584.0137999999997</v>
      </c>
      <c r="M1586" s="55"/>
    </row>
    <row r="1587" spans="2:13" x14ac:dyDescent="0.3">
      <c r="B1587" s="223">
        <v>44922</v>
      </c>
      <c r="C1587" s="224">
        <v>6</v>
      </c>
      <c r="D1587" s="225">
        <v>12</v>
      </c>
      <c r="E1587" s="226">
        <v>23144</v>
      </c>
      <c r="F1587" s="227"/>
      <c r="G1587" s="1" t="str">
        <f>IFERROR(IF(ventas_b_mes9[[#This Row],[CUIT]]="","-",VLOOKUP(ventas_b_mes9[[#This Row],[CUIT]],Lista_CUIT[#All],2,0)),"CUIT NO CARGADO")</f>
        <v>-</v>
      </c>
      <c r="H1587" s="60">
        <f>ventas_b_mes9[[#This Row],[TOTAL]]/1.21</f>
        <v>7775.21</v>
      </c>
      <c r="I1587" s="228">
        <f>ventas_b_mes9[[#This Row],[IMPORTE NETO]]*0.21</f>
        <v>1632.7940999999998</v>
      </c>
      <c r="J1587" s="229"/>
      <c r="K1587" s="229"/>
      <c r="L1587" s="229">
        <v>9408.0041000000001</v>
      </c>
      <c r="M1587" s="55"/>
    </row>
    <row r="1588" spans="2:13" x14ac:dyDescent="0.3">
      <c r="B1588" s="223">
        <v>44922</v>
      </c>
      <c r="C1588" s="224">
        <v>6</v>
      </c>
      <c r="D1588" s="225">
        <v>12</v>
      </c>
      <c r="E1588" s="226">
        <v>23145</v>
      </c>
      <c r="F1588" s="227"/>
      <c r="G1588" s="1" t="str">
        <f>IFERROR(IF(ventas_b_mes9[[#This Row],[CUIT]]="","-",VLOOKUP(ventas_b_mes9[[#This Row],[CUIT]],Lista_CUIT[#All],2,0)),"CUIT NO CARGADO")</f>
        <v>-</v>
      </c>
      <c r="H1588" s="60">
        <f>ventas_b_mes9[[#This Row],[TOTAL]]/1.21</f>
        <v>1666.12</v>
      </c>
      <c r="I1588" s="228">
        <f>ventas_b_mes9[[#This Row],[IMPORTE NETO]]*0.21</f>
        <v>349.88519999999994</v>
      </c>
      <c r="J1588" s="229"/>
      <c r="K1588" s="229"/>
      <c r="L1588" s="229">
        <v>2016.0051999999998</v>
      </c>
      <c r="M1588" s="55"/>
    </row>
    <row r="1589" spans="2:13" x14ac:dyDescent="0.3">
      <c r="B1589" s="223">
        <v>44922</v>
      </c>
      <c r="C1589" s="224">
        <v>6</v>
      </c>
      <c r="D1589" s="225">
        <v>12</v>
      </c>
      <c r="E1589" s="226">
        <v>23146</v>
      </c>
      <c r="F1589" s="227"/>
      <c r="G1589" s="1" t="str">
        <f>IFERROR(IF(ventas_b_mes9[[#This Row],[CUIT]]="","-",VLOOKUP(ventas_b_mes9[[#This Row],[CUIT]],Lista_CUIT[#All],2,0)),"CUIT NO CARGADO")</f>
        <v>-</v>
      </c>
      <c r="H1589" s="60">
        <f>ventas_b_mes9[[#This Row],[TOTAL]]/1.21</f>
        <v>6611.57</v>
      </c>
      <c r="I1589" s="228">
        <f>ventas_b_mes9[[#This Row],[IMPORTE NETO]]*0.21</f>
        <v>1388.4296999999999</v>
      </c>
      <c r="J1589" s="229"/>
      <c r="K1589" s="229"/>
      <c r="L1589" s="229">
        <v>7999.9996999999994</v>
      </c>
      <c r="M1589" s="55"/>
    </row>
    <row r="1590" spans="2:13" x14ac:dyDescent="0.3">
      <c r="B1590" s="223">
        <v>44922</v>
      </c>
      <c r="C1590" s="224">
        <v>6</v>
      </c>
      <c r="D1590" s="225">
        <v>12</v>
      </c>
      <c r="E1590" s="226">
        <v>23147</v>
      </c>
      <c r="F1590" s="227"/>
      <c r="G1590" s="1" t="str">
        <f>IFERROR(IF(ventas_b_mes9[[#This Row],[CUIT]]="","-",VLOOKUP(ventas_b_mes9[[#This Row],[CUIT]],Lista_CUIT[#All],2,0)),"CUIT NO CARGADO")</f>
        <v>-</v>
      </c>
      <c r="H1590" s="60">
        <f>ventas_b_mes9[[#This Row],[TOTAL]]/1.21</f>
        <v>4680.99</v>
      </c>
      <c r="I1590" s="228">
        <f>ventas_b_mes9[[#This Row],[IMPORTE NETO]]*0.21</f>
        <v>983.00789999999995</v>
      </c>
      <c r="J1590" s="229"/>
      <c r="K1590" s="229"/>
      <c r="L1590" s="229">
        <v>5663.9978999999994</v>
      </c>
      <c r="M1590" s="55"/>
    </row>
    <row r="1591" spans="2:13" x14ac:dyDescent="0.3">
      <c r="B1591" s="223">
        <v>44922</v>
      </c>
      <c r="C1591" s="224">
        <v>6</v>
      </c>
      <c r="D1591" s="225">
        <v>12</v>
      </c>
      <c r="E1591" s="226">
        <v>23148</v>
      </c>
      <c r="F1591" s="227"/>
      <c r="G1591" s="1" t="str">
        <f>IFERROR(IF(ventas_b_mes9[[#This Row],[CUIT]]="","-",VLOOKUP(ventas_b_mes9[[#This Row],[CUIT]],Lista_CUIT[#All],2,0)),"CUIT NO CARGADO")</f>
        <v>-</v>
      </c>
      <c r="H1591" s="60">
        <f>ventas_b_mes9[[#This Row],[TOTAL]]/1.21</f>
        <v>6611.57</v>
      </c>
      <c r="I1591" s="228">
        <f>ventas_b_mes9[[#This Row],[IMPORTE NETO]]*0.21</f>
        <v>1388.4296999999999</v>
      </c>
      <c r="J1591" s="229"/>
      <c r="K1591" s="229"/>
      <c r="L1591" s="229">
        <v>7999.9996999999994</v>
      </c>
      <c r="M1591" s="55"/>
    </row>
    <row r="1592" spans="2:13" x14ac:dyDescent="0.3">
      <c r="B1592" s="223">
        <v>44922</v>
      </c>
      <c r="C1592" s="224">
        <v>6</v>
      </c>
      <c r="D1592" s="225">
        <v>12</v>
      </c>
      <c r="E1592" s="226">
        <v>23149</v>
      </c>
      <c r="F1592" s="227"/>
      <c r="G1592" s="1" t="str">
        <f>IFERROR(IF(ventas_b_mes9[[#This Row],[CUIT]]="","-",VLOOKUP(ventas_b_mes9[[#This Row],[CUIT]],Lista_CUIT[#All],2,0)),"CUIT NO CARGADO")</f>
        <v>-</v>
      </c>
      <c r="H1592" s="60">
        <f>ventas_b_mes9[[#This Row],[TOTAL]]/1.21</f>
        <v>10495.05</v>
      </c>
      <c r="I1592" s="228">
        <f>ventas_b_mes9[[#This Row],[IMPORTE NETO]]*0.21</f>
        <v>2203.9604999999997</v>
      </c>
      <c r="J1592" s="229"/>
      <c r="K1592" s="229"/>
      <c r="L1592" s="229">
        <v>12699.010499999999</v>
      </c>
      <c r="M1592" s="55"/>
    </row>
    <row r="1593" spans="2:13" x14ac:dyDescent="0.3">
      <c r="B1593" s="223">
        <v>44922</v>
      </c>
      <c r="C1593" s="224">
        <v>6</v>
      </c>
      <c r="D1593" s="225">
        <v>12</v>
      </c>
      <c r="E1593" s="226">
        <v>23150</v>
      </c>
      <c r="F1593" s="227"/>
      <c r="G1593" s="1" t="str">
        <f>IFERROR(IF(ventas_b_mes9[[#This Row],[CUIT]]="","-",VLOOKUP(ventas_b_mes9[[#This Row],[CUIT]],Lista_CUIT[#All],2,0)),"CUIT NO CARGADO")</f>
        <v>-</v>
      </c>
      <c r="H1593" s="60">
        <f>ventas_b_mes9[[#This Row],[TOTAL]]/1.21</f>
        <v>5791.74</v>
      </c>
      <c r="I1593" s="228">
        <f>ventas_b_mes9[[#This Row],[IMPORTE NETO]]*0.21</f>
        <v>1216.2654</v>
      </c>
      <c r="J1593" s="229"/>
      <c r="K1593" s="229"/>
      <c r="L1593" s="229">
        <v>7008.0054</v>
      </c>
      <c r="M1593" s="55"/>
    </row>
    <row r="1594" spans="2:13" x14ac:dyDescent="0.3">
      <c r="B1594" s="223">
        <v>44922</v>
      </c>
      <c r="C1594" s="224">
        <v>6</v>
      </c>
      <c r="D1594" s="225">
        <v>12</v>
      </c>
      <c r="E1594" s="226">
        <v>23151</v>
      </c>
      <c r="F1594" s="227"/>
      <c r="G1594" s="1" t="str">
        <f>IFERROR(IF(ventas_b_mes9[[#This Row],[CUIT]]="","-",VLOOKUP(ventas_b_mes9[[#This Row],[CUIT]],Lista_CUIT[#All],2,0)),"CUIT NO CARGADO")</f>
        <v>-</v>
      </c>
      <c r="H1594" s="60">
        <f>ventas_b_mes9[[#This Row],[TOTAL]]/1.21</f>
        <v>6545.45</v>
      </c>
      <c r="I1594" s="228">
        <f>ventas_b_mes9[[#This Row],[IMPORTE NETO]]*0.21</f>
        <v>1374.5445</v>
      </c>
      <c r="J1594" s="229"/>
      <c r="K1594" s="229"/>
      <c r="L1594" s="229">
        <v>7919.9944999999998</v>
      </c>
      <c r="M1594" s="55"/>
    </row>
    <row r="1595" spans="2:13" x14ac:dyDescent="0.3">
      <c r="B1595" s="223">
        <v>44922</v>
      </c>
      <c r="C1595" s="224">
        <v>6</v>
      </c>
      <c r="D1595" s="225">
        <v>12</v>
      </c>
      <c r="E1595" s="226">
        <v>23152</v>
      </c>
      <c r="F1595" s="227"/>
      <c r="G1595" s="1" t="str">
        <f>IFERROR(IF(ventas_b_mes9[[#This Row],[CUIT]]="","-",VLOOKUP(ventas_b_mes9[[#This Row],[CUIT]],Lista_CUIT[#All],2,0)),"CUIT NO CARGADO")</f>
        <v>-</v>
      </c>
      <c r="H1595" s="60">
        <f>ventas_b_mes9[[#This Row],[TOTAL]]/1.21</f>
        <v>10423.129999999999</v>
      </c>
      <c r="I1595" s="228">
        <f>ventas_b_mes9[[#This Row],[IMPORTE NETO]]*0.21</f>
        <v>2188.8572999999997</v>
      </c>
      <c r="J1595" s="229"/>
      <c r="K1595" s="229"/>
      <c r="L1595" s="229">
        <v>12611.987299999999</v>
      </c>
      <c r="M1595" s="55"/>
    </row>
    <row r="1596" spans="2:13" x14ac:dyDescent="0.3">
      <c r="B1596" s="223">
        <v>44922</v>
      </c>
      <c r="C1596" s="224">
        <v>6</v>
      </c>
      <c r="D1596" s="225">
        <v>12</v>
      </c>
      <c r="E1596" s="226">
        <v>23153</v>
      </c>
      <c r="F1596" s="227"/>
      <c r="G1596" s="1" t="str">
        <f>IFERROR(IF(ventas_b_mes9[[#This Row],[CUIT]]="","-",VLOOKUP(ventas_b_mes9[[#This Row],[CUIT]],Lista_CUIT[#All],2,0)),"CUIT NO CARGADO")</f>
        <v>-</v>
      </c>
      <c r="H1596" s="60">
        <f>ventas_b_mes9[[#This Row],[TOTAL]]/1.21</f>
        <v>4958.68</v>
      </c>
      <c r="I1596" s="228">
        <f>ventas_b_mes9[[#This Row],[IMPORTE NETO]]*0.21</f>
        <v>1041.3227999999999</v>
      </c>
      <c r="J1596" s="229"/>
      <c r="K1596" s="229"/>
      <c r="L1596" s="229">
        <v>6000.0028000000002</v>
      </c>
      <c r="M1596" s="55"/>
    </row>
    <row r="1597" spans="2:13" x14ac:dyDescent="0.3">
      <c r="B1597" s="223">
        <v>44922</v>
      </c>
      <c r="C1597" s="224">
        <v>6</v>
      </c>
      <c r="D1597" s="225">
        <v>12</v>
      </c>
      <c r="E1597" s="226">
        <v>23154</v>
      </c>
      <c r="F1597" s="227"/>
      <c r="G1597" s="1" t="str">
        <f>IFERROR(IF(ventas_b_mes9[[#This Row],[CUIT]]="","-",VLOOKUP(ventas_b_mes9[[#This Row],[CUIT]],Lista_CUIT[#All],2,0)),"CUIT NO CARGADO")</f>
        <v>-</v>
      </c>
      <c r="H1597" s="60">
        <f>ventas_b_mes9[[#This Row],[TOTAL]]/1.21</f>
        <v>1611.57</v>
      </c>
      <c r="I1597" s="228">
        <f>ventas_b_mes9[[#This Row],[IMPORTE NETO]]*0.21</f>
        <v>338.42969999999997</v>
      </c>
      <c r="J1597" s="229"/>
      <c r="K1597" s="229"/>
      <c r="L1597" s="229">
        <v>1949.9996999999998</v>
      </c>
      <c r="M1597" s="55"/>
    </row>
    <row r="1598" spans="2:13" x14ac:dyDescent="0.3">
      <c r="B1598" s="223">
        <v>44922</v>
      </c>
      <c r="C1598" s="224">
        <v>6</v>
      </c>
      <c r="D1598" s="225">
        <v>12</v>
      </c>
      <c r="E1598" s="226">
        <v>23155</v>
      </c>
      <c r="F1598" s="227"/>
      <c r="G1598" s="1" t="str">
        <f>IFERROR(IF(ventas_b_mes9[[#This Row],[CUIT]]="","-",VLOOKUP(ventas_b_mes9[[#This Row],[CUIT]],Lista_CUIT[#All],2,0)),"CUIT NO CARGADO")</f>
        <v>-</v>
      </c>
      <c r="H1598" s="60">
        <f>ventas_b_mes9[[#This Row],[TOTAL]]/1.21</f>
        <v>1611.57</v>
      </c>
      <c r="I1598" s="228">
        <f>ventas_b_mes9[[#This Row],[IMPORTE NETO]]*0.21</f>
        <v>338.42969999999997</v>
      </c>
      <c r="J1598" s="229"/>
      <c r="K1598" s="229"/>
      <c r="L1598" s="229">
        <v>1949.9996999999998</v>
      </c>
      <c r="M1598" s="55"/>
    </row>
    <row r="1599" spans="2:13" x14ac:dyDescent="0.3">
      <c r="B1599" s="223">
        <v>44922</v>
      </c>
      <c r="C1599" s="224">
        <v>6</v>
      </c>
      <c r="D1599" s="225">
        <v>12</v>
      </c>
      <c r="E1599" s="226">
        <v>23156</v>
      </c>
      <c r="F1599" s="227"/>
      <c r="G1599" s="1" t="str">
        <f>IFERROR(IF(ventas_b_mes9[[#This Row],[CUIT]]="","-",VLOOKUP(ventas_b_mes9[[#This Row],[CUIT]],Lista_CUIT[#All],2,0)),"CUIT NO CARGADO")</f>
        <v>-</v>
      </c>
      <c r="H1599" s="60">
        <f>ventas_b_mes9[[#This Row],[TOTAL]]/1.21</f>
        <v>4958.68</v>
      </c>
      <c r="I1599" s="228">
        <f>ventas_b_mes9[[#This Row],[IMPORTE NETO]]*0.21</f>
        <v>1041.3227999999999</v>
      </c>
      <c r="J1599" s="229"/>
      <c r="K1599" s="229"/>
      <c r="L1599" s="229">
        <v>6000.0028000000002</v>
      </c>
      <c r="M1599" s="55"/>
    </row>
    <row r="1600" spans="2:13" x14ac:dyDescent="0.3">
      <c r="B1600" s="223">
        <v>44922</v>
      </c>
      <c r="C1600" s="224">
        <v>6</v>
      </c>
      <c r="D1600" s="225">
        <v>12</v>
      </c>
      <c r="E1600" s="226">
        <v>23157</v>
      </c>
      <c r="F1600" s="227"/>
      <c r="G1600" s="1" t="str">
        <f>IFERROR(IF(ventas_b_mes9[[#This Row],[CUIT]]="","-",VLOOKUP(ventas_b_mes9[[#This Row],[CUIT]],Lista_CUIT[#All],2,0)),"CUIT NO CARGADO")</f>
        <v>-</v>
      </c>
      <c r="H1600" s="60">
        <f>ventas_b_mes9[[#This Row],[TOTAL]]/1.21</f>
        <v>7854.5499999999993</v>
      </c>
      <c r="I1600" s="228">
        <f>ventas_b_mes9[[#This Row],[IMPORTE NETO]]*0.21</f>
        <v>1649.4554999999998</v>
      </c>
      <c r="J1600" s="229"/>
      <c r="K1600" s="229"/>
      <c r="L1600" s="229">
        <v>9504.0054999999993</v>
      </c>
      <c r="M1600" s="55"/>
    </row>
    <row r="1601" spans="2:13" x14ac:dyDescent="0.3">
      <c r="B1601" s="223">
        <v>44922</v>
      </c>
      <c r="C1601" s="224">
        <v>6</v>
      </c>
      <c r="D1601" s="225">
        <v>12</v>
      </c>
      <c r="E1601" s="226">
        <v>23158</v>
      </c>
      <c r="F1601" s="227"/>
      <c r="G1601" s="1" t="str">
        <f>IFERROR(IF(ventas_b_mes9[[#This Row],[CUIT]]="","-",VLOOKUP(ventas_b_mes9[[#This Row],[CUIT]],Lista_CUIT[#All],2,0)),"CUIT NO CARGADO")</f>
        <v>-</v>
      </c>
      <c r="H1601" s="60">
        <f>ventas_b_mes9[[#This Row],[TOTAL]]/1.21</f>
        <v>7938.04</v>
      </c>
      <c r="I1601" s="228">
        <f>ventas_b_mes9[[#This Row],[IMPORTE NETO]]*0.21</f>
        <v>1666.9884</v>
      </c>
      <c r="J1601" s="229"/>
      <c r="K1601" s="229"/>
      <c r="L1601" s="229">
        <v>9605.0283999999992</v>
      </c>
      <c r="M1601" s="55"/>
    </row>
    <row r="1602" spans="2:13" x14ac:dyDescent="0.3">
      <c r="B1602" s="223">
        <v>44923</v>
      </c>
      <c r="C1602" s="224">
        <v>6</v>
      </c>
      <c r="D1602" s="225">
        <v>13</v>
      </c>
      <c r="E1602" s="226">
        <v>27202</v>
      </c>
      <c r="F1602" s="227"/>
      <c r="G1602" s="1" t="str">
        <f>IFERROR(IF(ventas_b_mes9[[#This Row],[CUIT]]="","-",VLOOKUP(ventas_b_mes9[[#This Row],[CUIT]],Lista_CUIT[#All],2,0)),"CUIT NO CARGADO")</f>
        <v>-</v>
      </c>
      <c r="H1602" s="60">
        <f>ventas_b_mes9[[#This Row],[TOTAL]]/1.21</f>
        <v>5196.6899999999996</v>
      </c>
      <c r="I1602" s="228">
        <f>ventas_b_mes9[[#This Row],[IMPORTE NETO]]*0.21</f>
        <v>1091.3048999999999</v>
      </c>
      <c r="J1602" s="229"/>
      <c r="K1602" s="229"/>
      <c r="L1602" s="229">
        <v>6287.9948999999997</v>
      </c>
      <c r="M1602" s="55"/>
    </row>
    <row r="1603" spans="2:13" x14ac:dyDescent="0.3">
      <c r="B1603" s="223">
        <v>44923</v>
      </c>
      <c r="C1603" s="224">
        <v>6</v>
      </c>
      <c r="D1603" s="225">
        <v>13</v>
      </c>
      <c r="E1603" s="226">
        <v>27203</v>
      </c>
      <c r="F1603" s="227"/>
      <c r="G1603" s="1" t="str">
        <f>IFERROR(IF(ventas_b_mes9[[#This Row],[CUIT]]="","-",VLOOKUP(ventas_b_mes9[[#This Row],[CUIT]],Lista_CUIT[#All],2,0)),"CUIT NO CARGADO")</f>
        <v>-</v>
      </c>
      <c r="H1603" s="60">
        <f>ventas_b_mes9[[#This Row],[TOTAL]]/1.21</f>
        <v>1636.36</v>
      </c>
      <c r="I1603" s="228">
        <f>ventas_b_mes9[[#This Row],[IMPORTE NETO]]*0.21</f>
        <v>343.63559999999995</v>
      </c>
      <c r="J1603" s="229"/>
      <c r="K1603" s="229"/>
      <c r="L1603" s="229">
        <v>1979.9955999999997</v>
      </c>
      <c r="M1603" s="55"/>
    </row>
    <row r="1604" spans="2:13" x14ac:dyDescent="0.3">
      <c r="B1604" s="223">
        <v>44923</v>
      </c>
      <c r="C1604" s="224">
        <v>6</v>
      </c>
      <c r="D1604" s="225">
        <v>13</v>
      </c>
      <c r="E1604" s="226">
        <v>27204</v>
      </c>
      <c r="F1604" s="227"/>
      <c r="G1604" s="1" t="str">
        <f>IFERROR(IF(ventas_b_mes9[[#This Row],[CUIT]]="","-",VLOOKUP(ventas_b_mes9[[#This Row],[CUIT]],Lista_CUIT[#All],2,0)),"CUIT NO CARGADO")</f>
        <v>-</v>
      </c>
      <c r="H1604" s="60">
        <f>ventas_b_mes9[[#This Row],[TOTAL]]/1.21</f>
        <v>4204.96</v>
      </c>
      <c r="I1604" s="228">
        <f>ventas_b_mes9[[#This Row],[IMPORTE NETO]]*0.21</f>
        <v>883.04160000000002</v>
      </c>
      <c r="J1604" s="229"/>
      <c r="K1604" s="229"/>
      <c r="L1604" s="229">
        <v>5088.0015999999996</v>
      </c>
      <c r="M1604" s="55"/>
    </row>
    <row r="1605" spans="2:13" x14ac:dyDescent="0.3">
      <c r="B1605" s="223">
        <v>44923</v>
      </c>
      <c r="C1605" s="224">
        <v>6</v>
      </c>
      <c r="D1605" s="225">
        <v>13</v>
      </c>
      <c r="E1605" s="226">
        <v>27205</v>
      </c>
      <c r="F1605" s="227"/>
      <c r="G1605" s="1" t="str">
        <f>IFERROR(IF(ventas_b_mes9[[#This Row],[CUIT]]="","-",VLOOKUP(ventas_b_mes9[[#This Row],[CUIT]],Lista_CUIT[#All],2,0)),"CUIT NO CARGADO")</f>
        <v>-</v>
      </c>
      <c r="H1605" s="60">
        <f>ventas_b_mes9[[#This Row],[TOTAL]]/1.21</f>
        <v>6089.26</v>
      </c>
      <c r="I1605" s="228">
        <f>ventas_b_mes9[[#This Row],[IMPORTE NETO]]*0.21</f>
        <v>1278.7446</v>
      </c>
      <c r="J1605" s="229"/>
      <c r="K1605" s="229"/>
      <c r="L1605" s="229">
        <v>7368.0046000000002</v>
      </c>
      <c r="M1605" s="55"/>
    </row>
    <row r="1606" spans="2:13" x14ac:dyDescent="0.3">
      <c r="B1606" s="223">
        <v>44923</v>
      </c>
      <c r="C1606" s="224">
        <v>6</v>
      </c>
      <c r="D1606" s="225">
        <v>13</v>
      </c>
      <c r="E1606" s="226">
        <v>27206</v>
      </c>
      <c r="F1606" s="227"/>
      <c r="G1606" s="1" t="str">
        <f>IFERROR(IF(ventas_b_mes9[[#This Row],[CUIT]]="","-",VLOOKUP(ventas_b_mes9[[#This Row],[CUIT]],Lista_CUIT[#All],2,0)),"CUIT NO CARGADO")</f>
        <v>-</v>
      </c>
      <c r="H1606" s="60">
        <f>ventas_b_mes9[[#This Row],[TOTAL]]/1.21</f>
        <v>1958.6800000000003</v>
      </c>
      <c r="I1606" s="228">
        <f>ventas_b_mes9[[#This Row],[IMPORTE NETO]]*0.21</f>
        <v>411.32280000000003</v>
      </c>
      <c r="J1606" s="229"/>
      <c r="K1606" s="229"/>
      <c r="L1606" s="229">
        <v>2370.0028000000002</v>
      </c>
      <c r="M1606" s="55"/>
    </row>
    <row r="1607" spans="2:13" x14ac:dyDescent="0.3">
      <c r="B1607" s="223">
        <v>44923</v>
      </c>
      <c r="C1607" s="224">
        <v>6</v>
      </c>
      <c r="D1607" s="225">
        <v>13</v>
      </c>
      <c r="E1607" s="226">
        <v>27207</v>
      </c>
      <c r="F1607" s="227"/>
      <c r="G1607" s="1" t="str">
        <f>IFERROR(IF(ventas_b_mes9[[#This Row],[CUIT]]="","-",VLOOKUP(ventas_b_mes9[[#This Row],[CUIT]],Lista_CUIT[#All],2,0)),"CUIT NO CARGADO")</f>
        <v>-</v>
      </c>
      <c r="H1607" s="60">
        <f>ventas_b_mes9[[#This Row],[TOTAL]]/1.21</f>
        <v>4842.9799999999996</v>
      </c>
      <c r="I1607" s="228">
        <f>ventas_b_mes9[[#This Row],[IMPORTE NETO]]*0.21</f>
        <v>1017.0257999999999</v>
      </c>
      <c r="J1607" s="229"/>
      <c r="K1607" s="229"/>
      <c r="L1607" s="229">
        <v>5860.005799999999</v>
      </c>
      <c r="M1607" s="55"/>
    </row>
    <row r="1608" spans="2:13" x14ac:dyDescent="0.3">
      <c r="B1608" s="223">
        <v>44923</v>
      </c>
      <c r="C1608" s="224">
        <v>6</v>
      </c>
      <c r="D1608" s="225">
        <v>13</v>
      </c>
      <c r="E1608" s="226">
        <v>27208</v>
      </c>
      <c r="F1608" s="227"/>
      <c r="G1608" s="1" t="str">
        <f>IFERROR(IF(ventas_b_mes9[[#This Row],[CUIT]]="","-",VLOOKUP(ventas_b_mes9[[#This Row],[CUIT]],Lista_CUIT[#All],2,0)),"CUIT NO CARGADO")</f>
        <v>-</v>
      </c>
      <c r="H1608" s="60">
        <f>ventas_b_mes9[[#This Row],[TOTAL]]/1.21</f>
        <v>2181.8200000000002</v>
      </c>
      <c r="I1608" s="228">
        <f>ventas_b_mes9[[#This Row],[IMPORTE NETO]]*0.21</f>
        <v>458.18220000000002</v>
      </c>
      <c r="J1608" s="229"/>
      <c r="K1608" s="229"/>
      <c r="L1608" s="229">
        <v>2640.0022000000004</v>
      </c>
      <c r="M1608" s="55"/>
    </row>
    <row r="1609" spans="2:13" x14ac:dyDescent="0.3">
      <c r="B1609" s="223">
        <v>44923</v>
      </c>
      <c r="C1609" s="224">
        <v>6</v>
      </c>
      <c r="D1609" s="225">
        <v>13</v>
      </c>
      <c r="E1609" s="226">
        <v>27209</v>
      </c>
      <c r="F1609" s="227"/>
      <c r="G1609" s="1" t="str">
        <f>IFERROR(IF(ventas_b_mes9[[#This Row],[CUIT]]="","-",VLOOKUP(ventas_b_mes9[[#This Row],[CUIT]],Lista_CUIT[#All],2,0)),"CUIT NO CARGADO")</f>
        <v>-</v>
      </c>
      <c r="H1609" s="60">
        <f>ventas_b_mes9[[#This Row],[TOTAL]]/1.21</f>
        <v>1388.43</v>
      </c>
      <c r="I1609" s="228">
        <f>ventas_b_mes9[[#This Row],[IMPORTE NETO]]*0.21</f>
        <v>291.57029999999997</v>
      </c>
      <c r="J1609" s="229"/>
      <c r="K1609" s="229"/>
      <c r="L1609" s="229">
        <v>1680.0003000000002</v>
      </c>
      <c r="M1609" s="55"/>
    </row>
    <row r="1610" spans="2:13" x14ac:dyDescent="0.3">
      <c r="B1610" s="223">
        <v>44923</v>
      </c>
      <c r="C1610" s="224">
        <v>6</v>
      </c>
      <c r="D1610" s="225">
        <v>13</v>
      </c>
      <c r="E1610" s="226">
        <v>27210</v>
      </c>
      <c r="F1610" s="227"/>
      <c r="G1610" s="1" t="str">
        <f>IFERROR(IF(ventas_b_mes9[[#This Row],[CUIT]]="","-",VLOOKUP(ventas_b_mes9[[#This Row],[CUIT]],Lista_CUIT[#All],2,0)),"CUIT NO CARGADO")</f>
        <v>-</v>
      </c>
      <c r="H1610" s="60">
        <f>ventas_b_mes9[[#This Row],[TOTAL]]/1.21</f>
        <v>10314.06</v>
      </c>
      <c r="I1610" s="228">
        <f>ventas_b_mes9[[#This Row],[IMPORTE NETO]]*0.21</f>
        <v>2165.9525999999996</v>
      </c>
      <c r="J1610" s="229"/>
      <c r="K1610" s="229"/>
      <c r="L1610" s="229">
        <v>12480.012599999998</v>
      </c>
      <c r="M1610" s="55"/>
    </row>
    <row r="1611" spans="2:13" x14ac:dyDescent="0.3">
      <c r="B1611" s="223">
        <v>44923</v>
      </c>
      <c r="C1611" s="224">
        <v>6</v>
      </c>
      <c r="D1611" s="225">
        <v>13</v>
      </c>
      <c r="E1611" s="226">
        <v>27211</v>
      </c>
      <c r="F1611" s="227"/>
      <c r="G1611" s="1" t="str">
        <f>IFERROR(IF(ventas_b_mes9[[#This Row],[CUIT]]="","-",VLOOKUP(ventas_b_mes9[[#This Row],[CUIT]],Lista_CUIT[#All],2,0)),"CUIT NO CARGADO")</f>
        <v>-</v>
      </c>
      <c r="H1611" s="60">
        <f>ventas_b_mes9[[#This Row],[TOTAL]]/1.21</f>
        <v>18516.54</v>
      </c>
      <c r="I1611" s="228">
        <f>ventas_b_mes9[[#This Row],[IMPORTE NETO]]*0.21</f>
        <v>3888.4733999999999</v>
      </c>
      <c r="J1611" s="229"/>
      <c r="K1611" s="229"/>
      <c r="L1611" s="229">
        <v>22405.0134</v>
      </c>
      <c r="M1611" s="55"/>
    </row>
    <row r="1612" spans="2:13" x14ac:dyDescent="0.3">
      <c r="B1612" s="223">
        <v>44923</v>
      </c>
      <c r="C1612" s="224">
        <v>6</v>
      </c>
      <c r="D1612" s="225">
        <v>13</v>
      </c>
      <c r="E1612" s="226">
        <v>27212</v>
      </c>
      <c r="F1612" s="227"/>
      <c r="G1612" s="1" t="str">
        <f>IFERROR(IF(ventas_b_mes9[[#This Row],[CUIT]]="","-",VLOOKUP(ventas_b_mes9[[#This Row],[CUIT]],Lista_CUIT[#All],2,0)),"CUIT NO CARGADO")</f>
        <v>-</v>
      </c>
      <c r="H1612" s="60">
        <f>ventas_b_mes9[[#This Row],[TOTAL]]/1.21</f>
        <v>2231.41</v>
      </c>
      <c r="I1612" s="228">
        <f>ventas_b_mes9[[#This Row],[IMPORTE NETO]]*0.21</f>
        <v>468.59609999999998</v>
      </c>
      <c r="J1612" s="229"/>
      <c r="K1612" s="229"/>
      <c r="L1612" s="229">
        <v>2700.0060999999996</v>
      </c>
      <c r="M1612" s="55"/>
    </row>
    <row r="1613" spans="2:13" x14ac:dyDescent="0.3">
      <c r="B1613" s="223">
        <v>44923</v>
      </c>
      <c r="C1613" s="224">
        <v>6</v>
      </c>
      <c r="D1613" s="225">
        <v>13</v>
      </c>
      <c r="E1613" s="226">
        <v>27213</v>
      </c>
      <c r="F1613" s="227"/>
      <c r="G1613" s="1" t="str">
        <f>IFERROR(IF(ventas_b_mes9[[#This Row],[CUIT]]="","-",VLOOKUP(ventas_b_mes9[[#This Row],[CUIT]],Lista_CUIT[#All],2,0)),"CUIT NO CARGADO")</f>
        <v>-</v>
      </c>
      <c r="H1613" s="60">
        <f>ventas_b_mes9[[#This Row],[TOTAL]]/1.21</f>
        <v>5437.19</v>
      </c>
      <c r="I1613" s="228">
        <f>ventas_b_mes9[[#This Row],[IMPORTE NETO]]*0.21</f>
        <v>1141.8099</v>
      </c>
      <c r="J1613" s="229"/>
      <c r="K1613" s="229"/>
      <c r="L1613" s="229">
        <v>6578.9998999999998</v>
      </c>
      <c r="M1613" s="55"/>
    </row>
    <row r="1614" spans="2:13" x14ac:dyDescent="0.3">
      <c r="B1614" s="223">
        <v>44923</v>
      </c>
      <c r="C1614" s="224">
        <v>6</v>
      </c>
      <c r="D1614" s="225">
        <v>13</v>
      </c>
      <c r="E1614" s="226">
        <v>27214</v>
      </c>
      <c r="F1614" s="227"/>
      <c r="G1614" s="1" t="str">
        <f>IFERROR(IF(ventas_b_mes9[[#This Row],[CUIT]]="","-",VLOOKUP(ventas_b_mes9[[#This Row],[CUIT]],Lista_CUIT[#All],2,0)),"CUIT NO CARGADO")</f>
        <v>-</v>
      </c>
      <c r="H1614" s="60">
        <f>ventas_b_mes9[[#This Row],[TOTAL]]/1.21</f>
        <v>10978.51</v>
      </c>
      <c r="I1614" s="228">
        <f>ventas_b_mes9[[#This Row],[IMPORTE NETO]]*0.21</f>
        <v>2305.4870999999998</v>
      </c>
      <c r="J1614" s="229"/>
      <c r="K1614" s="229"/>
      <c r="L1614" s="229">
        <v>13283.997100000001</v>
      </c>
      <c r="M1614" s="55"/>
    </row>
    <row r="1615" spans="2:13" x14ac:dyDescent="0.3">
      <c r="B1615" s="223">
        <v>44923</v>
      </c>
      <c r="C1615" s="224">
        <v>6</v>
      </c>
      <c r="D1615" s="225">
        <v>13</v>
      </c>
      <c r="E1615" s="226">
        <v>27215</v>
      </c>
      <c r="F1615" s="227"/>
      <c r="G1615" s="1" t="str">
        <f>IFERROR(IF(ventas_b_mes9[[#This Row],[CUIT]]="","-",VLOOKUP(ventas_b_mes9[[#This Row],[CUIT]],Lista_CUIT[#All],2,0)),"CUIT NO CARGADO")</f>
        <v>-</v>
      </c>
      <c r="H1615" s="60">
        <f>ventas_b_mes9[[#This Row],[TOTAL]]/1.21</f>
        <v>9042.15</v>
      </c>
      <c r="I1615" s="228">
        <f>ventas_b_mes9[[#This Row],[IMPORTE NETO]]*0.21</f>
        <v>1898.8514999999998</v>
      </c>
      <c r="J1615" s="229"/>
      <c r="K1615" s="229"/>
      <c r="L1615" s="229">
        <v>10941.001499999998</v>
      </c>
      <c r="M1615" s="55"/>
    </row>
    <row r="1616" spans="2:13" x14ac:dyDescent="0.3">
      <c r="B1616" s="223">
        <v>44923</v>
      </c>
      <c r="C1616" s="224">
        <v>6</v>
      </c>
      <c r="D1616" s="225">
        <v>13</v>
      </c>
      <c r="E1616" s="226">
        <v>27216</v>
      </c>
      <c r="F1616" s="227"/>
      <c r="G1616" s="1" t="str">
        <f>IFERROR(IF(ventas_b_mes9[[#This Row],[CUIT]]="","-",VLOOKUP(ventas_b_mes9[[#This Row],[CUIT]],Lista_CUIT[#All],2,0)),"CUIT NO CARGADO")</f>
        <v>-</v>
      </c>
      <c r="H1616" s="60">
        <f>ventas_b_mes9[[#This Row],[TOTAL]]/1.21</f>
        <v>3133.88</v>
      </c>
      <c r="I1616" s="228">
        <f>ventas_b_mes9[[#This Row],[IMPORTE NETO]]*0.21</f>
        <v>658.11479999999995</v>
      </c>
      <c r="J1616" s="229"/>
      <c r="K1616" s="229"/>
      <c r="L1616" s="229">
        <v>3791.9947999999999</v>
      </c>
      <c r="M1616" s="55"/>
    </row>
    <row r="1617" spans="2:13" x14ac:dyDescent="0.3">
      <c r="B1617" s="223">
        <v>44923</v>
      </c>
      <c r="C1617" s="224">
        <v>6</v>
      </c>
      <c r="D1617" s="225">
        <v>13</v>
      </c>
      <c r="E1617" s="226">
        <v>27217</v>
      </c>
      <c r="F1617" s="227"/>
      <c r="G1617" s="1" t="str">
        <f>IFERROR(IF(ventas_b_mes9[[#This Row],[CUIT]]="","-",VLOOKUP(ventas_b_mes9[[#This Row],[CUIT]],Lista_CUIT[#All],2,0)),"CUIT NO CARGADO")</f>
        <v>-</v>
      </c>
      <c r="H1617" s="60">
        <f>ventas_b_mes9[[#This Row],[TOTAL]]/1.21</f>
        <v>4442.9799999999996</v>
      </c>
      <c r="I1617" s="228">
        <f>ventas_b_mes9[[#This Row],[IMPORTE NETO]]*0.21</f>
        <v>933.02579999999989</v>
      </c>
      <c r="J1617" s="229"/>
      <c r="K1617" s="229"/>
      <c r="L1617" s="229">
        <v>5376.005799999999</v>
      </c>
      <c r="M1617" s="55"/>
    </row>
    <row r="1618" spans="2:13" x14ac:dyDescent="0.3">
      <c r="B1618" s="223">
        <v>44923</v>
      </c>
      <c r="C1618" s="224">
        <v>6</v>
      </c>
      <c r="D1618" s="225">
        <v>11</v>
      </c>
      <c r="E1618" s="226">
        <v>30652</v>
      </c>
      <c r="F1618" s="227"/>
      <c r="G1618" s="1" t="str">
        <f>IFERROR(IF(ventas_b_mes9[[#This Row],[CUIT]]="","-",VLOOKUP(ventas_b_mes9[[#This Row],[CUIT]],Lista_CUIT[#All],2,0)),"CUIT NO CARGADO")</f>
        <v>-</v>
      </c>
      <c r="H1618" s="60">
        <f>ventas_b_mes9[[#This Row],[TOTAL]]/1.21</f>
        <v>9778.52</v>
      </c>
      <c r="I1618" s="228">
        <f>ventas_b_mes9[[#This Row],[IMPORTE NETO]]*0.21</f>
        <v>2053.4892</v>
      </c>
      <c r="J1618" s="229"/>
      <c r="K1618" s="229"/>
      <c r="L1618" s="229">
        <v>11832.0092</v>
      </c>
      <c r="M1618" s="55"/>
    </row>
    <row r="1619" spans="2:13" x14ac:dyDescent="0.3">
      <c r="B1619" s="223">
        <v>44923</v>
      </c>
      <c r="C1619" s="224">
        <v>6</v>
      </c>
      <c r="D1619" s="225">
        <v>11</v>
      </c>
      <c r="E1619" s="226">
        <v>30653</v>
      </c>
      <c r="F1619" s="227"/>
      <c r="G1619" s="1" t="str">
        <f>IFERROR(IF(ventas_b_mes9[[#This Row],[CUIT]]="","-",VLOOKUP(ventas_b_mes9[[#This Row],[CUIT]],Lista_CUIT[#All],2,0)),"CUIT NO CARGADO")</f>
        <v>-</v>
      </c>
      <c r="H1619" s="60">
        <f>ventas_b_mes9[[#This Row],[TOTAL]]/1.21</f>
        <v>6168.6</v>
      </c>
      <c r="I1619" s="228">
        <f>ventas_b_mes9[[#This Row],[IMPORTE NETO]]*0.21</f>
        <v>1295.4059999999999</v>
      </c>
      <c r="J1619" s="229"/>
      <c r="K1619" s="229"/>
      <c r="L1619" s="229">
        <v>7464.0060000000003</v>
      </c>
      <c r="M1619" s="55"/>
    </row>
    <row r="1620" spans="2:13" x14ac:dyDescent="0.3">
      <c r="B1620" s="223">
        <v>44923</v>
      </c>
      <c r="C1620" s="224">
        <v>6</v>
      </c>
      <c r="D1620" s="225">
        <v>11</v>
      </c>
      <c r="E1620" s="226">
        <v>30654</v>
      </c>
      <c r="F1620" s="227"/>
      <c r="G1620" s="1" t="str">
        <f>IFERROR(IF(ventas_b_mes9[[#This Row],[CUIT]]="","-",VLOOKUP(ventas_b_mes9[[#This Row],[CUIT]],Lista_CUIT[#All],2,0)),"CUIT NO CARGADO")</f>
        <v>-</v>
      </c>
      <c r="H1620" s="60">
        <f>ventas_b_mes9[[#This Row],[TOTAL]]/1.21</f>
        <v>7800</v>
      </c>
      <c r="I1620" s="228">
        <f>ventas_b_mes9[[#This Row],[IMPORTE NETO]]*0.21</f>
        <v>1638</v>
      </c>
      <c r="J1620" s="229"/>
      <c r="K1620" s="229"/>
      <c r="L1620" s="229">
        <v>9438</v>
      </c>
      <c r="M1620" s="55"/>
    </row>
    <row r="1621" spans="2:13" x14ac:dyDescent="0.3">
      <c r="B1621" s="223">
        <v>44923</v>
      </c>
      <c r="C1621" s="224">
        <v>6</v>
      </c>
      <c r="D1621" s="225">
        <v>11</v>
      </c>
      <c r="E1621" s="226">
        <v>30655</v>
      </c>
      <c r="F1621" s="227"/>
      <c r="G1621" s="1" t="str">
        <f>IFERROR(IF(ventas_b_mes9[[#This Row],[CUIT]]="","-",VLOOKUP(ventas_b_mes9[[#This Row],[CUIT]],Lista_CUIT[#All],2,0)),"CUIT NO CARGADO")</f>
        <v>-</v>
      </c>
      <c r="H1621" s="60">
        <f>ventas_b_mes9[[#This Row],[TOTAL]]/1.21</f>
        <v>10604.14</v>
      </c>
      <c r="I1621" s="228">
        <f>ventas_b_mes9[[#This Row],[IMPORTE NETO]]*0.21</f>
        <v>2226.8693999999996</v>
      </c>
      <c r="J1621" s="229"/>
      <c r="K1621" s="229"/>
      <c r="L1621" s="229">
        <v>12831.009399999999</v>
      </c>
      <c r="M1621" s="55"/>
    </row>
    <row r="1622" spans="2:13" x14ac:dyDescent="0.3">
      <c r="B1622" s="223">
        <v>44923</v>
      </c>
      <c r="C1622" s="224">
        <v>6</v>
      </c>
      <c r="D1622" s="225">
        <v>11</v>
      </c>
      <c r="E1622" s="226">
        <v>30656</v>
      </c>
      <c r="F1622" s="227"/>
      <c r="G1622" s="1" t="str">
        <f>IFERROR(IF(ventas_b_mes9[[#This Row],[CUIT]]="","-",VLOOKUP(ventas_b_mes9[[#This Row],[CUIT]],Lista_CUIT[#All],2,0)),"CUIT NO CARGADO")</f>
        <v>-</v>
      </c>
      <c r="H1622" s="60">
        <f>ventas_b_mes9[[#This Row],[TOTAL]]/1.21</f>
        <v>2634.71</v>
      </c>
      <c r="I1622" s="228">
        <f>ventas_b_mes9[[#This Row],[IMPORTE NETO]]*0.21</f>
        <v>553.28909999999996</v>
      </c>
      <c r="J1622" s="229"/>
      <c r="K1622" s="229"/>
      <c r="L1622" s="229">
        <v>3187.9991</v>
      </c>
      <c r="M1622" s="55"/>
    </row>
    <row r="1623" spans="2:13" x14ac:dyDescent="0.3">
      <c r="B1623" s="223">
        <v>44923</v>
      </c>
      <c r="C1623" s="224">
        <v>6</v>
      </c>
      <c r="D1623" s="225">
        <v>11</v>
      </c>
      <c r="E1623" s="226">
        <v>30657</v>
      </c>
      <c r="F1623" s="227"/>
      <c r="G1623" s="1" t="str">
        <f>IFERROR(IF(ventas_b_mes9[[#This Row],[CUIT]]="","-",VLOOKUP(ventas_b_mes9[[#This Row],[CUIT]],Lista_CUIT[#All],2,0)),"CUIT NO CARGADO")</f>
        <v>-</v>
      </c>
      <c r="H1623" s="60">
        <f>ventas_b_mes9[[#This Row],[TOTAL]]/1.21</f>
        <v>6652.07</v>
      </c>
      <c r="I1623" s="228">
        <f>ventas_b_mes9[[#This Row],[IMPORTE NETO]]*0.21</f>
        <v>1396.9346999999998</v>
      </c>
      <c r="J1623" s="229"/>
      <c r="K1623" s="229"/>
      <c r="L1623" s="229">
        <v>8049.0046999999995</v>
      </c>
      <c r="M1623" s="55"/>
    </row>
    <row r="1624" spans="2:13" x14ac:dyDescent="0.3">
      <c r="B1624" s="223">
        <v>44923</v>
      </c>
      <c r="C1624" s="224">
        <v>6</v>
      </c>
      <c r="D1624" s="225">
        <v>11</v>
      </c>
      <c r="E1624" s="226">
        <v>30658</v>
      </c>
      <c r="F1624" s="227"/>
      <c r="G1624" s="1" t="str">
        <f>IFERROR(IF(ventas_b_mes9[[#This Row],[CUIT]]="","-",VLOOKUP(ventas_b_mes9[[#This Row],[CUIT]],Lista_CUIT[#All],2,0)),"CUIT NO CARGADO")</f>
        <v>-</v>
      </c>
      <c r="H1624" s="60">
        <f>ventas_b_mes9[[#This Row],[TOTAL]]/1.21</f>
        <v>6664.4600000000009</v>
      </c>
      <c r="I1624" s="228">
        <f>ventas_b_mes9[[#This Row],[IMPORTE NETO]]*0.21</f>
        <v>1399.5366000000001</v>
      </c>
      <c r="J1624" s="229"/>
      <c r="K1624" s="229"/>
      <c r="L1624" s="229">
        <v>8063.9966000000004</v>
      </c>
      <c r="M1624" s="55"/>
    </row>
    <row r="1625" spans="2:13" x14ac:dyDescent="0.3">
      <c r="B1625" s="223">
        <v>44923</v>
      </c>
      <c r="C1625" s="224">
        <v>6</v>
      </c>
      <c r="D1625" s="225">
        <v>11</v>
      </c>
      <c r="E1625" s="226">
        <v>30659</v>
      </c>
      <c r="F1625" s="227"/>
      <c r="G1625" s="1" t="str">
        <f>IFERROR(IF(ventas_b_mes9[[#This Row],[CUIT]]="","-",VLOOKUP(ventas_b_mes9[[#This Row],[CUIT]],Lista_CUIT[#All],2,0)),"CUIT NO CARGADO")</f>
        <v>-</v>
      </c>
      <c r="H1625" s="60">
        <f>ventas_b_mes9[[#This Row],[TOTAL]]/1.21</f>
        <v>2737.19</v>
      </c>
      <c r="I1625" s="228">
        <f>ventas_b_mes9[[#This Row],[IMPORTE NETO]]*0.21</f>
        <v>574.80989999999997</v>
      </c>
      <c r="J1625" s="229"/>
      <c r="K1625" s="229"/>
      <c r="L1625" s="229">
        <v>3311.9998999999998</v>
      </c>
      <c r="M1625" s="55"/>
    </row>
    <row r="1626" spans="2:13" x14ac:dyDescent="0.3">
      <c r="B1626" s="223">
        <v>44923</v>
      </c>
      <c r="C1626" s="224">
        <v>6</v>
      </c>
      <c r="D1626" s="225">
        <v>11</v>
      </c>
      <c r="E1626" s="226">
        <v>30660</v>
      </c>
      <c r="F1626" s="227"/>
      <c r="G1626" s="1" t="str">
        <f>IFERROR(IF(ventas_b_mes9[[#This Row],[CUIT]]="","-",VLOOKUP(ventas_b_mes9[[#This Row],[CUIT]],Lista_CUIT[#All],2,0)),"CUIT NO CARGADO")</f>
        <v>-</v>
      </c>
      <c r="H1626" s="60">
        <f>ventas_b_mes9[[#This Row],[TOTAL]]/1.21</f>
        <v>6611.56</v>
      </c>
      <c r="I1626" s="228">
        <f>ventas_b_mes9[[#This Row],[IMPORTE NETO]]*0.21</f>
        <v>1388.4276</v>
      </c>
      <c r="J1626" s="229"/>
      <c r="K1626" s="229"/>
      <c r="L1626" s="229">
        <v>7999.9876000000004</v>
      </c>
      <c r="M1626" s="55"/>
    </row>
    <row r="1627" spans="2:13" x14ac:dyDescent="0.3">
      <c r="B1627" s="223">
        <v>44923</v>
      </c>
      <c r="C1627" s="224">
        <v>6</v>
      </c>
      <c r="D1627" s="225">
        <v>11</v>
      </c>
      <c r="E1627" s="226">
        <v>30661</v>
      </c>
      <c r="F1627" s="227"/>
      <c r="G1627" s="1" t="str">
        <f>IFERROR(IF(ventas_b_mes9[[#This Row],[CUIT]]="","-",VLOOKUP(ventas_b_mes9[[#This Row],[CUIT]],Lista_CUIT[#All],2,0)),"CUIT NO CARGADO")</f>
        <v>-</v>
      </c>
      <c r="H1627" s="60">
        <f>ventas_b_mes9[[#This Row],[TOTAL]]/1.21</f>
        <v>12909.9</v>
      </c>
      <c r="I1627" s="228">
        <f>ventas_b_mes9[[#This Row],[IMPORTE NETO]]*0.21</f>
        <v>2711.0789999999997</v>
      </c>
      <c r="J1627" s="229"/>
      <c r="K1627" s="229"/>
      <c r="L1627" s="229">
        <v>15620.978999999999</v>
      </c>
      <c r="M1627" s="55"/>
    </row>
    <row r="1628" spans="2:13" x14ac:dyDescent="0.3">
      <c r="B1628" s="223">
        <v>44923</v>
      </c>
      <c r="C1628" s="224">
        <v>6</v>
      </c>
      <c r="D1628" s="225">
        <v>11</v>
      </c>
      <c r="E1628" s="226">
        <v>30662</v>
      </c>
      <c r="F1628" s="227"/>
      <c r="G1628" s="1" t="str">
        <f>IFERROR(IF(ventas_b_mes9[[#This Row],[CUIT]]="","-",VLOOKUP(ventas_b_mes9[[#This Row],[CUIT]],Lista_CUIT[#All],2,0)),"CUIT NO CARGADO")</f>
        <v>-</v>
      </c>
      <c r="H1628" s="60">
        <f>ventas_b_mes9[[#This Row],[TOTAL]]/1.21</f>
        <v>3498.34</v>
      </c>
      <c r="I1628" s="228">
        <f>ventas_b_mes9[[#This Row],[IMPORTE NETO]]*0.21</f>
        <v>734.65139999999997</v>
      </c>
      <c r="J1628" s="229"/>
      <c r="K1628" s="229"/>
      <c r="L1628" s="229">
        <v>4232.9913999999999</v>
      </c>
      <c r="M1628" s="55"/>
    </row>
    <row r="1629" spans="2:13" x14ac:dyDescent="0.3">
      <c r="B1629" s="223">
        <v>44923</v>
      </c>
      <c r="C1629" s="224">
        <v>6</v>
      </c>
      <c r="D1629" s="225">
        <v>11</v>
      </c>
      <c r="E1629" s="226">
        <v>30663</v>
      </c>
      <c r="F1629" s="227"/>
      <c r="G1629" s="1" t="str">
        <f>IFERROR(IF(ventas_b_mes9[[#This Row],[CUIT]]="","-",VLOOKUP(ventas_b_mes9[[#This Row],[CUIT]],Lista_CUIT[#All],2,0)),"CUIT NO CARGADO")</f>
        <v>-</v>
      </c>
      <c r="H1629" s="60">
        <f>ventas_b_mes9[[#This Row],[TOTAL]]/1.21</f>
        <v>1222.31</v>
      </c>
      <c r="I1629" s="228">
        <f>ventas_b_mes9[[#This Row],[IMPORTE NETO]]*0.21</f>
        <v>256.68509999999998</v>
      </c>
      <c r="J1629" s="229"/>
      <c r="K1629" s="229"/>
      <c r="L1629" s="229">
        <v>1478.9950999999999</v>
      </c>
      <c r="M1629" s="55"/>
    </row>
    <row r="1630" spans="2:13" x14ac:dyDescent="0.3">
      <c r="B1630" s="223">
        <v>44923</v>
      </c>
      <c r="C1630" s="224">
        <v>6</v>
      </c>
      <c r="D1630" s="225">
        <v>11</v>
      </c>
      <c r="E1630" s="226">
        <v>30664</v>
      </c>
      <c r="F1630" s="227"/>
      <c r="G1630" s="1" t="str">
        <f>IFERROR(IF(ventas_b_mes9[[#This Row],[CUIT]]="","-",VLOOKUP(ventas_b_mes9[[#This Row],[CUIT]],Lista_CUIT[#All],2,0)),"CUIT NO CARGADO")</f>
        <v>-</v>
      </c>
      <c r="H1630" s="60">
        <f>ventas_b_mes9[[#This Row],[TOTAL]]/1.21</f>
        <v>366.83</v>
      </c>
      <c r="I1630" s="228">
        <f>ventas_b_mes9[[#This Row],[IMPORTE NETO]]*0.21</f>
        <v>77.034299999999988</v>
      </c>
      <c r="J1630" s="229"/>
      <c r="K1630" s="229"/>
      <c r="L1630" s="229">
        <v>443.86429999999996</v>
      </c>
      <c r="M1630" s="55"/>
    </row>
    <row r="1631" spans="2:13" x14ac:dyDescent="0.3">
      <c r="B1631" s="223">
        <v>44923</v>
      </c>
      <c r="C1631" s="224">
        <v>6</v>
      </c>
      <c r="D1631" s="225">
        <v>11</v>
      </c>
      <c r="E1631" s="226">
        <v>30665</v>
      </c>
      <c r="F1631" s="227"/>
      <c r="G1631" s="1" t="str">
        <f>IFERROR(IF(ventas_b_mes9[[#This Row],[CUIT]]="","-",VLOOKUP(ventas_b_mes9[[#This Row],[CUIT]],Lista_CUIT[#All],2,0)),"CUIT NO CARGADO")</f>
        <v>-</v>
      </c>
      <c r="H1631" s="60">
        <f>ventas_b_mes9[[#This Row],[TOTAL]]/1.21</f>
        <v>5240.5</v>
      </c>
      <c r="I1631" s="228">
        <f>ventas_b_mes9[[#This Row],[IMPORTE NETO]]*0.21</f>
        <v>1100.5049999999999</v>
      </c>
      <c r="J1631" s="229"/>
      <c r="K1631" s="229"/>
      <c r="L1631" s="229">
        <v>6341.0050000000001</v>
      </c>
      <c r="M1631" s="55"/>
    </row>
    <row r="1632" spans="2:13" x14ac:dyDescent="0.3">
      <c r="B1632" s="223">
        <v>44923</v>
      </c>
      <c r="C1632" s="224">
        <v>6</v>
      </c>
      <c r="D1632" s="225">
        <v>11</v>
      </c>
      <c r="E1632" s="226">
        <v>30666</v>
      </c>
      <c r="F1632" s="227"/>
      <c r="G1632" s="1" t="str">
        <f>IFERROR(IF(ventas_b_mes9[[#This Row],[CUIT]]="","-",VLOOKUP(ventas_b_mes9[[#This Row],[CUIT]],Lista_CUIT[#All],2,0)),"CUIT NO CARGADO")</f>
        <v>-</v>
      </c>
      <c r="H1632" s="60">
        <f>ventas_b_mes9[[#This Row],[TOTAL]]/1.21</f>
        <v>2714.88</v>
      </c>
      <c r="I1632" s="228">
        <f>ventas_b_mes9[[#This Row],[IMPORTE NETO]]*0.21</f>
        <v>570.12480000000005</v>
      </c>
      <c r="J1632" s="229"/>
      <c r="K1632" s="229"/>
      <c r="L1632" s="229">
        <v>3285.0048000000002</v>
      </c>
      <c r="M1632" s="55"/>
    </row>
    <row r="1633" spans="2:13" x14ac:dyDescent="0.3">
      <c r="B1633" s="223">
        <v>44923</v>
      </c>
      <c r="C1633" s="224">
        <v>6</v>
      </c>
      <c r="D1633" s="225">
        <v>15</v>
      </c>
      <c r="E1633" s="226">
        <v>7539</v>
      </c>
      <c r="F1633" s="227"/>
      <c r="G1633" s="1" t="str">
        <f>IFERROR(IF(ventas_b_mes9[[#This Row],[CUIT]]="","-",VLOOKUP(ventas_b_mes9[[#This Row],[CUIT]],Lista_CUIT[#All],2,0)),"CUIT NO CARGADO")</f>
        <v>-</v>
      </c>
      <c r="H1633" s="60">
        <f>ventas_b_mes9[[#This Row],[TOTAL]]/1.21</f>
        <v>7933.88</v>
      </c>
      <c r="I1633" s="228">
        <f>ventas_b_mes9[[#This Row],[IMPORTE NETO]]*0.21</f>
        <v>1666.1148000000001</v>
      </c>
      <c r="J1633" s="229"/>
      <c r="K1633" s="229"/>
      <c r="L1633" s="229">
        <v>9599.9948000000004</v>
      </c>
      <c r="M1633" s="55"/>
    </row>
    <row r="1634" spans="2:13" x14ac:dyDescent="0.3">
      <c r="B1634" s="223">
        <v>44923</v>
      </c>
      <c r="C1634" s="224">
        <v>6</v>
      </c>
      <c r="D1634" s="225">
        <v>15</v>
      </c>
      <c r="E1634" s="226">
        <v>7540</v>
      </c>
      <c r="F1634" s="227">
        <v>26818017</v>
      </c>
      <c r="G1634" s="1" t="str">
        <f>IFERROR(IF(ventas_b_mes9[[#This Row],[CUIT]]="","-",VLOOKUP(ventas_b_mes9[[#This Row],[CUIT]],Lista_CUIT[#All],2,0)),"CUIT NO CARGADO")</f>
        <v>DI GIUSEPPE , ALEJANDRA</v>
      </c>
      <c r="H1634" s="60">
        <f>ventas_b_mes9[[#This Row],[TOTAL]]/1.21</f>
        <v>11400</v>
      </c>
      <c r="I1634" s="228">
        <f>ventas_b_mes9[[#This Row],[IMPORTE NETO]]*0.21</f>
        <v>2394</v>
      </c>
      <c r="J1634" s="229"/>
      <c r="K1634" s="229"/>
      <c r="L1634" s="229">
        <v>13794</v>
      </c>
      <c r="M1634" s="55"/>
    </row>
    <row r="1635" spans="2:13" x14ac:dyDescent="0.3">
      <c r="B1635" s="223">
        <v>44923</v>
      </c>
      <c r="C1635" s="224">
        <v>6</v>
      </c>
      <c r="D1635" s="225">
        <v>15</v>
      </c>
      <c r="E1635" s="226">
        <v>7541</v>
      </c>
      <c r="F1635" s="227">
        <v>24871779</v>
      </c>
      <c r="G1635" s="1" t="str">
        <f>IFERROR(IF(ventas_b_mes9[[#This Row],[CUIT]]="","-",VLOOKUP(ventas_b_mes9[[#This Row],[CUIT]],Lista_CUIT[#All],2,0)),"CUIT NO CARGADO")</f>
        <v>FERRANTE, MARIELA BARBARA</v>
      </c>
      <c r="H1635" s="60">
        <f>ventas_b_mes9[[#This Row],[TOTAL]]/1.21</f>
        <v>4512.3999999999996</v>
      </c>
      <c r="I1635" s="228">
        <f>ventas_b_mes9[[#This Row],[IMPORTE NETO]]*0.21</f>
        <v>947.60399999999993</v>
      </c>
      <c r="J1635" s="229"/>
      <c r="K1635" s="229"/>
      <c r="L1635" s="229">
        <v>5460.0039999999999</v>
      </c>
      <c r="M1635" s="55"/>
    </row>
    <row r="1636" spans="2:13" x14ac:dyDescent="0.3">
      <c r="B1636" s="223">
        <v>44923</v>
      </c>
      <c r="C1636" s="224">
        <v>6</v>
      </c>
      <c r="D1636" s="225">
        <v>15</v>
      </c>
      <c r="E1636" s="226">
        <v>7542</v>
      </c>
      <c r="F1636" s="227">
        <v>11368071</v>
      </c>
      <c r="G1636" s="1" t="str">
        <f>IFERROR(IF(ventas_b_mes9[[#This Row],[CUIT]]="","-",VLOOKUP(ventas_b_mes9[[#This Row],[CUIT]],Lista_CUIT[#All],2,0)),"CUIT NO CARGADO")</f>
        <v>BURSIK,Norma</v>
      </c>
      <c r="H1636" s="60">
        <f>ventas_b_mes9[[#This Row],[TOTAL]]/1.21</f>
        <v>5385.13</v>
      </c>
      <c r="I1636" s="228">
        <f>ventas_b_mes9[[#This Row],[IMPORTE NETO]]*0.21</f>
        <v>1130.8772999999999</v>
      </c>
      <c r="J1636" s="229"/>
      <c r="K1636" s="229"/>
      <c r="L1636" s="229">
        <v>6516.0073000000002</v>
      </c>
      <c r="M1636" s="55"/>
    </row>
    <row r="1637" spans="2:13" x14ac:dyDescent="0.3">
      <c r="B1637" s="223">
        <v>44923</v>
      </c>
      <c r="C1637" s="224">
        <v>6</v>
      </c>
      <c r="D1637" s="225">
        <v>15</v>
      </c>
      <c r="E1637" s="226">
        <v>7543</v>
      </c>
      <c r="F1637" s="227">
        <v>23159787</v>
      </c>
      <c r="G1637" s="1" t="str">
        <f>IFERROR(IF(ventas_b_mes9[[#This Row],[CUIT]]="","-",VLOOKUP(ventas_b_mes9[[#This Row],[CUIT]],Lista_CUIT[#All],2,0)),"CUIT NO CARGADO")</f>
        <v>GRABORICKI,Patricia</v>
      </c>
      <c r="H1637" s="60">
        <f>ventas_b_mes9[[#This Row],[TOTAL]]/1.21</f>
        <v>12231.4</v>
      </c>
      <c r="I1637" s="228">
        <f>ventas_b_mes9[[#This Row],[IMPORTE NETO]]*0.21</f>
        <v>2568.5940000000001</v>
      </c>
      <c r="J1637" s="229"/>
      <c r="K1637" s="229"/>
      <c r="L1637" s="229">
        <v>14799.993999999999</v>
      </c>
      <c r="M1637" s="55"/>
    </row>
    <row r="1638" spans="2:13" x14ac:dyDescent="0.3">
      <c r="B1638" s="223">
        <v>44923</v>
      </c>
      <c r="C1638" s="224">
        <v>6</v>
      </c>
      <c r="D1638" s="225">
        <v>15</v>
      </c>
      <c r="E1638" s="226">
        <v>7544</v>
      </c>
      <c r="F1638" s="227"/>
      <c r="G1638" s="1" t="str">
        <f>IFERROR(IF(ventas_b_mes9[[#This Row],[CUIT]]="","-",VLOOKUP(ventas_b_mes9[[#This Row],[CUIT]],Lista_CUIT[#All],2,0)),"CUIT NO CARGADO")</f>
        <v>-</v>
      </c>
      <c r="H1638" s="60">
        <f>ventas_b_mes9[[#This Row],[TOTAL]]/1.21</f>
        <v>534.95000000000005</v>
      </c>
      <c r="I1638" s="228">
        <f>ventas_b_mes9[[#This Row],[IMPORTE NETO]]*0.21</f>
        <v>112.3395</v>
      </c>
      <c r="J1638" s="229"/>
      <c r="K1638" s="229"/>
      <c r="L1638" s="229">
        <v>647.28950000000009</v>
      </c>
      <c r="M1638" s="55"/>
    </row>
    <row r="1639" spans="2:13" x14ac:dyDescent="0.3">
      <c r="B1639" s="223">
        <v>44923</v>
      </c>
      <c r="C1639" s="224">
        <v>6</v>
      </c>
      <c r="D1639" s="225">
        <v>10</v>
      </c>
      <c r="E1639" s="226">
        <v>44569</v>
      </c>
      <c r="F1639" s="227"/>
      <c r="G1639" s="1" t="str">
        <f>IFERROR(IF(ventas_b_mes9[[#This Row],[CUIT]]="","-",VLOOKUP(ventas_b_mes9[[#This Row],[CUIT]],Lista_CUIT[#All],2,0)),"CUIT NO CARGADO")</f>
        <v>-</v>
      </c>
      <c r="H1639" s="60">
        <f>ventas_b_mes9[[#This Row],[TOTAL]]/1.21</f>
        <v>12178.51</v>
      </c>
      <c r="I1639" s="228">
        <f>ventas_b_mes9[[#This Row],[IMPORTE NETO]]*0.21</f>
        <v>2557.4870999999998</v>
      </c>
      <c r="J1639" s="229"/>
      <c r="K1639" s="229"/>
      <c r="L1639" s="229">
        <v>14735.997100000001</v>
      </c>
      <c r="M1639" s="55"/>
    </row>
    <row r="1640" spans="2:13" x14ac:dyDescent="0.3">
      <c r="B1640" s="223">
        <v>44923</v>
      </c>
      <c r="C1640" s="224">
        <v>6</v>
      </c>
      <c r="D1640" s="225">
        <v>10</v>
      </c>
      <c r="E1640" s="226">
        <v>44570</v>
      </c>
      <c r="F1640" s="227"/>
      <c r="G1640" s="1" t="str">
        <f>IFERROR(IF(ventas_b_mes9[[#This Row],[CUIT]]="","-",VLOOKUP(ventas_b_mes9[[#This Row],[CUIT]],Lista_CUIT[#All],2,0)),"CUIT NO CARGADO")</f>
        <v>-</v>
      </c>
      <c r="H1640" s="60">
        <f>ventas_b_mes9[[#This Row],[TOTAL]]/1.21</f>
        <v>18366.940000000002</v>
      </c>
      <c r="I1640" s="228">
        <f>ventas_b_mes9[[#This Row],[IMPORTE NETO]]*0.21</f>
        <v>3857.0574000000001</v>
      </c>
      <c r="J1640" s="229"/>
      <c r="K1640" s="229"/>
      <c r="L1640" s="229">
        <v>22223.9974</v>
      </c>
      <c r="M1640" s="55"/>
    </row>
    <row r="1641" spans="2:13" x14ac:dyDescent="0.3">
      <c r="B1641" s="223">
        <v>44923</v>
      </c>
      <c r="C1641" s="224">
        <v>6</v>
      </c>
      <c r="D1641" s="225">
        <v>10</v>
      </c>
      <c r="E1641" s="226">
        <v>44571</v>
      </c>
      <c r="F1641" s="227"/>
      <c r="G1641" s="1" t="str">
        <f>IFERROR(IF(ventas_b_mes9[[#This Row],[CUIT]]="","-",VLOOKUP(ventas_b_mes9[[#This Row],[CUIT]],Lista_CUIT[#All],2,0)),"CUIT NO CARGADO")</f>
        <v>-</v>
      </c>
      <c r="H1641" s="60">
        <f>ventas_b_mes9[[#This Row],[TOTAL]]/1.21</f>
        <v>9877.69</v>
      </c>
      <c r="I1641" s="228">
        <f>ventas_b_mes9[[#This Row],[IMPORTE NETO]]*0.21</f>
        <v>2074.3148999999999</v>
      </c>
      <c r="J1641" s="229"/>
      <c r="K1641" s="229"/>
      <c r="L1641" s="229">
        <v>11952.0049</v>
      </c>
      <c r="M1641" s="55"/>
    </row>
    <row r="1642" spans="2:13" x14ac:dyDescent="0.3">
      <c r="B1642" s="223">
        <v>44923</v>
      </c>
      <c r="C1642" s="224">
        <v>6</v>
      </c>
      <c r="D1642" s="225">
        <v>10</v>
      </c>
      <c r="E1642" s="226">
        <v>44572</v>
      </c>
      <c r="F1642" s="227"/>
      <c r="G1642" s="1" t="str">
        <f>IFERROR(IF(ventas_b_mes9[[#This Row],[CUIT]]="","-",VLOOKUP(ventas_b_mes9[[#This Row],[CUIT]],Lista_CUIT[#All],2,0)),"CUIT NO CARGADO")</f>
        <v>-</v>
      </c>
      <c r="H1642" s="60">
        <f>ventas_b_mes9[[#This Row],[TOTAL]]/1.21</f>
        <v>18468.599999999999</v>
      </c>
      <c r="I1642" s="228">
        <f>ventas_b_mes9[[#This Row],[IMPORTE NETO]]*0.21</f>
        <v>3878.4059999999995</v>
      </c>
      <c r="J1642" s="229"/>
      <c r="K1642" s="229"/>
      <c r="L1642" s="229">
        <v>22347.005999999998</v>
      </c>
      <c r="M1642" s="55"/>
    </row>
    <row r="1643" spans="2:13" x14ac:dyDescent="0.3">
      <c r="B1643" s="223">
        <v>44923</v>
      </c>
      <c r="C1643" s="224">
        <v>6</v>
      </c>
      <c r="D1643" s="225">
        <v>10</v>
      </c>
      <c r="E1643" s="226">
        <v>44573</v>
      </c>
      <c r="F1643" s="227"/>
      <c r="G1643" s="1" t="str">
        <f>IFERROR(IF(ventas_b_mes9[[#This Row],[CUIT]]="","-",VLOOKUP(ventas_b_mes9[[#This Row],[CUIT]],Lista_CUIT[#All],2,0)),"CUIT NO CARGADO")</f>
        <v>-</v>
      </c>
      <c r="H1643" s="60">
        <f>ventas_b_mes9[[#This Row],[TOTAL]]/1.21</f>
        <v>3464.4600000000005</v>
      </c>
      <c r="I1643" s="228">
        <f>ventas_b_mes9[[#This Row],[IMPORTE NETO]]*0.21</f>
        <v>727.53660000000002</v>
      </c>
      <c r="J1643" s="229"/>
      <c r="K1643" s="229"/>
      <c r="L1643" s="229">
        <v>4191.9966000000004</v>
      </c>
      <c r="M1643" s="55"/>
    </row>
    <row r="1644" spans="2:13" x14ac:dyDescent="0.3">
      <c r="B1644" s="223">
        <v>44923</v>
      </c>
      <c r="C1644" s="224">
        <v>6</v>
      </c>
      <c r="D1644" s="225">
        <v>10</v>
      </c>
      <c r="E1644" s="226">
        <v>44574</v>
      </c>
      <c r="F1644" s="227"/>
      <c r="G1644" s="1" t="str">
        <f>IFERROR(IF(ventas_b_mes9[[#This Row],[CUIT]]="","-",VLOOKUP(ventas_b_mes9[[#This Row],[CUIT]],Lista_CUIT[#All],2,0)),"CUIT NO CARGADO")</f>
        <v>-</v>
      </c>
      <c r="H1644" s="60">
        <f>ventas_b_mes9[[#This Row],[TOTAL]]/1.21</f>
        <v>4680.99</v>
      </c>
      <c r="I1644" s="228">
        <f>ventas_b_mes9[[#This Row],[IMPORTE NETO]]*0.21</f>
        <v>983.00789999999995</v>
      </c>
      <c r="J1644" s="229"/>
      <c r="K1644" s="229"/>
      <c r="L1644" s="229">
        <v>5663.9978999999994</v>
      </c>
      <c r="M1644" s="55"/>
    </row>
    <row r="1645" spans="2:13" x14ac:dyDescent="0.3">
      <c r="B1645" s="223">
        <v>44923</v>
      </c>
      <c r="C1645" s="224">
        <v>6</v>
      </c>
      <c r="D1645" s="225">
        <v>10</v>
      </c>
      <c r="E1645" s="226">
        <v>44575</v>
      </c>
      <c r="F1645" s="227"/>
      <c r="G1645" s="1" t="str">
        <f>IFERROR(IF(ventas_b_mes9[[#This Row],[CUIT]]="","-",VLOOKUP(ventas_b_mes9[[#This Row],[CUIT]],Lista_CUIT[#All],2,0)),"CUIT NO CARGADO")</f>
        <v>-</v>
      </c>
      <c r="H1645" s="60">
        <f>ventas_b_mes9[[#This Row],[TOTAL]]/1.21</f>
        <v>2062.81</v>
      </c>
      <c r="I1645" s="228">
        <f>ventas_b_mes9[[#This Row],[IMPORTE NETO]]*0.21</f>
        <v>433.19009999999997</v>
      </c>
      <c r="J1645" s="229"/>
      <c r="K1645" s="229"/>
      <c r="L1645" s="229">
        <v>2496.0000999999997</v>
      </c>
      <c r="M1645" s="55"/>
    </row>
    <row r="1646" spans="2:13" x14ac:dyDescent="0.3">
      <c r="B1646" s="223">
        <v>44923</v>
      </c>
      <c r="C1646" s="224">
        <v>6</v>
      </c>
      <c r="D1646" s="225">
        <v>10</v>
      </c>
      <c r="E1646" s="226">
        <v>44576</v>
      </c>
      <c r="F1646" s="227"/>
      <c r="G1646" s="1" t="str">
        <f>IFERROR(IF(ventas_b_mes9[[#This Row],[CUIT]]="","-",VLOOKUP(ventas_b_mes9[[#This Row],[CUIT]],Lista_CUIT[#All],2,0)),"CUIT NO CARGADO")</f>
        <v>-</v>
      </c>
      <c r="H1646" s="60">
        <f>ventas_b_mes9[[#This Row],[TOTAL]]/1.21</f>
        <v>11371.9</v>
      </c>
      <c r="I1646" s="228">
        <f>ventas_b_mes9[[#This Row],[IMPORTE NETO]]*0.21</f>
        <v>2388.0989999999997</v>
      </c>
      <c r="J1646" s="229"/>
      <c r="K1646" s="229"/>
      <c r="L1646" s="229">
        <v>13759.999</v>
      </c>
      <c r="M1646" s="55"/>
    </row>
    <row r="1647" spans="2:13" x14ac:dyDescent="0.3">
      <c r="B1647" s="223">
        <v>44923</v>
      </c>
      <c r="C1647" s="224">
        <v>6</v>
      </c>
      <c r="D1647" s="225">
        <v>10</v>
      </c>
      <c r="E1647" s="226">
        <v>44577</v>
      </c>
      <c r="F1647" s="227"/>
      <c r="G1647" s="1" t="str">
        <f>IFERROR(IF(ventas_b_mes9[[#This Row],[CUIT]]="","-",VLOOKUP(ventas_b_mes9[[#This Row],[CUIT]],Lista_CUIT[#All],2,0)),"CUIT NO CARGADO")</f>
        <v>-</v>
      </c>
      <c r="H1647" s="60">
        <f>ventas_b_mes9[[#This Row],[TOTAL]]/1.21</f>
        <v>13261.98</v>
      </c>
      <c r="I1647" s="228">
        <f>ventas_b_mes9[[#This Row],[IMPORTE NETO]]*0.21</f>
        <v>2785.0157999999997</v>
      </c>
      <c r="J1647" s="229"/>
      <c r="K1647" s="229"/>
      <c r="L1647" s="229">
        <v>16046.995799999999</v>
      </c>
      <c r="M1647" s="55"/>
    </row>
    <row r="1648" spans="2:13" x14ac:dyDescent="0.3">
      <c r="B1648" s="223">
        <v>44923</v>
      </c>
      <c r="C1648" s="224">
        <v>6</v>
      </c>
      <c r="D1648" s="225">
        <v>10</v>
      </c>
      <c r="E1648" s="226">
        <v>44578</v>
      </c>
      <c r="F1648" s="227"/>
      <c r="G1648" s="1" t="str">
        <f>IFERROR(IF(ventas_b_mes9[[#This Row],[CUIT]]="","-",VLOOKUP(ventas_b_mes9[[#This Row],[CUIT]],Lista_CUIT[#All],2,0)),"CUIT NO CARGADO")</f>
        <v>-</v>
      </c>
      <c r="H1648" s="60">
        <f>ventas_b_mes9[[#This Row],[TOTAL]]/1.21</f>
        <v>9842.15</v>
      </c>
      <c r="I1648" s="228">
        <f>ventas_b_mes9[[#This Row],[IMPORTE NETO]]*0.21</f>
        <v>2066.8514999999998</v>
      </c>
      <c r="J1648" s="229"/>
      <c r="K1648" s="229"/>
      <c r="L1648" s="229">
        <v>11909.001499999998</v>
      </c>
      <c r="M1648" s="55"/>
    </row>
    <row r="1649" spans="2:13" x14ac:dyDescent="0.3">
      <c r="B1649" s="223">
        <v>44923</v>
      </c>
      <c r="C1649" s="224">
        <v>6</v>
      </c>
      <c r="D1649" s="225">
        <v>10</v>
      </c>
      <c r="E1649" s="226">
        <v>44579</v>
      </c>
      <c r="F1649" s="227"/>
      <c r="G1649" s="1" t="str">
        <f>IFERROR(IF(ventas_b_mes9[[#This Row],[CUIT]]="","-",VLOOKUP(ventas_b_mes9[[#This Row],[CUIT]],Lista_CUIT[#All],2,0)),"CUIT NO CARGADO")</f>
        <v>-</v>
      </c>
      <c r="H1649" s="60">
        <f>ventas_b_mes9[[#This Row],[TOTAL]]/1.21</f>
        <v>21638.35</v>
      </c>
      <c r="I1649" s="228">
        <f>ventas_b_mes9[[#This Row],[IMPORTE NETO]]*0.21</f>
        <v>4544.0534999999991</v>
      </c>
      <c r="J1649" s="229"/>
      <c r="K1649" s="229"/>
      <c r="L1649" s="229">
        <v>26182.403499999997</v>
      </c>
      <c r="M1649" s="55"/>
    </row>
    <row r="1650" spans="2:13" x14ac:dyDescent="0.3">
      <c r="B1650" s="223">
        <v>44923</v>
      </c>
      <c r="C1650" s="224">
        <v>6</v>
      </c>
      <c r="D1650" s="225">
        <v>10</v>
      </c>
      <c r="E1650" s="226">
        <v>44580</v>
      </c>
      <c r="F1650" s="227"/>
      <c r="G1650" s="1" t="str">
        <f>IFERROR(IF(ventas_b_mes9[[#This Row],[CUIT]]="","-",VLOOKUP(ventas_b_mes9[[#This Row],[CUIT]],Lista_CUIT[#All],2,0)),"CUIT NO CARGADO")</f>
        <v>-</v>
      </c>
      <c r="H1650" s="60">
        <f>ventas_b_mes9[[#This Row],[TOTAL]]/1.21</f>
        <v>30545.45</v>
      </c>
      <c r="I1650" s="228">
        <f>ventas_b_mes9[[#This Row],[IMPORTE NETO]]*0.21</f>
        <v>6414.5445</v>
      </c>
      <c r="J1650" s="229"/>
      <c r="K1650" s="229"/>
      <c r="L1650" s="229">
        <v>36959.994500000001</v>
      </c>
      <c r="M1650" s="55"/>
    </row>
    <row r="1651" spans="2:13" x14ac:dyDescent="0.3">
      <c r="B1651" s="223">
        <v>44923</v>
      </c>
      <c r="C1651" s="224">
        <v>6</v>
      </c>
      <c r="D1651" s="225">
        <v>10</v>
      </c>
      <c r="E1651" s="226">
        <v>44581</v>
      </c>
      <c r="F1651" s="227"/>
      <c r="G1651" s="1" t="str">
        <f>IFERROR(IF(ventas_b_mes9[[#This Row],[CUIT]]="","-",VLOOKUP(ventas_b_mes9[[#This Row],[CUIT]],Lista_CUIT[#All],2,0)),"CUIT NO CARGADO")</f>
        <v>-</v>
      </c>
      <c r="H1651" s="60">
        <f>ventas_b_mes9[[#This Row],[TOTAL]]/1.21</f>
        <v>5712.4</v>
      </c>
      <c r="I1651" s="228">
        <f>ventas_b_mes9[[#This Row],[IMPORTE NETO]]*0.21</f>
        <v>1199.6039999999998</v>
      </c>
      <c r="J1651" s="229"/>
      <c r="K1651" s="229"/>
      <c r="L1651" s="229">
        <v>6912.003999999999</v>
      </c>
      <c r="M1651" s="55"/>
    </row>
    <row r="1652" spans="2:13" x14ac:dyDescent="0.3">
      <c r="B1652" s="223">
        <v>44923</v>
      </c>
      <c r="C1652" s="224">
        <v>6</v>
      </c>
      <c r="D1652" s="225">
        <v>10</v>
      </c>
      <c r="E1652" s="226">
        <v>44582</v>
      </c>
      <c r="F1652" s="227"/>
      <c r="G1652" s="1" t="str">
        <f>IFERROR(IF(ventas_b_mes9[[#This Row],[CUIT]]="","-",VLOOKUP(ventas_b_mes9[[#This Row],[CUIT]],Lista_CUIT[#All],2,0)),"CUIT NO CARGADO")</f>
        <v>-</v>
      </c>
      <c r="H1652" s="60">
        <f>ventas_b_mes9[[#This Row],[TOTAL]]/1.21</f>
        <v>2737.19</v>
      </c>
      <c r="I1652" s="228">
        <f>ventas_b_mes9[[#This Row],[IMPORTE NETO]]*0.21</f>
        <v>574.80989999999997</v>
      </c>
      <c r="J1652" s="229"/>
      <c r="K1652" s="229"/>
      <c r="L1652" s="229">
        <v>3311.9998999999998</v>
      </c>
      <c r="M1652" s="55"/>
    </row>
    <row r="1653" spans="2:13" x14ac:dyDescent="0.3">
      <c r="B1653" s="223">
        <v>44923</v>
      </c>
      <c r="C1653" s="224">
        <v>6</v>
      </c>
      <c r="D1653" s="225">
        <v>10</v>
      </c>
      <c r="E1653" s="226">
        <v>44583</v>
      </c>
      <c r="F1653" s="227"/>
      <c r="G1653" s="1" t="str">
        <f>IFERROR(IF(ventas_b_mes9[[#This Row],[CUIT]]="","-",VLOOKUP(ventas_b_mes9[[#This Row],[CUIT]],Lista_CUIT[#All],2,0)),"CUIT NO CARGADO")</f>
        <v>-</v>
      </c>
      <c r="H1653" s="60">
        <f>ventas_b_mes9[[#This Row],[TOTAL]]/1.21</f>
        <v>15312.400000000001</v>
      </c>
      <c r="I1653" s="228">
        <f>ventas_b_mes9[[#This Row],[IMPORTE NETO]]*0.21</f>
        <v>3215.6040000000003</v>
      </c>
      <c r="J1653" s="229"/>
      <c r="K1653" s="229"/>
      <c r="L1653" s="229">
        <v>18528.004000000001</v>
      </c>
      <c r="M1653" s="55"/>
    </row>
    <row r="1654" spans="2:13" x14ac:dyDescent="0.3">
      <c r="B1654" s="223">
        <v>44923</v>
      </c>
      <c r="C1654" s="224">
        <v>6</v>
      </c>
      <c r="D1654" s="225">
        <v>10</v>
      </c>
      <c r="E1654" s="226">
        <v>44584</v>
      </c>
      <c r="F1654" s="227"/>
      <c r="G1654" s="1" t="str">
        <f>IFERROR(IF(ventas_b_mes9[[#This Row],[CUIT]]="","-",VLOOKUP(ventas_b_mes9[[#This Row],[CUIT]],Lista_CUIT[#All],2,0)),"CUIT NO CARGADO")</f>
        <v>-</v>
      </c>
      <c r="H1654" s="60">
        <f>ventas_b_mes9[[#This Row],[TOTAL]]/1.21</f>
        <v>11186.78</v>
      </c>
      <c r="I1654" s="228">
        <f>ventas_b_mes9[[#This Row],[IMPORTE NETO]]*0.21</f>
        <v>2349.2238000000002</v>
      </c>
      <c r="J1654" s="229"/>
      <c r="K1654" s="229"/>
      <c r="L1654" s="229">
        <v>13536.0038</v>
      </c>
      <c r="M1654" s="55"/>
    </row>
    <row r="1655" spans="2:13" x14ac:dyDescent="0.3">
      <c r="B1655" s="223">
        <v>44923</v>
      </c>
      <c r="C1655" s="224">
        <v>6</v>
      </c>
      <c r="D1655" s="225">
        <v>10</v>
      </c>
      <c r="E1655" s="226">
        <v>44585</v>
      </c>
      <c r="F1655" s="227"/>
      <c r="G1655" s="1" t="str">
        <f>IFERROR(IF(ventas_b_mes9[[#This Row],[CUIT]]="","-",VLOOKUP(ventas_b_mes9[[#This Row],[CUIT]],Lista_CUIT[#All],2,0)),"CUIT NO CARGADO")</f>
        <v>-</v>
      </c>
      <c r="H1655" s="60">
        <f>ventas_b_mes9[[#This Row],[TOTAL]]/1.21</f>
        <v>7061.16</v>
      </c>
      <c r="I1655" s="228">
        <f>ventas_b_mes9[[#This Row],[IMPORTE NETO]]*0.21</f>
        <v>1482.8435999999999</v>
      </c>
      <c r="J1655" s="229"/>
      <c r="K1655" s="229"/>
      <c r="L1655" s="229">
        <v>8544.0036</v>
      </c>
      <c r="M1655" s="55"/>
    </row>
    <row r="1656" spans="2:13" x14ac:dyDescent="0.3">
      <c r="B1656" s="223">
        <v>44923</v>
      </c>
      <c r="C1656" s="224">
        <v>6</v>
      </c>
      <c r="D1656" s="225">
        <v>10</v>
      </c>
      <c r="E1656" s="226">
        <v>44586</v>
      </c>
      <c r="F1656" s="227"/>
      <c r="G1656" s="1" t="str">
        <f>IFERROR(IF(ventas_b_mes9[[#This Row],[CUIT]]="","-",VLOOKUP(ventas_b_mes9[[#This Row],[CUIT]],Lista_CUIT[#All],2,0)),"CUIT NO CARGADO")</f>
        <v>-</v>
      </c>
      <c r="H1656" s="60">
        <f>ventas_b_mes9[[#This Row],[TOTAL]]/1.21</f>
        <v>19419.009999999998</v>
      </c>
      <c r="I1656" s="228">
        <f>ventas_b_mes9[[#This Row],[IMPORTE NETO]]*0.21</f>
        <v>4077.9920999999995</v>
      </c>
      <c r="J1656" s="229"/>
      <c r="K1656" s="229"/>
      <c r="L1656" s="229">
        <v>23497.002099999998</v>
      </c>
      <c r="M1656" s="55"/>
    </row>
    <row r="1657" spans="2:13" x14ac:dyDescent="0.3">
      <c r="B1657" s="223">
        <v>44923</v>
      </c>
      <c r="C1657" s="224">
        <v>6</v>
      </c>
      <c r="D1657" s="225">
        <v>12</v>
      </c>
      <c r="E1657" s="226">
        <v>23159</v>
      </c>
      <c r="F1657" s="227"/>
      <c r="G1657" s="1" t="str">
        <f>IFERROR(IF(ventas_b_mes9[[#This Row],[CUIT]]="","-",VLOOKUP(ventas_b_mes9[[#This Row],[CUIT]],Lista_CUIT[#All],2,0)),"CUIT NO CARGADO")</f>
        <v>-</v>
      </c>
      <c r="H1657" s="60">
        <f>ventas_b_mes9[[#This Row],[TOTAL]]/1.21</f>
        <v>4958.68</v>
      </c>
      <c r="I1657" s="228">
        <f>ventas_b_mes9[[#This Row],[IMPORTE NETO]]*0.21</f>
        <v>1041.3227999999999</v>
      </c>
      <c r="J1657" s="229"/>
      <c r="K1657" s="229"/>
      <c r="L1657" s="229">
        <v>6000.0028000000002</v>
      </c>
      <c r="M1657" s="55"/>
    </row>
    <row r="1658" spans="2:13" x14ac:dyDescent="0.3">
      <c r="B1658" s="223">
        <v>44923</v>
      </c>
      <c r="C1658" s="224">
        <v>6</v>
      </c>
      <c r="D1658" s="225">
        <v>12</v>
      </c>
      <c r="E1658" s="226">
        <v>23160</v>
      </c>
      <c r="F1658" s="227"/>
      <c r="G1658" s="1" t="str">
        <f>IFERROR(IF(ventas_b_mes9[[#This Row],[CUIT]]="","-",VLOOKUP(ventas_b_mes9[[#This Row],[CUIT]],Lista_CUIT[#All],2,0)),"CUIT NO CARGADO")</f>
        <v>-</v>
      </c>
      <c r="H1658" s="60">
        <f>ventas_b_mes9[[#This Row],[TOTAL]]/1.21</f>
        <v>6783.47</v>
      </c>
      <c r="I1658" s="228">
        <f>ventas_b_mes9[[#This Row],[IMPORTE NETO]]*0.21</f>
        <v>1424.5287000000001</v>
      </c>
      <c r="J1658" s="229"/>
      <c r="K1658" s="229"/>
      <c r="L1658" s="229">
        <v>8207.9987000000001</v>
      </c>
      <c r="M1658" s="55"/>
    </row>
    <row r="1659" spans="2:13" x14ac:dyDescent="0.3">
      <c r="B1659" s="223">
        <v>44923</v>
      </c>
      <c r="C1659" s="224">
        <v>6</v>
      </c>
      <c r="D1659" s="225">
        <v>12</v>
      </c>
      <c r="E1659" s="226">
        <v>23161</v>
      </c>
      <c r="F1659" s="227"/>
      <c r="G1659" s="1" t="str">
        <f>IFERROR(IF(ventas_b_mes9[[#This Row],[CUIT]]="","-",VLOOKUP(ventas_b_mes9[[#This Row],[CUIT]],Lista_CUIT[#All],2,0)),"CUIT NO CARGADO")</f>
        <v>-</v>
      </c>
      <c r="H1659" s="60">
        <f>ventas_b_mes9[[#This Row],[TOTAL]]/1.21</f>
        <v>1000</v>
      </c>
      <c r="I1659" s="228">
        <f>ventas_b_mes9[[#This Row],[IMPORTE NETO]]*0.21</f>
        <v>210</v>
      </c>
      <c r="J1659" s="229"/>
      <c r="K1659" s="229"/>
      <c r="L1659" s="229">
        <v>1210</v>
      </c>
      <c r="M1659" s="55"/>
    </row>
    <row r="1660" spans="2:13" x14ac:dyDescent="0.3">
      <c r="B1660" s="223">
        <v>44923</v>
      </c>
      <c r="C1660" s="224">
        <v>6</v>
      </c>
      <c r="D1660" s="225">
        <v>12</v>
      </c>
      <c r="E1660" s="226">
        <v>23162</v>
      </c>
      <c r="F1660" s="227"/>
      <c r="G1660" s="1" t="str">
        <f>IFERROR(IF(ventas_b_mes9[[#This Row],[CUIT]]="","-",VLOOKUP(ventas_b_mes9[[#This Row],[CUIT]],Lista_CUIT[#All],2,0)),"CUIT NO CARGADO")</f>
        <v>-</v>
      </c>
      <c r="H1660" s="60">
        <f>ventas_b_mes9[[#This Row],[TOTAL]]/1.21</f>
        <v>10262.82</v>
      </c>
      <c r="I1660" s="228">
        <f>ventas_b_mes9[[#This Row],[IMPORTE NETO]]*0.21</f>
        <v>2155.1922</v>
      </c>
      <c r="J1660" s="229"/>
      <c r="K1660" s="229"/>
      <c r="L1660" s="229">
        <v>12418.012199999999</v>
      </c>
      <c r="M1660" s="55"/>
    </row>
    <row r="1661" spans="2:13" x14ac:dyDescent="0.3">
      <c r="B1661" s="223">
        <v>44923</v>
      </c>
      <c r="C1661" s="224">
        <v>6</v>
      </c>
      <c r="D1661" s="225">
        <v>12</v>
      </c>
      <c r="E1661" s="226">
        <v>23163</v>
      </c>
      <c r="F1661" s="227"/>
      <c r="G1661" s="1" t="str">
        <f>IFERROR(IF(ventas_b_mes9[[#This Row],[CUIT]]="","-",VLOOKUP(ventas_b_mes9[[#This Row],[CUIT]],Lista_CUIT[#All],2,0)),"CUIT NO CARGADO")</f>
        <v>-</v>
      </c>
      <c r="H1661" s="60">
        <f>ventas_b_mes9[[#This Row],[TOTAL]]/1.21</f>
        <v>8563.64</v>
      </c>
      <c r="I1661" s="228">
        <f>ventas_b_mes9[[#This Row],[IMPORTE NETO]]*0.21</f>
        <v>1798.3643999999997</v>
      </c>
      <c r="J1661" s="229"/>
      <c r="K1661" s="229"/>
      <c r="L1661" s="229">
        <v>10362.0044</v>
      </c>
      <c r="M1661" s="55"/>
    </row>
    <row r="1662" spans="2:13" x14ac:dyDescent="0.3">
      <c r="B1662" s="223">
        <v>44923</v>
      </c>
      <c r="C1662" s="224">
        <v>6</v>
      </c>
      <c r="D1662" s="225">
        <v>12</v>
      </c>
      <c r="E1662" s="226">
        <v>23164</v>
      </c>
      <c r="F1662" s="227"/>
      <c r="G1662" s="1" t="str">
        <f>IFERROR(IF(ventas_b_mes9[[#This Row],[CUIT]]="","-",VLOOKUP(ventas_b_mes9[[#This Row],[CUIT]],Lista_CUIT[#All],2,0)),"CUIT NO CARGADO")</f>
        <v>-</v>
      </c>
      <c r="H1662" s="60">
        <f>ventas_b_mes9[[#This Row],[TOTAL]]/1.21</f>
        <v>4601.6499999999996</v>
      </c>
      <c r="I1662" s="228">
        <f>ventas_b_mes9[[#This Row],[IMPORTE NETO]]*0.21</f>
        <v>966.34649999999988</v>
      </c>
      <c r="J1662" s="229"/>
      <c r="K1662" s="229"/>
      <c r="L1662" s="229">
        <v>5567.9964999999993</v>
      </c>
      <c r="M1662" s="55"/>
    </row>
    <row r="1663" spans="2:13" x14ac:dyDescent="0.3">
      <c r="B1663" s="223">
        <v>44923</v>
      </c>
      <c r="C1663" s="224">
        <v>6</v>
      </c>
      <c r="D1663" s="225">
        <v>12</v>
      </c>
      <c r="E1663" s="226">
        <v>23165</v>
      </c>
      <c r="F1663" s="227"/>
      <c r="G1663" s="1" t="str">
        <f>IFERROR(IF(ventas_b_mes9[[#This Row],[CUIT]]="","-",VLOOKUP(ventas_b_mes9[[#This Row],[CUIT]],Lista_CUIT[#All],2,0)),"CUIT NO CARGADO")</f>
        <v>-</v>
      </c>
      <c r="H1663" s="60">
        <f>ventas_b_mes9[[#This Row],[TOTAL]]/1.21</f>
        <v>22191.72</v>
      </c>
      <c r="I1663" s="228">
        <f>ventas_b_mes9[[#This Row],[IMPORTE NETO]]*0.21</f>
        <v>4660.2611999999999</v>
      </c>
      <c r="J1663" s="229"/>
      <c r="K1663" s="229"/>
      <c r="L1663" s="229">
        <v>26851.981200000002</v>
      </c>
      <c r="M1663" s="55"/>
    </row>
    <row r="1664" spans="2:13" x14ac:dyDescent="0.3">
      <c r="B1664" s="223">
        <v>44923</v>
      </c>
      <c r="C1664" s="224">
        <v>6</v>
      </c>
      <c r="D1664" s="225">
        <v>12</v>
      </c>
      <c r="E1664" s="226">
        <v>23166</v>
      </c>
      <c r="F1664" s="227"/>
      <c r="G1664" s="1" t="str">
        <f>IFERROR(IF(ventas_b_mes9[[#This Row],[CUIT]]="","-",VLOOKUP(ventas_b_mes9[[#This Row],[CUIT]],Lista_CUIT[#All],2,0)),"CUIT NO CARGADO")</f>
        <v>-</v>
      </c>
      <c r="H1664" s="60">
        <f>ventas_b_mes9[[#This Row],[TOTAL]]/1.21</f>
        <v>3570.2600000000007</v>
      </c>
      <c r="I1664" s="228">
        <f>ventas_b_mes9[[#This Row],[IMPORTE NETO]]*0.21</f>
        <v>749.7546000000001</v>
      </c>
      <c r="J1664" s="229"/>
      <c r="K1664" s="229"/>
      <c r="L1664" s="229">
        <v>4320.0146000000004</v>
      </c>
      <c r="M1664" s="55"/>
    </row>
    <row r="1665" spans="2:13" x14ac:dyDescent="0.3">
      <c r="B1665" s="223">
        <v>44923</v>
      </c>
      <c r="C1665" s="224">
        <v>6</v>
      </c>
      <c r="D1665" s="225">
        <v>12</v>
      </c>
      <c r="E1665" s="226">
        <v>23167</v>
      </c>
      <c r="F1665" s="227"/>
      <c r="G1665" s="1" t="str">
        <f>IFERROR(IF(ventas_b_mes9[[#This Row],[CUIT]]="","-",VLOOKUP(ventas_b_mes9[[#This Row],[CUIT]],Lista_CUIT[#All],2,0)),"CUIT NO CARGADO")</f>
        <v>-</v>
      </c>
      <c r="H1665" s="60">
        <f>ventas_b_mes9[[#This Row],[TOTAL]]/1.21</f>
        <v>5256.2</v>
      </c>
      <c r="I1665" s="228">
        <f>ventas_b_mes9[[#This Row],[IMPORTE NETO]]*0.21</f>
        <v>1103.8019999999999</v>
      </c>
      <c r="J1665" s="229"/>
      <c r="K1665" s="229"/>
      <c r="L1665" s="229">
        <v>6360.0019999999995</v>
      </c>
      <c r="M1665" s="55"/>
    </row>
    <row r="1666" spans="2:13" x14ac:dyDescent="0.3">
      <c r="B1666" s="223">
        <v>44923</v>
      </c>
      <c r="C1666" s="224">
        <v>6</v>
      </c>
      <c r="D1666" s="225">
        <v>12</v>
      </c>
      <c r="E1666" s="226">
        <v>23168</v>
      </c>
      <c r="F1666" s="227"/>
      <c r="G1666" s="1" t="str">
        <f>IFERROR(IF(ventas_b_mes9[[#This Row],[CUIT]]="","-",VLOOKUP(ventas_b_mes9[[#This Row],[CUIT]],Lista_CUIT[#All],2,0)),"CUIT NO CARGADO")</f>
        <v>-</v>
      </c>
      <c r="H1666" s="60">
        <f>ventas_b_mes9[[#This Row],[TOTAL]]/1.21</f>
        <v>10056.200000000001</v>
      </c>
      <c r="I1666" s="228">
        <f>ventas_b_mes9[[#This Row],[IMPORTE NETO]]*0.21</f>
        <v>2111.8020000000001</v>
      </c>
      <c r="J1666" s="229"/>
      <c r="K1666" s="229"/>
      <c r="L1666" s="229">
        <v>12168.002</v>
      </c>
      <c r="M1666" s="55"/>
    </row>
    <row r="1667" spans="2:13" x14ac:dyDescent="0.3">
      <c r="B1667" s="223">
        <v>44923</v>
      </c>
      <c r="C1667" s="224">
        <v>6</v>
      </c>
      <c r="D1667" s="225">
        <v>12</v>
      </c>
      <c r="E1667" s="226">
        <v>23169</v>
      </c>
      <c r="F1667" s="227"/>
      <c r="G1667" s="1" t="str">
        <f>IFERROR(IF(ventas_b_mes9[[#This Row],[CUIT]]="","-",VLOOKUP(ventas_b_mes9[[#This Row],[CUIT]],Lista_CUIT[#All],2,0)),"CUIT NO CARGADO")</f>
        <v>-</v>
      </c>
      <c r="H1667" s="60">
        <f>ventas_b_mes9[[#This Row],[TOTAL]]/1.21</f>
        <v>9282.65</v>
      </c>
      <c r="I1667" s="228">
        <f>ventas_b_mes9[[#This Row],[IMPORTE NETO]]*0.21</f>
        <v>1949.3564999999999</v>
      </c>
      <c r="J1667" s="229"/>
      <c r="K1667" s="229"/>
      <c r="L1667" s="229">
        <v>11232.0065</v>
      </c>
      <c r="M1667" s="55"/>
    </row>
    <row r="1668" spans="2:13" x14ac:dyDescent="0.3">
      <c r="B1668" s="223">
        <v>44923</v>
      </c>
      <c r="C1668" s="224">
        <v>6</v>
      </c>
      <c r="D1668" s="225">
        <v>12</v>
      </c>
      <c r="E1668" s="226">
        <v>23170</v>
      </c>
      <c r="F1668" s="227"/>
      <c r="G1668" s="1" t="str">
        <f>IFERROR(IF(ventas_b_mes9[[#This Row],[CUIT]]="","-",VLOOKUP(ventas_b_mes9[[#This Row],[CUIT]],Lista_CUIT[#All],2,0)),"CUIT NO CARGADO")</f>
        <v>-</v>
      </c>
      <c r="H1668" s="60">
        <f>ventas_b_mes9[[#This Row],[TOTAL]]/1.21</f>
        <v>12614.88</v>
      </c>
      <c r="I1668" s="228">
        <f>ventas_b_mes9[[#This Row],[IMPORTE NETO]]*0.21</f>
        <v>2649.1247999999996</v>
      </c>
      <c r="J1668" s="229"/>
      <c r="K1668" s="229"/>
      <c r="L1668" s="229">
        <v>15264.004799999999</v>
      </c>
      <c r="M1668" s="55"/>
    </row>
    <row r="1669" spans="2:13" x14ac:dyDescent="0.3">
      <c r="B1669" s="223">
        <v>44923</v>
      </c>
      <c r="C1669" s="224">
        <v>6</v>
      </c>
      <c r="D1669" s="225">
        <v>12</v>
      </c>
      <c r="E1669" s="226">
        <v>23171</v>
      </c>
      <c r="F1669" s="227"/>
      <c r="G1669" s="1" t="str">
        <f>IFERROR(IF(ventas_b_mes9[[#This Row],[CUIT]]="","-",VLOOKUP(ventas_b_mes9[[#This Row],[CUIT]],Lista_CUIT[#All],2,0)),"CUIT NO CARGADO")</f>
        <v>-</v>
      </c>
      <c r="H1669" s="60">
        <f>ventas_b_mes9[[#This Row],[TOTAL]]/1.21</f>
        <v>11320.66</v>
      </c>
      <c r="I1669" s="228">
        <f>ventas_b_mes9[[#This Row],[IMPORTE NETO]]*0.21</f>
        <v>2377.3386</v>
      </c>
      <c r="J1669" s="229"/>
      <c r="K1669" s="229"/>
      <c r="L1669" s="229">
        <v>13697.998599999999</v>
      </c>
      <c r="M1669" s="55"/>
    </row>
    <row r="1670" spans="2:13" x14ac:dyDescent="0.3">
      <c r="B1670" s="223">
        <v>44923</v>
      </c>
      <c r="C1670" s="224">
        <v>6</v>
      </c>
      <c r="D1670" s="225">
        <v>12</v>
      </c>
      <c r="E1670" s="226">
        <v>23172</v>
      </c>
      <c r="F1670" s="227"/>
      <c r="G1670" s="1" t="str">
        <f>IFERROR(IF(ventas_b_mes9[[#This Row],[CUIT]]="","-",VLOOKUP(ventas_b_mes9[[#This Row],[CUIT]],Lista_CUIT[#All],2,0)),"CUIT NO CARGADO")</f>
        <v>-</v>
      </c>
      <c r="H1670" s="60">
        <f>ventas_b_mes9[[#This Row],[TOTAL]]/1.21</f>
        <v>11067.77</v>
      </c>
      <c r="I1670" s="228">
        <f>ventas_b_mes9[[#This Row],[IMPORTE NETO]]*0.21</f>
        <v>2324.2316999999998</v>
      </c>
      <c r="J1670" s="229"/>
      <c r="K1670" s="229"/>
      <c r="L1670" s="229">
        <v>13392.001700000001</v>
      </c>
      <c r="M1670" s="55"/>
    </row>
    <row r="1671" spans="2:13" x14ac:dyDescent="0.3">
      <c r="B1671" s="223">
        <v>44923</v>
      </c>
      <c r="C1671" s="224">
        <v>6</v>
      </c>
      <c r="D1671" s="225">
        <v>12</v>
      </c>
      <c r="E1671" s="226">
        <v>23173</v>
      </c>
      <c r="F1671" s="227"/>
      <c r="G1671" s="1" t="str">
        <f>IFERROR(IF(ventas_b_mes9[[#This Row],[CUIT]]="","-",VLOOKUP(ventas_b_mes9[[#This Row],[CUIT]],Lista_CUIT[#All],2,0)),"CUIT NO CARGADO")</f>
        <v>-</v>
      </c>
      <c r="H1671" s="60">
        <f>ventas_b_mes9[[#This Row],[TOTAL]]/1.21</f>
        <v>5434.71</v>
      </c>
      <c r="I1671" s="228">
        <f>ventas_b_mes9[[#This Row],[IMPORTE NETO]]*0.21</f>
        <v>1141.2891</v>
      </c>
      <c r="J1671" s="229"/>
      <c r="K1671" s="229"/>
      <c r="L1671" s="229">
        <v>6575.9991</v>
      </c>
      <c r="M1671" s="55"/>
    </row>
    <row r="1672" spans="2:13" x14ac:dyDescent="0.3">
      <c r="B1672" s="223">
        <v>44923</v>
      </c>
      <c r="C1672" s="224">
        <v>6</v>
      </c>
      <c r="D1672" s="225">
        <v>12</v>
      </c>
      <c r="E1672" s="226">
        <v>23174</v>
      </c>
      <c r="F1672" s="227"/>
      <c r="G1672" s="1" t="str">
        <f>IFERROR(IF(ventas_b_mes9[[#This Row],[CUIT]]="","-",VLOOKUP(ventas_b_mes9[[#This Row],[CUIT]],Lista_CUIT[#All],2,0)),"CUIT NO CARGADO")</f>
        <v>-</v>
      </c>
      <c r="H1672" s="60">
        <f>ventas_b_mes9[[#This Row],[TOTAL]]/1.21</f>
        <v>9919</v>
      </c>
      <c r="I1672" s="228">
        <f>ventas_b_mes9[[#This Row],[IMPORTE NETO]]*0.21</f>
        <v>2082.9899999999998</v>
      </c>
      <c r="J1672" s="229"/>
      <c r="K1672" s="229"/>
      <c r="L1672" s="229">
        <v>12001.99</v>
      </c>
      <c r="M1672" s="55"/>
    </row>
    <row r="1673" spans="2:13" x14ac:dyDescent="0.3">
      <c r="B1673" s="223">
        <v>44923</v>
      </c>
      <c r="C1673" s="224">
        <v>6</v>
      </c>
      <c r="D1673" s="225">
        <v>12</v>
      </c>
      <c r="E1673" s="226">
        <v>23175</v>
      </c>
      <c r="F1673" s="227"/>
      <c r="G1673" s="1" t="str">
        <f>IFERROR(IF(ventas_b_mes9[[#This Row],[CUIT]]="","-",VLOOKUP(ventas_b_mes9[[#This Row],[CUIT]],Lista_CUIT[#All],2,0)),"CUIT NO CARGADO")</f>
        <v>-</v>
      </c>
      <c r="H1673" s="60">
        <f>ventas_b_mes9[[#This Row],[TOTAL]]/1.21</f>
        <v>6846.29</v>
      </c>
      <c r="I1673" s="228">
        <f>ventas_b_mes9[[#This Row],[IMPORTE NETO]]*0.21</f>
        <v>1437.7209</v>
      </c>
      <c r="J1673" s="229"/>
      <c r="K1673" s="229"/>
      <c r="L1673" s="229">
        <v>8284.0108999999993</v>
      </c>
      <c r="M1673" s="55"/>
    </row>
    <row r="1674" spans="2:13" x14ac:dyDescent="0.3">
      <c r="B1674" s="223">
        <v>44924</v>
      </c>
      <c r="C1674" s="224">
        <v>6</v>
      </c>
      <c r="D1674" s="225">
        <v>13</v>
      </c>
      <c r="E1674" s="226">
        <v>27218</v>
      </c>
      <c r="F1674" s="227"/>
      <c r="G1674" s="1" t="str">
        <f>IFERROR(IF(ventas_b_mes9[[#This Row],[CUIT]]="","-",VLOOKUP(ventas_b_mes9[[#This Row],[CUIT]],Lista_CUIT[#All],2,0)),"CUIT NO CARGADO")</f>
        <v>-</v>
      </c>
      <c r="H1674" s="60">
        <f>ventas_b_mes9[[#This Row],[TOTAL]]/1.21</f>
        <v>5123.97</v>
      </c>
      <c r="I1674" s="228">
        <f>ventas_b_mes9[[#This Row],[IMPORTE NETO]]*0.21</f>
        <v>1076.0337</v>
      </c>
      <c r="J1674" s="229"/>
      <c r="K1674" s="229"/>
      <c r="L1674" s="229">
        <v>6200.0037000000002</v>
      </c>
      <c r="M1674" s="55"/>
    </row>
    <row r="1675" spans="2:13" x14ac:dyDescent="0.3">
      <c r="B1675" s="223">
        <v>44924</v>
      </c>
      <c r="C1675" s="224">
        <v>6</v>
      </c>
      <c r="D1675" s="225">
        <v>13</v>
      </c>
      <c r="E1675" s="226">
        <v>27219</v>
      </c>
      <c r="F1675" s="227"/>
      <c r="G1675" s="1" t="str">
        <f>IFERROR(IF(ventas_b_mes9[[#This Row],[CUIT]]="","-",VLOOKUP(ventas_b_mes9[[#This Row],[CUIT]],Lista_CUIT[#All],2,0)),"CUIT NO CARGADO")</f>
        <v>-</v>
      </c>
      <c r="H1675" s="60">
        <f>ventas_b_mes9[[#This Row],[TOTAL]]/1.21</f>
        <v>4115.71</v>
      </c>
      <c r="I1675" s="228">
        <f>ventas_b_mes9[[#This Row],[IMPORTE NETO]]*0.21</f>
        <v>864.29909999999995</v>
      </c>
      <c r="J1675" s="229"/>
      <c r="K1675" s="229"/>
      <c r="L1675" s="229">
        <v>4980.0091000000002</v>
      </c>
      <c r="M1675" s="55"/>
    </row>
    <row r="1676" spans="2:13" x14ac:dyDescent="0.3">
      <c r="B1676" s="223">
        <v>44924</v>
      </c>
      <c r="C1676" s="224">
        <v>6</v>
      </c>
      <c r="D1676" s="225">
        <v>13</v>
      </c>
      <c r="E1676" s="226">
        <v>27220</v>
      </c>
      <c r="F1676" s="227"/>
      <c r="G1676" s="1" t="str">
        <f>IFERROR(IF(ventas_b_mes9[[#This Row],[CUIT]]="","-",VLOOKUP(ventas_b_mes9[[#This Row],[CUIT]],Lista_CUIT[#All],2,0)),"CUIT NO CARGADO")</f>
        <v>-</v>
      </c>
      <c r="H1676" s="60">
        <f>ventas_b_mes9[[#This Row],[TOTAL]]/1.21</f>
        <v>3411.57</v>
      </c>
      <c r="I1676" s="228">
        <f>ventas_b_mes9[[#This Row],[IMPORTE NETO]]*0.21</f>
        <v>716.42970000000003</v>
      </c>
      <c r="J1676" s="229"/>
      <c r="K1676" s="229"/>
      <c r="L1676" s="229">
        <v>4127.9997000000003</v>
      </c>
      <c r="M1676" s="55"/>
    </row>
    <row r="1677" spans="2:13" x14ac:dyDescent="0.3">
      <c r="B1677" s="223">
        <v>44924</v>
      </c>
      <c r="C1677" s="224">
        <v>6</v>
      </c>
      <c r="D1677" s="225">
        <v>13</v>
      </c>
      <c r="E1677" s="226">
        <v>27221</v>
      </c>
      <c r="F1677" s="227"/>
      <c r="G1677" s="1" t="str">
        <f>IFERROR(IF(ventas_b_mes9[[#This Row],[CUIT]]="","-",VLOOKUP(ventas_b_mes9[[#This Row],[CUIT]],Lista_CUIT[#All],2,0)),"CUIT NO CARGADO")</f>
        <v>-</v>
      </c>
      <c r="H1677" s="60">
        <f>ventas_b_mes9[[#This Row],[TOTAL]]/1.21</f>
        <v>2444.63</v>
      </c>
      <c r="I1677" s="228">
        <f>ventas_b_mes9[[#This Row],[IMPORTE NETO]]*0.21</f>
        <v>513.3723</v>
      </c>
      <c r="J1677" s="229"/>
      <c r="K1677" s="229"/>
      <c r="L1677" s="229">
        <v>2958.0023000000001</v>
      </c>
      <c r="M1677" s="55"/>
    </row>
    <row r="1678" spans="2:13" x14ac:dyDescent="0.3">
      <c r="B1678" s="223">
        <v>44924</v>
      </c>
      <c r="C1678" s="224">
        <v>6</v>
      </c>
      <c r="D1678" s="225">
        <v>13</v>
      </c>
      <c r="E1678" s="226">
        <v>27222</v>
      </c>
      <c r="F1678" s="227"/>
      <c r="G1678" s="1" t="str">
        <f>IFERROR(IF(ventas_b_mes9[[#This Row],[CUIT]]="","-",VLOOKUP(ventas_b_mes9[[#This Row],[CUIT]],Lista_CUIT[#All],2,0)),"CUIT NO CARGADO")</f>
        <v>-</v>
      </c>
      <c r="H1678" s="60">
        <f>ventas_b_mes9[[#This Row],[TOTAL]]/1.21</f>
        <v>7051.24</v>
      </c>
      <c r="I1678" s="228">
        <f>ventas_b_mes9[[#This Row],[IMPORTE NETO]]*0.21</f>
        <v>1480.7603999999999</v>
      </c>
      <c r="J1678" s="229"/>
      <c r="K1678" s="229"/>
      <c r="L1678" s="229">
        <v>8532.000399999999</v>
      </c>
      <c r="M1678" s="55"/>
    </row>
    <row r="1679" spans="2:13" x14ac:dyDescent="0.3">
      <c r="B1679" s="223">
        <v>44924</v>
      </c>
      <c r="C1679" s="224">
        <v>6</v>
      </c>
      <c r="D1679" s="225">
        <v>13</v>
      </c>
      <c r="E1679" s="226">
        <v>27223</v>
      </c>
      <c r="F1679" s="227"/>
      <c r="G1679" s="1" t="str">
        <f>IFERROR(IF(ventas_b_mes9[[#This Row],[CUIT]]="","-",VLOOKUP(ventas_b_mes9[[#This Row],[CUIT]],Lista_CUIT[#All],2,0)),"CUIT NO CARGADO")</f>
        <v>-</v>
      </c>
      <c r="H1679" s="60">
        <f>ventas_b_mes9[[#This Row],[TOTAL]]/1.21</f>
        <v>3014.88</v>
      </c>
      <c r="I1679" s="228">
        <f>ventas_b_mes9[[#This Row],[IMPORTE NETO]]*0.21</f>
        <v>633.12480000000005</v>
      </c>
      <c r="J1679" s="229"/>
      <c r="K1679" s="229"/>
      <c r="L1679" s="229">
        <v>3648.0048000000002</v>
      </c>
      <c r="M1679" s="55"/>
    </row>
    <row r="1680" spans="2:13" x14ac:dyDescent="0.3">
      <c r="B1680" s="223">
        <v>44924</v>
      </c>
      <c r="C1680" s="224">
        <v>6</v>
      </c>
      <c r="D1680" s="225">
        <v>13</v>
      </c>
      <c r="E1680" s="226">
        <v>27224</v>
      </c>
      <c r="F1680" s="227"/>
      <c r="G1680" s="1" t="str">
        <f>IFERROR(IF(ventas_b_mes9[[#This Row],[CUIT]]="","-",VLOOKUP(ventas_b_mes9[[#This Row],[CUIT]],Lista_CUIT[#All],2,0)),"CUIT NO CARGADO")</f>
        <v>-</v>
      </c>
      <c r="H1680" s="60">
        <f>ventas_b_mes9[[#This Row],[TOTAL]]/1.21</f>
        <v>1309.0899999999999</v>
      </c>
      <c r="I1680" s="228">
        <f>ventas_b_mes9[[#This Row],[IMPORTE NETO]]*0.21</f>
        <v>274.90889999999996</v>
      </c>
      <c r="J1680" s="229"/>
      <c r="K1680" s="229"/>
      <c r="L1680" s="229">
        <v>1583.9988999999998</v>
      </c>
      <c r="M1680" s="55"/>
    </row>
    <row r="1681" spans="2:13" x14ac:dyDescent="0.3">
      <c r="B1681" s="223">
        <v>44924</v>
      </c>
      <c r="C1681" s="224">
        <v>6</v>
      </c>
      <c r="D1681" s="225">
        <v>13</v>
      </c>
      <c r="E1681" s="226">
        <v>27225</v>
      </c>
      <c r="F1681" s="227"/>
      <c r="G1681" s="1" t="str">
        <f>IFERROR(IF(ventas_b_mes9[[#This Row],[CUIT]]="","-",VLOOKUP(ventas_b_mes9[[#This Row],[CUIT]],Lista_CUIT[#All],2,0)),"CUIT NO CARGADO")</f>
        <v>-</v>
      </c>
      <c r="H1681" s="60">
        <f>ventas_b_mes9[[#This Row],[TOTAL]]/1.21</f>
        <v>6329.75</v>
      </c>
      <c r="I1681" s="228">
        <f>ventas_b_mes9[[#This Row],[IMPORTE NETO]]*0.21</f>
        <v>1329.2474999999999</v>
      </c>
      <c r="J1681" s="229"/>
      <c r="K1681" s="229"/>
      <c r="L1681" s="229">
        <v>7658.9974999999995</v>
      </c>
      <c r="M1681" s="55"/>
    </row>
    <row r="1682" spans="2:13" x14ac:dyDescent="0.3">
      <c r="B1682" s="223">
        <v>44924</v>
      </c>
      <c r="C1682" s="224">
        <v>6</v>
      </c>
      <c r="D1682" s="225">
        <v>13</v>
      </c>
      <c r="E1682" s="226">
        <v>27226</v>
      </c>
      <c r="F1682" s="227"/>
      <c r="G1682" s="1" t="str">
        <f>IFERROR(IF(ventas_b_mes9[[#This Row],[CUIT]]="","-",VLOOKUP(ventas_b_mes9[[#This Row],[CUIT]],Lista_CUIT[#All],2,0)),"CUIT NO CARGADO")</f>
        <v>-</v>
      </c>
      <c r="H1682" s="60">
        <f>ventas_b_mes9[[#This Row],[TOTAL]]/1.21</f>
        <v>1190.08</v>
      </c>
      <c r="I1682" s="228">
        <f>ventas_b_mes9[[#This Row],[IMPORTE NETO]]*0.21</f>
        <v>249.91679999999997</v>
      </c>
      <c r="J1682" s="229"/>
      <c r="K1682" s="229"/>
      <c r="L1682" s="229">
        <v>1439.9967999999999</v>
      </c>
      <c r="M1682" s="55"/>
    </row>
    <row r="1683" spans="2:13" x14ac:dyDescent="0.3">
      <c r="B1683" s="223">
        <v>44924</v>
      </c>
      <c r="C1683" s="224">
        <v>6</v>
      </c>
      <c r="D1683" s="225">
        <v>13</v>
      </c>
      <c r="E1683" s="226">
        <v>27227</v>
      </c>
      <c r="F1683" s="227"/>
      <c r="G1683" s="1" t="str">
        <f>IFERROR(IF(ventas_b_mes9[[#This Row],[CUIT]]="","-",VLOOKUP(ventas_b_mes9[[#This Row],[CUIT]],Lista_CUIT[#All],2,0)),"CUIT NO CARGADO")</f>
        <v>-</v>
      </c>
      <c r="H1683" s="60">
        <f>ventas_b_mes9[[#This Row],[TOTAL]]/1.21</f>
        <v>4720.67</v>
      </c>
      <c r="I1683" s="228">
        <f>ventas_b_mes9[[#This Row],[IMPORTE NETO]]*0.21</f>
        <v>991.34069999999997</v>
      </c>
      <c r="J1683" s="229"/>
      <c r="K1683" s="229"/>
      <c r="L1683" s="229">
        <v>5712.0106999999998</v>
      </c>
      <c r="M1683" s="55"/>
    </row>
    <row r="1684" spans="2:13" x14ac:dyDescent="0.3">
      <c r="B1684" s="223">
        <v>44924</v>
      </c>
      <c r="C1684" s="224">
        <v>6</v>
      </c>
      <c r="D1684" s="225">
        <v>13</v>
      </c>
      <c r="E1684" s="226">
        <v>27228</v>
      </c>
      <c r="F1684" s="227"/>
      <c r="G1684" s="1" t="str">
        <f>IFERROR(IF(ventas_b_mes9[[#This Row],[CUIT]]="","-",VLOOKUP(ventas_b_mes9[[#This Row],[CUIT]],Lista_CUIT[#All],2,0)),"CUIT NO CARGADO")</f>
        <v>-</v>
      </c>
      <c r="H1684" s="60">
        <f>ventas_b_mes9[[#This Row],[TOTAL]]/1.21</f>
        <v>5315.7</v>
      </c>
      <c r="I1684" s="228">
        <f>ventas_b_mes9[[#This Row],[IMPORTE NETO]]*0.21</f>
        <v>1116.297</v>
      </c>
      <c r="J1684" s="229"/>
      <c r="K1684" s="229"/>
      <c r="L1684" s="229">
        <v>6431.9969999999994</v>
      </c>
      <c r="M1684" s="55"/>
    </row>
    <row r="1685" spans="2:13" x14ac:dyDescent="0.3">
      <c r="B1685" s="223">
        <v>44924</v>
      </c>
      <c r="C1685" s="224">
        <v>6</v>
      </c>
      <c r="D1685" s="225">
        <v>13</v>
      </c>
      <c r="E1685" s="226">
        <v>27229</v>
      </c>
      <c r="F1685" s="227"/>
      <c r="G1685" s="1" t="str">
        <f>IFERROR(IF(ventas_b_mes9[[#This Row],[CUIT]]="","-",VLOOKUP(ventas_b_mes9[[#This Row],[CUIT]],Lista_CUIT[#All],2,0)),"CUIT NO CARGADO")</f>
        <v>-</v>
      </c>
      <c r="H1685" s="60">
        <f>ventas_b_mes9[[#This Row],[TOTAL]]/1.21</f>
        <v>4323.97</v>
      </c>
      <c r="I1685" s="228">
        <f>ventas_b_mes9[[#This Row],[IMPORTE NETO]]*0.21</f>
        <v>908.03370000000007</v>
      </c>
      <c r="J1685" s="229"/>
      <c r="K1685" s="229"/>
      <c r="L1685" s="229">
        <v>5232.0037000000002</v>
      </c>
      <c r="M1685" s="55"/>
    </row>
    <row r="1686" spans="2:13" x14ac:dyDescent="0.3">
      <c r="B1686" s="223">
        <v>44924</v>
      </c>
      <c r="C1686" s="224">
        <v>6</v>
      </c>
      <c r="D1686" s="225">
        <v>13</v>
      </c>
      <c r="E1686" s="226">
        <v>27230</v>
      </c>
      <c r="F1686" s="227"/>
      <c r="G1686" s="1" t="str">
        <f>IFERROR(IF(ventas_b_mes9[[#This Row],[CUIT]]="","-",VLOOKUP(ventas_b_mes9[[#This Row],[CUIT]],Lista_CUIT[#All],2,0)),"CUIT NO CARGADO")</f>
        <v>-</v>
      </c>
      <c r="H1686" s="60">
        <f>ventas_b_mes9[[#This Row],[TOTAL]]/1.21</f>
        <v>8611.57</v>
      </c>
      <c r="I1686" s="228">
        <f>ventas_b_mes9[[#This Row],[IMPORTE NETO]]*0.21</f>
        <v>1808.4296999999999</v>
      </c>
      <c r="J1686" s="229"/>
      <c r="K1686" s="229"/>
      <c r="L1686" s="229">
        <v>10419.9997</v>
      </c>
      <c r="M1686" s="55"/>
    </row>
    <row r="1687" spans="2:13" x14ac:dyDescent="0.3">
      <c r="B1687" s="223">
        <v>44924</v>
      </c>
      <c r="C1687" s="224">
        <v>6</v>
      </c>
      <c r="D1687" s="225">
        <v>13</v>
      </c>
      <c r="E1687" s="226">
        <v>27231</v>
      </c>
      <c r="F1687" s="227"/>
      <c r="G1687" s="1" t="str">
        <f>IFERROR(IF(ventas_b_mes9[[#This Row],[CUIT]]="","-",VLOOKUP(ventas_b_mes9[[#This Row],[CUIT]],Lista_CUIT[#All],2,0)),"CUIT NO CARGADO")</f>
        <v>-</v>
      </c>
      <c r="H1687" s="60">
        <f>ventas_b_mes9[[#This Row],[TOTAL]]/1.21</f>
        <v>8603.31</v>
      </c>
      <c r="I1687" s="228">
        <f>ventas_b_mes9[[#This Row],[IMPORTE NETO]]*0.21</f>
        <v>1806.6950999999999</v>
      </c>
      <c r="J1687" s="229"/>
      <c r="K1687" s="229"/>
      <c r="L1687" s="229">
        <v>10410.005099999998</v>
      </c>
      <c r="M1687" s="55"/>
    </row>
    <row r="1688" spans="2:13" x14ac:dyDescent="0.3">
      <c r="B1688" s="223">
        <v>44924</v>
      </c>
      <c r="C1688" s="224">
        <v>6</v>
      </c>
      <c r="D1688" s="225">
        <v>13</v>
      </c>
      <c r="E1688" s="226">
        <v>27232</v>
      </c>
      <c r="F1688" s="227"/>
      <c r="G1688" s="1" t="str">
        <f>IFERROR(IF(ventas_b_mes9[[#This Row],[CUIT]]="","-",VLOOKUP(ventas_b_mes9[[#This Row],[CUIT]],Lista_CUIT[#All],2,0)),"CUIT NO CARGADO")</f>
        <v>-</v>
      </c>
      <c r="H1688" s="60">
        <f>ventas_b_mes9[[#This Row],[TOTAL]]/1.21</f>
        <v>3966.94</v>
      </c>
      <c r="I1688" s="228">
        <f>ventas_b_mes9[[#This Row],[IMPORTE NETO]]*0.21</f>
        <v>833.05740000000003</v>
      </c>
      <c r="J1688" s="229"/>
      <c r="K1688" s="229"/>
      <c r="L1688" s="229">
        <v>4799.9974000000002</v>
      </c>
      <c r="M1688" s="55"/>
    </row>
    <row r="1689" spans="2:13" x14ac:dyDescent="0.3">
      <c r="B1689" s="223">
        <v>44924</v>
      </c>
      <c r="C1689" s="224">
        <v>6</v>
      </c>
      <c r="D1689" s="225">
        <v>13</v>
      </c>
      <c r="E1689" s="226">
        <v>27233</v>
      </c>
      <c r="F1689" s="227"/>
      <c r="G1689" s="1" t="str">
        <f>IFERROR(IF(ventas_b_mes9[[#This Row],[CUIT]]="","-",VLOOKUP(ventas_b_mes9[[#This Row],[CUIT]],Lista_CUIT[#All],2,0)),"CUIT NO CARGADO")</f>
        <v>-</v>
      </c>
      <c r="H1689" s="60">
        <f>ventas_b_mes9[[#This Row],[TOTAL]]/1.21</f>
        <v>9719.01</v>
      </c>
      <c r="I1689" s="228">
        <f>ventas_b_mes9[[#This Row],[IMPORTE NETO]]*0.21</f>
        <v>2040.9920999999999</v>
      </c>
      <c r="J1689" s="229"/>
      <c r="K1689" s="229"/>
      <c r="L1689" s="229">
        <v>11760.0021</v>
      </c>
      <c r="M1689" s="55"/>
    </row>
    <row r="1690" spans="2:13" x14ac:dyDescent="0.3">
      <c r="B1690" s="223">
        <v>44924</v>
      </c>
      <c r="C1690" s="224">
        <v>6</v>
      </c>
      <c r="D1690" s="225">
        <v>11</v>
      </c>
      <c r="E1690" s="226">
        <v>30667</v>
      </c>
      <c r="F1690" s="227"/>
      <c r="G1690" s="1" t="str">
        <f>IFERROR(IF(ventas_b_mes9[[#This Row],[CUIT]]="","-",VLOOKUP(ventas_b_mes9[[#This Row],[CUIT]],Lista_CUIT[#All],2,0)),"CUIT NO CARGADO")</f>
        <v>-</v>
      </c>
      <c r="H1690" s="60">
        <f>ventas_b_mes9[[#This Row],[TOTAL]]/1.21</f>
        <v>4442.9799999999996</v>
      </c>
      <c r="I1690" s="228">
        <f>ventas_b_mes9[[#This Row],[IMPORTE NETO]]*0.21</f>
        <v>933.02579999999989</v>
      </c>
      <c r="J1690" s="229"/>
      <c r="K1690" s="229"/>
      <c r="L1690" s="229">
        <v>5376.005799999999</v>
      </c>
      <c r="M1690" s="55"/>
    </row>
    <row r="1691" spans="2:13" x14ac:dyDescent="0.3">
      <c r="B1691" s="223">
        <v>44924</v>
      </c>
      <c r="C1691" s="224">
        <v>6</v>
      </c>
      <c r="D1691" s="225">
        <v>11</v>
      </c>
      <c r="E1691" s="226">
        <v>30668</v>
      </c>
      <c r="F1691" s="227"/>
      <c r="G1691" s="1" t="str">
        <f>IFERROR(IF(ventas_b_mes9[[#This Row],[CUIT]]="","-",VLOOKUP(ventas_b_mes9[[#This Row],[CUIT]],Lista_CUIT[#All],2,0)),"CUIT NO CARGADO")</f>
        <v>-</v>
      </c>
      <c r="H1691" s="60">
        <f>ventas_b_mes9[[#This Row],[TOTAL]]/1.21</f>
        <v>13319.01</v>
      </c>
      <c r="I1691" s="228">
        <f>ventas_b_mes9[[#This Row],[IMPORTE NETO]]*0.21</f>
        <v>2796.9920999999999</v>
      </c>
      <c r="J1691" s="229"/>
      <c r="K1691" s="229"/>
      <c r="L1691" s="229">
        <v>16116.0021</v>
      </c>
      <c r="M1691" s="55"/>
    </row>
    <row r="1692" spans="2:13" x14ac:dyDescent="0.3">
      <c r="B1692" s="223">
        <v>44924</v>
      </c>
      <c r="C1692" s="224">
        <v>6</v>
      </c>
      <c r="D1692" s="225">
        <v>11</v>
      </c>
      <c r="E1692" s="226">
        <v>30669</v>
      </c>
      <c r="F1692" s="227"/>
      <c r="G1692" s="1" t="str">
        <f>IFERROR(IF(ventas_b_mes9[[#This Row],[CUIT]]="","-",VLOOKUP(ventas_b_mes9[[#This Row],[CUIT]],Lista_CUIT[#All],2,0)),"CUIT NO CARGADO")</f>
        <v>-</v>
      </c>
      <c r="H1692" s="60">
        <f>ventas_b_mes9[[#This Row],[TOTAL]]/1.21</f>
        <v>2723.4000000000005</v>
      </c>
      <c r="I1692" s="228">
        <f>ventas_b_mes9[[#This Row],[IMPORTE NETO]]*0.21</f>
        <v>571.9140000000001</v>
      </c>
      <c r="J1692" s="229"/>
      <c r="K1692" s="229"/>
      <c r="L1692" s="229">
        <v>3295.3140000000003</v>
      </c>
      <c r="M1692" s="55"/>
    </row>
    <row r="1693" spans="2:13" x14ac:dyDescent="0.3">
      <c r="B1693" s="223">
        <v>44924</v>
      </c>
      <c r="C1693" s="224">
        <v>6</v>
      </c>
      <c r="D1693" s="225">
        <v>11</v>
      </c>
      <c r="E1693" s="226">
        <v>30670</v>
      </c>
      <c r="F1693" s="227"/>
      <c r="G1693" s="1" t="str">
        <f>IFERROR(IF(ventas_b_mes9[[#This Row],[CUIT]]="","-",VLOOKUP(ventas_b_mes9[[#This Row],[CUIT]],Lista_CUIT[#All],2,0)),"CUIT NO CARGADO")</f>
        <v>-</v>
      </c>
      <c r="H1693" s="60">
        <f>ventas_b_mes9[[#This Row],[TOTAL]]/1.21</f>
        <v>2657.85</v>
      </c>
      <c r="I1693" s="228">
        <f>ventas_b_mes9[[#This Row],[IMPORTE NETO]]*0.21</f>
        <v>558.14850000000001</v>
      </c>
      <c r="J1693" s="229"/>
      <c r="K1693" s="229"/>
      <c r="L1693" s="229">
        <v>3215.9984999999997</v>
      </c>
      <c r="M1693" s="55"/>
    </row>
    <row r="1694" spans="2:13" x14ac:dyDescent="0.3">
      <c r="B1694" s="223">
        <v>44924</v>
      </c>
      <c r="C1694" s="224">
        <v>6</v>
      </c>
      <c r="D1694" s="225">
        <v>11</v>
      </c>
      <c r="E1694" s="226">
        <v>30671</v>
      </c>
      <c r="F1694" s="227"/>
      <c r="G1694" s="1" t="str">
        <f>IFERROR(IF(ventas_b_mes9[[#This Row],[CUIT]]="","-",VLOOKUP(ventas_b_mes9[[#This Row],[CUIT]],Lista_CUIT[#All],2,0)),"CUIT NO CARGADO")</f>
        <v>-</v>
      </c>
      <c r="H1694" s="60">
        <f>ventas_b_mes9[[#This Row],[TOTAL]]/1.21</f>
        <v>1943.8000000000002</v>
      </c>
      <c r="I1694" s="228">
        <f>ventas_b_mes9[[#This Row],[IMPORTE NETO]]*0.21</f>
        <v>408.19800000000004</v>
      </c>
      <c r="J1694" s="229"/>
      <c r="K1694" s="229"/>
      <c r="L1694" s="229">
        <v>2351.998</v>
      </c>
      <c r="M1694" s="55"/>
    </row>
    <row r="1695" spans="2:13" x14ac:dyDescent="0.3">
      <c r="B1695" s="223">
        <v>44924</v>
      </c>
      <c r="C1695" s="224">
        <v>6</v>
      </c>
      <c r="D1695" s="225">
        <v>11</v>
      </c>
      <c r="E1695" s="226">
        <v>30672</v>
      </c>
      <c r="F1695" s="227"/>
      <c r="G1695" s="1" t="str">
        <f>IFERROR(IF(ventas_b_mes9[[#This Row],[CUIT]]="","-",VLOOKUP(ventas_b_mes9[[#This Row],[CUIT]],Lista_CUIT[#All],2,0)),"CUIT NO CARGADO")</f>
        <v>-</v>
      </c>
      <c r="H1695" s="60">
        <f>ventas_b_mes9[[#This Row],[TOTAL]]/1.21</f>
        <v>1095.8699999999999</v>
      </c>
      <c r="I1695" s="228">
        <f>ventas_b_mes9[[#This Row],[IMPORTE NETO]]*0.21</f>
        <v>230.13269999999997</v>
      </c>
      <c r="J1695" s="229"/>
      <c r="K1695" s="229"/>
      <c r="L1695" s="229">
        <v>1326.0026999999998</v>
      </c>
      <c r="M1695" s="55"/>
    </row>
    <row r="1696" spans="2:13" x14ac:dyDescent="0.3">
      <c r="B1696" s="223">
        <v>44924</v>
      </c>
      <c r="C1696" s="224">
        <v>6</v>
      </c>
      <c r="D1696" s="225">
        <v>11</v>
      </c>
      <c r="E1696" s="226">
        <v>30673</v>
      </c>
      <c r="F1696" s="227"/>
      <c r="G1696" s="1" t="str">
        <f>IFERROR(IF(ventas_b_mes9[[#This Row],[CUIT]]="","-",VLOOKUP(ventas_b_mes9[[#This Row],[CUIT]],Lista_CUIT[#All],2,0)),"CUIT NO CARGADO")</f>
        <v>-</v>
      </c>
      <c r="H1696" s="60">
        <f>ventas_b_mes9[[#This Row],[TOTAL]]/1.21</f>
        <v>6317.36</v>
      </c>
      <c r="I1696" s="228">
        <f>ventas_b_mes9[[#This Row],[IMPORTE NETO]]*0.21</f>
        <v>1326.6455999999998</v>
      </c>
      <c r="J1696" s="229"/>
      <c r="K1696" s="229"/>
      <c r="L1696" s="229">
        <v>7644.0055999999995</v>
      </c>
      <c r="M1696" s="55"/>
    </row>
    <row r="1697" spans="2:13" x14ac:dyDescent="0.3">
      <c r="B1697" s="223">
        <v>44924</v>
      </c>
      <c r="C1697" s="224">
        <v>6</v>
      </c>
      <c r="D1697" s="225">
        <v>11</v>
      </c>
      <c r="E1697" s="226">
        <v>30674</v>
      </c>
      <c r="F1697" s="227"/>
      <c r="G1697" s="1" t="str">
        <f>IFERROR(IF(ventas_b_mes9[[#This Row],[CUIT]]="","-",VLOOKUP(ventas_b_mes9[[#This Row],[CUIT]],Lista_CUIT[#All],2,0)),"CUIT NO CARGADO")</f>
        <v>-</v>
      </c>
      <c r="H1697" s="60">
        <f>ventas_b_mes9[[#This Row],[TOTAL]]/1.21</f>
        <v>20055.8</v>
      </c>
      <c r="I1697" s="228">
        <f>ventas_b_mes9[[#This Row],[IMPORTE NETO]]*0.21</f>
        <v>4211.7179999999998</v>
      </c>
      <c r="J1697" s="229"/>
      <c r="K1697" s="229"/>
      <c r="L1697" s="229">
        <v>24267.518</v>
      </c>
      <c r="M1697" s="55"/>
    </row>
    <row r="1698" spans="2:13" x14ac:dyDescent="0.3">
      <c r="B1698" s="223">
        <v>44924</v>
      </c>
      <c r="C1698" s="224">
        <v>6</v>
      </c>
      <c r="D1698" s="225">
        <v>11</v>
      </c>
      <c r="E1698" s="226">
        <v>30675</v>
      </c>
      <c r="F1698" s="227"/>
      <c r="G1698" s="1" t="str">
        <f>IFERROR(IF(ventas_b_mes9[[#This Row],[CUIT]]="","-",VLOOKUP(ventas_b_mes9[[#This Row],[CUIT]],Lista_CUIT[#All],2,0)),"CUIT NO CARGADO")</f>
        <v>-</v>
      </c>
      <c r="H1698" s="60">
        <f>ventas_b_mes9[[#This Row],[TOTAL]]/1.21</f>
        <v>842.98</v>
      </c>
      <c r="I1698" s="228">
        <f>ventas_b_mes9[[#This Row],[IMPORTE NETO]]*0.21</f>
        <v>177.0258</v>
      </c>
      <c r="J1698" s="229"/>
      <c r="K1698" s="229"/>
      <c r="L1698" s="229">
        <v>1020.0058</v>
      </c>
      <c r="M1698" s="55"/>
    </row>
    <row r="1699" spans="2:13" x14ac:dyDescent="0.3">
      <c r="B1699" s="223">
        <v>44924</v>
      </c>
      <c r="C1699" s="224">
        <v>6</v>
      </c>
      <c r="D1699" s="225">
        <v>11</v>
      </c>
      <c r="E1699" s="226">
        <v>30676</v>
      </c>
      <c r="F1699" s="227"/>
      <c r="G1699" s="1" t="str">
        <f>IFERROR(IF(ventas_b_mes9[[#This Row],[CUIT]]="","-",VLOOKUP(ventas_b_mes9[[#This Row],[CUIT]],Lista_CUIT[#All],2,0)),"CUIT NO CARGADO")</f>
        <v>-</v>
      </c>
      <c r="H1699" s="60">
        <f>ventas_b_mes9[[#This Row],[TOTAL]]/1.21</f>
        <v>51875.55</v>
      </c>
      <c r="I1699" s="228">
        <f>ventas_b_mes9[[#This Row],[IMPORTE NETO]]*0.21</f>
        <v>10893.8655</v>
      </c>
      <c r="J1699" s="229"/>
      <c r="K1699" s="229"/>
      <c r="L1699" s="229">
        <v>62769.415500000003</v>
      </c>
      <c r="M1699" s="55"/>
    </row>
    <row r="1700" spans="2:13" x14ac:dyDescent="0.3">
      <c r="B1700" s="223">
        <v>44924</v>
      </c>
      <c r="C1700" s="224">
        <v>6</v>
      </c>
      <c r="D1700" s="225">
        <v>11</v>
      </c>
      <c r="E1700" s="226">
        <v>30677</v>
      </c>
      <c r="F1700" s="227"/>
      <c r="G1700" s="1" t="str">
        <f>IFERROR(IF(ventas_b_mes9[[#This Row],[CUIT]]="","-",VLOOKUP(ventas_b_mes9[[#This Row],[CUIT]],Lista_CUIT[#All],2,0)),"CUIT NO CARGADO")</f>
        <v>-</v>
      </c>
      <c r="H1700" s="60">
        <f>ventas_b_mes9[[#This Row],[TOTAL]]/1.21</f>
        <v>11359.5</v>
      </c>
      <c r="I1700" s="228">
        <f>ventas_b_mes9[[#This Row],[IMPORTE NETO]]*0.21</f>
        <v>2385.4949999999999</v>
      </c>
      <c r="J1700" s="229"/>
      <c r="K1700" s="229"/>
      <c r="L1700" s="229">
        <v>13744.994999999999</v>
      </c>
      <c r="M1700" s="55"/>
    </row>
    <row r="1701" spans="2:13" x14ac:dyDescent="0.3">
      <c r="B1701" s="223">
        <v>44924</v>
      </c>
      <c r="C1701" s="224">
        <v>6</v>
      </c>
      <c r="D1701" s="225">
        <v>11</v>
      </c>
      <c r="E1701" s="226">
        <v>30678</v>
      </c>
      <c r="F1701" s="227"/>
      <c r="G1701" s="1" t="str">
        <f>IFERROR(IF(ventas_b_mes9[[#This Row],[CUIT]]="","-",VLOOKUP(ventas_b_mes9[[#This Row],[CUIT]],Lista_CUIT[#All],2,0)),"CUIT NO CARGADO")</f>
        <v>-</v>
      </c>
      <c r="H1701" s="60">
        <f>ventas_b_mes9[[#This Row],[TOTAL]]/1.21</f>
        <v>1586.78</v>
      </c>
      <c r="I1701" s="228">
        <f>ventas_b_mes9[[#This Row],[IMPORTE NETO]]*0.21</f>
        <v>333.22379999999998</v>
      </c>
      <c r="J1701" s="229"/>
      <c r="K1701" s="229"/>
      <c r="L1701" s="229">
        <v>1920.0038</v>
      </c>
      <c r="M1701" s="55"/>
    </row>
    <row r="1702" spans="2:13" x14ac:dyDescent="0.3">
      <c r="B1702" s="223">
        <v>44924</v>
      </c>
      <c r="C1702" s="224">
        <v>6</v>
      </c>
      <c r="D1702" s="225">
        <v>11</v>
      </c>
      <c r="E1702" s="226">
        <v>30679</v>
      </c>
      <c r="F1702" s="227"/>
      <c r="G1702" s="1" t="str">
        <f>IFERROR(IF(ventas_b_mes9[[#This Row],[CUIT]]="","-",VLOOKUP(ventas_b_mes9[[#This Row],[CUIT]],Lista_CUIT[#All],2,0)),"CUIT NO CARGADO")</f>
        <v>-</v>
      </c>
      <c r="H1702" s="60">
        <f>ventas_b_mes9[[#This Row],[TOTAL]]/1.21</f>
        <v>1374.73</v>
      </c>
      <c r="I1702" s="228">
        <f>ventas_b_mes9[[#This Row],[IMPORTE NETO]]*0.21</f>
        <v>288.69329999999997</v>
      </c>
      <c r="J1702" s="229"/>
      <c r="K1702" s="229"/>
      <c r="L1702" s="229">
        <v>1663.4232999999999</v>
      </c>
      <c r="M1702" s="55"/>
    </row>
    <row r="1703" spans="2:13" x14ac:dyDescent="0.3">
      <c r="B1703" s="223">
        <v>44924</v>
      </c>
      <c r="C1703" s="224">
        <v>6</v>
      </c>
      <c r="D1703" s="225">
        <v>11</v>
      </c>
      <c r="E1703" s="226">
        <v>30680</v>
      </c>
      <c r="F1703" s="227"/>
      <c r="G1703" s="1" t="str">
        <f>IFERROR(IF(ventas_b_mes9[[#This Row],[CUIT]]="","-",VLOOKUP(ventas_b_mes9[[#This Row],[CUIT]],Lista_CUIT[#All],2,0)),"CUIT NO CARGADO")</f>
        <v>-</v>
      </c>
      <c r="H1703" s="60">
        <f>ventas_b_mes9[[#This Row],[TOTAL]]/1.21</f>
        <v>9502.48</v>
      </c>
      <c r="I1703" s="228">
        <f>ventas_b_mes9[[#This Row],[IMPORTE NETO]]*0.21</f>
        <v>1995.5207999999998</v>
      </c>
      <c r="J1703" s="229"/>
      <c r="K1703" s="229"/>
      <c r="L1703" s="229">
        <v>11498.0008</v>
      </c>
      <c r="M1703" s="55"/>
    </row>
    <row r="1704" spans="2:13" x14ac:dyDescent="0.3">
      <c r="B1704" s="223">
        <v>44924</v>
      </c>
      <c r="C1704" s="224">
        <v>6</v>
      </c>
      <c r="D1704" s="225">
        <v>11</v>
      </c>
      <c r="E1704" s="226">
        <v>30681</v>
      </c>
      <c r="F1704" s="227"/>
      <c r="G1704" s="1" t="str">
        <f>IFERROR(IF(ventas_b_mes9[[#This Row],[CUIT]]="","-",VLOOKUP(ventas_b_mes9[[#This Row],[CUIT]],Lista_CUIT[#All],2,0)),"CUIT NO CARGADO")</f>
        <v>-</v>
      </c>
      <c r="H1704" s="60">
        <f>ventas_b_mes9[[#This Row],[TOTAL]]/1.21</f>
        <v>21289.34</v>
      </c>
      <c r="I1704" s="228">
        <f>ventas_b_mes9[[#This Row],[IMPORTE NETO]]*0.21</f>
        <v>4470.7613999999994</v>
      </c>
      <c r="J1704" s="229"/>
      <c r="K1704" s="229"/>
      <c r="L1704" s="229">
        <v>25760.1014</v>
      </c>
      <c r="M1704" s="55"/>
    </row>
    <row r="1705" spans="2:13" x14ac:dyDescent="0.3">
      <c r="B1705" s="223">
        <v>44924</v>
      </c>
      <c r="C1705" s="224">
        <v>6</v>
      </c>
      <c r="D1705" s="225">
        <v>11</v>
      </c>
      <c r="E1705" s="226">
        <v>30682</v>
      </c>
      <c r="F1705" s="227"/>
      <c r="G1705" s="1" t="str">
        <f>IFERROR(IF(ventas_b_mes9[[#This Row],[CUIT]]="","-",VLOOKUP(ventas_b_mes9[[#This Row],[CUIT]],Lista_CUIT[#All],2,0)),"CUIT NO CARGADO")</f>
        <v>-</v>
      </c>
      <c r="H1705" s="60">
        <f>ventas_b_mes9[[#This Row],[TOTAL]]/1.21</f>
        <v>21707.439999999999</v>
      </c>
      <c r="I1705" s="228">
        <f>ventas_b_mes9[[#This Row],[IMPORTE NETO]]*0.21</f>
        <v>4558.5623999999998</v>
      </c>
      <c r="J1705" s="229"/>
      <c r="K1705" s="229"/>
      <c r="L1705" s="229">
        <v>26266.002399999998</v>
      </c>
      <c r="M1705" s="55"/>
    </row>
    <row r="1706" spans="2:13" x14ac:dyDescent="0.3">
      <c r="B1706" s="223">
        <v>44924</v>
      </c>
      <c r="C1706" s="224">
        <v>6</v>
      </c>
      <c r="D1706" s="225">
        <v>11</v>
      </c>
      <c r="E1706" s="226">
        <v>30683</v>
      </c>
      <c r="F1706" s="227"/>
      <c r="G1706" s="1" t="str">
        <f>IFERROR(IF(ventas_b_mes9[[#This Row],[CUIT]]="","-",VLOOKUP(ventas_b_mes9[[#This Row],[CUIT]],Lista_CUIT[#All],2,0)),"CUIT NO CARGADO")</f>
        <v>-</v>
      </c>
      <c r="H1706" s="60">
        <f>ventas_b_mes9[[#This Row],[TOTAL]]/1.21</f>
        <v>7547.1100000000006</v>
      </c>
      <c r="I1706" s="228">
        <f>ventas_b_mes9[[#This Row],[IMPORTE NETO]]*0.21</f>
        <v>1584.8931</v>
      </c>
      <c r="J1706" s="229"/>
      <c r="K1706" s="229"/>
      <c r="L1706" s="229">
        <v>9132.0030999999999</v>
      </c>
      <c r="M1706" s="55"/>
    </row>
    <row r="1707" spans="2:13" x14ac:dyDescent="0.3">
      <c r="B1707" s="223">
        <v>44924</v>
      </c>
      <c r="C1707" s="224">
        <v>6</v>
      </c>
      <c r="D1707" s="225">
        <v>15</v>
      </c>
      <c r="E1707" s="226">
        <v>7545</v>
      </c>
      <c r="F1707" s="227">
        <v>33879446</v>
      </c>
      <c r="G1707" s="1" t="str">
        <f>IFERROR(IF(ventas_b_mes9[[#This Row],[CUIT]]="","-",VLOOKUP(ventas_b_mes9[[#This Row],[CUIT]],Lista_CUIT[#All],2,0)),"CUIT NO CARGADO")</f>
        <v>LOUREIRO GUERRERO, NADIA BELEN (ALUMNA)</v>
      </c>
      <c r="H1707" s="60">
        <f>ventas_b_mes9[[#This Row],[TOTAL]]/1.21</f>
        <v>4958.68</v>
      </c>
      <c r="I1707" s="228">
        <f>ventas_b_mes9[[#This Row],[IMPORTE NETO]]*0.21</f>
        <v>1041.3227999999999</v>
      </c>
      <c r="J1707" s="229"/>
      <c r="K1707" s="229"/>
      <c r="L1707" s="229">
        <v>6000.0028000000002</v>
      </c>
      <c r="M1707" s="55"/>
    </row>
    <row r="1708" spans="2:13" x14ac:dyDescent="0.3">
      <c r="B1708" s="223">
        <v>44924</v>
      </c>
      <c r="C1708" s="224">
        <v>6</v>
      </c>
      <c r="D1708" s="225">
        <v>15</v>
      </c>
      <c r="E1708" s="226">
        <v>7546</v>
      </c>
      <c r="F1708" s="227">
        <v>33879446</v>
      </c>
      <c r="G1708" s="1" t="str">
        <f>IFERROR(IF(ventas_b_mes9[[#This Row],[CUIT]]="","-",VLOOKUP(ventas_b_mes9[[#This Row],[CUIT]],Lista_CUIT[#All],2,0)),"CUIT NO CARGADO")</f>
        <v>LOUREIRO GUERRERO, NADIA BELEN (ALUMNA)</v>
      </c>
      <c r="H1708" s="60">
        <f>ventas_b_mes9[[#This Row],[TOTAL]]/1.21</f>
        <v>533.05999999999995</v>
      </c>
      <c r="I1708" s="228">
        <f>ventas_b_mes9[[#This Row],[IMPORTE NETO]]*0.21</f>
        <v>111.94259999999998</v>
      </c>
      <c r="J1708" s="229"/>
      <c r="K1708" s="229"/>
      <c r="L1708" s="229">
        <v>645.00259999999992</v>
      </c>
      <c r="M1708" s="55"/>
    </row>
    <row r="1709" spans="2:13" x14ac:dyDescent="0.3">
      <c r="B1709" s="223">
        <v>44924</v>
      </c>
      <c r="C1709" s="224">
        <v>6</v>
      </c>
      <c r="D1709" s="225">
        <v>15</v>
      </c>
      <c r="E1709" s="226">
        <v>7547</v>
      </c>
      <c r="F1709" s="227">
        <v>21856835</v>
      </c>
      <c r="G1709" s="1" t="str">
        <f>IFERROR(IF(ventas_b_mes9[[#This Row],[CUIT]]="","-",VLOOKUP(ventas_b_mes9[[#This Row],[CUIT]],Lista_CUIT[#All],2,0)),"CUIT NO CARGADO")</f>
        <v>OLIVA,SANDRA</v>
      </c>
      <c r="H1709" s="60">
        <f>ventas_b_mes9[[#This Row],[TOTAL]]/1.21</f>
        <v>2221.4899999999998</v>
      </c>
      <c r="I1709" s="228">
        <f>ventas_b_mes9[[#This Row],[IMPORTE NETO]]*0.21</f>
        <v>466.51289999999995</v>
      </c>
      <c r="J1709" s="229"/>
      <c r="K1709" s="229"/>
      <c r="L1709" s="229">
        <v>2688.0028999999995</v>
      </c>
      <c r="M1709" s="55"/>
    </row>
    <row r="1710" spans="2:13" x14ac:dyDescent="0.3">
      <c r="B1710" s="223">
        <v>44924</v>
      </c>
      <c r="C1710" s="224">
        <v>6</v>
      </c>
      <c r="D1710" s="225">
        <v>15</v>
      </c>
      <c r="E1710" s="226">
        <v>7548</v>
      </c>
      <c r="F1710" s="227">
        <v>28951546</v>
      </c>
      <c r="G1710" s="1" t="str">
        <f>IFERROR(IF(ventas_b_mes9[[#This Row],[CUIT]]="","-",VLOOKUP(ventas_b_mes9[[#This Row],[CUIT]],Lista_CUIT[#All],2,0)),"CUIT NO CARGADO")</f>
        <v>SUAREZ, LAURA VERONICA</v>
      </c>
      <c r="H1710" s="60">
        <f>ventas_b_mes9[[#This Row],[TOTAL]]/1.21</f>
        <v>2935.54</v>
      </c>
      <c r="I1710" s="228">
        <f>ventas_b_mes9[[#This Row],[IMPORTE NETO]]*0.21</f>
        <v>616.46339999999998</v>
      </c>
      <c r="J1710" s="229"/>
      <c r="K1710" s="229"/>
      <c r="L1710" s="229">
        <v>3552.0034000000001</v>
      </c>
      <c r="M1710" s="55"/>
    </row>
    <row r="1711" spans="2:13" x14ac:dyDescent="0.3">
      <c r="B1711" s="223">
        <v>44924</v>
      </c>
      <c r="C1711" s="224">
        <v>6</v>
      </c>
      <c r="D1711" s="225">
        <v>15</v>
      </c>
      <c r="E1711" s="226">
        <v>7549</v>
      </c>
      <c r="F1711" s="227"/>
      <c r="G1711" s="1" t="str">
        <f>IFERROR(IF(ventas_b_mes9[[#This Row],[CUIT]]="","-",VLOOKUP(ventas_b_mes9[[#This Row],[CUIT]],Lista_CUIT[#All],2,0)),"CUIT NO CARGADO")</f>
        <v>-</v>
      </c>
      <c r="H1711" s="60">
        <f>ventas_b_mes9[[#This Row],[TOTAL]]/1.21</f>
        <v>6849.59</v>
      </c>
      <c r="I1711" s="228">
        <f>ventas_b_mes9[[#This Row],[IMPORTE NETO]]*0.21</f>
        <v>1438.4139</v>
      </c>
      <c r="J1711" s="229"/>
      <c r="K1711" s="229"/>
      <c r="L1711" s="229">
        <v>8288.0038999999997</v>
      </c>
      <c r="M1711" s="55"/>
    </row>
    <row r="1712" spans="2:13" x14ac:dyDescent="0.3">
      <c r="B1712" s="223">
        <v>44924</v>
      </c>
      <c r="C1712" s="224">
        <v>6</v>
      </c>
      <c r="D1712" s="225">
        <v>15</v>
      </c>
      <c r="E1712" s="226">
        <v>7550</v>
      </c>
      <c r="F1712" s="227">
        <v>29734146</v>
      </c>
      <c r="G1712" s="1" t="str">
        <f>IFERROR(IF(ventas_b_mes9[[#This Row],[CUIT]]="","-",VLOOKUP(ventas_b_mes9[[#This Row],[CUIT]],Lista_CUIT[#All],2,0)),"CUIT NO CARGADO")</f>
        <v>ARCEIZ,NOELIA</v>
      </c>
      <c r="H1712" s="60">
        <f>ventas_b_mes9[[#This Row],[TOTAL]]/1.21</f>
        <v>2578.5100000000007</v>
      </c>
      <c r="I1712" s="228">
        <f>ventas_b_mes9[[#This Row],[IMPORTE NETO]]*0.21</f>
        <v>541.48710000000017</v>
      </c>
      <c r="J1712" s="229"/>
      <c r="K1712" s="229"/>
      <c r="L1712" s="229">
        <v>3119.9971000000005</v>
      </c>
      <c r="M1712" s="55"/>
    </row>
    <row r="1713" spans="2:13" x14ac:dyDescent="0.3">
      <c r="B1713" s="223">
        <v>44924</v>
      </c>
      <c r="C1713" s="224">
        <v>6</v>
      </c>
      <c r="D1713" s="225">
        <v>15</v>
      </c>
      <c r="E1713" s="226">
        <v>7551</v>
      </c>
      <c r="F1713" s="227"/>
      <c r="G1713" s="1" t="str">
        <f>IFERROR(IF(ventas_b_mes9[[#This Row],[CUIT]]="","-",VLOOKUP(ventas_b_mes9[[#This Row],[CUIT]],Lista_CUIT[#All],2,0)),"CUIT NO CARGADO")</f>
        <v>-</v>
      </c>
      <c r="H1713" s="60">
        <f>ventas_b_mes9[[#This Row],[TOTAL]]/1.21</f>
        <v>2892.56</v>
      </c>
      <c r="I1713" s="228">
        <f>ventas_b_mes9[[#This Row],[IMPORTE NETO]]*0.21</f>
        <v>607.43759999999997</v>
      </c>
      <c r="J1713" s="229"/>
      <c r="K1713" s="229"/>
      <c r="L1713" s="229">
        <v>3499.9975999999997</v>
      </c>
      <c r="M1713" s="55"/>
    </row>
    <row r="1714" spans="2:13" x14ac:dyDescent="0.3">
      <c r="B1714" s="223">
        <v>44924</v>
      </c>
      <c r="C1714" s="224">
        <v>6</v>
      </c>
      <c r="D1714" s="225">
        <v>15</v>
      </c>
      <c r="E1714" s="226">
        <v>7552</v>
      </c>
      <c r="F1714" s="227">
        <v>16826280</v>
      </c>
      <c r="G1714" s="1" t="str">
        <f>IFERROR(IF(ventas_b_mes9[[#This Row],[CUIT]]="","-",VLOOKUP(ventas_b_mes9[[#This Row],[CUIT]],Lista_CUIT[#All],2,0)),"CUIT NO CARGADO")</f>
        <v>MENSI,ANA</v>
      </c>
      <c r="H1714" s="60">
        <f>ventas_b_mes9[[#This Row],[TOTAL]]/1.21</f>
        <v>1933.88</v>
      </c>
      <c r="I1714" s="228">
        <f>ventas_b_mes9[[#This Row],[IMPORTE NETO]]*0.21</f>
        <v>406.1148</v>
      </c>
      <c r="J1714" s="229"/>
      <c r="K1714" s="229"/>
      <c r="L1714" s="229">
        <v>2339.9947999999999</v>
      </c>
      <c r="M1714" s="55"/>
    </row>
    <row r="1715" spans="2:13" x14ac:dyDescent="0.3">
      <c r="B1715" s="223">
        <v>44924</v>
      </c>
      <c r="C1715" s="224">
        <v>6</v>
      </c>
      <c r="D1715" s="225">
        <v>15</v>
      </c>
      <c r="E1715" s="226">
        <v>7553</v>
      </c>
      <c r="F1715" s="227">
        <v>22489713</v>
      </c>
      <c r="G1715" s="1" t="str">
        <f>IFERROR(IF(ventas_b_mes9[[#This Row],[CUIT]]="","-",VLOOKUP(ventas_b_mes9[[#This Row],[CUIT]],Lista_CUIT[#All],2,0)),"CUIT NO CARGADO")</f>
        <v>GAIDO, SILVIA EDITH</v>
      </c>
      <c r="H1715" s="60">
        <f>ventas_b_mes9[[#This Row],[TOTAL]]/1.21</f>
        <v>2786.78</v>
      </c>
      <c r="I1715" s="228">
        <f>ventas_b_mes9[[#This Row],[IMPORTE NETO]]*0.21</f>
        <v>585.22379999999998</v>
      </c>
      <c r="J1715" s="229"/>
      <c r="K1715" s="229"/>
      <c r="L1715" s="229">
        <v>3372.0038000000004</v>
      </c>
      <c r="M1715" s="55"/>
    </row>
    <row r="1716" spans="2:13" x14ac:dyDescent="0.3">
      <c r="B1716" s="223">
        <v>44924</v>
      </c>
      <c r="C1716" s="224">
        <v>6</v>
      </c>
      <c r="D1716" s="225">
        <v>10</v>
      </c>
      <c r="E1716" s="226">
        <v>44587</v>
      </c>
      <c r="F1716" s="227"/>
      <c r="G1716" s="1" t="str">
        <f>IFERROR(IF(ventas_b_mes9[[#This Row],[CUIT]]="","-",VLOOKUP(ventas_b_mes9[[#This Row],[CUIT]],Lista_CUIT[#All],2,0)),"CUIT NO CARGADO")</f>
        <v>-</v>
      </c>
      <c r="H1716" s="60">
        <f>ventas_b_mes9[[#This Row],[TOTAL]]/1.21</f>
        <v>2892.56</v>
      </c>
      <c r="I1716" s="228">
        <f>ventas_b_mes9[[#This Row],[IMPORTE NETO]]*0.21</f>
        <v>607.43759999999997</v>
      </c>
      <c r="J1716" s="229"/>
      <c r="K1716" s="229"/>
      <c r="L1716" s="229">
        <v>3499.9975999999997</v>
      </c>
      <c r="M1716" s="55"/>
    </row>
    <row r="1717" spans="2:13" x14ac:dyDescent="0.3">
      <c r="B1717" s="223">
        <v>44924</v>
      </c>
      <c r="C1717" s="224">
        <v>6</v>
      </c>
      <c r="D1717" s="225">
        <v>10</v>
      </c>
      <c r="E1717" s="226">
        <v>44588</v>
      </c>
      <c r="F1717" s="227"/>
      <c r="G1717" s="1" t="str">
        <f>IFERROR(IF(ventas_b_mes9[[#This Row],[CUIT]]="","-",VLOOKUP(ventas_b_mes9[[#This Row],[CUIT]],Lista_CUIT[#All],2,0)),"CUIT NO CARGADO")</f>
        <v>-</v>
      </c>
      <c r="H1717" s="60">
        <f>ventas_b_mes9[[#This Row],[TOTAL]]/1.21</f>
        <v>8683.64</v>
      </c>
      <c r="I1717" s="228">
        <f>ventas_b_mes9[[#This Row],[IMPORTE NETO]]*0.21</f>
        <v>1823.5643999999998</v>
      </c>
      <c r="J1717" s="229"/>
      <c r="K1717" s="229"/>
      <c r="L1717" s="229">
        <v>10507.204399999999</v>
      </c>
      <c r="M1717" s="55"/>
    </row>
    <row r="1718" spans="2:13" x14ac:dyDescent="0.3">
      <c r="B1718" s="223">
        <v>44924</v>
      </c>
      <c r="C1718" s="224">
        <v>6</v>
      </c>
      <c r="D1718" s="225">
        <v>10</v>
      </c>
      <c r="E1718" s="226">
        <v>44589</v>
      </c>
      <c r="F1718" s="227"/>
      <c r="G1718" s="1" t="str">
        <f>IFERROR(IF(ventas_b_mes9[[#This Row],[CUIT]]="","-",VLOOKUP(ventas_b_mes9[[#This Row],[CUIT]],Lista_CUIT[#All],2,0)),"CUIT NO CARGADO")</f>
        <v>-</v>
      </c>
      <c r="H1718" s="60">
        <f>ventas_b_mes9[[#This Row],[TOTAL]]/1.21</f>
        <v>3206.61</v>
      </c>
      <c r="I1718" s="228">
        <f>ventas_b_mes9[[#This Row],[IMPORTE NETO]]*0.21</f>
        <v>673.38810000000001</v>
      </c>
      <c r="J1718" s="229"/>
      <c r="K1718" s="229"/>
      <c r="L1718" s="229">
        <v>3879.9981000000002</v>
      </c>
      <c r="M1718" s="55"/>
    </row>
    <row r="1719" spans="2:13" x14ac:dyDescent="0.3">
      <c r="B1719" s="223">
        <v>44924</v>
      </c>
      <c r="C1719" s="224">
        <v>6</v>
      </c>
      <c r="D1719" s="225">
        <v>10</v>
      </c>
      <c r="E1719" s="226">
        <v>44590</v>
      </c>
      <c r="F1719" s="227"/>
      <c r="G1719" s="1" t="str">
        <f>IFERROR(IF(ventas_b_mes9[[#This Row],[CUIT]]="","-",VLOOKUP(ventas_b_mes9[[#This Row],[CUIT]],Lista_CUIT[#All],2,0)),"CUIT NO CARGADO")</f>
        <v>-</v>
      </c>
      <c r="H1719" s="60">
        <f>ventas_b_mes9[[#This Row],[TOTAL]]/1.21</f>
        <v>21694.21</v>
      </c>
      <c r="I1719" s="228">
        <f>ventas_b_mes9[[#This Row],[IMPORTE NETO]]*0.21</f>
        <v>4555.7840999999999</v>
      </c>
      <c r="J1719" s="229"/>
      <c r="K1719" s="229"/>
      <c r="L1719" s="229">
        <v>26249.9941</v>
      </c>
      <c r="M1719" s="55"/>
    </row>
    <row r="1720" spans="2:13" x14ac:dyDescent="0.3">
      <c r="B1720" s="223">
        <v>44924</v>
      </c>
      <c r="C1720" s="224">
        <v>6</v>
      </c>
      <c r="D1720" s="225">
        <v>10</v>
      </c>
      <c r="E1720" s="226">
        <v>44591</v>
      </c>
      <c r="F1720" s="227"/>
      <c r="G1720" s="1" t="str">
        <f>IFERROR(IF(ventas_b_mes9[[#This Row],[CUIT]]="","-",VLOOKUP(ventas_b_mes9[[#This Row],[CUIT]],Lista_CUIT[#All],2,0)),"CUIT NO CARGADO")</f>
        <v>-</v>
      </c>
      <c r="H1720" s="60">
        <f>ventas_b_mes9[[#This Row],[TOTAL]]/1.21</f>
        <v>52017.360000000008</v>
      </c>
      <c r="I1720" s="228">
        <f>ventas_b_mes9[[#This Row],[IMPORTE NETO]]*0.21</f>
        <v>10923.645600000002</v>
      </c>
      <c r="J1720" s="229"/>
      <c r="K1720" s="229"/>
      <c r="L1720" s="229">
        <v>62941.005600000004</v>
      </c>
      <c r="M1720" s="55"/>
    </row>
    <row r="1721" spans="2:13" x14ac:dyDescent="0.3">
      <c r="B1721" s="223">
        <v>44924</v>
      </c>
      <c r="C1721" s="224">
        <v>6</v>
      </c>
      <c r="D1721" s="225">
        <v>10</v>
      </c>
      <c r="E1721" s="226">
        <v>44592</v>
      </c>
      <c r="F1721" s="227"/>
      <c r="G1721" s="1" t="str">
        <f>IFERROR(IF(ventas_b_mes9[[#This Row],[CUIT]]="","-",VLOOKUP(ventas_b_mes9[[#This Row],[CUIT]],Lista_CUIT[#All],2,0)),"CUIT NO CARGADO")</f>
        <v>-</v>
      </c>
      <c r="H1721" s="60">
        <f>ventas_b_mes9[[#This Row],[TOTAL]]/1.21</f>
        <v>37190.080000000002</v>
      </c>
      <c r="I1721" s="228">
        <f>ventas_b_mes9[[#This Row],[IMPORTE NETO]]*0.21</f>
        <v>7809.9168</v>
      </c>
      <c r="J1721" s="229"/>
      <c r="K1721" s="229"/>
      <c r="L1721" s="229">
        <v>44999.996800000001</v>
      </c>
      <c r="M1721" s="55"/>
    </row>
    <row r="1722" spans="2:13" x14ac:dyDescent="0.3">
      <c r="B1722" s="223">
        <v>44924</v>
      </c>
      <c r="C1722" s="224">
        <v>6</v>
      </c>
      <c r="D1722" s="225">
        <v>10</v>
      </c>
      <c r="E1722" s="226">
        <v>44593</v>
      </c>
      <c r="F1722" s="227"/>
      <c r="G1722" s="1" t="str">
        <f>IFERROR(IF(ventas_b_mes9[[#This Row],[CUIT]]="","-",VLOOKUP(ventas_b_mes9[[#This Row],[CUIT]],Lista_CUIT[#All],2,0)),"CUIT NO CARGADO")</f>
        <v>-</v>
      </c>
      <c r="H1722" s="60">
        <f>ventas_b_mes9[[#This Row],[TOTAL]]/1.21</f>
        <v>5672.73</v>
      </c>
      <c r="I1722" s="228">
        <f>ventas_b_mes9[[#This Row],[IMPORTE NETO]]*0.21</f>
        <v>1191.2732999999998</v>
      </c>
      <c r="J1722" s="229"/>
      <c r="K1722" s="229"/>
      <c r="L1722" s="229">
        <v>6864.0032999999994</v>
      </c>
      <c r="M1722" s="55"/>
    </row>
    <row r="1723" spans="2:13" x14ac:dyDescent="0.3">
      <c r="B1723" s="223">
        <v>44924</v>
      </c>
      <c r="C1723" s="224">
        <v>6</v>
      </c>
      <c r="D1723" s="225">
        <v>10</v>
      </c>
      <c r="E1723" s="226">
        <v>44594</v>
      </c>
      <c r="F1723" s="227"/>
      <c r="G1723" s="1" t="str">
        <f>IFERROR(IF(ventas_b_mes9[[#This Row],[CUIT]]="","-",VLOOKUP(ventas_b_mes9[[#This Row],[CUIT]],Lista_CUIT[#All],2,0)),"CUIT NO CARGADO")</f>
        <v>-</v>
      </c>
      <c r="H1723" s="60">
        <f>ventas_b_mes9[[#This Row],[TOTAL]]/1.21</f>
        <v>10631.41</v>
      </c>
      <c r="I1723" s="228">
        <f>ventas_b_mes9[[#This Row],[IMPORTE NETO]]*0.21</f>
        <v>2232.5960999999998</v>
      </c>
      <c r="J1723" s="229"/>
      <c r="K1723" s="229"/>
      <c r="L1723" s="229">
        <v>12864.006099999999</v>
      </c>
      <c r="M1723" s="55"/>
    </row>
    <row r="1724" spans="2:13" x14ac:dyDescent="0.3">
      <c r="B1724" s="223">
        <v>44924</v>
      </c>
      <c r="C1724" s="224">
        <v>6</v>
      </c>
      <c r="D1724" s="225">
        <v>10</v>
      </c>
      <c r="E1724" s="226">
        <v>44595</v>
      </c>
      <c r="F1724" s="227"/>
      <c r="G1724" s="1" t="str">
        <f>IFERROR(IF(ventas_b_mes9[[#This Row],[CUIT]]="","-",VLOOKUP(ventas_b_mes9[[#This Row],[CUIT]],Lista_CUIT[#All],2,0)),"CUIT NO CARGADO")</f>
        <v>-</v>
      </c>
      <c r="H1724" s="60">
        <f>ventas_b_mes9[[#This Row],[TOTAL]]/1.21</f>
        <v>11543.8</v>
      </c>
      <c r="I1724" s="228">
        <f>ventas_b_mes9[[#This Row],[IMPORTE NETO]]*0.21</f>
        <v>2424.1979999999999</v>
      </c>
      <c r="J1724" s="229"/>
      <c r="K1724" s="229"/>
      <c r="L1724" s="229">
        <v>13967.998</v>
      </c>
      <c r="M1724" s="55"/>
    </row>
    <row r="1725" spans="2:13" x14ac:dyDescent="0.3">
      <c r="B1725" s="223">
        <v>44924</v>
      </c>
      <c r="C1725" s="224">
        <v>6</v>
      </c>
      <c r="D1725" s="225">
        <v>10</v>
      </c>
      <c r="E1725" s="226">
        <v>44596</v>
      </c>
      <c r="F1725" s="227"/>
      <c r="G1725" s="1" t="str">
        <f>IFERROR(IF(ventas_b_mes9[[#This Row],[CUIT]]="","-",VLOOKUP(ventas_b_mes9[[#This Row],[CUIT]],Lista_CUIT[#All],2,0)),"CUIT NO CARGADO")</f>
        <v>-</v>
      </c>
      <c r="H1725" s="60">
        <f>ventas_b_mes9[[#This Row],[TOTAL]]/1.21</f>
        <v>8806.61</v>
      </c>
      <c r="I1725" s="228">
        <f>ventas_b_mes9[[#This Row],[IMPORTE NETO]]*0.21</f>
        <v>1849.3881000000001</v>
      </c>
      <c r="J1725" s="229"/>
      <c r="K1725" s="229"/>
      <c r="L1725" s="229">
        <v>10655.998100000001</v>
      </c>
      <c r="M1725" s="55"/>
    </row>
    <row r="1726" spans="2:13" x14ac:dyDescent="0.3">
      <c r="B1726" s="223">
        <v>44924</v>
      </c>
      <c r="C1726" s="224">
        <v>6</v>
      </c>
      <c r="D1726" s="225">
        <v>10</v>
      </c>
      <c r="E1726" s="226">
        <v>44597</v>
      </c>
      <c r="F1726" s="227"/>
      <c r="G1726" s="1" t="str">
        <f>IFERROR(IF(ventas_b_mes9[[#This Row],[CUIT]]="","-",VLOOKUP(ventas_b_mes9[[#This Row],[CUIT]],Lista_CUIT[#All],2,0)),"CUIT NO CARGADO")</f>
        <v>-</v>
      </c>
      <c r="H1726" s="60">
        <f>ventas_b_mes9[[#This Row],[TOTAL]]/1.21</f>
        <v>3609.92</v>
      </c>
      <c r="I1726" s="228">
        <f>ventas_b_mes9[[#This Row],[IMPORTE NETO]]*0.21</f>
        <v>758.08320000000003</v>
      </c>
      <c r="J1726" s="229"/>
      <c r="K1726" s="229"/>
      <c r="L1726" s="229">
        <v>4368.0032000000001</v>
      </c>
      <c r="M1726" s="55"/>
    </row>
    <row r="1727" spans="2:13" x14ac:dyDescent="0.3">
      <c r="B1727" s="223">
        <v>44924</v>
      </c>
      <c r="C1727" s="224">
        <v>6</v>
      </c>
      <c r="D1727" s="225">
        <v>10</v>
      </c>
      <c r="E1727" s="226">
        <v>44598</v>
      </c>
      <c r="F1727" s="227"/>
      <c r="G1727" s="1" t="str">
        <f>IFERROR(IF(ventas_b_mes9[[#This Row],[CUIT]]="","-",VLOOKUP(ventas_b_mes9[[#This Row],[CUIT]],Lista_CUIT[#All],2,0)),"CUIT NO CARGADO")</f>
        <v>-</v>
      </c>
      <c r="H1727" s="60">
        <f>ventas_b_mes9[[#This Row],[TOTAL]]/1.21</f>
        <v>4000</v>
      </c>
      <c r="I1727" s="228">
        <f>ventas_b_mes9[[#This Row],[IMPORTE NETO]]*0.21</f>
        <v>840</v>
      </c>
      <c r="J1727" s="229"/>
      <c r="K1727" s="229"/>
      <c r="L1727" s="229">
        <v>4840</v>
      </c>
      <c r="M1727" s="55"/>
    </row>
    <row r="1728" spans="2:13" x14ac:dyDescent="0.3">
      <c r="B1728" s="223">
        <v>44924</v>
      </c>
      <c r="C1728" s="224">
        <v>6</v>
      </c>
      <c r="D1728" s="225">
        <v>10</v>
      </c>
      <c r="E1728" s="226">
        <v>44599</v>
      </c>
      <c r="F1728" s="227"/>
      <c r="G1728" s="1" t="str">
        <f>IFERROR(IF(ventas_b_mes9[[#This Row],[CUIT]]="","-",VLOOKUP(ventas_b_mes9[[#This Row],[CUIT]],Lista_CUIT[#All],2,0)),"CUIT NO CARGADO")</f>
        <v>-</v>
      </c>
      <c r="H1728" s="60">
        <f>ventas_b_mes9[[#This Row],[TOTAL]]/1.21</f>
        <v>3482.64</v>
      </c>
      <c r="I1728" s="228">
        <f>ventas_b_mes9[[#This Row],[IMPORTE NETO]]*0.21</f>
        <v>731.35439999999994</v>
      </c>
      <c r="J1728" s="229"/>
      <c r="K1728" s="229"/>
      <c r="L1728" s="229">
        <v>4213.9943999999996</v>
      </c>
      <c r="M1728" s="55"/>
    </row>
    <row r="1729" spans="2:13" x14ac:dyDescent="0.3">
      <c r="B1729" s="223">
        <v>44924</v>
      </c>
      <c r="C1729" s="224">
        <v>6</v>
      </c>
      <c r="D1729" s="225">
        <v>10</v>
      </c>
      <c r="E1729" s="226">
        <v>44600</v>
      </c>
      <c r="F1729" s="227"/>
      <c r="G1729" s="1" t="str">
        <f>IFERROR(IF(ventas_b_mes9[[#This Row],[CUIT]]="","-",VLOOKUP(ventas_b_mes9[[#This Row],[CUIT]],Lista_CUIT[#All],2,0)),"CUIT NO CARGADO")</f>
        <v>-</v>
      </c>
      <c r="H1729" s="60">
        <f>ventas_b_mes9[[#This Row],[TOTAL]]/1.21</f>
        <v>1031.4000000000001</v>
      </c>
      <c r="I1729" s="228">
        <f>ventas_b_mes9[[#This Row],[IMPORTE NETO]]*0.21</f>
        <v>216.59400000000002</v>
      </c>
      <c r="J1729" s="229"/>
      <c r="K1729" s="229"/>
      <c r="L1729" s="229">
        <v>1247.9940000000001</v>
      </c>
      <c r="M1729" s="55"/>
    </row>
    <row r="1730" spans="2:13" x14ac:dyDescent="0.3">
      <c r="B1730" s="223">
        <v>44924</v>
      </c>
      <c r="C1730" s="224">
        <v>6</v>
      </c>
      <c r="D1730" s="225">
        <v>10</v>
      </c>
      <c r="E1730" s="226">
        <v>44601</v>
      </c>
      <c r="F1730" s="227"/>
      <c r="G1730" s="1" t="str">
        <f>IFERROR(IF(ventas_b_mes9[[#This Row],[CUIT]]="","-",VLOOKUP(ventas_b_mes9[[#This Row],[CUIT]],Lista_CUIT[#All],2,0)),"CUIT NO CARGADO")</f>
        <v>-</v>
      </c>
      <c r="H1730" s="60">
        <f>ventas_b_mes9[[#This Row],[TOTAL]]/1.21</f>
        <v>7223.14</v>
      </c>
      <c r="I1730" s="228">
        <f>ventas_b_mes9[[#This Row],[IMPORTE NETO]]*0.21</f>
        <v>1516.8594000000001</v>
      </c>
      <c r="J1730" s="229"/>
      <c r="K1730" s="229"/>
      <c r="L1730" s="229">
        <v>8739.9994000000006</v>
      </c>
      <c r="M1730" s="55"/>
    </row>
    <row r="1731" spans="2:13" x14ac:dyDescent="0.3">
      <c r="B1731" s="223">
        <v>44924</v>
      </c>
      <c r="C1731" s="224">
        <v>6</v>
      </c>
      <c r="D1731" s="225">
        <v>10</v>
      </c>
      <c r="E1731" s="226">
        <v>44602</v>
      </c>
      <c r="F1731" s="227"/>
      <c r="G1731" s="1" t="str">
        <f>IFERROR(IF(ventas_b_mes9[[#This Row],[CUIT]]="","-",VLOOKUP(ventas_b_mes9[[#This Row],[CUIT]],Lista_CUIT[#All],2,0)),"CUIT NO CARGADO")</f>
        <v>-</v>
      </c>
      <c r="H1731" s="60">
        <f>ventas_b_mes9[[#This Row],[TOTAL]]/1.21</f>
        <v>11289.26</v>
      </c>
      <c r="I1731" s="228">
        <f>ventas_b_mes9[[#This Row],[IMPORTE NETO]]*0.21</f>
        <v>2370.7446</v>
      </c>
      <c r="J1731" s="229"/>
      <c r="K1731" s="229"/>
      <c r="L1731" s="229">
        <v>13660.0046</v>
      </c>
      <c r="M1731" s="55"/>
    </row>
    <row r="1732" spans="2:13" x14ac:dyDescent="0.3">
      <c r="B1732" s="223">
        <v>44924</v>
      </c>
      <c r="C1732" s="224">
        <v>6</v>
      </c>
      <c r="D1732" s="225">
        <v>10</v>
      </c>
      <c r="E1732" s="226">
        <v>44603</v>
      </c>
      <c r="F1732" s="227"/>
      <c r="G1732" s="1" t="str">
        <f>IFERROR(IF(ventas_b_mes9[[#This Row],[CUIT]]="","-",VLOOKUP(ventas_b_mes9[[#This Row],[CUIT]],Lista_CUIT[#All],2,0)),"CUIT NO CARGADO")</f>
        <v>-</v>
      </c>
      <c r="H1732" s="60">
        <f>ventas_b_mes9[[#This Row],[TOTAL]]/1.21</f>
        <v>3704.13</v>
      </c>
      <c r="I1732" s="228">
        <f>ventas_b_mes9[[#This Row],[IMPORTE NETO]]*0.21</f>
        <v>777.8673</v>
      </c>
      <c r="J1732" s="229"/>
      <c r="K1732" s="229"/>
      <c r="L1732" s="229">
        <v>4481.9973</v>
      </c>
      <c r="M1732" s="55"/>
    </row>
    <row r="1733" spans="2:13" x14ac:dyDescent="0.3">
      <c r="B1733" s="223">
        <v>44924</v>
      </c>
      <c r="C1733" s="224">
        <v>6</v>
      </c>
      <c r="D1733" s="225">
        <v>10</v>
      </c>
      <c r="E1733" s="226">
        <v>44604</v>
      </c>
      <c r="F1733" s="227"/>
      <c r="G1733" s="1" t="str">
        <f>IFERROR(IF(ventas_b_mes9[[#This Row],[CUIT]]="","-",VLOOKUP(ventas_b_mes9[[#This Row],[CUIT]],Lista_CUIT[#All],2,0)),"CUIT NO CARGADO")</f>
        <v>-</v>
      </c>
      <c r="H1733" s="60">
        <f>ventas_b_mes9[[#This Row],[TOTAL]]/1.21</f>
        <v>6776.86</v>
      </c>
      <c r="I1733" s="228">
        <f>ventas_b_mes9[[#This Row],[IMPORTE NETO]]*0.21</f>
        <v>1423.1405999999999</v>
      </c>
      <c r="J1733" s="229"/>
      <c r="K1733" s="229"/>
      <c r="L1733" s="229">
        <v>8200.0005999999994</v>
      </c>
      <c r="M1733" s="55"/>
    </row>
    <row r="1734" spans="2:13" x14ac:dyDescent="0.3">
      <c r="B1734" s="223">
        <v>44924</v>
      </c>
      <c r="C1734" s="224">
        <v>6</v>
      </c>
      <c r="D1734" s="225">
        <v>10</v>
      </c>
      <c r="E1734" s="226">
        <v>44605</v>
      </c>
      <c r="F1734" s="227"/>
      <c r="G1734" s="1" t="str">
        <f>IFERROR(IF(ventas_b_mes9[[#This Row],[CUIT]]="","-",VLOOKUP(ventas_b_mes9[[#This Row],[CUIT]],Lista_CUIT[#All],2,0)),"CUIT NO CARGADO")</f>
        <v>-</v>
      </c>
      <c r="H1734" s="60">
        <f>ventas_b_mes9[[#This Row],[TOTAL]]/1.21</f>
        <v>743.8</v>
      </c>
      <c r="I1734" s="228">
        <f>ventas_b_mes9[[#This Row],[IMPORTE NETO]]*0.21</f>
        <v>156.19799999999998</v>
      </c>
      <c r="J1734" s="229"/>
      <c r="K1734" s="229"/>
      <c r="L1734" s="229">
        <v>899.99799999999993</v>
      </c>
      <c r="M1734" s="55"/>
    </row>
    <row r="1735" spans="2:13" x14ac:dyDescent="0.3">
      <c r="B1735" s="223">
        <v>44924</v>
      </c>
      <c r="C1735" s="224">
        <v>6</v>
      </c>
      <c r="D1735" s="225">
        <v>12</v>
      </c>
      <c r="E1735" s="226">
        <v>23176</v>
      </c>
      <c r="F1735" s="227"/>
      <c r="G1735" s="1" t="str">
        <f>IFERROR(IF(ventas_b_mes9[[#This Row],[CUIT]]="","-",VLOOKUP(ventas_b_mes9[[#This Row],[CUIT]],Lista_CUIT[#All],2,0)),"CUIT NO CARGADO")</f>
        <v>-</v>
      </c>
      <c r="H1735" s="60">
        <f>ventas_b_mes9[[#This Row],[TOTAL]]/1.21</f>
        <v>4545.45</v>
      </c>
      <c r="I1735" s="228">
        <f>ventas_b_mes9[[#This Row],[IMPORTE NETO]]*0.21</f>
        <v>954.54449999999997</v>
      </c>
      <c r="J1735" s="229"/>
      <c r="K1735" s="229"/>
      <c r="L1735" s="229">
        <v>5499.9944999999998</v>
      </c>
      <c r="M1735" s="55"/>
    </row>
    <row r="1736" spans="2:13" x14ac:dyDescent="0.3">
      <c r="B1736" s="223">
        <v>44924</v>
      </c>
      <c r="C1736" s="224">
        <v>6</v>
      </c>
      <c r="D1736" s="225">
        <v>12</v>
      </c>
      <c r="E1736" s="226">
        <v>23177</v>
      </c>
      <c r="F1736" s="227"/>
      <c r="G1736" s="1" t="str">
        <f>IFERROR(IF(ventas_b_mes9[[#This Row],[CUIT]]="","-",VLOOKUP(ventas_b_mes9[[#This Row],[CUIT]],Lista_CUIT[#All],2,0)),"CUIT NO CARGADO")</f>
        <v>-</v>
      </c>
      <c r="H1736" s="60">
        <f>ventas_b_mes9[[#This Row],[TOTAL]]/1.21</f>
        <v>4958.68</v>
      </c>
      <c r="I1736" s="228">
        <f>ventas_b_mes9[[#This Row],[IMPORTE NETO]]*0.21</f>
        <v>1041.3227999999999</v>
      </c>
      <c r="J1736" s="229"/>
      <c r="K1736" s="229"/>
      <c r="L1736" s="229">
        <v>6000.0028000000002</v>
      </c>
      <c r="M1736" s="55"/>
    </row>
    <row r="1737" spans="2:13" x14ac:dyDescent="0.3">
      <c r="B1737" s="223">
        <v>44924</v>
      </c>
      <c r="C1737" s="224">
        <v>6</v>
      </c>
      <c r="D1737" s="225">
        <v>12</v>
      </c>
      <c r="E1737" s="226">
        <v>23178</v>
      </c>
      <c r="F1737" s="227"/>
      <c r="G1737" s="1" t="str">
        <f>IFERROR(IF(ventas_b_mes9[[#This Row],[CUIT]]="","-",VLOOKUP(ventas_b_mes9[[#This Row],[CUIT]],Lista_CUIT[#All],2,0)),"CUIT NO CARGADO")</f>
        <v>-</v>
      </c>
      <c r="H1737" s="60">
        <f>ventas_b_mes9[[#This Row],[TOTAL]]/1.21</f>
        <v>1348.7600000000002</v>
      </c>
      <c r="I1737" s="228">
        <f>ventas_b_mes9[[#This Row],[IMPORTE NETO]]*0.21</f>
        <v>283.23960000000005</v>
      </c>
      <c r="J1737" s="229"/>
      <c r="K1737" s="229"/>
      <c r="L1737" s="229">
        <v>1631.9996000000001</v>
      </c>
      <c r="M1737" s="55"/>
    </row>
    <row r="1738" spans="2:13" x14ac:dyDescent="0.3">
      <c r="B1738" s="223">
        <v>44924</v>
      </c>
      <c r="C1738" s="224">
        <v>6</v>
      </c>
      <c r="D1738" s="225">
        <v>12</v>
      </c>
      <c r="E1738" s="226">
        <v>23179</v>
      </c>
      <c r="F1738" s="227"/>
      <c r="G1738" s="1" t="str">
        <f>IFERROR(IF(ventas_b_mes9[[#This Row],[CUIT]]="","-",VLOOKUP(ventas_b_mes9[[#This Row],[CUIT]],Lista_CUIT[#All],2,0)),"CUIT NO CARGADO")</f>
        <v>-</v>
      </c>
      <c r="H1738" s="60">
        <f>ventas_b_mes9[[#This Row],[TOTAL]]/1.21</f>
        <v>4442.9799999999996</v>
      </c>
      <c r="I1738" s="228">
        <f>ventas_b_mes9[[#This Row],[IMPORTE NETO]]*0.21</f>
        <v>933.02579999999989</v>
      </c>
      <c r="J1738" s="229"/>
      <c r="K1738" s="229"/>
      <c r="L1738" s="229">
        <v>5376.005799999999</v>
      </c>
      <c r="M1738" s="55"/>
    </row>
    <row r="1739" spans="2:13" x14ac:dyDescent="0.3">
      <c r="B1739" s="223">
        <v>44924</v>
      </c>
      <c r="C1739" s="224">
        <v>6</v>
      </c>
      <c r="D1739" s="225">
        <v>12</v>
      </c>
      <c r="E1739" s="226">
        <v>23180</v>
      </c>
      <c r="F1739" s="227"/>
      <c r="G1739" s="1" t="str">
        <f>IFERROR(IF(ventas_b_mes9[[#This Row],[CUIT]]="","-",VLOOKUP(ventas_b_mes9[[#This Row],[CUIT]],Lista_CUIT[#All],2,0)),"CUIT NO CARGADO")</f>
        <v>-</v>
      </c>
      <c r="H1739" s="60">
        <f>ventas_b_mes9[[#This Row],[TOTAL]]/1.21</f>
        <v>13289.26</v>
      </c>
      <c r="I1739" s="228">
        <f>ventas_b_mes9[[#This Row],[IMPORTE NETO]]*0.21</f>
        <v>2790.7446</v>
      </c>
      <c r="J1739" s="229"/>
      <c r="K1739" s="229"/>
      <c r="L1739" s="229">
        <v>16080.0046</v>
      </c>
      <c r="M1739" s="55"/>
    </row>
    <row r="1740" spans="2:13" x14ac:dyDescent="0.3">
      <c r="B1740" s="223">
        <v>44924</v>
      </c>
      <c r="C1740" s="224">
        <v>6</v>
      </c>
      <c r="D1740" s="225">
        <v>12</v>
      </c>
      <c r="E1740" s="226">
        <v>23181</v>
      </c>
      <c r="F1740" s="227"/>
      <c r="G1740" s="1" t="str">
        <f>IFERROR(IF(ventas_b_mes9[[#This Row],[CUIT]]="","-",VLOOKUP(ventas_b_mes9[[#This Row],[CUIT]],Lista_CUIT[#All],2,0)),"CUIT NO CARGADO")</f>
        <v>-</v>
      </c>
      <c r="H1740" s="60">
        <f>ventas_b_mes9[[#This Row],[TOTAL]]/1.21</f>
        <v>20866.12</v>
      </c>
      <c r="I1740" s="228">
        <f>ventas_b_mes9[[#This Row],[IMPORTE NETO]]*0.21</f>
        <v>4381.8851999999997</v>
      </c>
      <c r="J1740" s="229"/>
      <c r="K1740" s="229"/>
      <c r="L1740" s="229">
        <v>25248.0052</v>
      </c>
      <c r="M1740" s="55"/>
    </row>
    <row r="1741" spans="2:13" x14ac:dyDescent="0.3">
      <c r="B1741" s="223">
        <v>44924</v>
      </c>
      <c r="C1741" s="224">
        <v>6</v>
      </c>
      <c r="D1741" s="225">
        <v>12</v>
      </c>
      <c r="E1741" s="226">
        <v>23182</v>
      </c>
      <c r="F1741" s="227"/>
      <c r="G1741" s="1" t="str">
        <f>IFERROR(IF(ventas_b_mes9[[#This Row],[CUIT]]="","-",VLOOKUP(ventas_b_mes9[[#This Row],[CUIT]],Lista_CUIT[#All],2,0)),"CUIT NO CARGADO")</f>
        <v>-</v>
      </c>
      <c r="H1741" s="60">
        <f>ventas_b_mes9[[#This Row],[TOTAL]]/1.21</f>
        <v>8036.37</v>
      </c>
      <c r="I1741" s="228">
        <f>ventas_b_mes9[[#This Row],[IMPORTE NETO]]*0.21</f>
        <v>1687.6377</v>
      </c>
      <c r="J1741" s="229"/>
      <c r="K1741" s="229"/>
      <c r="L1741" s="229">
        <v>9724.0077000000001</v>
      </c>
      <c r="M1741" s="55"/>
    </row>
    <row r="1742" spans="2:13" x14ac:dyDescent="0.3">
      <c r="B1742" s="223">
        <v>44924</v>
      </c>
      <c r="C1742" s="224">
        <v>6</v>
      </c>
      <c r="D1742" s="225">
        <v>12</v>
      </c>
      <c r="E1742" s="226">
        <v>23183</v>
      </c>
      <c r="F1742" s="227"/>
      <c r="G1742" s="1" t="str">
        <f>IFERROR(IF(ventas_b_mes9[[#This Row],[CUIT]]="","-",VLOOKUP(ventas_b_mes9[[#This Row],[CUIT]],Lista_CUIT[#All],2,0)),"CUIT NO CARGADO")</f>
        <v>-</v>
      </c>
      <c r="H1742" s="60">
        <f>ventas_b_mes9[[#This Row],[TOTAL]]/1.21</f>
        <v>7616.53</v>
      </c>
      <c r="I1742" s="228">
        <f>ventas_b_mes9[[#This Row],[IMPORTE NETO]]*0.21</f>
        <v>1599.4712999999999</v>
      </c>
      <c r="J1742" s="229"/>
      <c r="K1742" s="229"/>
      <c r="L1742" s="229">
        <v>9216.0012999999999</v>
      </c>
      <c r="M1742" s="55"/>
    </row>
    <row r="1743" spans="2:13" x14ac:dyDescent="0.3">
      <c r="B1743" s="223">
        <v>44924</v>
      </c>
      <c r="C1743" s="224">
        <v>6</v>
      </c>
      <c r="D1743" s="225">
        <v>12</v>
      </c>
      <c r="E1743" s="226">
        <v>23184</v>
      </c>
      <c r="F1743" s="227"/>
      <c r="G1743" s="1" t="str">
        <f>IFERROR(IF(ventas_b_mes9[[#This Row],[CUIT]]="","-",VLOOKUP(ventas_b_mes9[[#This Row],[CUIT]],Lista_CUIT[#All],2,0)),"CUIT NO CARGADO")</f>
        <v>-</v>
      </c>
      <c r="H1743" s="60">
        <f>ventas_b_mes9[[#This Row],[TOTAL]]/1.21</f>
        <v>3927.27</v>
      </c>
      <c r="I1743" s="228">
        <f>ventas_b_mes9[[#This Row],[IMPORTE NETO]]*0.21</f>
        <v>824.72669999999994</v>
      </c>
      <c r="J1743" s="229"/>
      <c r="K1743" s="229"/>
      <c r="L1743" s="229">
        <v>4751.9966999999997</v>
      </c>
      <c r="M1743" s="55"/>
    </row>
    <row r="1744" spans="2:13" x14ac:dyDescent="0.3">
      <c r="B1744" s="223">
        <v>44924</v>
      </c>
      <c r="C1744" s="224">
        <v>6</v>
      </c>
      <c r="D1744" s="225">
        <v>12</v>
      </c>
      <c r="E1744" s="226">
        <v>23185</v>
      </c>
      <c r="F1744" s="227"/>
      <c r="G1744" s="1" t="str">
        <f>IFERROR(IF(ventas_b_mes9[[#This Row],[CUIT]]="","-",VLOOKUP(ventas_b_mes9[[#This Row],[CUIT]],Lista_CUIT[#All],2,0)),"CUIT NO CARGADO")</f>
        <v>-</v>
      </c>
      <c r="H1744" s="60">
        <f>ventas_b_mes9[[#This Row],[TOTAL]]/1.21</f>
        <v>7180.17</v>
      </c>
      <c r="I1744" s="228">
        <f>ventas_b_mes9[[#This Row],[IMPORTE NETO]]*0.21</f>
        <v>1507.8356999999999</v>
      </c>
      <c r="J1744" s="229"/>
      <c r="K1744" s="229"/>
      <c r="L1744" s="229">
        <v>8688.0056999999997</v>
      </c>
      <c r="M1744" s="55"/>
    </row>
    <row r="1745" spans="2:13" x14ac:dyDescent="0.3">
      <c r="B1745" s="223">
        <v>44924</v>
      </c>
      <c r="C1745" s="224">
        <v>6</v>
      </c>
      <c r="D1745" s="225">
        <v>12</v>
      </c>
      <c r="E1745" s="226">
        <v>23186</v>
      </c>
      <c r="F1745" s="227"/>
      <c r="G1745" s="1" t="str">
        <f>IFERROR(IF(ventas_b_mes9[[#This Row],[CUIT]]="","-",VLOOKUP(ventas_b_mes9[[#This Row],[CUIT]],Lista_CUIT[#All],2,0)),"CUIT NO CARGADO")</f>
        <v>-</v>
      </c>
      <c r="H1745" s="60">
        <f>ventas_b_mes9[[#This Row],[TOTAL]]/1.21</f>
        <v>3887.6000000000004</v>
      </c>
      <c r="I1745" s="228">
        <f>ventas_b_mes9[[#This Row],[IMPORTE NETO]]*0.21</f>
        <v>816.39600000000007</v>
      </c>
      <c r="J1745" s="229"/>
      <c r="K1745" s="229"/>
      <c r="L1745" s="229">
        <v>4703.9960000000001</v>
      </c>
      <c r="M1745" s="55"/>
    </row>
    <row r="1746" spans="2:13" x14ac:dyDescent="0.3">
      <c r="B1746" s="223">
        <v>44924</v>
      </c>
      <c r="C1746" s="224">
        <v>6</v>
      </c>
      <c r="D1746" s="225">
        <v>12</v>
      </c>
      <c r="E1746" s="226">
        <v>23187</v>
      </c>
      <c r="F1746" s="227"/>
      <c r="G1746" s="1" t="str">
        <f>IFERROR(IF(ventas_b_mes9[[#This Row],[CUIT]]="","-",VLOOKUP(ventas_b_mes9[[#This Row],[CUIT]],Lista_CUIT[#All],2,0)),"CUIT NO CARGADO")</f>
        <v>-</v>
      </c>
      <c r="H1746" s="60">
        <f>ventas_b_mes9[[#This Row],[TOTAL]]/1.21</f>
        <v>6629.75</v>
      </c>
      <c r="I1746" s="228">
        <f>ventas_b_mes9[[#This Row],[IMPORTE NETO]]*0.21</f>
        <v>1392.2474999999999</v>
      </c>
      <c r="J1746" s="229"/>
      <c r="K1746" s="229"/>
      <c r="L1746" s="229">
        <v>8021.9974999999995</v>
      </c>
      <c r="M1746" s="55"/>
    </row>
    <row r="1747" spans="2:13" x14ac:dyDescent="0.3">
      <c r="B1747" s="223">
        <v>44924</v>
      </c>
      <c r="C1747" s="224">
        <v>6</v>
      </c>
      <c r="D1747" s="225">
        <v>12</v>
      </c>
      <c r="E1747" s="226">
        <v>23188</v>
      </c>
      <c r="F1747" s="227"/>
      <c r="G1747" s="1" t="str">
        <f>IFERROR(IF(ventas_b_mes9[[#This Row],[CUIT]]="","-",VLOOKUP(ventas_b_mes9[[#This Row],[CUIT]],Lista_CUIT[#All],2,0)),"CUIT NO CARGADO")</f>
        <v>-</v>
      </c>
      <c r="H1747" s="60">
        <f>ventas_b_mes9[[#This Row],[TOTAL]]/1.21</f>
        <v>9079.35</v>
      </c>
      <c r="I1747" s="228">
        <f>ventas_b_mes9[[#This Row],[IMPORTE NETO]]*0.21</f>
        <v>1906.6635000000001</v>
      </c>
      <c r="J1747" s="229"/>
      <c r="K1747" s="229"/>
      <c r="L1747" s="229">
        <v>10986.013500000001</v>
      </c>
      <c r="M1747" s="55"/>
    </row>
    <row r="1748" spans="2:13" x14ac:dyDescent="0.3">
      <c r="B1748" s="223">
        <v>44924</v>
      </c>
      <c r="C1748" s="224">
        <v>6</v>
      </c>
      <c r="D1748" s="225">
        <v>12</v>
      </c>
      <c r="E1748" s="226">
        <v>23189</v>
      </c>
      <c r="F1748" s="227"/>
      <c r="G1748" s="1" t="str">
        <f>IFERROR(IF(ventas_b_mes9[[#This Row],[CUIT]]="","-",VLOOKUP(ventas_b_mes9[[#This Row],[CUIT]],Lista_CUIT[#All],2,0)),"CUIT NO CARGADO")</f>
        <v>-</v>
      </c>
      <c r="H1748" s="60">
        <f>ventas_b_mes9[[#This Row],[TOTAL]]/1.21</f>
        <v>4879.34</v>
      </c>
      <c r="I1748" s="228">
        <f>ventas_b_mes9[[#This Row],[IMPORTE NETO]]*0.21</f>
        <v>1024.6614</v>
      </c>
      <c r="J1748" s="229"/>
      <c r="K1748" s="229"/>
      <c r="L1748" s="229">
        <v>5904.0014000000001</v>
      </c>
      <c r="M1748" s="55"/>
    </row>
    <row r="1749" spans="2:13" x14ac:dyDescent="0.3">
      <c r="B1749" s="223">
        <v>44924</v>
      </c>
      <c r="C1749" s="224">
        <v>6</v>
      </c>
      <c r="D1749" s="225">
        <v>12</v>
      </c>
      <c r="E1749" s="226">
        <v>23190</v>
      </c>
      <c r="F1749" s="227"/>
      <c r="G1749" s="1" t="str">
        <f>IFERROR(IF(ventas_b_mes9[[#This Row],[CUIT]]="","-",VLOOKUP(ventas_b_mes9[[#This Row],[CUIT]],Lista_CUIT[#All],2,0)),"CUIT NO CARGADO")</f>
        <v>-</v>
      </c>
      <c r="H1749" s="60">
        <f>ventas_b_mes9[[#This Row],[TOTAL]]/1.21</f>
        <v>2476.0300000000002</v>
      </c>
      <c r="I1749" s="228">
        <f>ventas_b_mes9[[#This Row],[IMPORTE NETO]]*0.21</f>
        <v>519.96630000000005</v>
      </c>
      <c r="J1749" s="229"/>
      <c r="K1749" s="229"/>
      <c r="L1749" s="229">
        <v>2995.9963000000002</v>
      </c>
      <c r="M1749" s="55"/>
    </row>
    <row r="1750" spans="2:13" x14ac:dyDescent="0.3">
      <c r="B1750" s="223">
        <v>44924</v>
      </c>
      <c r="C1750" s="224">
        <v>6</v>
      </c>
      <c r="D1750" s="225">
        <v>12</v>
      </c>
      <c r="E1750" s="226">
        <v>23191</v>
      </c>
      <c r="F1750" s="227"/>
      <c r="G1750" s="1" t="str">
        <f>IFERROR(IF(ventas_b_mes9[[#This Row],[CUIT]]="","-",VLOOKUP(ventas_b_mes9[[#This Row],[CUIT]],Lista_CUIT[#All],2,0)),"CUIT NO CARGADO")</f>
        <v>-</v>
      </c>
      <c r="H1750" s="60">
        <f>ventas_b_mes9[[#This Row],[TOTAL]]/1.21</f>
        <v>21289.3</v>
      </c>
      <c r="I1750" s="228">
        <f>ventas_b_mes9[[#This Row],[IMPORTE NETO]]*0.21</f>
        <v>4470.7529999999997</v>
      </c>
      <c r="J1750" s="229"/>
      <c r="K1750" s="229"/>
      <c r="L1750" s="229">
        <v>25760.053</v>
      </c>
      <c r="M1750" s="55"/>
    </row>
    <row r="1751" spans="2:13" x14ac:dyDescent="0.3">
      <c r="B1751" s="223">
        <v>44924</v>
      </c>
      <c r="C1751" s="224">
        <v>6</v>
      </c>
      <c r="D1751" s="225">
        <v>12</v>
      </c>
      <c r="E1751" s="226">
        <v>23192</v>
      </c>
      <c r="F1751" s="227"/>
      <c r="G1751" s="1" t="str">
        <f>IFERROR(IF(ventas_b_mes9[[#This Row],[CUIT]]="","-",VLOOKUP(ventas_b_mes9[[#This Row],[CUIT]],Lista_CUIT[#All],2,0)),"CUIT NO CARGADO")</f>
        <v>-</v>
      </c>
      <c r="H1751" s="60">
        <f>ventas_b_mes9[[#This Row],[TOTAL]]/1.21</f>
        <v>4442.9799999999996</v>
      </c>
      <c r="I1751" s="228">
        <f>ventas_b_mes9[[#This Row],[IMPORTE NETO]]*0.21</f>
        <v>933.02579999999989</v>
      </c>
      <c r="J1751" s="229"/>
      <c r="K1751" s="229"/>
      <c r="L1751" s="229">
        <v>5376.005799999999</v>
      </c>
      <c r="M1751" s="55"/>
    </row>
    <row r="1752" spans="2:13" x14ac:dyDescent="0.3">
      <c r="B1752" s="223">
        <v>44924</v>
      </c>
      <c r="C1752" s="224">
        <v>6</v>
      </c>
      <c r="D1752" s="225">
        <v>12</v>
      </c>
      <c r="E1752" s="226">
        <v>23193</v>
      </c>
      <c r="F1752" s="227"/>
      <c r="G1752" s="1" t="str">
        <f>IFERROR(IF(ventas_b_mes9[[#This Row],[CUIT]]="","-",VLOOKUP(ventas_b_mes9[[#This Row],[CUIT]],Lista_CUIT[#All],2,0)),"CUIT NO CARGADO")</f>
        <v>-</v>
      </c>
      <c r="H1752" s="60">
        <f>ventas_b_mes9[[#This Row],[TOTAL]]/1.21</f>
        <v>6069.44</v>
      </c>
      <c r="I1752" s="228">
        <f>ventas_b_mes9[[#This Row],[IMPORTE NETO]]*0.21</f>
        <v>1274.5823999999998</v>
      </c>
      <c r="J1752" s="229"/>
      <c r="K1752" s="229"/>
      <c r="L1752" s="229">
        <v>7344.0223999999998</v>
      </c>
      <c r="M1752" s="55"/>
    </row>
    <row r="1753" spans="2:13" x14ac:dyDescent="0.3">
      <c r="B1753" s="223">
        <v>44924</v>
      </c>
      <c r="C1753" s="224">
        <v>6</v>
      </c>
      <c r="D1753" s="225">
        <v>12</v>
      </c>
      <c r="E1753" s="226">
        <v>23194</v>
      </c>
      <c r="F1753" s="227"/>
      <c r="G1753" s="1" t="str">
        <f>IFERROR(IF(ventas_b_mes9[[#This Row],[CUIT]]="","-",VLOOKUP(ventas_b_mes9[[#This Row],[CUIT]],Lista_CUIT[#All],2,0)),"CUIT NO CARGADO")</f>
        <v>-</v>
      </c>
      <c r="H1753" s="60">
        <f>ventas_b_mes9[[#This Row],[TOTAL]]/1.21</f>
        <v>4545.45</v>
      </c>
      <c r="I1753" s="228">
        <f>ventas_b_mes9[[#This Row],[IMPORTE NETO]]*0.21</f>
        <v>954.54449999999997</v>
      </c>
      <c r="J1753" s="229"/>
      <c r="K1753" s="229"/>
      <c r="L1753" s="229">
        <v>5499.9944999999998</v>
      </c>
      <c r="M1753" s="55"/>
    </row>
    <row r="1754" spans="2:13" x14ac:dyDescent="0.3">
      <c r="B1754" s="223">
        <v>44924</v>
      </c>
      <c r="C1754" s="224">
        <v>6</v>
      </c>
      <c r="D1754" s="225">
        <v>12</v>
      </c>
      <c r="E1754" s="226">
        <v>23195</v>
      </c>
      <c r="F1754" s="227"/>
      <c r="G1754" s="1" t="str">
        <f>IFERROR(IF(ventas_b_mes9[[#This Row],[CUIT]]="","-",VLOOKUP(ventas_b_mes9[[#This Row],[CUIT]],Lista_CUIT[#All],2,0)),"CUIT NO CARGADO")</f>
        <v>-</v>
      </c>
      <c r="H1754" s="60">
        <f>ventas_b_mes9[[#This Row],[TOTAL]]/1.21</f>
        <v>2148.7600000000002</v>
      </c>
      <c r="I1754" s="228">
        <f>ventas_b_mes9[[#This Row],[IMPORTE NETO]]*0.21</f>
        <v>451.23960000000005</v>
      </c>
      <c r="J1754" s="229"/>
      <c r="K1754" s="229"/>
      <c r="L1754" s="229">
        <v>2599.9996000000001</v>
      </c>
      <c r="M1754" s="55"/>
    </row>
    <row r="1755" spans="2:13" x14ac:dyDescent="0.3">
      <c r="B1755" s="223">
        <v>44924</v>
      </c>
      <c r="C1755" s="224">
        <v>6</v>
      </c>
      <c r="D1755" s="225">
        <v>12</v>
      </c>
      <c r="E1755" s="226">
        <v>23196</v>
      </c>
      <c r="F1755" s="227"/>
      <c r="G1755" s="1" t="str">
        <f>IFERROR(IF(ventas_b_mes9[[#This Row],[CUIT]]="","-",VLOOKUP(ventas_b_mes9[[#This Row],[CUIT]],Lista_CUIT[#All],2,0)),"CUIT NO CARGADO")</f>
        <v>-</v>
      </c>
      <c r="H1755" s="60">
        <f>ventas_b_mes9[[#This Row],[TOTAL]]/1.21</f>
        <v>2657.85</v>
      </c>
      <c r="I1755" s="228">
        <f>ventas_b_mes9[[#This Row],[IMPORTE NETO]]*0.21</f>
        <v>558.14850000000001</v>
      </c>
      <c r="J1755" s="229"/>
      <c r="K1755" s="229"/>
      <c r="L1755" s="229">
        <v>3215.9984999999997</v>
      </c>
      <c r="M1755" s="55"/>
    </row>
    <row r="1756" spans="2:13" x14ac:dyDescent="0.3">
      <c r="B1756" s="223">
        <v>44924</v>
      </c>
      <c r="C1756" s="224">
        <v>6</v>
      </c>
      <c r="D1756" s="225">
        <v>12</v>
      </c>
      <c r="E1756" s="226">
        <v>23197</v>
      </c>
      <c r="F1756" s="227"/>
      <c r="G1756" s="1" t="str">
        <f>IFERROR(IF(ventas_b_mes9[[#This Row],[CUIT]]="","-",VLOOKUP(ventas_b_mes9[[#This Row],[CUIT]],Lista_CUIT[#All],2,0)),"CUIT NO CARGADO")</f>
        <v>-</v>
      </c>
      <c r="H1756" s="60">
        <f>ventas_b_mes9[[#This Row],[TOTAL]]/1.21</f>
        <v>3371.9</v>
      </c>
      <c r="I1756" s="228">
        <f>ventas_b_mes9[[#This Row],[IMPORTE NETO]]*0.21</f>
        <v>708.09900000000005</v>
      </c>
      <c r="J1756" s="229"/>
      <c r="K1756" s="229"/>
      <c r="L1756" s="229">
        <v>4079.9990000000003</v>
      </c>
      <c r="M1756" s="55"/>
    </row>
    <row r="1757" spans="2:13" x14ac:dyDescent="0.3">
      <c r="B1757" s="223">
        <v>44925</v>
      </c>
      <c r="C1757" s="224">
        <v>6</v>
      </c>
      <c r="D1757" s="225">
        <v>13</v>
      </c>
      <c r="E1757" s="226">
        <v>27234</v>
      </c>
      <c r="F1757" s="227"/>
      <c r="G1757" s="1" t="str">
        <f>IFERROR(IF(ventas_b_mes9[[#This Row],[CUIT]]="","-",VLOOKUP(ventas_b_mes9[[#This Row],[CUIT]],Lista_CUIT[#All],2,0)),"CUIT NO CARGADO")</f>
        <v>-</v>
      </c>
      <c r="H1757" s="60">
        <f>ventas_b_mes9[[#This Row],[TOTAL]]/1.21</f>
        <v>6966.9400000000005</v>
      </c>
      <c r="I1757" s="228">
        <f>ventas_b_mes9[[#This Row],[IMPORTE NETO]]*0.21</f>
        <v>1463.0574000000001</v>
      </c>
      <c r="J1757" s="229"/>
      <c r="K1757" s="229"/>
      <c r="L1757" s="229">
        <v>8429.9974000000002</v>
      </c>
      <c r="M1757" s="55"/>
    </row>
    <row r="1758" spans="2:13" x14ac:dyDescent="0.3">
      <c r="B1758" s="223">
        <v>44925</v>
      </c>
      <c r="C1758" s="224">
        <v>6</v>
      </c>
      <c r="D1758" s="225">
        <v>13</v>
      </c>
      <c r="E1758" s="226">
        <v>27235</v>
      </c>
      <c r="F1758" s="227"/>
      <c r="G1758" s="1" t="str">
        <f>IFERROR(IF(ventas_b_mes9[[#This Row],[CUIT]]="","-",VLOOKUP(ventas_b_mes9[[#This Row],[CUIT]],Lista_CUIT[#All],2,0)),"CUIT NO CARGADO")</f>
        <v>-</v>
      </c>
      <c r="H1758" s="60">
        <f>ventas_b_mes9[[#This Row],[TOTAL]]/1.21</f>
        <v>6743.8</v>
      </c>
      <c r="I1758" s="228">
        <f>ventas_b_mes9[[#This Row],[IMPORTE NETO]]*0.21</f>
        <v>1416.1980000000001</v>
      </c>
      <c r="J1758" s="229"/>
      <c r="K1758" s="229"/>
      <c r="L1758" s="229">
        <v>8159.9980000000005</v>
      </c>
      <c r="M1758" s="55"/>
    </row>
    <row r="1759" spans="2:13" x14ac:dyDescent="0.3">
      <c r="B1759" s="223">
        <v>44925</v>
      </c>
      <c r="C1759" s="224">
        <v>6</v>
      </c>
      <c r="D1759" s="225">
        <v>13</v>
      </c>
      <c r="E1759" s="226">
        <v>27236</v>
      </c>
      <c r="F1759" s="227"/>
      <c r="G1759" s="1" t="str">
        <f>IFERROR(IF(ventas_b_mes9[[#This Row],[CUIT]]="","-",VLOOKUP(ventas_b_mes9[[#This Row],[CUIT]],Lista_CUIT[#All],2,0)),"CUIT NO CARGADO")</f>
        <v>-</v>
      </c>
      <c r="H1759" s="60">
        <f>ventas_b_mes9[[#This Row],[TOTAL]]/1.21</f>
        <v>3768.5999999999995</v>
      </c>
      <c r="I1759" s="228">
        <f>ventas_b_mes9[[#This Row],[IMPORTE NETO]]*0.21</f>
        <v>791.40599999999984</v>
      </c>
      <c r="J1759" s="229"/>
      <c r="K1759" s="229"/>
      <c r="L1759" s="229">
        <v>4560.0059999999994</v>
      </c>
      <c r="M1759" s="55"/>
    </row>
    <row r="1760" spans="2:13" x14ac:dyDescent="0.3">
      <c r="B1760" s="223">
        <v>44925</v>
      </c>
      <c r="C1760" s="224">
        <v>6</v>
      </c>
      <c r="D1760" s="225">
        <v>13</v>
      </c>
      <c r="E1760" s="226">
        <v>27237</v>
      </c>
      <c r="F1760" s="227"/>
      <c r="G1760" s="1" t="str">
        <f>IFERROR(IF(ventas_b_mes9[[#This Row],[CUIT]]="","-",VLOOKUP(ventas_b_mes9[[#This Row],[CUIT]],Lista_CUIT[#All],2,0)),"CUIT NO CARGADO")</f>
        <v>-</v>
      </c>
      <c r="H1760" s="60">
        <f>ventas_b_mes9[[#This Row],[TOTAL]]/1.21</f>
        <v>2619.83</v>
      </c>
      <c r="I1760" s="228">
        <f>ventas_b_mes9[[#This Row],[IMPORTE NETO]]*0.21</f>
        <v>550.16429999999991</v>
      </c>
      <c r="J1760" s="229"/>
      <c r="K1760" s="229"/>
      <c r="L1760" s="229">
        <v>3169.9942999999998</v>
      </c>
      <c r="M1760" s="55"/>
    </row>
    <row r="1761" spans="2:13" x14ac:dyDescent="0.3">
      <c r="B1761" s="223">
        <v>44925</v>
      </c>
      <c r="C1761" s="224">
        <v>6</v>
      </c>
      <c r="D1761" s="225">
        <v>13</v>
      </c>
      <c r="E1761" s="226">
        <v>27238</v>
      </c>
      <c r="F1761" s="227"/>
      <c r="G1761" s="1" t="str">
        <f>IFERROR(IF(ventas_b_mes9[[#This Row],[CUIT]]="","-",VLOOKUP(ventas_b_mes9[[#This Row],[CUIT]],Lista_CUIT[#All],2,0)),"CUIT NO CARGADO")</f>
        <v>-</v>
      </c>
      <c r="H1761" s="60">
        <f>ventas_b_mes9[[#This Row],[TOTAL]]/1.21</f>
        <v>2826.4500000000003</v>
      </c>
      <c r="I1761" s="228">
        <f>ventas_b_mes9[[#This Row],[IMPORTE NETO]]*0.21</f>
        <v>593.55450000000008</v>
      </c>
      <c r="J1761" s="229"/>
      <c r="K1761" s="229"/>
      <c r="L1761" s="229">
        <v>3420.0045</v>
      </c>
      <c r="M1761" s="55"/>
    </row>
    <row r="1762" spans="2:13" x14ac:dyDescent="0.3">
      <c r="B1762" s="223">
        <v>44925</v>
      </c>
      <c r="C1762" s="224">
        <v>6</v>
      </c>
      <c r="D1762" s="225">
        <v>13</v>
      </c>
      <c r="E1762" s="226">
        <v>27239</v>
      </c>
      <c r="F1762" s="227"/>
      <c r="G1762" s="1" t="str">
        <f>IFERROR(IF(ventas_b_mes9[[#This Row],[CUIT]]="","-",VLOOKUP(ventas_b_mes9[[#This Row],[CUIT]],Lista_CUIT[#All],2,0)),"CUIT NO CARGADO")</f>
        <v>-</v>
      </c>
      <c r="H1762" s="60">
        <f>ventas_b_mes9[[#This Row],[TOTAL]]/1.21</f>
        <v>7814.869999999999</v>
      </c>
      <c r="I1762" s="228">
        <f>ventas_b_mes9[[#This Row],[IMPORTE NETO]]*0.21</f>
        <v>1641.1226999999997</v>
      </c>
      <c r="J1762" s="229"/>
      <c r="K1762" s="229"/>
      <c r="L1762" s="229">
        <v>9455.9926999999989</v>
      </c>
      <c r="M1762" s="55"/>
    </row>
    <row r="1763" spans="2:13" x14ac:dyDescent="0.3">
      <c r="B1763" s="223">
        <v>44925</v>
      </c>
      <c r="C1763" s="224">
        <v>6</v>
      </c>
      <c r="D1763" s="225">
        <v>13</v>
      </c>
      <c r="E1763" s="226">
        <v>27240</v>
      </c>
      <c r="F1763" s="227"/>
      <c r="G1763" s="1" t="str">
        <f>IFERROR(IF(ventas_b_mes9[[#This Row],[CUIT]]="","-",VLOOKUP(ventas_b_mes9[[#This Row],[CUIT]],Lista_CUIT[#All],2,0)),"CUIT NO CARGADO")</f>
        <v>-</v>
      </c>
      <c r="H1763" s="60">
        <f>ventas_b_mes9[[#This Row],[TOTAL]]/1.21</f>
        <v>2261.16</v>
      </c>
      <c r="I1763" s="228">
        <f>ventas_b_mes9[[#This Row],[IMPORTE NETO]]*0.21</f>
        <v>474.84359999999992</v>
      </c>
      <c r="J1763" s="229"/>
      <c r="K1763" s="229"/>
      <c r="L1763" s="229">
        <v>2736.0036</v>
      </c>
      <c r="M1763" s="55"/>
    </row>
    <row r="1764" spans="2:13" x14ac:dyDescent="0.3">
      <c r="B1764" s="223">
        <v>44925</v>
      </c>
      <c r="C1764" s="224">
        <v>6</v>
      </c>
      <c r="D1764" s="225">
        <v>13</v>
      </c>
      <c r="E1764" s="226">
        <v>27241</v>
      </c>
      <c r="F1764" s="227"/>
      <c r="G1764" s="1" t="str">
        <f>IFERROR(IF(ventas_b_mes9[[#This Row],[CUIT]]="","-",VLOOKUP(ventas_b_mes9[[#This Row],[CUIT]],Lista_CUIT[#All],2,0)),"CUIT NO CARGADO")</f>
        <v>-</v>
      </c>
      <c r="H1764" s="60">
        <f>ventas_b_mes9[[#This Row],[TOTAL]]/1.21</f>
        <v>26710.79</v>
      </c>
      <c r="I1764" s="228">
        <f>ventas_b_mes9[[#This Row],[IMPORTE NETO]]*0.21</f>
        <v>5609.2659000000003</v>
      </c>
      <c r="J1764" s="229"/>
      <c r="K1764" s="229"/>
      <c r="L1764" s="229">
        <v>32320.055899999999</v>
      </c>
      <c r="M1764" s="55"/>
    </row>
    <row r="1765" spans="2:13" x14ac:dyDescent="0.3">
      <c r="B1765" s="223">
        <v>44925</v>
      </c>
      <c r="C1765" s="224">
        <v>6</v>
      </c>
      <c r="D1765" s="225">
        <v>13</v>
      </c>
      <c r="E1765" s="226">
        <v>27242</v>
      </c>
      <c r="F1765" s="227"/>
      <c r="G1765" s="1" t="str">
        <f>IFERROR(IF(ventas_b_mes9[[#This Row],[CUIT]]="","-",VLOOKUP(ventas_b_mes9[[#This Row],[CUIT]],Lista_CUIT[#All],2,0)),"CUIT NO CARGADO")</f>
        <v>-</v>
      </c>
      <c r="H1765" s="60">
        <f>ventas_b_mes9[[#This Row],[TOTAL]]/1.21</f>
        <v>15204.13</v>
      </c>
      <c r="I1765" s="228">
        <f>ventas_b_mes9[[#This Row],[IMPORTE NETO]]*0.21</f>
        <v>3192.8672999999999</v>
      </c>
      <c r="J1765" s="229"/>
      <c r="K1765" s="229"/>
      <c r="L1765" s="229">
        <v>18396.997299999999</v>
      </c>
      <c r="M1765" s="55"/>
    </row>
    <row r="1766" spans="2:13" x14ac:dyDescent="0.3">
      <c r="B1766" s="223">
        <v>44925</v>
      </c>
      <c r="C1766" s="224">
        <v>6</v>
      </c>
      <c r="D1766" s="225">
        <v>13</v>
      </c>
      <c r="E1766" s="226">
        <v>27243</v>
      </c>
      <c r="F1766" s="227"/>
      <c r="G1766" s="1" t="str">
        <f>IFERROR(IF(ventas_b_mes9[[#This Row],[CUIT]]="","-",VLOOKUP(ventas_b_mes9[[#This Row],[CUIT]],Lista_CUIT[#All],2,0)),"CUIT NO CARGADO")</f>
        <v>-</v>
      </c>
      <c r="H1766" s="60">
        <f>ventas_b_mes9[[#This Row],[TOTAL]]/1.21</f>
        <v>6942.1600000000008</v>
      </c>
      <c r="I1766" s="228">
        <f>ventas_b_mes9[[#This Row],[IMPORTE NETO]]*0.21</f>
        <v>1457.8536000000001</v>
      </c>
      <c r="J1766" s="229"/>
      <c r="K1766" s="229"/>
      <c r="L1766" s="229">
        <v>8400.0136000000002</v>
      </c>
      <c r="M1766" s="55"/>
    </row>
    <row r="1767" spans="2:13" x14ac:dyDescent="0.3">
      <c r="B1767" s="223">
        <v>44925</v>
      </c>
      <c r="C1767" s="224">
        <v>6</v>
      </c>
      <c r="D1767" s="225">
        <v>13</v>
      </c>
      <c r="E1767" s="226">
        <v>27244</v>
      </c>
      <c r="F1767" s="227"/>
      <c r="G1767" s="1" t="str">
        <f>IFERROR(IF(ventas_b_mes9[[#This Row],[CUIT]]="","-",VLOOKUP(ventas_b_mes9[[#This Row],[CUIT]],Lista_CUIT[#All],2,0)),"CUIT NO CARGADO")</f>
        <v>-</v>
      </c>
      <c r="H1767" s="60">
        <f>ventas_b_mes9[[#This Row],[TOTAL]]/1.21</f>
        <v>9022.31</v>
      </c>
      <c r="I1767" s="228">
        <f>ventas_b_mes9[[#This Row],[IMPORTE NETO]]*0.21</f>
        <v>1894.6850999999999</v>
      </c>
      <c r="J1767" s="229"/>
      <c r="K1767" s="229"/>
      <c r="L1767" s="229">
        <v>10916.9951</v>
      </c>
      <c r="M1767" s="55"/>
    </row>
    <row r="1768" spans="2:13" x14ac:dyDescent="0.3">
      <c r="B1768" s="223">
        <v>44925</v>
      </c>
      <c r="C1768" s="224">
        <v>6</v>
      </c>
      <c r="D1768" s="225">
        <v>13</v>
      </c>
      <c r="E1768" s="226">
        <v>27245</v>
      </c>
      <c r="F1768" s="227"/>
      <c r="G1768" s="1" t="str">
        <f>IFERROR(IF(ventas_b_mes9[[#This Row],[CUIT]]="","-",VLOOKUP(ventas_b_mes9[[#This Row],[CUIT]],Lista_CUIT[#All],2,0)),"CUIT NO CARGADO")</f>
        <v>-</v>
      </c>
      <c r="H1768" s="60">
        <f>ventas_b_mes9[[#This Row],[TOTAL]]/1.21</f>
        <v>3411.57</v>
      </c>
      <c r="I1768" s="228">
        <f>ventas_b_mes9[[#This Row],[IMPORTE NETO]]*0.21</f>
        <v>716.42970000000003</v>
      </c>
      <c r="J1768" s="229"/>
      <c r="K1768" s="229"/>
      <c r="L1768" s="229">
        <v>4127.9997000000003</v>
      </c>
      <c r="M1768" s="55"/>
    </row>
    <row r="1769" spans="2:13" x14ac:dyDescent="0.3">
      <c r="B1769" s="223">
        <v>44925</v>
      </c>
      <c r="C1769" s="224">
        <v>6</v>
      </c>
      <c r="D1769" s="225">
        <v>13</v>
      </c>
      <c r="E1769" s="226">
        <v>27246</v>
      </c>
      <c r="F1769" s="227"/>
      <c r="G1769" s="1" t="str">
        <f>IFERROR(IF(ventas_b_mes9[[#This Row],[CUIT]]="","-",VLOOKUP(ventas_b_mes9[[#This Row],[CUIT]],Lista_CUIT[#All],2,0)),"CUIT NO CARGADO")</f>
        <v>-</v>
      </c>
      <c r="H1769" s="60">
        <f>ventas_b_mes9[[#This Row],[TOTAL]]/1.21</f>
        <v>4985.13</v>
      </c>
      <c r="I1769" s="228">
        <f>ventas_b_mes9[[#This Row],[IMPORTE NETO]]*0.21</f>
        <v>1046.8772999999999</v>
      </c>
      <c r="J1769" s="229"/>
      <c r="K1769" s="229"/>
      <c r="L1769" s="229">
        <v>6032.0073000000002</v>
      </c>
      <c r="M1769" s="55"/>
    </row>
    <row r="1770" spans="2:13" x14ac:dyDescent="0.3">
      <c r="B1770" s="223">
        <v>44925</v>
      </c>
      <c r="C1770" s="224">
        <v>6</v>
      </c>
      <c r="D1770" s="225">
        <v>13</v>
      </c>
      <c r="E1770" s="226">
        <v>27247</v>
      </c>
      <c r="F1770" s="227"/>
      <c r="G1770" s="1" t="str">
        <f>IFERROR(IF(ventas_b_mes9[[#This Row],[CUIT]]="","-",VLOOKUP(ventas_b_mes9[[#This Row],[CUIT]],Lista_CUIT[#All],2,0)),"CUIT NO CARGADO")</f>
        <v>-</v>
      </c>
      <c r="H1770" s="60">
        <f>ventas_b_mes9[[#This Row],[TOTAL]]/1.21</f>
        <v>5791.74</v>
      </c>
      <c r="I1770" s="228">
        <f>ventas_b_mes9[[#This Row],[IMPORTE NETO]]*0.21</f>
        <v>1216.2654</v>
      </c>
      <c r="J1770" s="229"/>
      <c r="K1770" s="229"/>
      <c r="L1770" s="229">
        <v>7008.0054</v>
      </c>
      <c r="M1770" s="55"/>
    </row>
    <row r="1771" spans="2:13" x14ac:dyDescent="0.3">
      <c r="B1771" s="223">
        <v>44925</v>
      </c>
      <c r="C1771" s="224">
        <v>6</v>
      </c>
      <c r="D1771" s="225">
        <v>13</v>
      </c>
      <c r="E1771" s="226">
        <v>27248</v>
      </c>
      <c r="F1771" s="227"/>
      <c r="G1771" s="1" t="str">
        <f>IFERROR(IF(ventas_b_mes9[[#This Row],[CUIT]]="","-",VLOOKUP(ventas_b_mes9[[#This Row],[CUIT]],Lista_CUIT[#All],2,0)),"CUIT NO CARGADO")</f>
        <v>-</v>
      </c>
      <c r="H1771" s="60">
        <f>ventas_b_mes9[[#This Row],[TOTAL]]/1.21</f>
        <v>5206.6099999999997</v>
      </c>
      <c r="I1771" s="228">
        <f>ventas_b_mes9[[#This Row],[IMPORTE NETO]]*0.21</f>
        <v>1093.3880999999999</v>
      </c>
      <c r="J1771" s="229"/>
      <c r="K1771" s="229"/>
      <c r="L1771" s="229">
        <v>6299.9980999999998</v>
      </c>
      <c r="M1771" s="55"/>
    </row>
    <row r="1772" spans="2:13" x14ac:dyDescent="0.3">
      <c r="B1772" s="223">
        <v>44925</v>
      </c>
      <c r="C1772" s="224">
        <v>6</v>
      </c>
      <c r="D1772" s="225">
        <v>13</v>
      </c>
      <c r="E1772" s="226">
        <v>27249</v>
      </c>
      <c r="F1772" s="227"/>
      <c r="G1772" s="1" t="str">
        <f>IFERROR(IF(ventas_b_mes9[[#This Row],[CUIT]]="","-",VLOOKUP(ventas_b_mes9[[#This Row],[CUIT]],Lista_CUIT[#All],2,0)),"CUIT NO CARGADO")</f>
        <v>-</v>
      </c>
      <c r="H1772" s="60">
        <f>ventas_b_mes9[[#This Row],[TOTAL]]/1.21</f>
        <v>9285.14</v>
      </c>
      <c r="I1772" s="228">
        <f>ventas_b_mes9[[#This Row],[IMPORTE NETO]]*0.21</f>
        <v>1949.8793999999998</v>
      </c>
      <c r="J1772" s="229"/>
      <c r="K1772" s="229"/>
      <c r="L1772" s="229">
        <v>11235.019399999999</v>
      </c>
      <c r="M1772" s="55"/>
    </row>
    <row r="1773" spans="2:13" x14ac:dyDescent="0.3">
      <c r="B1773" s="223">
        <v>44925</v>
      </c>
      <c r="C1773" s="224">
        <v>6</v>
      </c>
      <c r="D1773" s="225">
        <v>13</v>
      </c>
      <c r="E1773" s="226">
        <v>27250</v>
      </c>
      <c r="F1773" s="227"/>
      <c r="G1773" s="1" t="str">
        <f>IFERROR(IF(ventas_b_mes9[[#This Row],[CUIT]]="","-",VLOOKUP(ventas_b_mes9[[#This Row],[CUIT]],Lista_CUIT[#All],2,0)),"CUIT NO CARGADO")</f>
        <v>-</v>
      </c>
      <c r="H1773" s="60">
        <f>ventas_b_mes9[[#This Row],[TOTAL]]/1.21</f>
        <v>5123.96</v>
      </c>
      <c r="I1773" s="228">
        <f>ventas_b_mes9[[#This Row],[IMPORTE NETO]]*0.21</f>
        <v>1076.0316</v>
      </c>
      <c r="J1773" s="229"/>
      <c r="K1773" s="229"/>
      <c r="L1773" s="229">
        <v>6199.9916000000003</v>
      </c>
      <c r="M1773" s="55"/>
    </row>
    <row r="1774" spans="2:13" x14ac:dyDescent="0.3">
      <c r="B1774" s="223">
        <v>44925</v>
      </c>
      <c r="C1774" s="224">
        <v>6</v>
      </c>
      <c r="D1774" s="225">
        <v>11</v>
      </c>
      <c r="E1774" s="226">
        <v>30684</v>
      </c>
      <c r="F1774" s="227"/>
      <c r="G1774" s="1" t="str">
        <f>IFERROR(IF(ventas_b_mes9[[#This Row],[CUIT]]="","-",VLOOKUP(ventas_b_mes9[[#This Row],[CUIT]],Lista_CUIT[#All],2,0)),"CUIT NO CARGADO")</f>
        <v>-</v>
      </c>
      <c r="H1774" s="60">
        <f>ventas_b_mes9[[#This Row],[TOTAL]]/1.21</f>
        <v>5117.3599999999997</v>
      </c>
      <c r="I1774" s="228">
        <f>ventas_b_mes9[[#This Row],[IMPORTE NETO]]*0.21</f>
        <v>1074.6455999999998</v>
      </c>
      <c r="J1774" s="229"/>
      <c r="K1774" s="229"/>
      <c r="L1774" s="229">
        <v>6192.0055999999995</v>
      </c>
      <c r="M1774" s="55"/>
    </row>
    <row r="1775" spans="2:13" x14ac:dyDescent="0.3">
      <c r="B1775" s="223">
        <v>44925</v>
      </c>
      <c r="C1775" s="224">
        <v>6</v>
      </c>
      <c r="D1775" s="225">
        <v>11</v>
      </c>
      <c r="E1775" s="226">
        <v>30685</v>
      </c>
      <c r="F1775" s="227"/>
      <c r="G1775" s="1" t="str">
        <f>IFERROR(IF(ventas_b_mes9[[#This Row],[CUIT]]="","-",VLOOKUP(ventas_b_mes9[[#This Row],[CUIT]],Lista_CUIT[#All],2,0)),"CUIT NO CARGADO")</f>
        <v>-</v>
      </c>
      <c r="H1775" s="60">
        <f>ventas_b_mes9[[#This Row],[TOTAL]]/1.21</f>
        <v>13328.94</v>
      </c>
      <c r="I1775" s="228">
        <f>ventas_b_mes9[[#This Row],[IMPORTE NETO]]*0.21</f>
        <v>2799.0774000000001</v>
      </c>
      <c r="J1775" s="229"/>
      <c r="K1775" s="229"/>
      <c r="L1775" s="229">
        <v>16128.017400000001</v>
      </c>
      <c r="M1775" s="55"/>
    </row>
    <row r="1776" spans="2:13" x14ac:dyDescent="0.3">
      <c r="B1776" s="223">
        <v>44925</v>
      </c>
      <c r="C1776" s="224">
        <v>6</v>
      </c>
      <c r="D1776" s="225">
        <v>11</v>
      </c>
      <c r="E1776" s="226">
        <v>30686</v>
      </c>
      <c r="F1776" s="227"/>
      <c r="G1776" s="1" t="str">
        <f>IFERROR(IF(ventas_b_mes9[[#This Row],[CUIT]]="","-",VLOOKUP(ventas_b_mes9[[#This Row],[CUIT]],Lista_CUIT[#All],2,0)),"CUIT NO CARGADO")</f>
        <v>-</v>
      </c>
      <c r="H1776" s="60">
        <f>ventas_b_mes9[[#This Row],[TOTAL]]/1.21</f>
        <v>3847.93</v>
      </c>
      <c r="I1776" s="228">
        <f>ventas_b_mes9[[#This Row],[IMPORTE NETO]]*0.21</f>
        <v>808.06529999999998</v>
      </c>
      <c r="J1776" s="229"/>
      <c r="K1776" s="229"/>
      <c r="L1776" s="229">
        <v>4655.9952999999996</v>
      </c>
      <c r="M1776" s="55"/>
    </row>
    <row r="1777" spans="2:13" x14ac:dyDescent="0.3">
      <c r="B1777" s="223">
        <v>44925</v>
      </c>
      <c r="C1777" s="224">
        <v>6</v>
      </c>
      <c r="D1777" s="225">
        <v>11</v>
      </c>
      <c r="E1777" s="226">
        <v>30687</v>
      </c>
      <c r="F1777" s="227"/>
      <c r="G1777" s="1" t="str">
        <f>IFERROR(IF(ventas_b_mes9[[#This Row],[CUIT]]="","-",VLOOKUP(ventas_b_mes9[[#This Row],[CUIT]],Lista_CUIT[#All],2,0)),"CUIT NO CARGADO")</f>
        <v>-</v>
      </c>
      <c r="H1777" s="60">
        <f>ventas_b_mes9[[#This Row],[TOTAL]]/1.21</f>
        <v>1909.0900000000001</v>
      </c>
      <c r="I1777" s="228">
        <f>ventas_b_mes9[[#This Row],[IMPORTE NETO]]*0.21</f>
        <v>400.90890000000002</v>
      </c>
      <c r="J1777" s="229"/>
      <c r="K1777" s="229"/>
      <c r="L1777" s="229">
        <v>2309.9989</v>
      </c>
      <c r="M1777" s="55"/>
    </row>
    <row r="1778" spans="2:13" x14ac:dyDescent="0.3">
      <c r="B1778" s="223">
        <v>44925</v>
      </c>
      <c r="C1778" s="224">
        <v>6</v>
      </c>
      <c r="D1778" s="225">
        <v>11</v>
      </c>
      <c r="E1778" s="226">
        <v>30688</v>
      </c>
      <c r="F1778" s="227"/>
      <c r="G1778" s="1" t="str">
        <f>IFERROR(IF(ventas_b_mes9[[#This Row],[CUIT]]="","-",VLOOKUP(ventas_b_mes9[[#This Row],[CUIT]],Lista_CUIT[#All],2,0)),"CUIT NO CARGADO")</f>
        <v>-</v>
      </c>
      <c r="H1778" s="60">
        <f>ventas_b_mes9[[#This Row],[TOTAL]]/1.21</f>
        <v>1177.69</v>
      </c>
      <c r="I1778" s="228">
        <f>ventas_b_mes9[[#This Row],[IMPORTE NETO]]*0.21</f>
        <v>247.31489999999999</v>
      </c>
      <c r="J1778" s="229"/>
      <c r="K1778" s="229"/>
      <c r="L1778" s="229">
        <v>1425.0049000000001</v>
      </c>
      <c r="M1778" s="55"/>
    </row>
    <row r="1779" spans="2:13" x14ac:dyDescent="0.3">
      <c r="B1779" s="223">
        <v>44925</v>
      </c>
      <c r="C1779" s="224">
        <v>6</v>
      </c>
      <c r="D1779" s="225">
        <v>11</v>
      </c>
      <c r="E1779" s="226">
        <v>30689</v>
      </c>
      <c r="F1779" s="227"/>
      <c r="G1779" s="1" t="str">
        <f>IFERROR(IF(ventas_b_mes9[[#This Row],[CUIT]]="","-",VLOOKUP(ventas_b_mes9[[#This Row],[CUIT]],Lista_CUIT[#All],2,0)),"CUIT NO CARGADO")</f>
        <v>-</v>
      </c>
      <c r="H1779" s="60">
        <f>ventas_b_mes9[[#This Row],[TOTAL]]/1.21</f>
        <v>13952.89</v>
      </c>
      <c r="I1779" s="228">
        <f>ventas_b_mes9[[#This Row],[IMPORTE NETO]]*0.21</f>
        <v>2930.1068999999998</v>
      </c>
      <c r="J1779" s="229"/>
      <c r="K1779" s="229"/>
      <c r="L1779" s="229">
        <v>16882.996899999998</v>
      </c>
      <c r="M1779" s="55"/>
    </row>
    <row r="1780" spans="2:13" x14ac:dyDescent="0.3">
      <c r="B1780" s="223">
        <v>44925</v>
      </c>
      <c r="C1780" s="224">
        <v>6</v>
      </c>
      <c r="D1780" s="225">
        <v>11</v>
      </c>
      <c r="E1780" s="226">
        <v>30690</v>
      </c>
      <c r="F1780" s="227"/>
      <c r="G1780" s="1" t="str">
        <f>IFERROR(IF(ventas_b_mes9[[#This Row],[CUIT]]="","-",VLOOKUP(ventas_b_mes9[[#This Row],[CUIT]],Lista_CUIT[#All],2,0)),"CUIT NO CARGADO")</f>
        <v>-</v>
      </c>
      <c r="H1780" s="60">
        <f>ventas_b_mes9[[#This Row],[TOTAL]]/1.21</f>
        <v>2272.73</v>
      </c>
      <c r="I1780" s="228">
        <f>ventas_b_mes9[[#This Row],[IMPORTE NETO]]*0.21</f>
        <v>477.27330000000001</v>
      </c>
      <c r="J1780" s="229"/>
      <c r="K1780" s="229"/>
      <c r="L1780" s="229">
        <v>2750.0032999999999</v>
      </c>
      <c r="M1780" s="55"/>
    </row>
    <row r="1781" spans="2:13" x14ac:dyDescent="0.3">
      <c r="B1781" s="223">
        <v>44925</v>
      </c>
      <c r="C1781" s="224">
        <v>6</v>
      </c>
      <c r="D1781" s="225">
        <v>11</v>
      </c>
      <c r="E1781" s="226">
        <v>30691</v>
      </c>
      <c r="F1781" s="227"/>
      <c r="G1781" s="1" t="str">
        <f>IFERROR(IF(ventas_b_mes9[[#This Row],[CUIT]]="","-",VLOOKUP(ventas_b_mes9[[#This Row],[CUIT]],Lista_CUIT[#All],2,0)),"CUIT NO CARGADO")</f>
        <v>-</v>
      </c>
      <c r="H1781" s="60">
        <f>ventas_b_mes9[[#This Row],[TOTAL]]/1.21</f>
        <v>6739.670000000001</v>
      </c>
      <c r="I1781" s="228">
        <f>ventas_b_mes9[[#This Row],[IMPORTE NETO]]*0.21</f>
        <v>1415.3307000000002</v>
      </c>
      <c r="J1781" s="229"/>
      <c r="K1781" s="229"/>
      <c r="L1781" s="229">
        <v>8155.0007000000005</v>
      </c>
      <c r="M1781" s="55"/>
    </row>
    <row r="1782" spans="2:13" x14ac:dyDescent="0.3">
      <c r="B1782" s="223">
        <v>44925</v>
      </c>
      <c r="C1782" s="224">
        <v>6</v>
      </c>
      <c r="D1782" s="225">
        <v>11</v>
      </c>
      <c r="E1782" s="226">
        <v>30692</v>
      </c>
      <c r="F1782" s="227"/>
      <c r="G1782" s="1" t="str">
        <f>IFERROR(IF(ventas_b_mes9[[#This Row],[CUIT]]="","-",VLOOKUP(ventas_b_mes9[[#This Row],[CUIT]],Lista_CUIT[#All],2,0)),"CUIT NO CARGADO")</f>
        <v>-</v>
      </c>
      <c r="H1782" s="60">
        <f>ventas_b_mes9[[#This Row],[TOTAL]]/1.21</f>
        <v>902.48</v>
      </c>
      <c r="I1782" s="228">
        <f>ventas_b_mes9[[#This Row],[IMPORTE NETO]]*0.21</f>
        <v>189.52080000000001</v>
      </c>
      <c r="J1782" s="229"/>
      <c r="K1782" s="229"/>
      <c r="L1782" s="229">
        <v>1092.0008</v>
      </c>
      <c r="M1782" s="55"/>
    </row>
    <row r="1783" spans="2:13" x14ac:dyDescent="0.3">
      <c r="B1783" s="223">
        <v>44925</v>
      </c>
      <c r="C1783" s="224">
        <v>6</v>
      </c>
      <c r="D1783" s="225">
        <v>11</v>
      </c>
      <c r="E1783" s="226">
        <v>30693</v>
      </c>
      <c r="F1783" s="227"/>
      <c r="G1783" s="1" t="str">
        <f>IFERROR(IF(ventas_b_mes9[[#This Row],[CUIT]]="","-",VLOOKUP(ventas_b_mes9[[#This Row],[CUIT]],Lista_CUIT[#All],2,0)),"CUIT NO CARGADO")</f>
        <v>-</v>
      </c>
      <c r="H1783" s="60">
        <f>ventas_b_mes9[[#This Row],[TOTAL]]/1.21</f>
        <v>13038.03</v>
      </c>
      <c r="I1783" s="228">
        <f>ventas_b_mes9[[#This Row],[IMPORTE NETO]]*0.21</f>
        <v>2737.9863</v>
      </c>
      <c r="J1783" s="229"/>
      <c r="K1783" s="229"/>
      <c r="L1783" s="229">
        <v>15776.016300000001</v>
      </c>
      <c r="M1783" s="55"/>
    </row>
    <row r="1784" spans="2:13" x14ac:dyDescent="0.3">
      <c r="B1784" s="223">
        <v>44925</v>
      </c>
      <c r="C1784" s="224">
        <v>6</v>
      </c>
      <c r="D1784" s="225">
        <v>11</v>
      </c>
      <c r="E1784" s="226">
        <v>30694</v>
      </c>
      <c r="F1784" s="227"/>
      <c r="G1784" s="1" t="str">
        <f>IFERROR(IF(ventas_b_mes9[[#This Row],[CUIT]]="","-",VLOOKUP(ventas_b_mes9[[#This Row],[CUIT]],Lista_CUIT[#All],2,0)),"CUIT NO CARGADO")</f>
        <v>-</v>
      </c>
      <c r="H1784" s="60">
        <f>ventas_b_mes9[[#This Row],[TOTAL]]/1.21</f>
        <v>17995.91</v>
      </c>
      <c r="I1784" s="228">
        <f>ventas_b_mes9[[#This Row],[IMPORTE NETO]]*0.21</f>
        <v>3779.1410999999998</v>
      </c>
      <c r="J1784" s="229"/>
      <c r="K1784" s="229"/>
      <c r="L1784" s="229">
        <v>21775.051100000001</v>
      </c>
      <c r="M1784" s="55"/>
    </row>
    <row r="1785" spans="2:13" x14ac:dyDescent="0.3">
      <c r="B1785" s="223">
        <v>44925</v>
      </c>
      <c r="C1785" s="224">
        <v>6</v>
      </c>
      <c r="D1785" s="225">
        <v>11</v>
      </c>
      <c r="E1785" s="226">
        <v>30695</v>
      </c>
      <c r="F1785" s="227"/>
      <c r="G1785" s="1" t="str">
        <f>IFERROR(IF(ventas_b_mes9[[#This Row],[CUIT]]="","-",VLOOKUP(ventas_b_mes9[[#This Row],[CUIT]],Lista_CUIT[#All],2,0)),"CUIT NO CARGADO")</f>
        <v>-</v>
      </c>
      <c r="H1785" s="60">
        <f>ventas_b_mes9[[#This Row],[TOTAL]]/1.21</f>
        <v>6043.39</v>
      </c>
      <c r="I1785" s="228">
        <f>ventas_b_mes9[[#This Row],[IMPORTE NETO]]*0.21</f>
        <v>1269.1119000000001</v>
      </c>
      <c r="J1785" s="229"/>
      <c r="K1785" s="229"/>
      <c r="L1785" s="229">
        <v>7312.5019000000002</v>
      </c>
      <c r="M1785" s="55"/>
    </row>
    <row r="1786" spans="2:13" x14ac:dyDescent="0.3">
      <c r="B1786" s="223">
        <v>44925</v>
      </c>
      <c r="C1786" s="224">
        <v>6</v>
      </c>
      <c r="D1786" s="225">
        <v>11</v>
      </c>
      <c r="E1786" s="226">
        <v>30696</v>
      </c>
      <c r="F1786" s="227"/>
      <c r="G1786" s="1" t="str">
        <f>IFERROR(IF(ventas_b_mes9[[#This Row],[CUIT]]="","-",VLOOKUP(ventas_b_mes9[[#This Row],[CUIT]],Lista_CUIT[#All],2,0)),"CUIT NO CARGADO")</f>
        <v>-</v>
      </c>
      <c r="H1786" s="60">
        <f>ventas_b_mes9[[#This Row],[TOTAL]]/1.21</f>
        <v>10089.27</v>
      </c>
      <c r="I1786" s="228">
        <f>ventas_b_mes9[[#This Row],[IMPORTE NETO]]*0.21</f>
        <v>2118.7467000000001</v>
      </c>
      <c r="J1786" s="229"/>
      <c r="K1786" s="229"/>
      <c r="L1786" s="229">
        <v>12208.0167</v>
      </c>
      <c r="M1786" s="55"/>
    </row>
    <row r="1787" spans="2:13" x14ac:dyDescent="0.3">
      <c r="B1787" s="223">
        <v>44925</v>
      </c>
      <c r="C1787" s="224">
        <v>6</v>
      </c>
      <c r="D1787" s="225">
        <v>11</v>
      </c>
      <c r="E1787" s="226">
        <v>30697</v>
      </c>
      <c r="F1787" s="227"/>
      <c r="G1787" s="1" t="str">
        <f>IFERROR(IF(ventas_b_mes9[[#This Row],[CUIT]]="","-",VLOOKUP(ventas_b_mes9[[#This Row],[CUIT]],Lista_CUIT[#All],2,0)),"CUIT NO CARGADO")</f>
        <v>-</v>
      </c>
      <c r="H1787" s="60">
        <f>ventas_b_mes9[[#This Row],[TOTAL]]/1.21</f>
        <v>4522.3100000000004</v>
      </c>
      <c r="I1787" s="228">
        <f>ventas_b_mes9[[#This Row],[IMPORTE NETO]]*0.21</f>
        <v>949.68510000000003</v>
      </c>
      <c r="J1787" s="229"/>
      <c r="K1787" s="229"/>
      <c r="L1787" s="229">
        <v>5471.9951000000001</v>
      </c>
      <c r="M1787" s="55"/>
    </row>
    <row r="1788" spans="2:13" x14ac:dyDescent="0.3">
      <c r="B1788" s="223">
        <v>44925</v>
      </c>
      <c r="C1788" s="224">
        <v>6</v>
      </c>
      <c r="D1788" s="225">
        <v>11</v>
      </c>
      <c r="E1788" s="226">
        <v>30698</v>
      </c>
      <c r="F1788" s="227"/>
      <c r="G1788" s="1" t="str">
        <f>IFERROR(IF(ventas_b_mes9[[#This Row],[CUIT]]="","-",VLOOKUP(ventas_b_mes9[[#This Row],[CUIT]],Lista_CUIT[#All],2,0)),"CUIT NO CARGADO")</f>
        <v>-</v>
      </c>
      <c r="H1788" s="60">
        <f>ventas_b_mes9[[#This Row],[TOTAL]]/1.21</f>
        <v>6069.42</v>
      </c>
      <c r="I1788" s="228">
        <f>ventas_b_mes9[[#This Row],[IMPORTE NETO]]*0.21</f>
        <v>1274.5781999999999</v>
      </c>
      <c r="J1788" s="229"/>
      <c r="K1788" s="229"/>
      <c r="L1788" s="229">
        <v>7343.9982</v>
      </c>
      <c r="M1788" s="55"/>
    </row>
    <row r="1789" spans="2:13" x14ac:dyDescent="0.3">
      <c r="B1789" s="223">
        <v>44925</v>
      </c>
      <c r="C1789" s="224">
        <v>6</v>
      </c>
      <c r="D1789" s="225">
        <v>11</v>
      </c>
      <c r="E1789" s="226">
        <v>30699</v>
      </c>
      <c r="F1789" s="227"/>
      <c r="G1789" s="1" t="str">
        <f>IFERROR(IF(ventas_b_mes9[[#This Row],[CUIT]]="","-",VLOOKUP(ventas_b_mes9[[#This Row],[CUIT]],Lista_CUIT[#All],2,0)),"CUIT NO CARGADO")</f>
        <v>-</v>
      </c>
      <c r="H1789" s="60">
        <f>ventas_b_mes9[[#This Row],[TOTAL]]/1.21</f>
        <v>10631.42</v>
      </c>
      <c r="I1789" s="228">
        <f>ventas_b_mes9[[#This Row],[IMPORTE NETO]]*0.21</f>
        <v>2232.5981999999999</v>
      </c>
      <c r="J1789" s="229"/>
      <c r="K1789" s="229"/>
      <c r="L1789" s="229">
        <v>12864.0182</v>
      </c>
      <c r="M1789" s="55"/>
    </row>
    <row r="1790" spans="2:13" x14ac:dyDescent="0.3">
      <c r="B1790" s="223">
        <v>44925</v>
      </c>
      <c r="C1790" s="224">
        <v>6</v>
      </c>
      <c r="D1790" s="225">
        <v>11</v>
      </c>
      <c r="E1790" s="226">
        <v>30700</v>
      </c>
      <c r="F1790" s="227"/>
      <c r="G1790" s="1" t="str">
        <f>IFERROR(IF(ventas_b_mes9[[#This Row],[CUIT]]="","-",VLOOKUP(ventas_b_mes9[[#This Row],[CUIT]],Lista_CUIT[#All],2,0)),"CUIT NO CARGADO")</f>
        <v>-</v>
      </c>
      <c r="H1790" s="60">
        <f>ventas_b_mes9[[#This Row],[TOTAL]]/1.21</f>
        <v>1306.6099999999999</v>
      </c>
      <c r="I1790" s="228">
        <f>ventas_b_mes9[[#This Row],[IMPORTE NETO]]*0.21</f>
        <v>274.38809999999995</v>
      </c>
      <c r="J1790" s="229"/>
      <c r="K1790" s="229"/>
      <c r="L1790" s="229">
        <v>1580.9980999999998</v>
      </c>
      <c r="M1790" s="55"/>
    </row>
    <row r="1791" spans="2:13" x14ac:dyDescent="0.3">
      <c r="B1791" s="223">
        <v>44925</v>
      </c>
      <c r="C1791" s="224">
        <v>6</v>
      </c>
      <c r="D1791" s="225">
        <v>15</v>
      </c>
      <c r="E1791" s="226">
        <v>7554</v>
      </c>
      <c r="F1791" s="227"/>
      <c r="G1791" s="1" t="str">
        <f>IFERROR(IF(ventas_b_mes9[[#This Row],[CUIT]]="","-",VLOOKUP(ventas_b_mes9[[#This Row],[CUIT]],Lista_CUIT[#All],2,0)),"CUIT NO CARGADO")</f>
        <v>-</v>
      </c>
      <c r="H1791" s="60">
        <f>ventas_b_mes9[[#This Row],[TOTAL]]/1.21</f>
        <v>17052.84</v>
      </c>
      <c r="I1791" s="228">
        <f>ventas_b_mes9[[#This Row],[IMPORTE NETO]]*0.21</f>
        <v>3581.0963999999999</v>
      </c>
      <c r="J1791" s="229"/>
      <c r="K1791" s="229"/>
      <c r="L1791" s="229">
        <v>20633.936399999999</v>
      </c>
      <c r="M1791" s="55"/>
    </row>
    <row r="1792" spans="2:13" x14ac:dyDescent="0.3">
      <c r="B1792" s="223">
        <v>44925</v>
      </c>
      <c r="C1792" s="224">
        <v>6</v>
      </c>
      <c r="D1792" s="225">
        <v>15</v>
      </c>
      <c r="E1792" s="226">
        <v>7555</v>
      </c>
      <c r="F1792" s="227"/>
      <c r="G1792" s="1" t="str">
        <f>IFERROR(IF(ventas_b_mes9[[#This Row],[CUIT]]="","-",VLOOKUP(ventas_b_mes9[[#This Row],[CUIT]],Lista_CUIT[#All],2,0)),"CUIT NO CARGADO")</f>
        <v>-</v>
      </c>
      <c r="H1792" s="60">
        <f>ventas_b_mes9[[#This Row],[TOTAL]]/1.21</f>
        <v>15828.1</v>
      </c>
      <c r="I1792" s="228">
        <f>ventas_b_mes9[[#This Row],[IMPORTE NETO]]*0.21</f>
        <v>3323.9009999999998</v>
      </c>
      <c r="J1792" s="229"/>
      <c r="K1792" s="229"/>
      <c r="L1792" s="229">
        <v>19152.001</v>
      </c>
      <c r="M1792" s="55"/>
    </row>
    <row r="1793" spans="2:13" x14ac:dyDescent="0.3">
      <c r="B1793" s="223">
        <v>44925</v>
      </c>
      <c r="C1793" s="224">
        <v>6</v>
      </c>
      <c r="D1793" s="225">
        <v>15</v>
      </c>
      <c r="E1793" s="226">
        <v>7556</v>
      </c>
      <c r="F1793" s="227"/>
      <c r="G1793" s="1" t="str">
        <f>IFERROR(IF(ventas_b_mes9[[#This Row],[CUIT]]="","-",VLOOKUP(ventas_b_mes9[[#This Row],[CUIT]],Lista_CUIT[#All],2,0)),"CUIT NO CARGADO")</f>
        <v>-</v>
      </c>
      <c r="H1793" s="60">
        <f>ventas_b_mes9[[#This Row],[TOTAL]]/1.21</f>
        <v>10621.53</v>
      </c>
      <c r="I1793" s="228">
        <f>ventas_b_mes9[[#This Row],[IMPORTE NETO]]*0.21</f>
        <v>2230.5212999999999</v>
      </c>
      <c r="J1793" s="229"/>
      <c r="K1793" s="229"/>
      <c r="L1793" s="229">
        <v>12852.051300000001</v>
      </c>
      <c r="M1793" s="55"/>
    </row>
    <row r="1794" spans="2:13" x14ac:dyDescent="0.3">
      <c r="B1794" s="223">
        <v>44925</v>
      </c>
      <c r="C1794" s="224">
        <v>6</v>
      </c>
      <c r="D1794" s="225">
        <v>15</v>
      </c>
      <c r="E1794" s="226">
        <v>7557</v>
      </c>
      <c r="F1794" s="227"/>
      <c r="G1794" s="1" t="str">
        <f>IFERROR(IF(ventas_b_mes9[[#This Row],[CUIT]]="","-",VLOOKUP(ventas_b_mes9[[#This Row],[CUIT]],Lista_CUIT[#All],2,0)),"CUIT NO CARGADO")</f>
        <v>-</v>
      </c>
      <c r="H1794" s="60">
        <f>ventas_b_mes9[[#This Row],[TOTAL]]/1.21</f>
        <v>23615.720000000005</v>
      </c>
      <c r="I1794" s="228">
        <f>ventas_b_mes9[[#This Row],[IMPORTE NETO]]*0.21</f>
        <v>4959.3012000000008</v>
      </c>
      <c r="J1794" s="229"/>
      <c r="K1794" s="229"/>
      <c r="L1794" s="229">
        <v>28575.021200000003</v>
      </c>
      <c r="M1794" s="55"/>
    </row>
    <row r="1795" spans="2:13" x14ac:dyDescent="0.3">
      <c r="B1795" s="223">
        <v>44925</v>
      </c>
      <c r="C1795" s="224">
        <v>6</v>
      </c>
      <c r="D1795" s="225">
        <v>15</v>
      </c>
      <c r="E1795" s="226">
        <v>7558</v>
      </c>
      <c r="F1795" s="227"/>
      <c r="G1795" s="1" t="str">
        <f>IFERROR(IF(ventas_b_mes9[[#This Row],[CUIT]]="","-",VLOOKUP(ventas_b_mes9[[#This Row],[CUIT]],Lista_CUIT[#All],2,0)),"CUIT NO CARGADO")</f>
        <v>-</v>
      </c>
      <c r="H1795" s="60">
        <f>ventas_b_mes9[[#This Row],[TOTAL]]/1.21</f>
        <v>4214.88</v>
      </c>
      <c r="I1795" s="228">
        <f>ventas_b_mes9[[#This Row],[IMPORTE NETO]]*0.21</f>
        <v>885.12479999999994</v>
      </c>
      <c r="J1795" s="229"/>
      <c r="K1795" s="229"/>
      <c r="L1795" s="229">
        <v>5100.0047999999997</v>
      </c>
      <c r="M1795" s="55"/>
    </row>
    <row r="1796" spans="2:13" x14ac:dyDescent="0.3">
      <c r="B1796" s="223">
        <v>44925</v>
      </c>
      <c r="C1796" s="224">
        <v>6</v>
      </c>
      <c r="D1796" s="225">
        <v>15</v>
      </c>
      <c r="E1796" s="226">
        <v>7559</v>
      </c>
      <c r="F1796" s="227">
        <v>34651132</v>
      </c>
      <c r="G1796" s="1" t="str">
        <f>IFERROR(IF(ventas_b_mes9[[#This Row],[CUIT]]="","-",VLOOKUP(ventas_b_mes9[[#This Row],[CUIT]],Lista_CUIT[#All],2,0)),"CUIT NO CARGADO")</f>
        <v>EURO BOLUMBURU, MARIA FERNANDA</v>
      </c>
      <c r="H1796" s="60">
        <f>ventas_b_mes9[[#This Row],[TOTAL]]/1.21</f>
        <v>5776.86</v>
      </c>
      <c r="I1796" s="228">
        <f>ventas_b_mes9[[#This Row],[IMPORTE NETO]]*0.21</f>
        <v>1213.1405999999999</v>
      </c>
      <c r="J1796" s="229"/>
      <c r="K1796" s="229"/>
      <c r="L1796" s="229">
        <v>6990.0005999999994</v>
      </c>
      <c r="M1796" s="55"/>
    </row>
    <row r="1797" spans="2:13" x14ac:dyDescent="0.3">
      <c r="B1797" s="223">
        <v>44925</v>
      </c>
      <c r="C1797" s="224">
        <v>6</v>
      </c>
      <c r="D1797" s="225">
        <v>10</v>
      </c>
      <c r="E1797" s="226">
        <v>44606</v>
      </c>
      <c r="F1797" s="227"/>
      <c r="G1797" s="1" t="str">
        <f>IFERROR(IF(ventas_b_mes9[[#This Row],[CUIT]]="","-",VLOOKUP(ventas_b_mes9[[#This Row],[CUIT]],Lista_CUIT[#All],2,0)),"CUIT NO CARGADO")</f>
        <v>-</v>
      </c>
      <c r="H1797" s="60">
        <f>ventas_b_mes9[[#This Row],[TOTAL]]/1.21</f>
        <v>8661.16</v>
      </c>
      <c r="I1797" s="228">
        <f>ventas_b_mes9[[#This Row],[IMPORTE NETO]]*0.21</f>
        <v>1818.8435999999999</v>
      </c>
      <c r="J1797" s="229"/>
      <c r="K1797" s="229"/>
      <c r="L1797" s="229">
        <v>10480.0036</v>
      </c>
      <c r="M1797" s="55"/>
    </row>
    <row r="1798" spans="2:13" x14ac:dyDescent="0.3">
      <c r="B1798" s="223">
        <v>44925</v>
      </c>
      <c r="C1798" s="224">
        <v>6</v>
      </c>
      <c r="D1798" s="225">
        <v>10</v>
      </c>
      <c r="E1798" s="226">
        <v>44607</v>
      </c>
      <c r="F1798" s="227"/>
      <c r="G1798" s="1" t="str">
        <f>IFERROR(IF(ventas_b_mes9[[#This Row],[CUIT]]="","-",VLOOKUP(ventas_b_mes9[[#This Row],[CUIT]],Lista_CUIT[#All],2,0)),"CUIT NO CARGADO")</f>
        <v>-</v>
      </c>
      <c r="H1798" s="60">
        <f>ventas_b_mes9[[#This Row],[TOTAL]]/1.21</f>
        <v>5236.3599999999997</v>
      </c>
      <c r="I1798" s="228">
        <f>ventas_b_mes9[[#This Row],[IMPORTE NETO]]*0.21</f>
        <v>1099.6355999999998</v>
      </c>
      <c r="J1798" s="229"/>
      <c r="K1798" s="229"/>
      <c r="L1798" s="229">
        <v>6335.9955999999993</v>
      </c>
      <c r="M1798" s="55"/>
    </row>
    <row r="1799" spans="2:13" x14ac:dyDescent="0.3">
      <c r="B1799" s="223">
        <v>44925</v>
      </c>
      <c r="C1799" s="224">
        <v>6</v>
      </c>
      <c r="D1799" s="225">
        <v>10</v>
      </c>
      <c r="E1799" s="226">
        <v>44608</v>
      </c>
      <c r="F1799" s="227"/>
      <c r="G1799" s="1" t="str">
        <f>IFERROR(IF(ventas_b_mes9[[#This Row],[CUIT]]="","-",VLOOKUP(ventas_b_mes9[[#This Row],[CUIT]],Lista_CUIT[#All],2,0)),"CUIT NO CARGADO")</f>
        <v>-</v>
      </c>
      <c r="H1799" s="60">
        <f>ventas_b_mes9[[#This Row],[TOTAL]]/1.21</f>
        <v>4958.68</v>
      </c>
      <c r="I1799" s="228">
        <f>ventas_b_mes9[[#This Row],[IMPORTE NETO]]*0.21</f>
        <v>1041.3227999999999</v>
      </c>
      <c r="J1799" s="229"/>
      <c r="K1799" s="229"/>
      <c r="L1799" s="229">
        <v>6000.0028000000002</v>
      </c>
      <c r="M1799" s="55"/>
    </row>
    <row r="1800" spans="2:13" x14ac:dyDescent="0.3">
      <c r="B1800" s="223">
        <v>44925</v>
      </c>
      <c r="C1800" s="224">
        <v>6</v>
      </c>
      <c r="D1800" s="225">
        <v>10</v>
      </c>
      <c r="E1800" s="226">
        <v>44609</v>
      </c>
      <c r="F1800" s="227"/>
      <c r="G1800" s="1" t="str">
        <f>IFERROR(IF(ventas_b_mes9[[#This Row],[CUIT]]="","-",VLOOKUP(ventas_b_mes9[[#This Row],[CUIT]],Lista_CUIT[#All],2,0)),"CUIT NO CARGADO")</f>
        <v>-</v>
      </c>
      <c r="H1800" s="60">
        <f>ventas_b_mes9[[#This Row],[TOTAL]]/1.21</f>
        <v>8211.57</v>
      </c>
      <c r="I1800" s="228">
        <f>ventas_b_mes9[[#This Row],[IMPORTE NETO]]*0.21</f>
        <v>1724.4296999999999</v>
      </c>
      <c r="J1800" s="229"/>
      <c r="K1800" s="229"/>
      <c r="L1800" s="229">
        <v>9935.9997000000003</v>
      </c>
      <c r="M1800" s="55"/>
    </row>
    <row r="1801" spans="2:13" x14ac:dyDescent="0.3">
      <c r="B1801" s="223">
        <v>44925</v>
      </c>
      <c r="C1801" s="224">
        <v>6</v>
      </c>
      <c r="D1801" s="225">
        <v>10</v>
      </c>
      <c r="E1801" s="226">
        <v>44610</v>
      </c>
      <c r="F1801" s="227"/>
      <c r="G1801" s="1" t="str">
        <f>IFERROR(IF(ventas_b_mes9[[#This Row],[CUIT]]="","-",VLOOKUP(ventas_b_mes9[[#This Row],[CUIT]],Lista_CUIT[#All],2,0)),"CUIT NO CARGADO")</f>
        <v>-</v>
      </c>
      <c r="H1801" s="60">
        <f>ventas_b_mes9[[#This Row],[TOTAL]]/1.21</f>
        <v>2221.4899999999998</v>
      </c>
      <c r="I1801" s="228">
        <f>ventas_b_mes9[[#This Row],[IMPORTE NETO]]*0.21</f>
        <v>466.51289999999995</v>
      </c>
      <c r="J1801" s="229"/>
      <c r="K1801" s="229"/>
      <c r="L1801" s="229">
        <v>2688.0028999999995</v>
      </c>
      <c r="M1801" s="55"/>
    </row>
    <row r="1802" spans="2:13" x14ac:dyDescent="0.3">
      <c r="B1802" s="223">
        <v>44925</v>
      </c>
      <c r="C1802" s="224">
        <v>6</v>
      </c>
      <c r="D1802" s="225">
        <v>10</v>
      </c>
      <c r="E1802" s="226">
        <v>44611</v>
      </c>
      <c r="F1802" s="227"/>
      <c r="G1802" s="1" t="str">
        <f>IFERROR(IF(ventas_b_mes9[[#This Row],[CUIT]]="","-",VLOOKUP(ventas_b_mes9[[#This Row],[CUIT]],Lista_CUIT[#All],2,0)),"CUIT NO CARGADO")</f>
        <v>-</v>
      </c>
      <c r="H1802" s="60">
        <f>ventas_b_mes9[[#This Row],[TOTAL]]/1.21</f>
        <v>611.57000000000005</v>
      </c>
      <c r="I1802" s="228">
        <f>ventas_b_mes9[[#This Row],[IMPORTE NETO]]*0.21</f>
        <v>128.4297</v>
      </c>
      <c r="J1802" s="229"/>
      <c r="K1802" s="229"/>
      <c r="L1802" s="229">
        <v>739.99970000000008</v>
      </c>
      <c r="M1802" s="55"/>
    </row>
    <row r="1803" spans="2:13" x14ac:dyDescent="0.3">
      <c r="B1803" s="223">
        <v>44925</v>
      </c>
      <c r="C1803" s="224">
        <v>6</v>
      </c>
      <c r="D1803" s="225">
        <v>10</v>
      </c>
      <c r="E1803" s="226">
        <v>44612</v>
      </c>
      <c r="F1803" s="227"/>
      <c r="G1803" s="1" t="str">
        <f>IFERROR(IF(ventas_b_mes9[[#This Row],[CUIT]]="","-",VLOOKUP(ventas_b_mes9[[#This Row],[CUIT]],Lista_CUIT[#All],2,0)),"CUIT NO CARGADO")</f>
        <v>-</v>
      </c>
      <c r="H1803" s="60">
        <f>ventas_b_mes9[[#This Row],[TOTAL]]/1.21</f>
        <v>1943.8000000000002</v>
      </c>
      <c r="I1803" s="228">
        <f>ventas_b_mes9[[#This Row],[IMPORTE NETO]]*0.21</f>
        <v>408.19800000000004</v>
      </c>
      <c r="J1803" s="229"/>
      <c r="K1803" s="229"/>
      <c r="L1803" s="229">
        <v>2351.998</v>
      </c>
      <c r="M1803" s="55"/>
    </row>
    <row r="1804" spans="2:13" x14ac:dyDescent="0.3">
      <c r="B1804" s="223">
        <v>44925</v>
      </c>
      <c r="C1804" s="224">
        <v>6</v>
      </c>
      <c r="D1804" s="225">
        <v>10</v>
      </c>
      <c r="E1804" s="226">
        <v>44613</v>
      </c>
      <c r="F1804" s="227"/>
      <c r="G1804" s="1" t="str">
        <f>IFERROR(IF(ventas_b_mes9[[#This Row],[CUIT]]="","-",VLOOKUP(ventas_b_mes9[[#This Row],[CUIT]],Lista_CUIT[#All],2,0)),"CUIT NO CARGADO")</f>
        <v>-</v>
      </c>
      <c r="H1804" s="60">
        <f>ventas_b_mes9[[#This Row],[TOTAL]]/1.21</f>
        <v>22968.6</v>
      </c>
      <c r="I1804" s="228">
        <f>ventas_b_mes9[[#This Row],[IMPORTE NETO]]*0.21</f>
        <v>4823.4059999999999</v>
      </c>
      <c r="J1804" s="229"/>
      <c r="K1804" s="229"/>
      <c r="L1804" s="229">
        <v>27792.005999999998</v>
      </c>
      <c r="M1804" s="55"/>
    </row>
    <row r="1805" spans="2:13" x14ac:dyDescent="0.3">
      <c r="B1805" s="223">
        <v>44925</v>
      </c>
      <c r="C1805" s="224">
        <v>6</v>
      </c>
      <c r="D1805" s="225">
        <v>10</v>
      </c>
      <c r="E1805" s="226">
        <v>44614</v>
      </c>
      <c r="F1805" s="227"/>
      <c r="G1805" s="1" t="str">
        <f>IFERROR(IF(ventas_b_mes9[[#This Row],[CUIT]]="","-",VLOOKUP(ventas_b_mes9[[#This Row],[CUIT]],Lista_CUIT[#All],2,0)),"CUIT NO CARGADO")</f>
        <v>-</v>
      </c>
      <c r="H1805" s="60">
        <f>ventas_b_mes9[[#This Row],[TOTAL]]/1.21</f>
        <v>9566.65</v>
      </c>
      <c r="I1805" s="228">
        <f>ventas_b_mes9[[#This Row],[IMPORTE NETO]]*0.21</f>
        <v>2008.9964999999997</v>
      </c>
      <c r="J1805" s="229"/>
      <c r="K1805" s="229"/>
      <c r="L1805" s="229">
        <v>11575.646499999999</v>
      </c>
      <c r="M1805" s="55"/>
    </row>
    <row r="1806" spans="2:13" x14ac:dyDescent="0.3">
      <c r="B1806" s="223">
        <v>44925</v>
      </c>
      <c r="C1806" s="224">
        <v>6</v>
      </c>
      <c r="D1806" s="225">
        <v>10</v>
      </c>
      <c r="E1806" s="226">
        <v>44615</v>
      </c>
      <c r="F1806" s="227"/>
      <c r="G1806" s="1" t="str">
        <f>IFERROR(IF(ventas_b_mes9[[#This Row],[CUIT]]="","-",VLOOKUP(ventas_b_mes9[[#This Row],[CUIT]],Lista_CUIT[#All],2,0)),"CUIT NO CARGADO")</f>
        <v>-</v>
      </c>
      <c r="H1806" s="60">
        <f>ventas_b_mes9[[#This Row],[TOTAL]]/1.21</f>
        <v>4611.57</v>
      </c>
      <c r="I1806" s="228">
        <f>ventas_b_mes9[[#This Row],[IMPORTE NETO]]*0.21</f>
        <v>968.42969999999991</v>
      </c>
      <c r="J1806" s="229"/>
      <c r="K1806" s="229"/>
      <c r="L1806" s="229">
        <v>5579.9996999999994</v>
      </c>
      <c r="M1806" s="55"/>
    </row>
    <row r="1807" spans="2:13" x14ac:dyDescent="0.3">
      <c r="B1807" s="223">
        <v>44925</v>
      </c>
      <c r="C1807" s="224">
        <v>6</v>
      </c>
      <c r="D1807" s="225">
        <v>10</v>
      </c>
      <c r="E1807" s="226">
        <v>44616</v>
      </c>
      <c r="F1807" s="227"/>
      <c r="G1807" s="1" t="str">
        <f>IFERROR(IF(ventas_b_mes9[[#This Row],[CUIT]]="","-",VLOOKUP(ventas_b_mes9[[#This Row],[CUIT]],Lista_CUIT[#All],2,0)),"CUIT NO CARGADO")</f>
        <v>-</v>
      </c>
      <c r="H1807" s="60">
        <f>ventas_b_mes9[[#This Row],[TOTAL]]/1.21</f>
        <v>2710.74</v>
      </c>
      <c r="I1807" s="228">
        <f>ventas_b_mes9[[#This Row],[IMPORTE NETO]]*0.21</f>
        <v>569.2553999999999</v>
      </c>
      <c r="J1807" s="229"/>
      <c r="K1807" s="229"/>
      <c r="L1807" s="229">
        <v>3279.9953999999998</v>
      </c>
      <c r="M1807" s="55"/>
    </row>
    <row r="1808" spans="2:13" x14ac:dyDescent="0.3">
      <c r="B1808" s="223">
        <v>44925</v>
      </c>
      <c r="C1808" s="224">
        <v>6</v>
      </c>
      <c r="D1808" s="225">
        <v>12</v>
      </c>
      <c r="E1808" s="226">
        <v>23198</v>
      </c>
      <c r="F1808" s="227"/>
      <c r="G1808" s="1" t="str">
        <f>IFERROR(IF(ventas_b_mes9[[#This Row],[CUIT]]="","-",VLOOKUP(ventas_b_mes9[[#This Row],[CUIT]],Lista_CUIT[#All],2,0)),"CUIT NO CARGADO")</f>
        <v>-</v>
      </c>
      <c r="H1808" s="60">
        <f>ventas_b_mes9[[#This Row],[TOTAL]]/1.21</f>
        <v>7980.19</v>
      </c>
      <c r="I1808" s="228">
        <f>ventas_b_mes9[[#This Row],[IMPORTE NETO]]*0.21</f>
        <v>1675.8398999999999</v>
      </c>
      <c r="J1808" s="229"/>
      <c r="K1808" s="229"/>
      <c r="L1808" s="229">
        <v>9656.0298999999995</v>
      </c>
      <c r="M1808" s="55"/>
    </row>
    <row r="1809" spans="2:13" x14ac:dyDescent="0.3">
      <c r="B1809" s="223">
        <v>44925</v>
      </c>
      <c r="C1809" s="224">
        <v>6</v>
      </c>
      <c r="D1809" s="225">
        <v>12</v>
      </c>
      <c r="E1809" s="226">
        <v>23199</v>
      </c>
      <c r="F1809" s="227"/>
      <c r="G1809" s="1" t="str">
        <f>IFERROR(IF(ventas_b_mes9[[#This Row],[CUIT]]="","-",VLOOKUP(ventas_b_mes9[[#This Row],[CUIT]],Lista_CUIT[#All],2,0)),"CUIT NO CARGADO")</f>
        <v>-</v>
      </c>
      <c r="H1809" s="60">
        <f>ventas_b_mes9[[#This Row],[TOTAL]]/1.21</f>
        <v>5804.98</v>
      </c>
      <c r="I1809" s="228">
        <f>ventas_b_mes9[[#This Row],[IMPORTE NETO]]*0.21</f>
        <v>1219.0457999999999</v>
      </c>
      <c r="J1809" s="229"/>
      <c r="K1809" s="229"/>
      <c r="L1809" s="229">
        <v>7024.0257999999994</v>
      </c>
      <c r="M1809" s="55"/>
    </row>
    <row r="1810" spans="2:13" x14ac:dyDescent="0.3">
      <c r="B1810" s="223">
        <v>44925</v>
      </c>
      <c r="C1810" s="224">
        <v>6</v>
      </c>
      <c r="D1810" s="225">
        <v>12</v>
      </c>
      <c r="E1810" s="226">
        <v>23200</v>
      </c>
      <c r="F1810" s="227"/>
      <c r="G1810" s="1" t="str">
        <f>IFERROR(IF(ventas_b_mes9[[#This Row],[CUIT]]="","-",VLOOKUP(ventas_b_mes9[[#This Row],[CUIT]],Lista_CUIT[#All],2,0)),"CUIT NO CARGADO")</f>
        <v>-</v>
      </c>
      <c r="H1810" s="60">
        <f>ventas_b_mes9[[#This Row],[TOTAL]]/1.21</f>
        <v>2181.8200000000002</v>
      </c>
      <c r="I1810" s="228">
        <f>ventas_b_mes9[[#This Row],[IMPORTE NETO]]*0.21</f>
        <v>458.18220000000002</v>
      </c>
      <c r="J1810" s="229"/>
      <c r="K1810" s="229"/>
      <c r="L1810" s="229">
        <v>2640.0022000000004</v>
      </c>
      <c r="M1810" s="55"/>
    </row>
    <row r="1811" spans="2:13" x14ac:dyDescent="0.3">
      <c r="B1811" s="223">
        <v>44925</v>
      </c>
      <c r="C1811" s="224">
        <v>6</v>
      </c>
      <c r="D1811" s="225">
        <v>12</v>
      </c>
      <c r="E1811" s="226">
        <v>23201</v>
      </c>
      <c r="F1811" s="227"/>
      <c r="G1811" s="1" t="str">
        <f>IFERROR(IF(ventas_b_mes9[[#This Row],[CUIT]]="","-",VLOOKUP(ventas_b_mes9[[#This Row],[CUIT]],Lista_CUIT[#All],2,0)),"CUIT NO CARGADO")</f>
        <v>-</v>
      </c>
      <c r="H1811" s="60">
        <f>ventas_b_mes9[[#This Row],[TOTAL]]/1.21</f>
        <v>4793.3900000000003</v>
      </c>
      <c r="I1811" s="228">
        <f>ventas_b_mes9[[#This Row],[IMPORTE NETO]]*0.21</f>
        <v>1006.6119</v>
      </c>
      <c r="J1811" s="229"/>
      <c r="K1811" s="229"/>
      <c r="L1811" s="229">
        <v>5800.0019000000002</v>
      </c>
      <c r="M1811" s="55"/>
    </row>
    <row r="1812" spans="2:13" x14ac:dyDescent="0.3">
      <c r="B1812" s="223">
        <v>44925</v>
      </c>
      <c r="C1812" s="224">
        <v>6</v>
      </c>
      <c r="D1812" s="225">
        <v>12</v>
      </c>
      <c r="E1812" s="226">
        <v>23202</v>
      </c>
      <c r="F1812" s="227"/>
      <c r="G1812" s="1" t="str">
        <f>IFERROR(IF(ventas_b_mes9[[#This Row],[CUIT]]="","-",VLOOKUP(ventas_b_mes9[[#This Row],[CUIT]],Lista_CUIT[#All],2,0)),"CUIT NO CARGADO")</f>
        <v>-</v>
      </c>
      <c r="H1812" s="60">
        <f>ventas_b_mes9[[#This Row],[TOTAL]]/1.21</f>
        <v>13725.620000000003</v>
      </c>
      <c r="I1812" s="228">
        <f>ventas_b_mes9[[#This Row],[IMPORTE NETO]]*0.21</f>
        <v>2882.3802000000005</v>
      </c>
      <c r="J1812" s="229"/>
      <c r="K1812" s="229"/>
      <c r="L1812" s="229">
        <v>16608.000200000002</v>
      </c>
      <c r="M1812" s="55"/>
    </row>
    <row r="1813" spans="2:13" x14ac:dyDescent="0.3">
      <c r="B1813" s="223">
        <v>44925</v>
      </c>
      <c r="C1813" s="224">
        <v>6</v>
      </c>
      <c r="D1813" s="225">
        <v>12</v>
      </c>
      <c r="E1813" s="226">
        <v>23203</v>
      </c>
      <c r="F1813" s="227"/>
      <c r="G1813" s="1" t="str">
        <f>IFERROR(IF(ventas_b_mes9[[#This Row],[CUIT]]="","-",VLOOKUP(ventas_b_mes9[[#This Row],[CUIT]],Lista_CUIT[#All],2,0)),"CUIT NO CARGADO")</f>
        <v>-</v>
      </c>
      <c r="H1813" s="60">
        <f>ventas_b_mes9[[#This Row],[TOTAL]]/1.21</f>
        <v>2892.56</v>
      </c>
      <c r="I1813" s="228">
        <f>ventas_b_mes9[[#This Row],[IMPORTE NETO]]*0.21</f>
        <v>607.43759999999997</v>
      </c>
      <c r="J1813" s="229"/>
      <c r="K1813" s="229"/>
      <c r="L1813" s="229">
        <v>3499.9975999999997</v>
      </c>
      <c r="M1813" s="55"/>
    </row>
    <row r="1814" spans="2:13" x14ac:dyDescent="0.3">
      <c r="B1814" s="223">
        <v>44925</v>
      </c>
      <c r="C1814" s="224">
        <v>6</v>
      </c>
      <c r="D1814" s="225">
        <v>12</v>
      </c>
      <c r="E1814" s="226">
        <v>23204</v>
      </c>
      <c r="F1814" s="227"/>
      <c r="G1814" s="1" t="str">
        <f>IFERROR(IF(ventas_b_mes9[[#This Row],[CUIT]]="","-",VLOOKUP(ventas_b_mes9[[#This Row],[CUIT]],Lista_CUIT[#All],2,0)),"CUIT NO CARGADO")</f>
        <v>-</v>
      </c>
      <c r="H1814" s="60">
        <f>ventas_b_mes9[[#This Row],[TOTAL]]/1.21</f>
        <v>7682.64</v>
      </c>
      <c r="I1814" s="228">
        <f>ventas_b_mes9[[#This Row],[IMPORTE NETO]]*0.21</f>
        <v>1613.3543999999999</v>
      </c>
      <c r="J1814" s="229"/>
      <c r="K1814" s="229"/>
      <c r="L1814" s="229">
        <v>9295.9943999999996</v>
      </c>
      <c r="M1814" s="55"/>
    </row>
    <row r="1815" spans="2:13" x14ac:dyDescent="0.3">
      <c r="B1815" s="223">
        <v>44925</v>
      </c>
      <c r="C1815" s="224">
        <v>6</v>
      </c>
      <c r="D1815" s="225">
        <v>12</v>
      </c>
      <c r="E1815" s="226">
        <v>23205</v>
      </c>
      <c r="F1815" s="227"/>
      <c r="G1815" s="1" t="str">
        <f>IFERROR(IF(ventas_b_mes9[[#This Row],[CUIT]]="","-",VLOOKUP(ventas_b_mes9[[#This Row],[CUIT]],Lista_CUIT[#All],2,0)),"CUIT NO CARGADO")</f>
        <v>-</v>
      </c>
      <c r="H1815" s="60">
        <f>ventas_b_mes9[[#This Row],[TOTAL]]/1.21</f>
        <v>13097.53</v>
      </c>
      <c r="I1815" s="228">
        <f>ventas_b_mes9[[#This Row],[IMPORTE NETO]]*0.21</f>
        <v>2750.4812999999999</v>
      </c>
      <c r="J1815" s="229"/>
      <c r="K1815" s="229"/>
      <c r="L1815" s="229">
        <v>15848.0113</v>
      </c>
      <c r="M1815" s="55"/>
    </row>
    <row r="1816" spans="2:13" x14ac:dyDescent="0.3">
      <c r="B1816" s="223">
        <v>44925</v>
      </c>
      <c r="C1816" s="224">
        <v>6</v>
      </c>
      <c r="D1816" s="225">
        <v>12</v>
      </c>
      <c r="E1816" s="226">
        <v>23206</v>
      </c>
      <c r="F1816" s="227"/>
      <c r="G1816" s="1" t="str">
        <f>IFERROR(IF(ventas_b_mes9[[#This Row],[CUIT]]="","-",VLOOKUP(ventas_b_mes9[[#This Row],[CUIT]],Lista_CUIT[#All],2,0)),"CUIT NO CARGADO")</f>
        <v>-</v>
      </c>
      <c r="H1816" s="60">
        <f>ventas_b_mes9[[#This Row],[TOTAL]]/1.21</f>
        <v>12165.3</v>
      </c>
      <c r="I1816" s="228">
        <f>ventas_b_mes9[[#This Row],[IMPORTE NETO]]*0.21</f>
        <v>2554.7129999999997</v>
      </c>
      <c r="J1816" s="229"/>
      <c r="K1816" s="229"/>
      <c r="L1816" s="229">
        <v>14720.012999999999</v>
      </c>
      <c r="M1816" s="55"/>
    </row>
    <row r="1817" spans="2:13" x14ac:dyDescent="0.3">
      <c r="B1817" s="223">
        <v>44925</v>
      </c>
      <c r="C1817" s="224">
        <v>6</v>
      </c>
      <c r="D1817" s="225">
        <v>12</v>
      </c>
      <c r="E1817" s="226">
        <v>23207</v>
      </c>
      <c r="F1817" s="227"/>
      <c r="G1817" s="1" t="str">
        <f>IFERROR(IF(ventas_b_mes9[[#This Row],[CUIT]]="","-",VLOOKUP(ventas_b_mes9[[#This Row],[CUIT]],Lista_CUIT[#All],2,0)),"CUIT NO CARGADO")</f>
        <v>-</v>
      </c>
      <c r="H1817" s="60">
        <f>ventas_b_mes9[[#This Row],[TOTAL]]/1.21</f>
        <v>3153.72</v>
      </c>
      <c r="I1817" s="228">
        <f>ventas_b_mes9[[#This Row],[IMPORTE NETO]]*0.21</f>
        <v>662.2811999999999</v>
      </c>
      <c r="J1817" s="229"/>
      <c r="K1817" s="229"/>
      <c r="L1817" s="229">
        <v>3816.0011999999997</v>
      </c>
      <c r="M1817" s="55"/>
    </row>
    <row r="1818" spans="2:13" x14ac:dyDescent="0.3">
      <c r="B1818" s="223">
        <v>44925</v>
      </c>
      <c r="C1818" s="224">
        <v>6</v>
      </c>
      <c r="D1818" s="225">
        <v>12</v>
      </c>
      <c r="E1818" s="226">
        <v>23208</v>
      </c>
      <c r="F1818" s="227"/>
      <c r="G1818" s="1" t="str">
        <f>IFERROR(IF(ventas_b_mes9[[#This Row],[CUIT]]="","-",VLOOKUP(ventas_b_mes9[[#This Row],[CUIT]],Lista_CUIT[#All],2,0)),"CUIT NO CARGADO")</f>
        <v>-</v>
      </c>
      <c r="H1818" s="60">
        <f>ventas_b_mes9[[#This Row],[TOTAL]]/1.21</f>
        <v>7562.27</v>
      </c>
      <c r="I1818" s="228">
        <f>ventas_b_mes9[[#This Row],[IMPORTE NETO]]*0.21</f>
        <v>1588.0767000000001</v>
      </c>
      <c r="J1818" s="229"/>
      <c r="K1818" s="229"/>
      <c r="L1818" s="229">
        <v>9150.3467000000001</v>
      </c>
      <c r="M1818" s="55"/>
    </row>
    <row r="1819" spans="2:13" x14ac:dyDescent="0.3">
      <c r="B1819" s="223">
        <v>44925</v>
      </c>
      <c r="C1819" s="224">
        <v>6</v>
      </c>
      <c r="D1819" s="225">
        <v>12</v>
      </c>
      <c r="E1819" s="226">
        <v>23209</v>
      </c>
      <c r="F1819" s="227"/>
      <c r="G1819" s="1" t="str">
        <f>IFERROR(IF(ventas_b_mes9[[#This Row],[CUIT]]="","-",VLOOKUP(ventas_b_mes9[[#This Row],[CUIT]],Lista_CUIT[#All],2,0)),"CUIT NO CARGADO")</f>
        <v>-</v>
      </c>
      <c r="H1819" s="60">
        <f>ventas_b_mes9[[#This Row],[TOTAL]]/1.21</f>
        <v>4264.46</v>
      </c>
      <c r="I1819" s="228">
        <f>ventas_b_mes9[[#This Row],[IMPORTE NETO]]*0.21</f>
        <v>895.53660000000002</v>
      </c>
      <c r="J1819" s="229"/>
      <c r="K1819" s="229"/>
      <c r="L1819" s="229">
        <v>5159.9966000000004</v>
      </c>
      <c r="M1819" s="55"/>
    </row>
    <row r="1820" spans="2:13" x14ac:dyDescent="0.3">
      <c r="B1820" s="223">
        <v>44925</v>
      </c>
      <c r="C1820" s="224">
        <v>6</v>
      </c>
      <c r="D1820" s="225">
        <v>12</v>
      </c>
      <c r="E1820" s="226">
        <v>23210</v>
      </c>
      <c r="F1820" s="227"/>
      <c r="G1820" s="1" t="str">
        <f>IFERROR(IF(ventas_b_mes9[[#This Row],[CUIT]]="","-",VLOOKUP(ventas_b_mes9[[#This Row],[CUIT]],Lista_CUIT[#All],2,0)),"CUIT NO CARGADO")</f>
        <v>-</v>
      </c>
      <c r="H1820" s="60">
        <f>ventas_b_mes9[[#This Row],[TOTAL]]/1.21</f>
        <v>21650.43</v>
      </c>
      <c r="I1820" s="228">
        <f>ventas_b_mes9[[#This Row],[IMPORTE NETO]]*0.21</f>
        <v>4546.5902999999998</v>
      </c>
      <c r="J1820" s="229"/>
      <c r="K1820" s="229"/>
      <c r="L1820" s="229">
        <v>26197.0203</v>
      </c>
      <c r="M1820" s="55"/>
    </row>
    <row r="1821" spans="2:13" x14ac:dyDescent="0.3">
      <c r="B1821" s="223">
        <v>44925</v>
      </c>
      <c r="C1821" s="224">
        <v>6</v>
      </c>
      <c r="D1821" s="225">
        <v>12</v>
      </c>
      <c r="E1821" s="226">
        <v>23211</v>
      </c>
      <c r="F1821" s="227"/>
      <c r="G1821" s="1" t="str">
        <f>IFERROR(IF(ventas_b_mes9[[#This Row],[CUIT]]="","-",VLOOKUP(ventas_b_mes9[[#This Row],[CUIT]],Lista_CUIT[#All],2,0)),"CUIT NO CARGADO")</f>
        <v>-</v>
      </c>
      <c r="H1821" s="60">
        <f>ventas_b_mes9[[#This Row],[TOTAL]]/1.21</f>
        <v>4566.13</v>
      </c>
      <c r="I1821" s="228">
        <f>ventas_b_mes9[[#This Row],[IMPORTE NETO]]*0.21</f>
        <v>958.88729999999998</v>
      </c>
      <c r="J1821" s="229"/>
      <c r="K1821" s="229"/>
      <c r="L1821" s="229">
        <v>5525.0173000000004</v>
      </c>
      <c r="M1821" s="55"/>
    </row>
    <row r="1822" spans="2:13" x14ac:dyDescent="0.3">
      <c r="B1822" s="223">
        <v>44925</v>
      </c>
      <c r="C1822" s="224">
        <v>6</v>
      </c>
      <c r="D1822" s="225">
        <v>12</v>
      </c>
      <c r="E1822" s="226">
        <v>23212</v>
      </c>
      <c r="F1822" s="227"/>
      <c r="G1822" s="1" t="str">
        <f>IFERROR(IF(ventas_b_mes9[[#This Row],[CUIT]]="","-",VLOOKUP(ventas_b_mes9[[#This Row],[CUIT]],Lista_CUIT[#All],2,0)),"CUIT NO CARGADO")</f>
        <v>-</v>
      </c>
      <c r="H1822" s="60">
        <f>ventas_b_mes9[[#This Row],[TOTAL]]/1.21</f>
        <v>1851.24</v>
      </c>
      <c r="I1822" s="228">
        <f>ventas_b_mes9[[#This Row],[IMPORTE NETO]]*0.21</f>
        <v>388.7604</v>
      </c>
      <c r="J1822" s="229"/>
      <c r="K1822" s="229"/>
      <c r="L1822" s="229">
        <v>2240.0003999999999</v>
      </c>
      <c r="M1822" s="55"/>
    </row>
    <row r="1823" spans="2:13" x14ac:dyDescent="0.3">
      <c r="B1823" s="223">
        <v>44925</v>
      </c>
      <c r="C1823" s="224">
        <v>6</v>
      </c>
      <c r="D1823" s="225">
        <v>12</v>
      </c>
      <c r="E1823" s="226">
        <v>23213</v>
      </c>
      <c r="F1823" s="227"/>
      <c r="G1823" s="1" t="str">
        <f>IFERROR(IF(ventas_b_mes9[[#This Row],[CUIT]]="","-",VLOOKUP(ventas_b_mes9[[#This Row],[CUIT]],Lista_CUIT[#All],2,0)),"CUIT NO CARGADO")</f>
        <v>-</v>
      </c>
      <c r="H1823" s="60">
        <f>ventas_b_mes9[[#This Row],[TOTAL]]/1.21</f>
        <v>15193.39</v>
      </c>
      <c r="I1823" s="228">
        <f>ventas_b_mes9[[#This Row],[IMPORTE NETO]]*0.21</f>
        <v>3190.6118999999999</v>
      </c>
      <c r="J1823" s="229"/>
      <c r="K1823" s="229"/>
      <c r="L1823" s="229">
        <v>18384.001899999999</v>
      </c>
      <c r="M1823" s="55"/>
    </row>
    <row r="1824" spans="2:13" x14ac:dyDescent="0.3">
      <c r="B1824" s="223">
        <v>44925</v>
      </c>
      <c r="C1824" s="224">
        <v>6</v>
      </c>
      <c r="D1824" s="225">
        <v>12</v>
      </c>
      <c r="E1824" s="226">
        <v>23214</v>
      </c>
      <c r="F1824" s="227"/>
      <c r="G1824" s="1" t="str">
        <f>IFERROR(IF(ventas_b_mes9[[#This Row],[CUIT]]="","-",VLOOKUP(ventas_b_mes9[[#This Row],[CUIT]],Lista_CUIT[#All],2,0)),"CUIT NO CARGADO")</f>
        <v>-</v>
      </c>
      <c r="H1824" s="60">
        <f>ventas_b_mes9[[#This Row],[TOTAL]]/1.21</f>
        <v>1428.1</v>
      </c>
      <c r="I1824" s="228">
        <f>ventas_b_mes9[[#This Row],[IMPORTE NETO]]*0.21</f>
        <v>299.90099999999995</v>
      </c>
      <c r="J1824" s="229"/>
      <c r="K1824" s="229"/>
      <c r="L1824" s="229">
        <v>1728.0009999999997</v>
      </c>
      <c r="M1824" s="55"/>
    </row>
    <row r="1825" spans="2:13" x14ac:dyDescent="0.3">
      <c r="B1825" s="223">
        <v>44925</v>
      </c>
      <c r="C1825" s="224">
        <v>6</v>
      </c>
      <c r="D1825" s="225">
        <v>12</v>
      </c>
      <c r="E1825" s="226">
        <v>23215</v>
      </c>
      <c r="F1825" s="227"/>
      <c r="G1825" s="1" t="str">
        <f>IFERROR(IF(ventas_b_mes9[[#This Row],[CUIT]]="","-",VLOOKUP(ventas_b_mes9[[#This Row],[CUIT]],Lista_CUIT[#All],2,0)),"CUIT NO CARGADO")</f>
        <v>-</v>
      </c>
      <c r="H1825" s="60">
        <f>ventas_b_mes9[[#This Row],[TOTAL]]/1.21</f>
        <v>1943.8000000000002</v>
      </c>
      <c r="I1825" s="228">
        <f>ventas_b_mes9[[#This Row],[IMPORTE NETO]]*0.21</f>
        <v>408.19800000000004</v>
      </c>
      <c r="J1825" s="229"/>
      <c r="K1825" s="229"/>
      <c r="L1825" s="229">
        <v>2351.998</v>
      </c>
      <c r="M1825" s="55"/>
    </row>
    <row r="1826" spans="2:13" x14ac:dyDescent="0.3">
      <c r="B1826" s="223">
        <v>44925</v>
      </c>
      <c r="C1826" s="224">
        <v>6</v>
      </c>
      <c r="D1826" s="225">
        <v>12</v>
      </c>
      <c r="E1826" s="226">
        <v>23216</v>
      </c>
      <c r="F1826" s="227"/>
      <c r="G1826" s="1" t="str">
        <f>IFERROR(IF(ventas_b_mes9[[#This Row],[CUIT]]="","-",VLOOKUP(ventas_b_mes9[[#This Row],[CUIT]],Lista_CUIT[#All],2,0)),"CUIT NO CARGADO")</f>
        <v>-</v>
      </c>
      <c r="H1826" s="60">
        <f>ventas_b_mes9[[#This Row],[TOTAL]]/1.21</f>
        <v>3570.25</v>
      </c>
      <c r="I1826" s="228">
        <f>ventas_b_mes9[[#This Row],[IMPORTE NETO]]*0.21</f>
        <v>749.75249999999994</v>
      </c>
      <c r="J1826" s="229"/>
      <c r="K1826" s="229"/>
      <c r="L1826" s="229">
        <v>4320.0024999999996</v>
      </c>
      <c r="M1826" s="55"/>
    </row>
    <row r="1827" spans="2:13" x14ac:dyDescent="0.3">
      <c r="B1827" s="223">
        <v>44896</v>
      </c>
      <c r="C1827" s="224">
        <v>8</v>
      </c>
      <c r="D1827" s="225">
        <v>11</v>
      </c>
      <c r="E1827" s="226">
        <v>824</v>
      </c>
      <c r="F1827" s="227"/>
      <c r="G1827" s="1" t="str">
        <f>IFERROR(IF(ventas_b_mes9[[#This Row],[CUIT]]="","-",VLOOKUP(ventas_b_mes9[[#This Row],[CUIT]],Lista_CUIT[#All],2,0)),"CUIT NO CARGADO")</f>
        <v>-</v>
      </c>
      <c r="H1827" s="60">
        <f>ventas_b_mes9[[#This Row],[TOTAL]]/1.21</f>
        <v>-2247.9299999999998</v>
      </c>
      <c r="I1827" s="228">
        <f>ventas_b_mes9[[#This Row],[IMPORTE NETO]]*0.21</f>
        <v>-472.06529999999992</v>
      </c>
      <c r="J1827" s="229"/>
      <c r="K1827" s="229"/>
      <c r="L1827" s="229">
        <v>-2719.9952999999996</v>
      </c>
      <c r="M1827" s="55"/>
    </row>
    <row r="1828" spans="2:13" x14ac:dyDescent="0.3">
      <c r="B1828" s="223">
        <v>44896</v>
      </c>
      <c r="C1828" s="224">
        <v>8</v>
      </c>
      <c r="D1828" s="225">
        <v>13</v>
      </c>
      <c r="E1828" s="226">
        <v>674</v>
      </c>
      <c r="F1828" s="227"/>
      <c r="G1828" s="1" t="str">
        <f>IFERROR(IF(ventas_b_mes9[[#This Row],[CUIT]]="","-",VLOOKUP(ventas_b_mes9[[#This Row],[CUIT]],Lista_CUIT[#All],2,0)),"CUIT NO CARGADO")</f>
        <v>-</v>
      </c>
      <c r="H1828" s="60">
        <f>ventas_b_mes9[[#This Row],[TOTAL]]/1.21</f>
        <v>-1636.36</v>
      </c>
      <c r="I1828" s="228">
        <f>ventas_b_mes9[[#This Row],[IMPORTE NETO]]*0.21</f>
        <v>-343.63559999999995</v>
      </c>
      <c r="J1828" s="229"/>
      <c r="K1828" s="229"/>
      <c r="L1828" s="229">
        <v>-1979.9955999999997</v>
      </c>
      <c r="M1828" s="55"/>
    </row>
    <row r="1829" spans="2:13" x14ac:dyDescent="0.3">
      <c r="B1829" s="223">
        <v>44896</v>
      </c>
      <c r="C1829" s="224">
        <v>8</v>
      </c>
      <c r="D1829" s="225">
        <v>13</v>
      </c>
      <c r="E1829" s="226">
        <v>675</v>
      </c>
      <c r="F1829" s="227"/>
      <c r="G1829" s="1" t="str">
        <f>IFERROR(IF(ventas_b_mes9[[#This Row],[CUIT]]="","-",VLOOKUP(ventas_b_mes9[[#This Row],[CUIT]],Lista_CUIT[#All],2,0)),"CUIT NO CARGADO")</f>
        <v>-</v>
      </c>
      <c r="H1829" s="60">
        <f>ventas_b_mes9[[#This Row],[TOTAL]]/1.21</f>
        <v>-1636.36</v>
      </c>
      <c r="I1829" s="228">
        <f>ventas_b_mes9[[#This Row],[IMPORTE NETO]]*0.21</f>
        <v>-343.63559999999995</v>
      </c>
      <c r="J1829" s="229"/>
      <c r="K1829" s="229"/>
      <c r="L1829" s="229">
        <v>-1979.9955999999997</v>
      </c>
      <c r="M1829" s="55"/>
    </row>
    <row r="1830" spans="2:13" x14ac:dyDescent="0.3">
      <c r="B1830" s="223">
        <v>44896</v>
      </c>
      <c r="C1830" s="224">
        <v>8</v>
      </c>
      <c r="D1830" s="225">
        <v>13</v>
      </c>
      <c r="E1830" s="226">
        <v>676</v>
      </c>
      <c r="F1830" s="227"/>
      <c r="G1830" s="1" t="str">
        <f>IFERROR(IF(ventas_b_mes9[[#This Row],[CUIT]]="","-",VLOOKUP(ventas_b_mes9[[#This Row],[CUIT]],Lista_CUIT[#All],2,0)),"CUIT NO CARGADO")</f>
        <v>-</v>
      </c>
      <c r="H1830" s="60">
        <f>ventas_b_mes9[[#This Row],[TOTAL]]/1.21</f>
        <v>-1636.36</v>
      </c>
      <c r="I1830" s="228">
        <f>ventas_b_mes9[[#This Row],[IMPORTE NETO]]*0.21</f>
        <v>-343.63559999999995</v>
      </c>
      <c r="J1830" s="229"/>
      <c r="K1830" s="229"/>
      <c r="L1830" s="229">
        <v>-1979.9955999999997</v>
      </c>
      <c r="M1830" s="55"/>
    </row>
    <row r="1831" spans="2:13" x14ac:dyDescent="0.3">
      <c r="B1831" s="223">
        <v>44898</v>
      </c>
      <c r="C1831" s="224">
        <v>8</v>
      </c>
      <c r="D1831" s="225">
        <v>10</v>
      </c>
      <c r="E1831" s="226">
        <v>1417</v>
      </c>
      <c r="F1831" s="227"/>
      <c r="G1831" s="1" t="str">
        <f>IFERROR(IF(ventas_b_mes9[[#This Row],[CUIT]]="","-",VLOOKUP(ventas_b_mes9[[#This Row],[CUIT]],Lista_CUIT[#All],2,0)),"CUIT NO CARGADO")</f>
        <v>-</v>
      </c>
      <c r="H1831" s="60">
        <f>ventas_b_mes9[[#This Row],[TOTAL]]/1.21</f>
        <v>-11446.26</v>
      </c>
      <c r="I1831" s="228">
        <f>ventas_b_mes9[[#This Row],[IMPORTE NETO]]*0.21</f>
        <v>-2403.7145999999998</v>
      </c>
      <c r="J1831" s="229"/>
      <c r="K1831" s="229"/>
      <c r="L1831" s="229">
        <v>-13849.9746</v>
      </c>
      <c r="M1831" s="55"/>
    </row>
    <row r="1832" spans="2:13" x14ac:dyDescent="0.3">
      <c r="B1832" s="223">
        <v>44898</v>
      </c>
      <c r="C1832" s="224">
        <v>8</v>
      </c>
      <c r="D1832" s="225">
        <v>11</v>
      </c>
      <c r="E1832" s="226">
        <v>825</v>
      </c>
      <c r="F1832" s="227"/>
      <c r="G1832" s="1" t="str">
        <f>IFERROR(IF(ventas_b_mes9[[#This Row],[CUIT]]="","-",VLOOKUP(ventas_b_mes9[[#This Row],[CUIT]],Lista_CUIT[#All],2,0)),"CUIT NO CARGADO")</f>
        <v>-</v>
      </c>
      <c r="H1832" s="60">
        <f>ventas_b_mes9[[#This Row],[TOTAL]]/1.21</f>
        <v>-4115.7</v>
      </c>
      <c r="I1832" s="228">
        <f>ventas_b_mes9[[#This Row],[IMPORTE NETO]]*0.21</f>
        <v>-864.29699999999991</v>
      </c>
      <c r="J1832" s="229"/>
      <c r="K1832" s="229"/>
      <c r="L1832" s="229">
        <v>-4979.9969999999994</v>
      </c>
      <c r="M1832" s="55"/>
    </row>
    <row r="1833" spans="2:13" x14ac:dyDescent="0.3">
      <c r="B1833" s="223">
        <v>44901</v>
      </c>
      <c r="C1833" s="224">
        <v>8</v>
      </c>
      <c r="D1833" s="225">
        <v>10</v>
      </c>
      <c r="E1833" s="226">
        <v>1418</v>
      </c>
      <c r="F1833" s="227"/>
      <c r="G1833" s="1" t="str">
        <f>IFERROR(IF(ventas_b_mes9[[#This Row],[CUIT]]="","-",VLOOKUP(ventas_b_mes9[[#This Row],[CUIT]],Lista_CUIT[#All],2,0)),"CUIT NO CARGADO")</f>
        <v>-</v>
      </c>
      <c r="H1833" s="60">
        <f>ventas_b_mes9[[#This Row],[TOTAL]]/1.21</f>
        <v>-15900.830000000002</v>
      </c>
      <c r="I1833" s="228">
        <f>ventas_b_mes9[[#This Row],[IMPORTE NETO]]*0.21</f>
        <v>-3339.1743000000001</v>
      </c>
      <c r="J1833" s="229"/>
      <c r="K1833" s="229"/>
      <c r="L1833" s="229">
        <v>-19240.004300000001</v>
      </c>
      <c r="M1833" s="55"/>
    </row>
    <row r="1834" spans="2:13" x14ac:dyDescent="0.3">
      <c r="B1834" s="223">
        <v>44901</v>
      </c>
      <c r="C1834" s="224">
        <v>8</v>
      </c>
      <c r="D1834" s="225">
        <v>10</v>
      </c>
      <c r="E1834" s="226">
        <v>1419</v>
      </c>
      <c r="F1834" s="227"/>
      <c r="G1834" s="1" t="str">
        <f>IFERROR(IF(ventas_b_mes9[[#This Row],[CUIT]]="","-",VLOOKUP(ventas_b_mes9[[#This Row],[CUIT]],Lista_CUIT[#All],2,0)),"CUIT NO CARGADO")</f>
        <v>-</v>
      </c>
      <c r="H1834" s="60">
        <f>ventas_b_mes9[[#This Row],[TOTAL]]/1.21</f>
        <v>-10330.58</v>
      </c>
      <c r="I1834" s="228">
        <f>ventas_b_mes9[[#This Row],[IMPORTE NETO]]*0.21</f>
        <v>-2169.4218000000001</v>
      </c>
      <c r="J1834" s="229"/>
      <c r="K1834" s="229"/>
      <c r="L1834" s="229">
        <v>-12500.0018</v>
      </c>
      <c r="M1834" s="55"/>
    </row>
    <row r="1835" spans="2:13" x14ac:dyDescent="0.3">
      <c r="B1835" s="223">
        <v>44901</v>
      </c>
      <c r="C1835" s="224">
        <v>8</v>
      </c>
      <c r="D1835" s="225">
        <v>12</v>
      </c>
      <c r="E1835" s="226">
        <v>732</v>
      </c>
      <c r="F1835" s="227"/>
      <c r="G1835" s="1" t="str">
        <f>IFERROR(IF(ventas_b_mes9[[#This Row],[CUIT]]="","-",VLOOKUP(ventas_b_mes9[[#This Row],[CUIT]],Lista_CUIT[#All],2,0)),"CUIT NO CARGADO")</f>
        <v>-</v>
      </c>
      <c r="H1835" s="60">
        <f>ventas_b_mes9[[#This Row],[TOTAL]]/1.21</f>
        <v>-611.57000000000005</v>
      </c>
      <c r="I1835" s="228">
        <f>ventas_b_mes9[[#This Row],[IMPORTE NETO]]*0.21</f>
        <v>-128.4297</v>
      </c>
      <c r="J1835" s="229"/>
      <c r="K1835" s="229"/>
      <c r="L1835" s="229">
        <v>-739.99970000000008</v>
      </c>
      <c r="M1835" s="55"/>
    </row>
    <row r="1836" spans="2:13" x14ac:dyDescent="0.3">
      <c r="B1836" s="223">
        <v>44902</v>
      </c>
      <c r="C1836" s="224">
        <v>8</v>
      </c>
      <c r="D1836" s="225">
        <v>10</v>
      </c>
      <c r="E1836" s="226">
        <v>1420</v>
      </c>
      <c r="F1836" s="227"/>
      <c r="G1836" s="1" t="str">
        <f>IFERROR(IF(ventas_b_mes9[[#This Row],[CUIT]]="","-",VLOOKUP(ventas_b_mes9[[#This Row],[CUIT]],Lista_CUIT[#All],2,0)),"CUIT NO CARGADO")</f>
        <v>-</v>
      </c>
      <c r="H1836" s="60">
        <f>ventas_b_mes9[[#This Row],[TOTAL]]/1.21</f>
        <v>-2776.86</v>
      </c>
      <c r="I1836" s="228">
        <f>ventas_b_mes9[[#This Row],[IMPORTE NETO]]*0.21</f>
        <v>-583.14059999999995</v>
      </c>
      <c r="J1836" s="229"/>
      <c r="K1836" s="229"/>
      <c r="L1836" s="229">
        <v>-3360.0006000000003</v>
      </c>
      <c r="M1836" s="55"/>
    </row>
    <row r="1837" spans="2:13" x14ac:dyDescent="0.3">
      <c r="B1837" s="223">
        <v>44905</v>
      </c>
      <c r="C1837" s="224">
        <v>8</v>
      </c>
      <c r="D1837" s="225">
        <v>11</v>
      </c>
      <c r="E1837" s="226">
        <v>826</v>
      </c>
      <c r="F1837" s="227"/>
      <c r="G1837" s="1" t="str">
        <f>IFERROR(IF(ventas_b_mes9[[#This Row],[CUIT]]="","-",VLOOKUP(ventas_b_mes9[[#This Row],[CUIT]],Lista_CUIT[#All],2,0)),"CUIT NO CARGADO")</f>
        <v>-</v>
      </c>
      <c r="H1837" s="60">
        <f>ventas_b_mes9[[#This Row],[TOTAL]]/1.21</f>
        <v>-14767.76</v>
      </c>
      <c r="I1837" s="228">
        <f>ventas_b_mes9[[#This Row],[IMPORTE NETO]]*0.21</f>
        <v>-3101.2296000000001</v>
      </c>
      <c r="J1837" s="229"/>
      <c r="K1837" s="229"/>
      <c r="L1837" s="229">
        <v>-17868.989600000001</v>
      </c>
      <c r="M1837" s="55"/>
    </row>
    <row r="1838" spans="2:13" x14ac:dyDescent="0.3">
      <c r="B1838" s="223">
        <v>44908</v>
      </c>
      <c r="C1838" s="224">
        <v>8</v>
      </c>
      <c r="D1838" s="225">
        <v>12</v>
      </c>
      <c r="E1838" s="226">
        <v>733</v>
      </c>
      <c r="F1838" s="227"/>
      <c r="G1838" s="1" t="str">
        <f>IFERROR(IF(ventas_b_mes9[[#This Row],[CUIT]]="","-",VLOOKUP(ventas_b_mes9[[#This Row],[CUIT]],Lista_CUIT[#All],2,0)),"CUIT NO CARGADO")</f>
        <v>-</v>
      </c>
      <c r="H1838" s="60">
        <f>ventas_b_mes9[[#This Row],[TOTAL]]/1.21</f>
        <v>-1859.5</v>
      </c>
      <c r="I1838" s="228">
        <f>ventas_b_mes9[[#This Row],[IMPORTE NETO]]*0.21</f>
        <v>-390.495</v>
      </c>
      <c r="J1838" s="229"/>
      <c r="K1838" s="229"/>
      <c r="L1838" s="229">
        <v>-2249.9949999999999</v>
      </c>
      <c r="M1838" s="55"/>
    </row>
    <row r="1839" spans="2:13" x14ac:dyDescent="0.3">
      <c r="B1839" s="223">
        <v>44908</v>
      </c>
      <c r="C1839" s="224">
        <v>8</v>
      </c>
      <c r="D1839" s="225">
        <v>12</v>
      </c>
      <c r="E1839" s="226">
        <v>734</v>
      </c>
      <c r="F1839" s="227"/>
      <c r="G1839" s="1" t="str">
        <f>IFERROR(IF(ventas_b_mes9[[#This Row],[CUIT]]="","-",VLOOKUP(ventas_b_mes9[[#This Row],[CUIT]],Lista_CUIT[#All],2,0)),"CUIT NO CARGADO")</f>
        <v>-</v>
      </c>
      <c r="H1839" s="60">
        <f>ventas_b_mes9[[#This Row],[TOTAL]]/1.21</f>
        <v>-1115.7</v>
      </c>
      <c r="I1839" s="228">
        <f>ventas_b_mes9[[#This Row],[IMPORTE NETO]]*0.21</f>
        <v>-234.297</v>
      </c>
      <c r="J1839" s="229"/>
      <c r="K1839" s="229"/>
      <c r="L1839" s="229">
        <v>-1349.9970000000001</v>
      </c>
      <c r="M1839" s="55"/>
    </row>
    <row r="1840" spans="2:13" x14ac:dyDescent="0.3">
      <c r="B1840" s="223">
        <v>44908</v>
      </c>
      <c r="C1840" s="224">
        <v>8</v>
      </c>
      <c r="D1840" s="225">
        <v>12</v>
      </c>
      <c r="E1840" s="226">
        <v>735</v>
      </c>
      <c r="F1840" s="227"/>
      <c r="G1840" s="1" t="str">
        <f>IFERROR(IF(ventas_b_mes9[[#This Row],[CUIT]]="","-",VLOOKUP(ventas_b_mes9[[#This Row],[CUIT]],Lista_CUIT[#All],2,0)),"CUIT NO CARGADO")</f>
        <v>-</v>
      </c>
      <c r="H1840" s="60">
        <f>ventas_b_mes9[[#This Row],[TOTAL]]/1.21</f>
        <v>-785.12000000000012</v>
      </c>
      <c r="I1840" s="228">
        <f>ventas_b_mes9[[#This Row],[IMPORTE NETO]]*0.21</f>
        <v>-164.87520000000001</v>
      </c>
      <c r="J1840" s="229"/>
      <c r="K1840" s="229"/>
      <c r="L1840" s="229">
        <v>-949.99520000000007</v>
      </c>
      <c r="M1840" s="55"/>
    </row>
    <row r="1841" spans="2:13" x14ac:dyDescent="0.3">
      <c r="B1841" s="223">
        <v>44908</v>
      </c>
      <c r="C1841" s="224">
        <v>8</v>
      </c>
      <c r="D1841" s="225">
        <v>12</v>
      </c>
      <c r="E1841" s="226">
        <v>736</v>
      </c>
      <c r="F1841" s="227"/>
      <c r="G1841" s="1" t="str">
        <f>IFERROR(IF(ventas_b_mes9[[#This Row],[CUIT]]="","-",VLOOKUP(ventas_b_mes9[[#This Row],[CUIT]],Lista_CUIT[#All],2,0)),"CUIT NO CARGADO")</f>
        <v>-</v>
      </c>
      <c r="H1841" s="60">
        <f>ventas_b_mes9[[#This Row],[TOTAL]]/1.21</f>
        <v>-3512.4</v>
      </c>
      <c r="I1841" s="228">
        <f>ventas_b_mes9[[#This Row],[IMPORTE NETO]]*0.21</f>
        <v>-737.60400000000004</v>
      </c>
      <c r="J1841" s="229"/>
      <c r="K1841" s="229"/>
      <c r="L1841" s="229">
        <v>-4250.0039999999999</v>
      </c>
      <c r="M1841" s="55"/>
    </row>
    <row r="1842" spans="2:13" x14ac:dyDescent="0.3">
      <c r="B1842" s="223">
        <v>44909</v>
      </c>
      <c r="C1842" s="224">
        <v>8</v>
      </c>
      <c r="D1842" s="225">
        <v>11</v>
      </c>
      <c r="E1842" s="226">
        <v>827</v>
      </c>
      <c r="F1842" s="227"/>
      <c r="G1842" s="1" t="str">
        <f>IFERROR(IF(ventas_b_mes9[[#This Row],[CUIT]]="","-",VLOOKUP(ventas_b_mes9[[#This Row],[CUIT]],Lista_CUIT[#All],2,0)),"CUIT NO CARGADO")</f>
        <v>-</v>
      </c>
      <c r="H1842" s="60">
        <f>ventas_b_mes9[[#This Row],[TOTAL]]/1.21</f>
        <v>-1180.17</v>
      </c>
      <c r="I1842" s="228">
        <f>ventas_b_mes9[[#This Row],[IMPORTE NETO]]*0.21</f>
        <v>-247.8357</v>
      </c>
      <c r="J1842" s="229"/>
      <c r="K1842" s="229"/>
      <c r="L1842" s="229">
        <v>-1428.0057000000002</v>
      </c>
      <c r="M1842" s="55"/>
    </row>
    <row r="1843" spans="2:13" x14ac:dyDescent="0.3">
      <c r="B1843" s="223">
        <v>44909</v>
      </c>
      <c r="C1843" s="224">
        <v>8</v>
      </c>
      <c r="D1843" s="225">
        <v>11</v>
      </c>
      <c r="E1843" s="226">
        <v>828</v>
      </c>
      <c r="F1843" s="227"/>
      <c r="G1843" s="1" t="str">
        <f>IFERROR(IF(ventas_b_mes9[[#This Row],[CUIT]]="","-",VLOOKUP(ventas_b_mes9[[#This Row],[CUIT]],Lista_CUIT[#All],2,0)),"CUIT NO CARGADO")</f>
        <v>-</v>
      </c>
      <c r="H1843" s="60">
        <f>ventas_b_mes9[[#This Row],[TOTAL]]/1.21</f>
        <v>-10330.6</v>
      </c>
      <c r="I1843" s="228">
        <f>ventas_b_mes9[[#This Row],[IMPORTE NETO]]*0.21</f>
        <v>-2169.4259999999999</v>
      </c>
      <c r="J1843" s="229"/>
      <c r="K1843" s="229"/>
      <c r="L1843" s="229">
        <v>-12500.026</v>
      </c>
      <c r="M1843" s="55"/>
    </row>
    <row r="1844" spans="2:13" x14ac:dyDescent="0.3">
      <c r="B1844" s="223">
        <v>44909</v>
      </c>
      <c r="C1844" s="224">
        <v>8</v>
      </c>
      <c r="D1844" s="225">
        <v>11</v>
      </c>
      <c r="E1844" s="226">
        <v>829</v>
      </c>
      <c r="F1844" s="227"/>
      <c r="G1844" s="1" t="str">
        <f>IFERROR(IF(ventas_b_mes9[[#This Row],[CUIT]]="","-",VLOOKUP(ventas_b_mes9[[#This Row],[CUIT]],Lista_CUIT[#All],2,0)),"CUIT NO CARGADO")</f>
        <v>-</v>
      </c>
      <c r="H1844" s="60">
        <f>ventas_b_mes9[[#This Row],[TOTAL]]/1.21</f>
        <v>-10330.58</v>
      </c>
      <c r="I1844" s="228">
        <f>ventas_b_mes9[[#This Row],[IMPORTE NETO]]*0.21</f>
        <v>-2169.4218000000001</v>
      </c>
      <c r="J1844" s="229"/>
      <c r="K1844" s="229"/>
      <c r="L1844" s="229">
        <v>-12500.0018</v>
      </c>
      <c r="M1844" s="55"/>
    </row>
    <row r="1845" spans="2:13" x14ac:dyDescent="0.3">
      <c r="B1845" s="223">
        <v>44910</v>
      </c>
      <c r="C1845" s="224">
        <v>8</v>
      </c>
      <c r="D1845" s="225">
        <v>12</v>
      </c>
      <c r="E1845" s="226">
        <v>737</v>
      </c>
      <c r="F1845" s="227"/>
      <c r="G1845" s="1" t="str">
        <f>IFERROR(IF(ventas_b_mes9[[#This Row],[CUIT]]="","-",VLOOKUP(ventas_b_mes9[[#This Row],[CUIT]],Lista_CUIT[#All],2,0)),"CUIT NO CARGADO")</f>
        <v>-</v>
      </c>
      <c r="H1845" s="60">
        <f>ventas_b_mes9[[#This Row],[TOTAL]]/1.21</f>
        <v>-822.31</v>
      </c>
      <c r="I1845" s="228">
        <f>ventas_b_mes9[[#This Row],[IMPORTE NETO]]*0.21</f>
        <v>-172.68509999999998</v>
      </c>
      <c r="J1845" s="229"/>
      <c r="K1845" s="229"/>
      <c r="L1845" s="229">
        <v>-994.99509999999987</v>
      </c>
      <c r="M1845" s="55"/>
    </row>
    <row r="1846" spans="2:13" x14ac:dyDescent="0.3">
      <c r="B1846" s="223">
        <v>44912</v>
      </c>
      <c r="C1846" s="224">
        <v>8</v>
      </c>
      <c r="D1846" s="225">
        <v>11</v>
      </c>
      <c r="E1846" s="226">
        <v>830</v>
      </c>
      <c r="F1846" s="227"/>
      <c r="G1846" s="1" t="str">
        <f>IFERROR(IF(ventas_b_mes9[[#This Row],[CUIT]]="","-",VLOOKUP(ventas_b_mes9[[#This Row],[CUIT]],Lista_CUIT[#All],2,0)),"CUIT NO CARGADO")</f>
        <v>-</v>
      </c>
      <c r="H1846" s="60">
        <f>ventas_b_mes9[[#This Row],[TOTAL]]/1.21</f>
        <v>-6363.64</v>
      </c>
      <c r="I1846" s="228">
        <f>ventas_b_mes9[[#This Row],[IMPORTE NETO]]*0.21</f>
        <v>-1336.3643999999999</v>
      </c>
      <c r="J1846" s="229"/>
      <c r="K1846" s="229"/>
      <c r="L1846" s="229">
        <v>-7700.0043999999998</v>
      </c>
      <c r="M1846" s="55"/>
    </row>
    <row r="1847" spans="2:13" x14ac:dyDescent="0.3">
      <c r="B1847" s="223">
        <v>44915</v>
      </c>
      <c r="C1847" s="224">
        <v>8</v>
      </c>
      <c r="D1847" s="225">
        <v>11</v>
      </c>
      <c r="E1847" s="226">
        <v>831</v>
      </c>
      <c r="F1847" s="227"/>
      <c r="G1847" s="1" t="str">
        <f>IFERROR(IF(ventas_b_mes9[[#This Row],[CUIT]]="","-",VLOOKUP(ventas_b_mes9[[#This Row],[CUIT]],Lista_CUIT[#All],2,0)),"CUIT NO CARGADO")</f>
        <v>-</v>
      </c>
      <c r="H1847" s="60">
        <f>ventas_b_mes9[[#This Row],[TOTAL]]/1.21</f>
        <v>-5455.37</v>
      </c>
      <c r="I1847" s="228">
        <f>ventas_b_mes9[[#This Row],[IMPORTE NETO]]*0.21</f>
        <v>-1145.6277</v>
      </c>
      <c r="J1847" s="229"/>
      <c r="K1847" s="229"/>
      <c r="L1847" s="229">
        <v>-6600.9976999999999</v>
      </c>
      <c r="M1847" s="55"/>
    </row>
    <row r="1848" spans="2:13" x14ac:dyDescent="0.3">
      <c r="B1848" s="223">
        <v>44916</v>
      </c>
      <c r="C1848" s="224">
        <v>8</v>
      </c>
      <c r="D1848" s="225">
        <v>11</v>
      </c>
      <c r="E1848" s="226">
        <v>832</v>
      </c>
      <c r="F1848" s="227"/>
      <c r="G1848" s="1" t="str">
        <f>IFERROR(IF(ventas_b_mes9[[#This Row],[CUIT]]="","-",VLOOKUP(ventas_b_mes9[[#This Row],[CUIT]],Lista_CUIT[#All],2,0)),"CUIT NO CARGADO")</f>
        <v>-</v>
      </c>
      <c r="H1848" s="60">
        <f>ventas_b_mes9[[#This Row],[TOTAL]]/1.21</f>
        <v>-3899.3799999999997</v>
      </c>
      <c r="I1848" s="228">
        <f>ventas_b_mes9[[#This Row],[IMPORTE NETO]]*0.21</f>
        <v>-818.86979999999994</v>
      </c>
      <c r="J1848" s="229"/>
      <c r="K1848" s="229"/>
      <c r="L1848" s="229">
        <v>-4718.2497999999996</v>
      </c>
      <c r="M1848" s="55"/>
    </row>
    <row r="1849" spans="2:13" x14ac:dyDescent="0.3">
      <c r="B1849" s="223">
        <v>44916</v>
      </c>
      <c r="C1849" s="224">
        <v>8</v>
      </c>
      <c r="D1849" s="225">
        <v>11</v>
      </c>
      <c r="E1849" s="226">
        <v>833</v>
      </c>
      <c r="F1849" s="227"/>
      <c r="G1849" s="1" t="str">
        <f>IFERROR(IF(ventas_b_mes9[[#This Row],[CUIT]]="","-",VLOOKUP(ventas_b_mes9[[#This Row],[CUIT]],Lista_CUIT[#All],2,0)),"CUIT NO CARGADO")</f>
        <v>-</v>
      </c>
      <c r="H1849" s="60">
        <f>ventas_b_mes9[[#This Row],[TOTAL]]/1.21</f>
        <v>-2444.63</v>
      </c>
      <c r="I1849" s="228">
        <f>ventas_b_mes9[[#This Row],[IMPORTE NETO]]*0.21</f>
        <v>-513.3723</v>
      </c>
      <c r="J1849" s="229"/>
      <c r="K1849" s="229"/>
      <c r="L1849" s="229">
        <v>-2958.0023000000001</v>
      </c>
      <c r="M1849" s="55"/>
    </row>
    <row r="1850" spans="2:13" x14ac:dyDescent="0.3">
      <c r="B1850" s="223">
        <v>44916</v>
      </c>
      <c r="C1850" s="224">
        <v>8</v>
      </c>
      <c r="D1850" s="225">
        <v>11</v>
      </c>
      <c r="E1850" s="226">
        <v>834</v>
      </c>
      <c r="F1850" s="227"/>
      <c r="G1850" s="1" t="str">
        <f>IFERROR(IF(ventas_b_mes9[[#This Row],[CUIT]]="","-",VLOOKUP(ventas_b_mes9[[#This Row],[CUIT]],Lista_CUIT[#All],2,0)),"CUIT NO CARGADO")</f>
        <v>-</v>
      </c>
      <c r="H1850" s="60">
        <f>ventas_b_mes9[[#This Row],[TOTAL]]/1.21</f>
        <v>-6238.01</v>
      </c>
      <c r="I1850" s="228">
        <f>ventas_b_mes9[[#This Row],[IMPORTE NETO]]*0.21</f>
        <v>-1309.9820999999999</v>
      </c>
      <c r="J1850" s="229"/>
      <c r="K1850" s="229"/>
      <c r="L1850" s="229">
        <v>-7547.9921000000004</v>
      </c>
      <c r="M1850" s="55"/>
    </row>
    <row r="1851" spans="2:13" x14ac:dyDescent="0.3">
      <c r="B1851" s="223">
        <v>44916</v>
      </c>
      <c r="C1851" s="224">
        <v>8</v>
      </c>
      <c r="D1851" s="225">
        <v>12</v>
      </c>
      <c r="E1851" s="226">
        <v>738</v>
      </c>
      <c r="F1851" s="227"/>
      <c r="G1851" s="1" t="str">
        <f>IFERROR(IF(ventas_b_mes9[[#This Row],[CUIT]]="","-",VLOOKUP(ventas_b_mes9[[#This Row],[CUIT]],Lista_CUIT[#All],2,0)),"CUIT NO CARGADO")</f>
        <v>-</v>
      </c>
      <c r="H1851" s="60">
        <f>ventas_b_mes9[[#This Row],[TOTAL]]/1.21</f>
        <v>-2598.35</v>
      </c>
      <c r="I1851" s="228">
        <f>ventas_b_mes9[[#This Row],[IMPORTE NETO]]*0.21</f>
        <v>-545.65350000000001</v>
      </c>
      <c r="J1851" s="229"/>
      <c r="K1851" s="229"/>
      <c r="L1851" s="229">
        <v>-3144.0034999999998</v>
      </c>
      <c r="M1851" s="55"/>
    </row>
    <row r="1852" spans="2:13" x14ac:dyDescent="0.3">
      <c r="B1852" s="223">
        <v>44917</v>
      </c>
      <c r="C1852" s="224">
        <v>8</v>
      </c>
      <c r="D1852" s="225">
        <v>10</v>
      </c>
      <c r="E1852" s="226">
        <v>1421</v>
      </c>
      <c r="F1852" s="227"/>
      <c r="G1852" s="1" t="str">
        <f>IFERROR(IF(ventas_b_mes9[[#This Row],[CUIT]]="","-",VLOOKUP(ventas_b_mes9[[#This Row],[CUIT]],Lista_CUIT[#All],2,0)),"CUIT NO CARGADO")</f>
        <v>-</v>
      </c>
      <c r="H1852" s="60">
        <f>ventas_b_mes9[[#This Row],[TOTAL]]/1.21</f>
        <v>-27226.450000000004</v>
      </c>
      <c r="I1852" s="228">
        <f>ventas_b_mes9[[#This Row],[IMPORTE NETO]]*0.21</f>
        <v>-5717.5545000000011</v>
      </c>
      <c r="J1852" s="229"/>
      <c r="K1852" s="229"/>
      <c r="L1852" s="229">
        <v>-32944.004500000003</v>
      </c>
      <c r="M1852" s="55"/>
    </row>
    <row r="1853" spans="2:13" x14ac:dyDescent="0.3">
      <c r="B1853" s="223">
        <v>44917</v>
      </c>
      <c r="C1853" s="224">
        <v>8</v>
      </c>
      <c r="D1853" s="225">
        <v>10</v>
      </c>
      <c r="E1853" s="226">
        <v>1422</v>
      </c>
      <c r="F1853" s="227"/>
      <c r="G1853" s="1" t="str">
        <f>IFERROR(IF(ventas_b_mes9[[#This Row],[CUIT]]="","-",VLOOKUP(ventas_b_mes9[[#This Row],[CUIT]],Lista_CUIT[#All],2,0)),"CUIT NO CARGADO")</f>
        <v>-</v>
      </c>
      <c r="H1853" s="60">
        <f>ventas_b_mes9[[#This Row],[TOTAL]]/1.21</f>
        <v>-33314.629999999997</v>
      </c>
      <c r="I1853" s="228">
        <f>ventas_b_mes9[[#This Row],[IMPORTE NETO]]*0.21</f>
        <v>-6996.0722999999989</v>
      </c>
      <c r="J1853" s="229"/>
      <c r="K1853" s="229"/>
      <c r="L1853" s="229">
        <v>-40310.702299999997</v>
      </c>
      <c r="M1853" s="55"/>
    </row>
    <row r="1854" spans="2:13" x14ac:dyDescent="0.3">
      <c r="B1854" s="223">
        <v>44917</v>
      </c>
      <c r="C1854" s="224">
        <v>8</v>
      </c>
      <c r="D1854" s="225">
        <v>10</v>
      </c>
      <c r="E1854" s="226">
        <v>1423</v>
      </c>
      <c r="F1854" s="227"/>
      <c r="G1854" s="1" t="str">
        <f>IFERROR(IF(ventas_b_mes9[[#This Row],[CUIT]]="","-",VLOOKUP(ventas_b_mes9[[#This Row],[CUIT]],Lista_CUIT[#All],2,0)),"CUIT NO CARGADO")</f>
        <v>-</v>
      </c>
      <c r="H1854" s="60">
        <f>ventas_b_mes9[[#This Row],[TOTAL]]/1.21</f>
        <v>-6617.36</v>
      </c>
      <c r="I1854" s="228">
        <f>ventas_b_mes9[[#This Row],[IMPORTE NETO]]*0.21</f>
        <v>-1389.6455999999998</v>
      </c>
      <c r="J1854" s="229"/>
      <c r="K1854" s="229"/>
      <c r="L1854" s="229">
        <v>-8007.0055999999995</v>
      </c>
      <c r="M1854" s="55"/>
    </row>
    <row r="1855" spans="2:13" x14ac:dyDescent="0.3">
      <c r="B1855" s="223">
        <v>44921</v>
      </c>
      <c r="C1855" s="224">
        <v>8</v>
      </c>
      <c r="D1855" s="225">
        <v>12</v>
      </c>
      <c r="E1855" s="226">
        <v>739</v>
      </c>
      <c r="F1855" s="227"/>
      <c r="G1855" s="1" t="str">
        <f>IFERROR(IF(ventas_b_mes9[[#This Row],[CUIT]]="","-",VLOOKUP(ventas_b_mes9[[#This Row],[CUIT]],Lista_CUIT[#All],2,0)),"CUIT NO CARGADO")</f>
        <v>-</v>
      </c>
      <c r="H1855" s="60">
        <f>ventas_b_mes9[[#This Row],[TOTAL]]/1.21</f>
        <v>-15864.499999999998</v>
      </c>
      <c r="I1855" s="228">
        <f>ventas_b_mes9[[#This Row],[IMPORTE NETO]]*0.21</f>
        <v>-3331.5449999999996</v>
      </c>
      <c r="J1855" s="229"/>
      <c r="K1855" s="229"/>
      <c r="L1855" s="229">
        <v>-19196.044999999998</v>
      </c>
      <c r="M1855" s="55"/>
    </row>
    <row r="1856" spans="2:13" x14ac:dyDescent="0.3">
      <c r="B1856" s="223">
        <v>44921</v>
      </c>
      <c r="C1856" s="224">
        <v>8</v>
      </c>
      <c r="D1856" s="225">
        <v>12</v>
      </c>
      <c r="E1856" s="226">
        <v>740</v>
      </c>
      <c r="F1856" s="227"/>
      <c r="G1856" s="1" t="str">
        <f>IFERROR(IF(ventas_b_mes9[[#This Row],[CUIT]]="","-",VLOOKUP(ventas_b_mes9[[#This Row],[CUIT]],Lista_CUIT[#All],2,0)),"CUIT NO CARGADO")</f>
        <v>-</v>
      </c>
      <c r="H1856" s="60">
        <f>ventas_b_mes9[[#This Row],[TOTAL]]/1.21</f>
        <v>-8516.5499999999993</v>
      </c>
      <c r="I1856" s="228">
        <f>ventas_b_mes9[[#This Row],[IMPORTE NETO]]*0.21</f>
        <v>-1788.4754999999998</v>
      </c>
      <c r="J1856" s="229"/>
      <c r="K1856" s="229"/>
      <c r="L1856" s="229">
        <v>-10305.0255</v>
      </c>
      <c r="M1856" s="55"/>
    </row>
    <row r="1857" spans="2:13" x14ac:dyDescent="0.3">
      <c r="B1857" s="223">
        <v>44921</v>
      </c>
      <c r="C1857" s="224">
        <v>8</v>
      </c>
      <c r="D1857" s="225">
        <v>13</v>
      </c>
      <c r="E1857" s="226">
        <v>677</v>
      </c>
      <c r="F1857" s="227"/>
      <c r="G1857" s="1" t="str">
        <f>IFERROR(IF(ventas_b_mes9[[#This Row],[CUIT]]="","-",VLOOKUP(ventas_b_mes9[[#This Row],[CUIT]],Lista_CUIT[#All],2,0)),"CUIT NO CARGADO")</f>
        <v>-</v>
      </c>
      <c r="H1857" s="60">
        <f>ventas_b_mes9[[#This Row],[TOTAL]]/1.21</f>
        <v>-1559.5</v>
      </c>
      <c r="I1857" s="228">
        <f>ventas_b_mes9[[#This Row],[IMPORTE NETO]]*0.21</f>
        <v>-327.495</v>
      </c>
      <c r="J1857" s="229"/>
      <c r="K1857" s="229"/>
      <c r="L1857" s="229">
        <v>-1886.9949999999999</v>
      </c>
      <c r="M1857" s="55"/>
    </row>
    <row r="1858" spans="2:13" x14ac:dyDescent="0.3">
      <c r="B1858" s="223">
        <v>44922</v>
      </c>
      <c r="C1858" s="224">
        <v>8</v>
      </c>
      <c r="D1858" s="225">
        <v>10</v>
      </c>
      <c r="E1858" s="226">
        <v>1424</v>
      </c>
      <c r="F1858" s="227"/>
      <c r="G1858" s="1" t="str">
        <f>IFERROR(IF(ventas_b_mes9[[#This Row],[CUIT]]="","-",VLOOKUP(ventas_b_mes9[[#This Row],[CUIT]],Lista_CUIT[#All],2,0)),"CUIT NO CARGADO")</f>
        <v>-</v>
      </c>
      <c r="H1858" s="60">
        <f>ventas_b_mes9[[#This Row],[TOTAL]]/1.21</f>
        <v>-6575.21</v>
      </c>
      <c r="I1858" s="228">
        <f>ventas_b_mes9[[#This Row],[IMPORTE NETO]]*0.21</f>
        <v>-1380.7940999999998</v>
      </c>
      <c r="J1858" s="229"/>
      <c r="K1858" s="229"/>
      <c r="L1858" s="229">
        <v>-7956.0041000000001</v>
      </c>
      <c r="M1858" s="55"/>
    </row>
    <row r="1859" spans="2:13" x14ac:dyDescent="0.3">
      <c r="B1859" s="223">
        <v>44922</v>
      </c>
      <c r="C1859" s="224">
        <v>8</v>
      </c>
      <c r="D1859" s="225">
        <v>10</v>
      </c>
      <c r="E1859" s="226">
        <v>1425</v>
      </c>
      <c r="F1859" s="227"/>
      <c r="G1859" s="1" t="str">
        <f>IFERROR(IF(ventas_b_mes9[[#This Row],[CUIT]]="","-",VLOOKUP(ventas_b_mes9[[#This Row],[CUIT]],Lista_CUIT[#All],2,0)),"CUIT NO CARGADO")</f>
        <v>-</v>
      </c>
      <c r="H1859" s="60">
        <f>ventas_b_mes9[[#This Row],[TOTAL]]/1.21</f>
        <v>-4244.63</v>
      </c>
      <c r="I1859" s="228">
        <f>ventas_b_mes9[[#This Row],[IMPORTE NETO]]*0.21</f>
        <v>-891.3723</v>
      </c>
      <c r="J1859" s="229"/>
      <c r="K1859" s="229"/>
      <c r="L1859" s="229">
        <v>-5136.0023000000001</v>
      </c>
      <c r="M1859" s="55"/>
    </row>
    <row r="1860" spans="2:13" x14ac:dyDescent="0.3">
      <c r="B1860" s="223">
        <v>44922</v>
      </c>
      <c r="C1860" s="224">
        <v>8</v>
      </c>
      <c r="D1860" s="225">
        <v>12</v>
      </c>
      <c r="E1860" s="226">
        <v>741</v>
      </c>
      <c r="F1860" s="227"/>
      <c r="G1860" s="1" t="str">
        <f>IFERROR(IF(ventas_b_mes9[[#This Row],[CUIT]]="","-",VLOOKUP(ventas_b_mes9[[#This Row],[CUIT]],Lista_CUIT[#All],2,0)),"CUIT NO CARGADO")</f>
        <v>-</v>
      </c>
      <c r="H1860" s="60">
        <f>ventas_b_mes9[[#This Row],[TOTAL]]/1.21</f>
        <v>-15229.770000000002</v>
      </c>
      <c r="I1860" s="228">
        <f>ventas_b_mes9[[#This Row],[IMPORTE NETO]]*0.21</f>
        <v>-3198.2517000000003</v>
      </c>
      <c r="J1860" s="229"/>
      <c r="K1860" s="229"/>
      <c r="L1860" s="229">
        <v>-18428.021700000001</v>
      </c>
      <c r="M1860" s="55"/>
    </row>
    <row r="1861" spans="2:13" x14ac:dyDescent="0.3">
      <c r="B1861" s="223">
        <v>44925</v>
      </c>
      <c r="C1861" s="224">
        <v>8</v>
      </c>
      <c r="D1861" s="225">
        <v>11</v>
      </c>
      <c r="E1861" s="226">
        <v>835</v>
      </c>
      <c r="F1861" s="227"/>
      <c r="G1861" s="1" t="str">
        <f>IFERROR(IF(ventas_b_mes9[[#This Row],[CUIT]]="","-",VLOOKUP(ventas_b_mes9[[#This Row],[CUIT]],Lista_CUIT[#All],2,0)),"CUIT NO CARGADO")</f>
        <v>-</v>
      </c>
      <c r="H1861" s="60">
        <f>ventas_b_mes9[[#This Row],[TOTAL]]/1.21</f>
        <v>-16405</v>
      </c>
      <c r="I1861" s="228">
        <f>ventas_b_mes9[[#This Row],[IMPORTE NETO]]*0.21</f>
        <v>-3445.0499999999997</v>
      </c>
      <c r="J1861" s="229"/>
      <c r="K1861" s="229"/>
      <c r="L1861" s="229">
        <v>-19850.05</v>
      </c>
      <c r="M1861" s="55"/>
    </row>
    <row r="1862" spans="2:13" x14ac:dyDescent="0.3">
      <c r="B1862" s="223">
        <v>44925</v>
      </c>
      <c r="C1862" s="224">
        <v>8</v>
      </c>
      <c r="D1862" s="225">
        <v>11</v>
      </c>
      <c r="E1862" s="226">
        <v>836</v>
      </c>
      <c r="F1862" s="227"/>
      <c r="G1862" s="1" t="str">
        <f>IFERROR(IF(ventas_b_mes9[[#This Row],[CUIT]]="","-",VLOOKUP(ventas_b_mes9[[#This Row],[CUIT]],Lista_CUIT[#All],2,0)),"CUIT NO CARGADO")</f>
        <v>-</v>
      </c>
      <c r="H1862" s="60">
        <f>ventas_b_mes9[[#This Row],[TOTAL]]/1.21</f>
        <v>-2448.35</v>
      </c>
      <c r="I1862" s="228">
        <f>ventas_b_mes9[[#This Row],[IMPORTE NETO]]*0.21</f>
        <v>-514.15350000000001</v>
      </c>
      <c r="J1862" s="229"/>
      <c r="K1862" s="229"/>
      <c r="L1862" s="229">
        <v>-2962.5034999999998</v>
      </c>
      <c r="M1862" s="55"/>
    </row>
    <row r="1863" spans="2:13" x14ac:dyDescent="0.3">
      <c r="B1863" s="62" t="s">
        <v>83</v>
      </c>
      <c r="C1863" s="63"/>
      <c r="D1863" s="63"/>
      <c r="E1863" s="63"/>
      <c r="F1863" s="63"/>
      <c r="G1863" s="63"/>
      <c r="H1863" s="73">
        <f>SUBTOTAL(109,ventas_b_mes9[IMPORTE NETO])</f>
        <v>10014352.540000007</v>
      </c>
      <c r="I1863" s="73">
        <f>SUBTOTAL(109,ventas_b_mes9[IVA 21%])</f>
        <v>2103014.0334000005</v>
      </c>
      <c r="J1863" s="74">
        <f>SUBTOTAL(109,ventas_b_mes9[IVA 10,5%])</f>
        <v>0</v>
      </c>
      <c r="K1863" s="74">
        <f>SUBTOTAL(109,ventas_b_mes9[EXENTO])</f>
        <v>0</v>
      </c>
      <c r="L1863" s="74">
        <f>SUBTOTAL(109,ventas_b_mes9[TOTAL])</f>
        <v>12117366.573399989</v>
      </c>
      <c r="M1863" s="64">
        <f>SUBTOTAL(103,ventas_b_mes9[Provincia])</f>
        <v>0</v>
      </c>
    </row>
    <row r="1870" spans="2:13" ht="15" thickBot="1" x14ac:dyDescent="0.35"/>
    <row r="1871" spans="2:13" ht="15" thickTop="1" x14ac:dyDescent="0.3">
      <c r="C1871" s="447" t="s">
        <v>48</v>
      </c>
      <c r="D1871" s="447"/>
      <c r="E1871" s="447"/>
      <c r="F1871" s="447"/>
      <c r="G1871" s="447"/>
      <c r="H1871" s="29"/>
      <c r="I1871" s="29"/>
      <c r="J1871" s="29"/>
    </row>
    <row r="1872" spans="2:13" ht="15.6" x14ac:dyDescent="0.3">
      <c r="C1872" s="110" t="s">
        <v>49</v>
      </c>
      <c r="D1872" s="111" t="s">
        <v>50</v>
      </c>
      <c r="E1872" s="111" t="s">
        <v>85</v>
      </c>
      <c r="F1872" s="111" t="s">
        <v>3</v>
      </c>
      <c r="G1872" s="111" t="s">
        <v>4</v>
      </c>
      <c r="H1872" s="112" t="s">
        <v>51</v>
      </c>
      <c r="I1872" s="112" t="s">
        <v>52</v>
      </c>
      <c r="J1872" s="112" t="s">
        <v>53</v>
      </c>
      <c r="K1872" s="112" t="s">
        <v>54</v>
      </c>
      <c r="L1872" s="112" t="s">
        <v>55</v>
      </c>
    </row>
    <row r="1873" spans="3:12" x14ac:dyDescent="0.3">
      <c r="C1873" s="113"/>
      <c r="D1873" s="114"/>
      <c r="E1873" s="114"/>
      <c r="F1873" s="115"/>
      <c r="G1873" s="49" t="str">
        <f>IFERROR(IF(Retenciones_mes9[[#This Row],[CUIT]]="","-",VLOOKUP(Retenciones_mes9[[#This Row],[CUIT]],Lista_CUIT[#All],2,0)),"CUIT NO CARGADO")</f>
        <v>-</v>
      </c>
      <c r="H1873" s="116"/>
      <c r="I1873" s="116"/>
      <c r="J1873" s="116"/>
      <c r="K1873" s="116"/>
      <c r="L1873" s="116"/>
    </row>
    <row r="1874" spans="3:12" x14ac:dyDescent="0.3">
      <c r="C1874" s="113"/>
      <c r="D1874" s="114"/>
      <c r="E1874" s="114"/>
      <c r="F1874" s="115"/>
      <c r="G1874" s="49" t="str">
        <f>IFERROR(IF(Retenciones_mes9[[#This Row],[CUIT]]="","-",VLOOKUP(Retenciones_mes9[[#This Row],[CUIT]],Lista_CUIT[#All],2,0)),"CUIT NO CARGADO")</f>
        <v>-</v>
      </c>
      <c r="H1874" s="116"/>
      <c r="I1874" s="116"/>
      <c r="J1874" s="116"/>
      <c r="K1874" s="116"/>
      <c r="L1874" s="116"/>
    </row>
    <row r="1875" spans="3:12" x14ac:dyDescent="0.3">
      <c r="C1875" s="113"/>
      <c r="D1875" s="114"/>
      <c r="E1875" s="114"/>
      <c r="F1875" s="115"/>
      <c r="G1875" s="49" t="str">
        <f>IFERROR(IF(Retenciones_mes9[[#This Row],[CUIT]]="","-",VLOOKUP(Retenciones_mes9[[#This Row],[CUIT]],Lista_CUIT[#All],2,0)),"CUIT NO CARGADO")</f>
        <v>-</v>
      </c>
      <c r="H1875" s="116"/>
      <c r="I1875" s="116"/>
      <c r="J1875" s="116"/>
      <c r="K1875" s="116"/>
      <c r="L1875" s="116"/>
    </row>
    <row r="1876" spans="3:12" x14ac:dyDescent="0.3">
      <c r="C1876" s="113"/>
      <c r="D1876" s="114"/>
      <c r="E1876" s="114"/>
      <c r="F1876" s="115"/>
      <c r="G1876" s="49" t="str">
        <f>IFERROR(IF(Retenciones_mes9[[#This Row],[CUIT]]="","-",VLOOKUP(Retenciones_mes9[[#This Row],[CUIT]],Lista_CUIT[#All],2,0)),"CUIT NO CARGADO")</f>
        <v>-</v>
      </c>
      <c r="H1876" s="116"/>
      <c r="I1876" s="116"/>
      <c r="J1876" s="116"/>
      <c r="K1876" s="116"/>
      <c r="L1876" s="116"/>
    </row>
    <row r="1877" spans="3:12" x14ac:dyDescent="0.3">
      <c r="D1877" s="114"/>
      <c r="E1877" s="114"/>
      <c r="G1877" s="49" t="str">
        <f>IFERROR(IF(Retenciones_mes9[[#This Row],[CUIT]]="","-",VLOOKUP(Retenciones_mes9[[#This Row],[CUIT]],Lista_CUIT[#All],2,0)),"CUIT NO CARGADO")</f>
        <v>-</v>
      </c>
    </row>
    <row r="1878" spans="3:12" x14ac:dyDescent="0.3">
      <c r="C1878" s="30"/>
    </row>
  </sheetData>
  <mergeCells count="20">
    <mergeCell ref="C1871:G1871"/>
    <mergeCell ref="B4:E4"/>
    <mergeCell ref="G4:H4"/>
    <mergeCell ref="J4:K4"/>
    <mergeCell ref="M4:N4"/>
    <mergeCell ref="D184:K184"/>
    <mergeCell ref="B216:J216"/>
    <mergeCell ref="K216:M216"/>
    <mergeCell ref="B218:C218"/>
    <mergeCell ref="B344:C344"/>
    <mergeCell ref="P4:R4"/>
    <mergeCell ref="D173:L173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L225:L226">
      <formula1>IF($C168=3,L168&lt;0,L168&gt;=0)</formula1>
    </dataValidation>
    <dataValidation type="custom" allowBlank="1" showInputMessage="1" showErrorMessage="1" sqref="L222:L224">
      <formula1>IF($C164=3,L164&lt;0,L164&gt;=0)</formula1>
    </dataValidation>
    <dataValidation type="custom" allowBlank="1" showInputMessage="1" showErrorMessage="1" sqref="H220:K220 H222:K222 H224:K224 H226:K226">
      <formula1>IF($C220=3,H220&lt;0,H220&gt;=0)</formula1>
    </dataValidation>
    <dataValidation type="whole" allowBlank="1" showInputMessage="1" showErrorMessage="1" sqref="C9:C167 C169:C172 C220:C340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67">
      <formula1>IF($C9=3,H9&lt;0,H9&gt;=0)</formula1>
    </dataValidation>
    <dataValidation type="date" allowBlank="1" showInputMessage="1" showErrorMessage="1" sqref="B9:B167 D175:D181 D186:D209 B169:B172 B220:B340 B346:B1862">
      <formula1>40179</formula1>
      <formula2>TODAY()</formula2>
    </dataValidation>
    <dataValidation type="whole" allowBlank="1" showInputMessage="1" showErrorMessage="1" sqref="F9:F167 G186:G209 F220:F340 F346:F1862">
      <formula1>20000000000</formula1>
      <formula2>33999999999</formula2>
    </dataValidation>
    <dataValidation type="whole" allowBlank="1" showInputMessage="1" showErrorMessage="1" sqref="E9:E167 F186:F209 E220:E340 E346:E1862">
      <formula1>1</formula1>
      <formula2>99999999</formula2>
    </dataValidation>
    <dataValidation type="whole" allowBlank="1" showInputMessage="1" showErrorMessage="1" sqref="D9:D167 E186:E209 D220:D340 D346:D1862">
      <formula1>1</formula1>
      <formula2>9999</formula2>
    </dataValidation>
    <dataValidation type="custom" allowBlank="1" showInputMessage="1" showErrorMessage="1" sqref="L220">
      <formula1>IF($C9=3,L9&lt;0,L9&gt;=0)</formula1>
    </dataValidation>
    <dataValidation type="custom" allowBlank="1" showInputMessage="1" showErrorMessage="1" sqref="L221">
      <formula1>IF($C161=3,L161&lt;0,L161&gt;=0)</formula1>
    </dataValidation>
    <dataValidation type="whole" allowBlank="1" showInputMessage="1" showErrorMessage="1" sqref="C346:C1862">
      <formula1>6</formula1>
      <formula2>8</formula2>
    </dataValidation>
    <dataValidation type="custom" allowBlank="1" showInputMessage="1" showErrorMessage="1" sqref="H346:L1862">
      <formula1>IF($C346=8,H346&lt;0,H346&gt;=0)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theme="8" tint="0.39997558519241921"/>
  </sheetPr>
  <dimension ref="B2:S195"/>
  <sheetViews>
    <sheetView showGridLines="0" zoomScale="85" zoomScaleNormal="85" workbookViewId="0">
      <selection activeCell="C16" sqref="C16"/>
    </sheetView>
  </sheetViews>
  <sheetFormatPr baseColWidth="10" defaultRowHeight="14.4" x14ac:dyDescent="0.3"/>
  <cols>
    <col min="1" max="1" width="3.44140625" customWidth="1"/>
    <col min="2" max="2" width="8.5546875" bestFit="1" customWidth="1"/>
    <col min="3" max="3" width="26.109375" customWidth="1"/>
    <col min="4" max="4" width="13.109375" bestFit="1" customWidth="1"/>
    <col min="5" max="5" width="13.88671875" customWidth="1"/>
    <col min="6" max="6" width="2.88671875" customWidth="1"/>
    <col min="7" max="7" width="8.5546875" bestFit="1" customWidth="1"/>
    <col min="8" max="8" width="24.33203125" customWidth="1"/>
    <col min="9" max="9" width="14.5546875" bestFit="1" customWidth="1"/>
    <col min="10" max="10" width="13.6640625" customWidth="1"/>
    <col min="11" max="11" width="2.109375" customWidth="1"/>
    <col min="12" max="12" width="8.5546875" bestFit="1" customWidth="1"/>
    <col min="13" max="13" width="26.6640625" customWidth="1"/>
    <col min="14" max="14" width="13.5546875" bestFit="1" customWidth="1"/>
    <col min="15" max="15" width="24.109375" customWidth="1"/>
    <col min="16" max="16" width="6.6640625" customWidth="1"/>
    <col min="17" max="17" width="11.44140625" style="419"/>
    <col min="18" max="18" width="25.6640625" customWidth="1"/>
    <col min="19" max="19" width="38.109375" bestFit="1" customWidth="1"/>
  </cols>
  <sheetData>
    <row r="2" spans="2:18" ht="31.2" x14ac:dyDescent="0.3">
      <c r="B2" s="464" t="s">
        <v>2888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</row>
    <row r="3" spans="2:18" ht="10.95" customHeight="1" thickBot="1" x14ac:dyDescent="0.55000000000000004">
      <c r="B3" s="11"/>
      <c r="C3" s="11"/>
      <c r="D3" s="11"/>
      <c r="E3" s="11"/>
      <c r="F3" s="11"/>
      <c r="G3" s="8"/>
      <c r="H3" s="8"/>
      <c r="I3" s="8"/>
      <c r="J3" s="8"/>
      <c r="K3" s="8"/>
      <c r="L3" s="3"/>
      <c r="M3" s="3"/>
      <c r="N3" s="3"/>
      <c r="O3" s="3"/>
    </row>
    <row r="4" spans="2:18" ht="18.600000000000001" thickBot="1" x14ac:dyDescent="0.35">
      <c r="B4" s="459">
        <f>'Ene-22'!N1</f>
        <v>44562</v>
      </c>
      <c r="C4" s="460"/>
      <c r="D4" s="460"/>
      <c r="E4" s="461"/>
      <c r="F4" s="3"/>
      <c r="G4" s="459">
        <f>EDATE($B$4,1)</f>
        <v>44593</v>
      </c>
      <c r="H4" s="460"/>
      <c r="I4" s="460"/>
      <c r="J4" s="461"/>
      <c r="K4" s="3"/>
      <c r="L4" s="459">
        <f>EDATE($G$4,1)</f>
        <v>44621</v>
      </c>
      <c r="M4" s="460"/>
      <c r="N4" s="460"/>
      <c r="O4" s="461"/>
      <c r="Q4" s="419">
        <v>508.1</v>
      </c>
      <c r="R4" t="s">
        <v>2924</v>
      </c>
    </row>
    <row r="5" spans="2:18" x14ac:dyDescent="0.3">
      <c r="B5" s="5"/>
      <c r="C5" s="387" t="s">
        <v>67</v>
      </c>
      <c r="D5" s="393">
        <f>SUMIF(compras_mes1[Tipo de Gasto],'Asto-Cpras'!C5,compras_mes1[NETO GRAVADO])+SUMIF(factura_c_mes1[TIPO DE GASTO],'Asto-Cpras'!C5,factura_c_mes1[TOTAL])</f>
        <v>90000</v>
      </c>
      <c r="E5" s="389"/>
      <c r="F5" s="3"/>
      <c r="G5" s="10" t="str">
        <f>IF($B$5="","",$B$5)</f>
        <v/>
      </c>
      <c r="H5" s="388" t="s">
        <v>67</v>
      </c>
      <c r="I5" s="16">
        <f>SUMIF(compras_mes2[Tipo de Gasto],'Asto-Cpras'!H5,compras_mes2[NETO GRAVADO])+SUMIF(factura_c_mes2[TIPO DE GASTO],'Asto-Cpras'!H5,factura_c_mes2[TOTAL])</f>
        <v>50000</v>
      </c>
      <c r="J5" s="389"/>
      <c r="K5" s="3"/>
      <c r="L5" s="10" t="str">
        <f>IF($B$5="","",$B$5)</f>
        <v/>
      </c>
      <c r="M5" s="388" t="s">
        <v>67</v>
      </c>
      <c r="N5" s="16">
        <f>SUMIF(compras_mes13[Tipo de Gasto],'Asto-Cpras'!M5,compras_mes13[NETO GRAVADO])+SUMIF(factura_c_mes152[TIPO DE GASTO],'Asto-Cpras'!M5,factura_c_mes152[TOTAL])</f>
        <v>50000</v>
      </c>
      <c r="O5" s="389"/>
      <c r="Q5" s="419">
        <v>500.3</v>
      </c>
      <c r="R5" t="s">
        <v>59</v>
      </c>
    </row>
    <row r="6" spans="2:18" x14ac:dyDescent="0.3">
      <c r="B6" s="10"/>
      <c r="C6" s="388" t="s">
        <v>2827</v>
      </c>
      <c r="D6" s="394">
        <f>SUMIF(compras_mes1[Tipo de Gasto],'Asto-Cpras'!C6,compras_mes1[NETO GRAVADO])+SUMIF(factura_c_mes1[TIPO DE GASTO],'Asto-Cpras'!C6,factura_c_mes1[TOTAL])</f>
        <v>0</v>
      </c>
      <c r="E6" s="390"/>
      <c r="F6" s="3"/>
      <c r="G6" s="10" t="str">
        <f>IF($B$6="","",$B$6)</f>
        <v/>
      </c>
      <c r="H6" s="388" t="s">
        <v>2827</v>
      </c>
      <c r="I6" s="18">
        <f>SUMIF(compras_mes2[Tipo de Gasto],'Asto-Cpras'!H6,compras_mes2[NETO GRAVADO])+SUMIF(factura_c_mes2[TIPO DE GASTO],'Asto-Cpras'!H6,factura_c_mes2[TOTAL])</f>
        <v>0</v>
      </c>
      <c r="J6" s="390"/>
      <c r="K6" s="3"/>
      <c r="L6" s="10" t="str">
        <f>IF($B$6="","",$B$6)</f>
        <v/>
      </c>
      <c r="M6" s="388" t="s">
        <v>2827</v>
      </c>
      <c r="N6" s="18">
        <f>SUMIF(compras_mes13[Tipo de Gasto],'Asto-Cpras'!M6,compras_mes13[NETO GRAVADO])+SUMIF(factura_c_mes152[TIPO DE GASTO],'Asto-Cpras'!M6,factura_c_mes152[TOTAL])</f>
        <v>0</v>
      </c>
      <c r="O6" s="390"/>
      <c r="Q6" s="419">
        <v>500.5</v>
      </c>
      <c r="R6" t="s">
        <v>2929</v>
      </c>
    </row>
    <row r="7" spans="2:18" x14ac:dyDescent="0.3">
      <c r="B7" s="10"/>
      <c r="C7" s="388" t="s">
        <v>2749</v>
      </c>
      <c r="D7" s="394">
        <f>SUMIF(compras_mes1[Tipo de Gasto],'Asto-Cpras'!C7,compras_mes1[NETO GRAVADO])+SUMIF(factura_c_mes1[TIPO DE GASTO],'Asto-Cpras'!C7,factura_c_mes1[TOTAL])</f>
        <v>0</v>
      </c>
      <c r="E7" s="390"/>
      <c r="F7" s="3"/>
      <c r="G7" s="10" t="str">
        <f>IF($B$7="","",$B$7)</f>
        <v/>
      </c>
      <c r="H7" s="388" t="s">
        <v>2749</v>
      </c>
      <c r="I7" s="18">
        <f>SUMIF(compras_mes2[Tipo de Gasto],'Asto-Cpras'!H7,compras_mes2[NETO GRAVADO])+SUMIF(factura_c_mes2[TIPO DE GASTO],'Asto-Cpras'!H7,factura_c_mes2[TOTAL])</f>
        <v>0</v>
      </c>
      <c r="J7" s="390"/>
      <c r="K7" s="3"/>
      <c r="L7" s="10" t="str">
        <f>IF($B$7="","",$B$7)</f>
        <v/>
      </c>
      <c r="M7" s="388" t="s">
        <v>2749</v>
      </c>
      <c r="N7" s="18">
        <f>SUMIF(compras_mes13[Tipo de Gasto],'Asto-Cpras'!M7,compras_mes13[NETO GRAVADO])+SUMIF(factura_c_mes152[TIPO DE GASTO],'Asto-Cpras'!M7,factura_c_mes152[TOTAL])</f>
        <v>0</v>
      </c>
      <c r="O7" s="390"/>
      <c r="Q7" s="419">
        <v>500.1</v>
      </c>
      <c r="R7" t="s">
        <v>2933</v>
      </c>
    </row>
    <row r="8" spans="2:18" x14ac:dyDescent="0.3">
      <c r="B8" s="10"/>
      <c r="C8" s="388" t="s">
        <v>2706</v>
      </c>
      <c r="D8" s="394">
        <f>SUMIF(compras_mes1[Tipo de Gasto],'Asto-Cpras'!C8,compras_mes1[NETO GRAVADO])+SUMIF(factura_c_mes1[TIPO DE GASTO],'Asto-Cpras'!C8,factura_c_mes1[TOTAL])</f>
        <v>71477.77</v>
      </c>
      <c r="E8" s="390"/>
      <c r="F8" s="3"/>
      <c r="G8" s="10" t="str">
        <f>IF($B$8="","",$B$8)</f>
        <v/>
      </c>
      <c r="H8" s="388" t="s">
        <v>2706</v>
      </c>
      <c r="I8" s="18">
        <f>SUMIF(compras_mes2[Tipo de Gasto],'Asto-Cpras'!H8,compras_mes2[NETO GRAVADO])+SUMIF(factura_c_mes2[TIPO DE GASTO],'Asto-Cpras'!H8,factura_c_mes2[TOTAL])</f>
        <v>46261.599999999999</v>
      </c>
      <c r="J8" s="390"/>
      <c r="K8" s="3"/>
      <c r="L8" s="10" t="str">
        <f>IF($B$8="","",$B$8)</f>
        <v/>
      </c>
      <c r="M8" s="388" t="s">
        <v>2706</v>
      </c>
      <c r="N8" s="18">
        <f>SUMIF(compras_mes13[Tipo de Gasto],'Asto-Cpras'!M8,compras_mes13[NETO GRAVADO])+SUMIF(factura_c_mes152[TIPO DE GASTO],'Asto-Cpras'!M8,factura_c_mes152[TOTAL])</f>
        <v>84811.48000000001</v>
      </c>
      <c r="O8" s="390"/>
      <c r="Q8" s="419">
        <v>500.2</v>
      </c>
      <c r="R8" t="s">
        <v>2920</v>
      </c>
    </row>
    <row r="9" spans="2:18" x14ac:dyDescent="0.3">
      <c r="B9" s="10"/>
      <c r="C9" s="388" t="s">
        <v>2738</v>
      </c>
      <c r="D9" s="394">
        <f>SUMIF(compras_mes1[Tipo de Gasto],'Asto-Cpras'!C9,compras_mes1[NETO GRAVADO])+SUMIF(factura_c_mes1[TIPO DE GASTO],'Asto-Cpras'!C9,factura_c_mes1[TOTAL])</f>
        <v>0</v>
      </c>
      <c r="E9" s="390"/>
      <c r="F9" s="3"/>
      <c r="G9" s="10" t="str">
        <f>IF($B$9="","",$B$9)</f>
        <v/>
      </c>
      <c r="H9" s="388" t="s">
        <v>2738</v>
      </c>
      <c r="I9" s="18">
        <f>SUMIF(compras_mes2[Tipo de Gasto],'Asto-Cpras'!H9,compras_mes2[NETO GRAVADO])+SUMIF(factura_c_mes2[TIPO DE GASTO],'Asto-Cpras'!H9,factura_c_mes2[TOTAL])</f>
        <v>0</v>
      </c>
      <c r="J9" s="390"/>
      <c r="K9" s="3"/>
      <c r="L9" s="10" t="str">
        <f>IF($B$9="","",$B$9)</f>
        <v/>
      </c>
      <c r="M9" s="388" t="s">
        <v>2738</v>
      </c>
      <c r="N9" s="18">
        <f>SUMIF(compras_mes13[Tipo de Gasto],'Asto-Cpras'!M9,compras_mes13[NETO GRAVADO])+SUMIF(factura_c_mes152[TIPO DE GASTO],'Asto-Cpras'!M9,factura_c_mes152[TOTAL])</f>
        <v>96.73</v>
      </c>
      <c r="O9" s="390"/>
      <c r="Q9" s="419">
        <v>500.25</v>
      </c>
      <c r="R9" t="s">
        <v>2921</v>
      </c>
    </row>
    <row r="10" spans="2:18" x14ac:dyDescent="0.3">
      <c r="B10" s="10"/>
      <c r="C10" s="388" t="s">
        <v>2745</v>
      </c>
      <c r="D10" s="394">
        <f>SUMIF(compras_mes1[Tipo de Gasto],'Asto-Cpras'!C10,compras_mes1[NETO GRAVADO])+SUMIF(factura_c_mes1[TIPO DE GASTO],'Asto-Cpras'!C10,factura_c_mes1[TOTAL])</f>
        <v>37574.700000000004</v>
      </c>
      <c r="E10" s="390"/>
      <c r="F10" s="3"/>
      <c r="G10" s="10" t="str">
        <f>IF($B$10="","",$B$10)</f>
        <v/>
      </c>
      <c r="H10" s="388" t="s">
        <v>2745</v>
      </c>
      <c r="I10" s="18">
        <f>SUMIF(compras_mes2[Tipo de Gasto],'Asto-Cpras'!H10,compras_mes2[NETO GRAVADO])+SUMIF(factura_c_mes2[TIPO DE GASTO],'Asto-Cpras'!H10,factura_c_mes2[TOTAL])</f>
        <v>8666.89</v>
      </c>
      <c r="J10" s="390"/>
      <c r="K10" s="3"/>
      <c r="L10" s="10" t="str">
        <f>IF($B$10="","",$B$10)</f>
        <v/>
      </c>
      <c r="M10" s="388" t="s">
        <v>2745</v>
      </c>
      <c r="N10" s="18">
        <f>SUMIF(compras_mes13[Tipo de Gasto],'Asto-Cpras'!M10,compras_mes13[NETO GRAVADO])+SUMIF(factura_c_mes152[TIPO DE GASTO],'Asto-Cpras'!M10,factura_c_mes152[TOTAL])</f>
        <v>53544.21</v>
      </c>
      <c r="O10" s="390"/>
      <c r="Q10" s="419">
        <v>508.2</v>
      </c>
      <c r="R10" t="s">
        <v>2922</v>
      </c>
    </row>
    <row r="11" spans="2:18" x14ac:dyDescent="0.3">
      <c r="B11" s="10"/>
      <c r="C11" s="388" t="s">
        <v>2861</v>
      </c>
      <c r="D11" s="394">
        <f>SUMIF(compras_mes1[Tipo de Gasto],'Asto-Cpras'!C11,compras_mes1[NETO GRAVADO])+SUMIF(factura_c_mes1[TIPO DE GASTO],'Asto-Cpras'!C11,factura_c_mes1[TOTAL])</f>
        <v>1050339.92</v>
      </c>
      <c r="E11" s="390"/>
      <c r="F11" s="3"/>
      <c r="G11" s="10" t="str">
        <f>IF($B$11="","",$B$11)</f>
        <v/>
      </c>
      <c r="H11" s="388" t="s">
        <v>2861</v>
      </c>
      <c r="I11" s="18">
        <f>SUMIF(compras_mes2[Tipo de Gasto],'Asto-Cpras'!H11,compras_mes2[NETO GRAVADO])+SUMIF(factura_c_mes2[TIPO DE GASTO],'Asto-Cpras'!H11,factura_c_mes2[TOTAL])</f>
        <v>324452.47999999998</v>
      </c>
      <c r="J11" s="390"/>
      <c r="K11" s="3"/>
      <c r="L11" s="10" t="str">
        <f>IF($B$11="","",$B$11)</f>
        <v/>
      </c>
      <c r="M11" s="388" t="s">
        <v>2861</v>
      </c>
      <c r="N11" s="18">
        <f>SUMIF(compras_mes13[Tipo de Gasto],'Asto-Cpras'!M11,compras_mes13[NETO GRAVADO])+SUMIF(factura_c_mes152[TIPO DE GASTO],'Asto-Cpras'!M11,factura_c_mes152[TOTAL])</f>
        <v>0</v>
      </c>
      <c r="O11" s="390"/>
      <c r="Q11" s="419">
        <v>158.1</v>
      </c>
      <c r="R11" t="s">
        <v>2923</v>
      </c>
    </row>
    <row r="12" spans="2:18" x14ac:dyDescent="0.3">
      <c r="B12" s="10"/>
      <c r="C12" s="388" t="s">
        <v>2806</v>
      </c>
      <c r="D12" s="394">
        <f>SUMIF(compras_mes1[Tipo de Gasto],'Asto-Cpras'!C12,compras_mes1[NETO GRAVADO])+SUMIF(factura_c_mes1[TIPO DE GASTO],'Asto-Cpras'!C12,factura_c_mes1[TOTAL])</f>
        <v>0</v>
      </c>
      <c r="E12" s="390"/>
      <c r="F12" s="3"/>
      <c r="G12" s="10" t="str">
        <f>IF($B$12="","",$B$12)</f>
        <v/>
      </c>
      <c r="H12" s="388" t="s">
        <v>2806</v>
      </c>
      <c r="I12" s="18">
        <f>SUMIF(compras_mes2[Tipo de Gasto],'Asto-Cpras'!H12,compras_mes2[NETO GRAVADO])+SUMIF(factura_c_mes2[TIPO DE GASTO],'Asto-Cpras'!H12,factura_c_mes2[TOTAL])</f>
        <v>0</v>
      </c>
      <c r="J12" s="390"/>
      <c r="K12" s="3"/>
      <c r="L12" s="10" t="str">
        <f>IF($B$12="","",$B$12)</f>
        <v/>
      </c>
      <c r="M12" s="388" t="s">
        <v>2806</v>
      </c>
      <c r="N12" s="18">
        <f>SUMIF(compras_mes13[Tipo de Gasto],'Asto-Cpras'!M12,compras_mes13[NETO GRAVADO])+SUMIF(factura_c_mes152[TIPO DE GASTO],'Asto-Cpras'!M12,factura_c_mes152[TOTAL])</f>
        <v>0</v>
      </c>
      <c r="O12" s="390"/>
      <c r="Q12" s="419">
        <v>530.1</v>
      </c>
      <c r="R12" t="s">
        <v>2925</v>
      </c>
    </row>
    <row r="13" spans="2:18" x14ac:dyDescent="0.3">
      <c r="B13" s="10"/>
      <c r="C13" s="388" t="s">
        <v>2728</v>
      </c>
      <c r="D13" s="394">
        <f>SUMIF(compras_mes1[Tipo de Gasto],'Asto-Cpras'!C13,compras_mes1[NETO GRAVADO])+SUMIF(factura_c_mes1[TIPO DE GASTO],'Asto-Cpras'!C13,factura_c_mes1[TOTAL])</f>
        <v>0</v>
      </c>
      <c r="E13" s="390"/>
      <c r="F13" s="3"/>
      <c r="G13" s="10"/>
      <c r="H13" s="388" t="s">
        <v>2728</v>
      </c>
      <c r="I13" s="18">
        <f>SUMIF(compras_mes2[Tipo de Gasto],'Asto-Cpras'!H13,compras_mes2[NETO GRAVADO])+SUMIF(factura_c_mes2[TIPO DE GASTO],'Asto-Cpras'!H13,factura_c_mes2[TOTAL])</f>
        <v>0</v>
      </c>
      <c r="J13" s="390"/>
      <c r="K13" s="3"/>
      <c r="L13" s="10"/>
      <c r="M13" s="388" t="s">
        <v>2728</v>
      </c>
      <c r="N13" s="18">
        <f>SUMIF(compras_mes13[Tipo de Gasto],'Asto-Cpras'!M13,compras_mes13[NETO GRAVADO])+SUMIF(factura_c_mes152[TIPO DE GASTO],'Asto-Cpras'!M13,factura_c_mes152[TOTAL])</f>
        <v>0</v>
      </c>
      <c r="O13" s="390"/>
      <c r="Q13" s="419">
        <v>500.65</v>
      </c>
      <c r="R13" t="s">
        <v>2926</v>
      </c>
    </row>
    <row r="14" spans="2:18" x14ac:dyDescent="0.3">
      <c r="B14" s="10"/>
      <c r="C14" s="388" t="s">
        <v>2809</v>
      </c>
      <c r="D14" s="394">
        <f>SUMIF(compras_mes1[Tipo de Gasto],'Asto-Cpras'!C14,compras_mes1[NETO GRAVADO])+SUMIF(factura_c_mes1[TIPO DE GASTO],'Asto-Cpras'!C14,factura_c_mes1[TOTAL])</f>
        <v>6250.47</v>
      </c>
      <c r="E14" s="390"/>
      <c r="F14" s="3"/>
      <c r="G14" s="10" t="str">
        <f>IF($B$14="","",$B$14)</f>
        <v/>
      </c>
      <c r="H14" s="388" t="s">
        <v>2809</v>
      </c>
      <c r="I14" s="18">
        <f>SUMIF(compras_mes2[Tipo de Gasto],'Asto-Cpras'!H14,compras_mes2[NETO GRAVADO])+SUMIF(factura_c_mes2[TIPO DE GASTO],'Asto-Cpras'!H14,factura_c_mes2[TOTAL])</f>
        <v>0</v>
      </c>
      <c r="J14" s="390"/>
      <c r="K14" s="3"/>
      <c r="L14" s="10" t="str">
        <f>IF($B$14="","",$B$14)</f>
        <v/>
      </c>
      <c r="M14" s="388" t="s">
        <v>2809</v>
      </c>
      <c r="N14" s="18">
        <f>SUMIF(compras_mes13[Tipo de Gasto],'Asto-Cpras'!M14,compras_mes13[NETO GRAVADO])+SUMIF(factura_c_mes152[TIPO DE GASTO],'Asto-Cpras'!M14,factura_c_mes152[TOTAL])</f>
        <v>0</v>
      </c>
      <c r="O14" s="390"/>
      <c r="P14" s="31"/>
      <c r="Q14" s="419">
        <v>540.1</v>
      </c>
      <c r="R14" t="s">
        <v>2889</v>
      </c>
    </row>
    <row r="15" spans="2:18" x14ac:dyDescent="0.3">
      <c r="B15" s="10"/>
      <c r="C15" s="388" t="s">
        <v>2718</v>
      </c>
      <c r="D15" s="394">
        <f>SUMIF(compras_mes1[Tipo de Gasto],'Asto-Cpras'!C15,compras_mes1[NETO GRAVADO])+SUMIF(factura_c_mes1[TIPO DE GASTO],'Asto-Cpras'!C15,factura_c_mes1[TOTAL])</f>
        <v>12086.779999999999</v>
      </c>
      <c r="E15" s="390"/>
      <c r="F15" s="3"/>
      <c r="G15" s="10"/>
      <c r="H15" s="388" t="s">
        <v>2718</v>
      </c>
      <c r="I15" s="18">
        <f>SUMIF(compras_mes2[Tipo de Gasto],'Asto-Cpras'!H15,compras_mes2[NETO GRAVADO])+SUMIF(factura_c_mes2[TIPO DE GASTO],'Asto-Cpras'!H15,factura_c_mes2[TOTAL])</f>
        <v>1847.94</v>
      </c>
      <c r="J15" s="390"/>
      <c r="K15" s="3"/>
      <c r="L15" s="10"/>
      <c r="M15" s="388" t="s">
        <v>2718</v>
      </c>
      <c r="N15" s="18">
        <f>SUMIF(compras_mes13[Tipo de Gasto],'Asto-Cpras'!M15,compras_mes13[NETO GRAVADO])+SUMIF(factura_c_mes152[TIPO DE GASTO],'Asto-Cpras'!M15,factura_c_mes152[TOTAL])</f>
        <v>19420.8</v>
      </c>
      <c r="O15" s="390"/>
      <c r="P15" s="31"/>
      <c r="Q15" s="419">
        <v>540.11</v>
      </c>
      <c r="R15" t="s">
        <v>2927</v>
      </c>
    </row>
    <row r="16" spans="2:18" x14ac:dyDescent="0.3">
      <c r="B16" s="10"/>
      <c r="C16" s="388" t="s">
        <v>2704</v>
      </c>
      <c r="D16" s="394">
        <f>SUMIF(compras_mes1[Tipo de Gasto],'Asto-Cpras'!C16,compras_mes1[NETO GRAVADO])+SUMIF(factura_c_mes1[TIPO DE GASTO],'Asto-Cpras'!C16,factura_c_mes1[TOTAL])</f>
        <v>16161.140000000001</v>
      </c>
      <c r="E16" s="390"/>
      <c r="F16" s="3"/>
      <c r="G16" s="10" t="str">
        <f>IF($B$16="","",$B$16)</f>
        <v/>
      </c>
      <c r="H16" s="388" t="s">
        <v>2704</v>
      </c>
      <c r="I16" s="18">
        <f>SUMIF(compras_mes2[Tipo de Gasto],'Asto-Cpras'!H16,compras_mes2[NETO GRAVADO])+SUMIF(factura_c_mes2[TIPO DE GASTO],'Asto-Cpras'!H16,factura_c_mes2[TOTAL])</f>
        <v>0</v>
      </c>
      <c r="J16" s="390"/>
      <c r="K16" s="3"/>
      <c r="L16" s="10" t="str">
        <f>IF($B$16="","",$B$16)</f>
        <v/>
      </c>
      <c r="M16" s="388" t="s">
        <v>2704</v>
      </c>
      <c r="N16" s="18">
        <f>SUMIF(compras_mes13[Tipo de Gasto],'Asto-Cpras'!M16,compras_mes13[NETO GRAVADO])+SUMIF(factura_c_mes152[TIPO DE GASTO],'Asto-Cpras'!M16,factura_c_mes152[TOTAL])</f>
        <v>81348.17</v>
      </c>
      <c r="O16" s="390"/>
      <c r="P16" s="31"/>
      <c r="Q16" s="419">
        <v>500.27499999999998</v>
      </c>
      <c r="R16" t="s">
        <v>2928</v>
      </c>
    </row>
    <row r="17" spans="2:19" x14ac:dyDescent="0.3">
      <c r="B17" s="10"/>
      <c r="C17" s="388" t="s">
        <v>59</v>
      </c>
      <c r="D17" s="394">
        <f>SUMIF(compras_mes1[Tipo de Gasto],'Asto-Cpras'!C17,compras_mes1[NETO GRAVADO])+SUMIF(factura_c_mes1[TIPO DE GASTO],'Asto-Cpras'!C17,factura_c_mes1[TOTAL])</f>
        <v>74302.500000000015</v>
      </c>
      <c r="E17" s="390"/>
      <c r="F17" s="3"/>
      <c r="G17" s="10"/>
      <c r="H17" s="388" t="s">
        <v>59</v>
      </c>
      <c r="I17" s="18">
        <f>SUMIF(compras_mes2[Tipo de Gasto],'Asto-Cpras'!H17,compras_mes2[NETO GRAVADO])+SUMIF(factura_c_mes2[TIPO DE GASTO],'Asto-Cpras'!H17,factura_c_mes2[TOTAL])</f>
        <v>101198.85</v>
      </c>
      <c r="J17" s="390"/>
      <c r="K17" s="3"/>
      <c r="L17" s="10"/>
      <c r="M17" s="388" t="s">
        <v>59</v>
      </c>
      <c r="N17" s="18">
        <f>SUMIF(compras_mes13[Tipo de Gasto],'Asto-Cpras'!M17,compras_mes13[NETO GRAVADO])+SUMIF(factura_c_mes152[TIPO DE GASTO],'Asto-Cpras'!M17,factura_c_mes152[TOTAL])</f>
        <v>400500.81000000006</v>
      </c>
      <c r="O17" s="390"/>
      <c r="P17" s="31"/>
      <c r="Q17" s="419">
        <v>500.55</v>
      </c>
      <c r="R17" t="s">
        <v>2930</v>
      </c>
    </row>
    <row r="18" spans="2:19" x14ac:dyDescent="0.3">
      <c r="B18" s="10"/>
      <c r="C18" s="388" t="s">
        <v>2725</v>
      </c>
      <c r="D18" s="394">
        <f>SUMIF(compras_mes1[Tipo de Gasto],'Asto-Cpras'!C18,compras_mes1[NETO GRAVADO])+SUMIF(factura_c_mes1[TIPO DE GASTO],'Asto-Cpras'!C18,factura_c_mes1[TOTAL])</f>
        <v>449329.58</v>
      </c>
      <c r="E18" s="390"/>
      <c r="F18" s="3"/>
      <c r="G18" s="10"/>
      <c r="H18" s="388" t="s">
        <v>2725</v>
      </c>
      <c r="I18" s="18">
        <f>SUMIF(compras_mes2[Tipo de Gasto],'Asto-Cpras'!H18,compras_mes2[NETO GRAVADO])+SUMIF(factura_c_mes2[TIPO DE GASTO],'Asto-Cpras'!H18,factura_c_mes2[TOTAL])</f>
        <v>269489.18</v>
      </c>
      <c r="J18" s="390"/>
      <c r="K18" s="3"/>
      <c r="L18" s="10"/>
      <c r="M18" s="388" t="s">
        <v>2725</v>
      </c>
      <c r="N18" s="18">
        <f>SUMIF(compras_mes13[Tipo de Gasto],'Asto-Cpras'!M18,compras_mes13[NETO GRAVADO])+SUMIF(factura_c_mes152[TIPO DE GASTO],'Asto-Cpras'!M18,factura_c_mes152[TOTAL])</f>
        <v>380426.94</v>
      </c>
      <c r="O18" s="390"/>
      <c r="P18" s="31"/>
      <c r="Q18" s="419">
        <v>121.1</v>
      </c>
      <c r="R18" t="s">
        <v>2937</v>
      </c>
      <c r="S18" t="s">
        <v>2931</v>
      </c>
    </row>
    <row r="19" spans="2:19" x14ac:dyDescent="0.3">
      <c r="B19" s="10"/>
      <c r="C19" s="388" t="s">
        <v>2899</v>
      </c>
      <c r="D19" s="394">
        <f>SUMIF(compras_mes1[Tipo de Gasto],'Asto-Cpras'!C19,compras_mes1[NETO GRAVADO])+SUMIF(factura_c_mes1[TIPO DE GASTO],'Asto-Cpras'!C19,factura_c_mes1[TOTAL])</f>
        <v>0</v>
      </c>
      <c r="E19" s="390"/>
      <c r="F19" s="3"/>
      <c r="G19" s="10"/>
      <c r="H19" s="388" t="s">
        <v>2901</v>
      </c>
      <c r="I19" s="18">
        <f>SUMIF(compras_mes2[Tipo de Gasto],'Asto-Cpras'!H19,compras_mes2[NETO GRAVADO])+SUMIF(factura_c_mes2[TIPO DE GASTO],'Asto-Cpras'!H19,factura_c_mes2[TOTAL])</f>
        <v>0</v>
      </c>
      <c r="J19" s="390"/>
      <c r="K19" s="3"/>
      <c r="L19" s="10"/>
      <c r="M19" s="388" t="s">
        <v>2901</v>
      </c>
      <c r="N19" s="18">
        <f>SUMIF(compras_mes13[Tipo de Gasto],'Asto-Cpras'!M19,compras_mes13[NETO GRAVADO])+SUMIF(factura_c_mes152[TIPO DE GASTO],'Asto-Cpras'!M19,factura_c_mes152[TOTAL])</f>
        <v>0</v>
      </c>
      <c r="O19" s="390"/>
      <c r="P19" s="31"/>
      <c r="Q19" s="419">
        <v>540.15</v>
      </c>
      <c r="R19" t="s">
        <v>2932</v>
      </c>
    </row>
    <row r="20" spans="2:19" x14ac:dyDescent="0.3">
      <c r="B20" s="10"/>
      <c r="C20" s="388" t="s">
        <v>2890</v>
      </c>
      <c r="D20" s="394">
        <f>SUMIF(compras_mes1[Tipo de Gasto],'Asto-Cpras'!C20,compras_mes1[NETO GRAVADO])+SUMIF(factura_c_mes1[TIPO DE GASTO],'Asto-Cpras'!C20,factura_c_mes1[TOTAL])</f>
        <v>0</v>
      </c>
      <c r="E20" s="390"/>
      <c r="F20" s="3"/>
      <c r="G20" s="10"/>
      <c r="H20" s="388" t="s">
        <v>2890</v>
      </c>
      <c r="I20" s="18">
        <f>SUMIF(compras_mes2[Tipo de Gasto],'Asto-Cpras'!H20,compras_mes2[NETO GRAVADO])+SUMIF(factura_c_mes2[TIPO DE GASTO],'Asto-Cpras'!H20,factura_c_mes2[TOTAL])</f>
        <v>0</v>
      </c>
      <c r="J20" s="390"/>
      <c r="K20" s="3"/>
      <c r="L20" s="10"/>
      <c r="M20" s="388" t="s">
        <v>2890</v>
      </c>
      <c r="N20" s="18">
        <f>SUMIF(compras_mes13[Tipo de Gasto],'Asto-Cpras'!M20,compras_mes13[NETO GRAVADO])+SUMIF(factura_c_mes152[TIPO DE GASTO],'Asto-Cpras'!M20,factura_c_mes152[TOTAL])</f>
        <v>23070</v>
      </c>
      <c r="O20" s="390"/>
      <c r="P20" s="31"/>
      <c r="Q20" s="419">
        <v>500.28</v>
      </c>
      <c r="R20" t="s">
        <v>2936</v>
      </c>
    </row>
    <row r="21" spans="2:19" x14ac:dyDescent="0.3">
      <c r="B21" s="10"/>
      <c r="C21" s="388" t="s">
        <v>2736</v>
      </c>
      <c r="D21" s="394">
        <f>SUMIF(compras_mes1[Tipo de Gasto],'Asto-Cpras'!C21,compras_mes1[NETO GRAVADO])+SUMIF(factura_c_mes1[TIPO DE GASTO],'Asto-Cpras'!C21,factura_c_mes1[TOTAL])</f>
        <v>0</v>
      </c>
      <c r="E21" s="390"/>
      <c r="F21" s="3"/>
      <c r="G21" s="10"/>
      <c r="H21" s="388" t="s">
        <v>2736</v>
      </c>
      <c r="I21" s="18">
        <f>SUMIF(compras_mes2[Tipo de Gasto],'Asto-Cpras'!H21,compras_mes2[NETO GRAVADO])+SUMIF(factura_c_mes2[TIPO DE GASTO],'Asto-Cpras'!H21,factura_c_mes2[TOTAL])</f>
        <v>0</v>
      </c>
      <c r="J21" s="390"/>
      <c r="K21" s="3"/>
      <c r="L21" s="10"/>
      <c r="M21" s="388" t="s">
        <v>2736</v>
      </c>
      <c r="N21" s="18">
        <f>SUMIF(compras_mes13[Tipo de Gasto],'Asto-Cpras'!M21,compras_mes13[NETO GRAVADO])+SUMIF(factura_c_mes152[TIPO DE GASTO],'Asto-Cpras'!M21,factura_c_mes152[TOTAL])</f>
        <v>0</v>
      </c>
      <c r="O21" s="390"/>
      <c r="P21" s="31"/>
      <c r="Q21" s="419">
        <v>500.75</v>
      </c>
      <c r="R21" t="s">
        <v>2730</v>
      </c>
    </row>
    <row r="22" spans="2:19" x14ac:dyDescent="0.3">
      <c r="B22" s="10"/>
      <c r="C22" s="388" t="s">
        <v>2786</v>
      </c>
      <c r="D22" s="394">
        <f>SUMIF(compras_mes1[Tipo de Gasto],'Asto-Cpras'!C22,compras_mes1[NETO GRAVADO])+SUMIF(factura_c_mes1[TIPO DE GASTO],'Asto-Cpras'!C22,factura_c_mes1[TOTAL])</f>
        <v>0</v>
      </c>
      <c r="E22" s="390"/>
      <c r="F22" s="3"/>
      <c r="G22" s="10"/>
      <c r="H22" s="388" t="s">
        <v>2786</v>
      </c>
      <c r="I22" s="18">
        <f>SUMIF(compras_mes2[Tipo de Gasto],'Asto-Cpras'!H22,compras_mes2[NETO GRAVADO])+SUMIF(factura_c_mes2[TIPO DE GASTO],'Asto-Cpras'!H22,factura_c_mes2[TOTAL])</f>
        <v>0</v>
      </c>
      <c r="J22" s="390"/>
      <c r="K22" s="3"/>
      <c r="L22" s="10"/>
      <c r="M22" s="388" t="s">
        <v>2786</v>
      </c>
      <c r="N22" s="18">
        <f>SUMIF(compras_mes13[Tipo de Gasto],'Asto-Cpras'!M22,compras_mes13[NETO GRAVADO])+SUMIF(factura_c_mes152[TIPO DE GASTO],'Asto-Cpras'!M22,factura_c_mes152[TOTAL])</f>
        <v>0</v>
      </c>
      <c r="O22" s="390"/>
      <c r="P22" s="31"/>
      <c r="Q22" s="419">
        <v>500.15</v>
      </c>
      <c r="R22" t="s">
        <v>2934</v>
      </c>
    </row>
    <row r="23" spans="2:19" x14ac:dyDescent="0.3">
      <c r="B23" s="10"/>
      <c r="C23" s="388" t="s">
        <v>2889</v>
      </c>
      <c r="D23" s="394">
        <f>SUMIF(compras_mes1[Tipo de Gasto],'Asto-Cpras'!C23,compras_mes1[NETO GRAVADO])+SUMIF(factura_c_mes1[TIPO DE GASTO],'Asto-Cpras'!C23,factura_c_mes1[TOTAL])</f>
        <v>74504.13</v>
      </c>
      <c r="E23" s="390"/>
      <c r="F23" s="3"/>
      <c r="G23" s="10"/>
      <c r="H23" s="388" t="s">
        <v>2889</v>
      </c>
      <c r="I23" s="18">
        <f>SUMIF(compras_mes2[Tipo de Gasto],'Asto-Cpras'!H23,compras_mes2[NETO GRAVADO])+SUMIF(factura_c_mes2[TIPO DE GASTO],'Asto-Cpras'!H23,factura_c_mes2[TOTAL])</f>
        <v>45000</v>
      </c>
      <c r="J23" s="390"/>
      <c r="K23" s="3"/>
      <c r="L23" s="10"/>
      <c r="M23" s="388" t="s">
        <v>2889</v>
      </c>
      <c r="N23" s="18">
        <f>SUMIF(compras_mes13[Tipo de Gasto],'Asto-Cpras'!M23,compras_mes13[NETO GRAVADO])+SUMIF(factura_c_mes152[TIPO DE GASTO],'Asto-Cpras'!M23,factura_c_mes152[TOTAL])</f>
        <v>0</v>
      </c>
      <c r="O23" s="390"/>
      <c r="P23" s="31"/>
      <c r="Q23" s="419">
        <v>500.72</v>
      </c>
      <c r="R23" t="s">
        <v>57</v>
      </c>
    </row>
    <row r="24" spans="2:19" x14ac:dyDescent="0.3">
      <c r="B24" s="10"/>
      <c r="C24" s="388" t="s">
        <v>2761</v>
      </c>
      <c r="D24" s="394">
        <f>SUMIF(compras_mes1[Tipo de Gasto],'Asto-Cpras'!C24,compras_mes1[NETO GRAVADO])+SUMIF(factura_c_mes1[TIPO DE GASTO],'Asto-Cpras'!C24,factura_c_mes1[TOTAL])</f>
        <v>0</v>
      </c>
      <c r="E24" s="390"/>
      <c r="F24" s="3"/>
      <c r="G24" s="10"/>
      <c r="H24" s="388" t="s">
        <v>2761</v>
      </c>
      <c r="I24" s="18">
        <f>SUMIF(compras_mes2[Tipo de Gasto],'Asto-Cpras'!H24,compras_mes2[NETO GRAVADO])+SUMIF(factura_c_mes2[TIPO DE GASTO],'Asto-Cpras'!H24,factura_c_mes2[TOTAL])</f>
        <v>0</v>
      </c>
      <c r="J24" s="390"/>
      <c r="K24" s="3"/>
      <c r="L24" s="10"/>
      <c r="M24" s="388" t="s">
        <v>2761</v>
      </c>
      <c r="N24" s="18">
        <f>SUMIF(compras_mes13[Tipo de Gasto],'Asto-Cpras'!M24,compras_mes13[NETO GRAVADO])+SUMIF(factura_c_mes152[TIPO DE GASTO],'Asto-Cpras'!M24,factura_c_mes152[TOTAL])</f>
        <v>0</v>
      </c>
      <c r="O24" s="390"/>
      <c r="P24" s="31"/>
      <c r="Q24" s="419">
        <v>500.7</v>
      </c>
      <c r="R24" t="s">
        <v>2935</v>
      </c>
    </row>
    <row r="25" spans="2:19" x14ac:dyDescent="0.3">
      <c r="B25" s="10"/>
      <c r="C25" s="388" t="s">
        <v>70</v>
      </c>
      <c r="D25" s="394">
        <f>SUMIF(compras_mes1[Tipo de Gasto],'Asto-Cpras'!C25,compras_mes1[NETO GRAVADO])+SUMIF(factura_c_mes1[TIPO DE GASTO],'Asto-Cpras'!C25,factura_c_mes1[TOTAL])</f>
        <v>10330.1</v>
      </c>
      <c r="E25" s="390"/>
      <c r="F25" s="3"/>
      <c r="G25" s="10"/>
      <c r="H25" s="388" t="s">
        <v>70</v>
      </c>
      <c r="I25" s="18">
        <f>SUMIF(compras_mes2[Tipo de Gasto],'Asto-Cpras'!H25,compras_mes2[NETO GRAVADO])+SUMIF(factura_c_mes2[TIPO DE GASTO],'Asto-Cpras'!H25,factura_c_mes2[TOTAL])</f>
        <v>67872.399999999994</v>
      </c>
      <c r="J25" s="390"/>
      <c r="K25" s="3"/>
      <c r="L25" s="10"/>
      <c r="M25" s="388" t="s">
        <v>70</v>
      </c>
      <c r="N25" s="18">
        <f>SUMIF(compras_mes13[Tipo de Gasto],'Asto-Cpras'!M25,compras_mes13[NETO GRAVADO])+SUMIF(factura_c_mes152[TIPO DE GASTO],'Asto-Cpras'!M25,factura_c_mes152[TOTAL])</f>
        <v>71708.710000000006</v>
      </c>
      <c r="O25" s="390"/>
      <c r="P25" s="31"/>
    </row>
    <row r="26" spans="2:19" x14ac:dyDescent="0.3">
      <c r="B26" s="10"/>
      <c r="C26" s="388" t="s">
        <v>2708</v>
      </c>
      <c r="D26" s="394">
        <f>SUMIF(compras_mes1[Tipo de Gasto],'Asto-Cpras'!C26,compras_mes1[NETO GRAVADO])+SUMIF(factura_c_mes1[TIPO DE GASTO],'Asto-Cpras'!C26,factura_c_mes1[TOTAL])</f>
        <v>0</v>
      </c>
      <c r="E26" s="390"/>
      <c r="F26" s="3"/>
      <c r="G26" s="10"/>
      <c r="H26" s="388" t="s">
        <v>2708</v>
      </c>
      <c r="I26" s="18">
        <f>SUMIF(compras_mes2[Tipo de Gasto],'Asto-Cpras'!H26,compras_mes2[NETO GRAVADO])+SUMIF(factura_c_mes2[TIPO DE GASTO],'Asto-Cpras'!H26,factura_c_mes2[TOTAL])</f>
        <v>0</v>
      </c>
      <c r="J26" s="390"/>
      <c r="K26" s="3"/>
      <c r="L26" s="10"/>
      <c r="M26" s="388" t="s">
        <v>2708</v>
      </c>
      <c r="N26" s="18">
        <f>SUMIF(compras_mes13[Tipo de Gasto],'Asto-Cpras'!M26,compras_mes13[NETO GRAVADO])+SUMIF(factura_c_mes152[TIPO DE GASTO],'Asto-Cpras'!M26,factura_c_mes152[TOTAL])</f>
        <v>0</v>
      </c>
      <c r="O26" s="390"/>
      <c r="P26" s="31"/>
    </row>
    <row r="27" spans="2:19" x14ac:dyDescent="0.3">
      <c r="B27" s="422"/>
      <c r="C27" s="388" t="s">
        <v>2714</v>
      </c>
      <c r="D27" s="394">
        <v>2</v>
      </c>
      <c r="E27" s="390"/>
      <c r="F27" s="3"/>
      <c r="G27" s="10"/>
      <c r="H27" s="388" t="s">
        <v>2714</v>
      </c>
      <c r="I27" s="18">
        <f>SUMIF(compras_mes2[Tipo de Gasto],'Asto-Cpras'!H27,compras_mes2[NETO GRAVADO])+SUMIF(factura_c_mes2[TIPO DE GASTO],'Asto-Cpras'!H27,factura_c_mes2[TOTAL])</f>
        <v>82644.63</v>
      </c>
      <c r="J27" s="390"/>
      <c r="K27" s="3"/>
      <c r="L27" s="10"/>
      <c r="M27" s="388" t="s">
        <v>2714</v>
      </c>
      <c r="N27" s="18">
        <f>SUMIF(compras_mes13[Tipo de Gasto],'Asto-Cpras'!M27,compras_mes13[NETO GRAVADO])+SUMIF(factura_c_mes152[TIPO DE GASTO],'Asto-Cpras'!M27,factura_c_mes152[TOTAL])</f>
        <v>84297.52</v>
      </c>
      <c r="O27" s="390"/>
      <c r="P27" s="31"/>
    </row>
    <row r="28" spans="2:19" x14ac:dyDescent="0.3">
      <c r="B28" s="10"/>
      <c r="C28" s="388" t="s">
        <v>2862</v>
      </c>
      <c r="D28" s="394">
        <f>SUMIF(compras_mes1[Tipo de Gasto],'Asto-Cpras'!C28,compras_mes1[NETO GRAVADO])+SUMIF(factura_c_mes1[TIPO DE GASTO],'Asto-Cpras'!C28,factura_c_mes1[TOTAL])</f>
        <v>88495.87</v>
      </c>
      <c r="E28" s="390"/>
      <c r="F28" s="3"/>
      <c r="G28" s="10"/>
      <c r="H28" s="388" t="s">
        <v>2862</v>
      </c>
      <c r="I28" s="18">
        <f>SUMIF(compras_mes2[Tipo de Gasto],'Asto-Cpras'!H28,compras_mes2[NETO GRAVADO])+SUMIF(factura_c_mes2[TIPO DE GASTO],'Asto-Cpras'!H28,factura_c_mes2[TOTAL])</f>
        <v>0</v>
      </c>
      <c r="J28" s="390"/>
      <c r="K28" s="3"/>
      <c r="L28" s="10"/>
      <c r="M28" s="388" t="s">
        <v>2862</v>
      </c>
      <c r="N28" s="18">
        <f>SUMIF(compras_mes13[Tipo de Gasto],'Asto-Cpras'!M28,compras_mes13[NETO GRAVADO])+SUMIF(factura_c_mes152[TIPO DE GASTO],'Asto-Cpras'!M28,factura_c_mes152[TOTAL])</f>
        <v>22553.72</v>
      </c>
      <c r="O28" s="390"/>
      <c r="P28" s="31"/>
    </row>
    <row r="29" spans="2:19" x14ac:dyDescent="0.3">
      <c r="B29" s="10"/>
      <c r="C29" s="388" t="s">
        <v>2778</v>
      </c>
      <c r="D29" s="394">
        <f>SUMIF(compras_mes1[Tipo de Gasto],'Asto-Cpras'!C29,compras_mes1[NETO GRAVADO])+SUMIF(factura_c_mes1[TIPO DE GASTO],'Asto-Cpras'!C29,factura_c_mes1[TOTAL])</f>
        <v>79561.5</v>
      </c>
      <c r="E29" s="390"/>
      <c r="F29" s="3"/>
      <c r="G29" s="10"/>
      <c r="H29" s="388" t="s">
        <v>2778</v>
      </c>
      <c r="I29" s="18">
        <f>SUMIF(compras_mes2[Tipo de Gasto],'Asto-Cpras'!H29,compras_mes2[NETO GRAVADO])+SUMIF(factura_c_mes2[TIPO DE GASTO],'Asto-Cpras'!H29,factura_c_mes2[TOTAL])</f>
        <v>0</v>
      </c>
      <c r="J29" s="390"/>
      <c r="K29" s="3"/>
      <c r="L29" s="10"/>
      <c r="M29" s="388" t="s">
        <v>2778</v>
      </c>
      <c r="N29" s="18">
        <f>SUMIF(compras_mes13[Tipo de Gasto],'Asto-Cpras'!M29,compras_mes13[NETO GRAVADO])+SUMIF(factura_c_mes152[TIPO DE GASTO],'Asto-Cpras'!M29,factura_c_mes152[TOTAL])</f>
        <v>0</v>
      </c>
      <c r="O29" s="390"/>
      <c r="P29" s="31"/>
    </row>
    <row r="30" spans="2:19" x14ac:dyDescent="0.3">
      <c r="B30" s="10"/>
      <c r="C30" s="388" t="s">
        <v>63</v>
      </c>
      <c r="D30" s="394">
        <f>SUMIF(compras_mes1[Tipo de Gasto],'Asto-Cpras'!C30,compras_mes1[NETO GRAVADO])+SUMIF(factura_c_mes1[TIPO DE GASTO],'Asto-Cpras'!C30,factura_c_mes1[TOTAL])</f>
        <v>2733352.82</v>
      </c>
      <c r="E30" s="390"/>
      <c r="F30" s="3"/>
      <c r="G30" s="10"/>
      <c r="H30" s="388" t="s">
        <v>63</v>
      </c>
      <c r="I30" s="18">
        <f>SUMIF(compras_mes2[Tipo de Gasto],'Asto-Cpras'!H30,compras_mes2[NETO GRAVADO])+SUMIF(factura_c_mes2[TIPO DE GASTO],'Asto-Cpras'!H30,factura_c_mes2[TOTAL])</f>
        <v>2895652.85</v>
      </c>
      <c r="J30" s="390"/>
      <c r="K30" s="3"/>
      <c r="L30" s="10"/>
      <c r="M30" s="388" t="s">
        <v>63</v>
      </c>
      <c r="N30" s="18">
        <f>SUMIF(compras_mes13[Tipo de Gasto],'Asto-Cpras'!M30,compras_mes13[NETO GRAVADO])+SUMIF(factura_c_mes152[TIPO DE GASTO],'Asto-Cpras'!M30,factura_c_mes152[TOTAL])</f>
        <v>2627014.04</v>
      </c>
      <c r="O30" s="390"/>
      <c r="P30" s="31"/>
    </row>
    <row r="31" spans="2:19" x14ac:dyDescent="0.3">
      <c r="B31" s="10"/>
      <c r="C31" s="388" t="s">
        <v>2762</v>
      </c>
      <c r="D31" s="394">
        <f>SUMIF(compras_mes1[Tipo de Gasto],'Asto-Cpras'!C31,compras_mes1[NETO GRAVADO])+SUMIF(factura_c_mes1[TIPO DE GASTO],'Asto-Cpras'!C31,factura_c_mes1[TOTAL])</f>
        <v>0</v>
      </c>
      <c r="E31" s="390"/>
      <c r="F31" s="3"/>
      <c r="G31" s="10"/>
      <c r="H31" s="388" t="s">
        <v>2762</v>
      </c>
      <c r="I31" s="18">
        <f>SUMIF(compras_mes2[Tipo de Gasto],'Asto-Cpras'!H31,compras_mes2[NETO GRAVADO])+SUMIF(factura_c_mes2[TIPO DE GASTO],'Asto-Cpras'!H31,factura_c_mes2[TOTAL])</f>
        <v>0</v>
      </c>
      <c r="J31" s="390"/>
      <c r="K31" s="3"/>
      <c r="L31" s="10"/>
      <c r="M31" s="388" t="s">
        <v>2762</v>
      </c>
      <c r="N31" s="18">
        <f>SUMIF(compras_mes13[Tipo de Gasto],'Asto-Cpras'!M31,compras_mes13[NETO GRAVADO])+SUMIF(factura_c_mes152[TIPO DE GASTO],'Asto-Cpras'!M31,factura_c_mes152[TOTAL])</f>
        <v>0</v>
      </c>
      <c r="O31" s="390"/>
      <c r="P31" s="31"/>
    </row>
    <row r="32" spans="2:19" x14ac:dyDescent="0.3">
      <c r="B32" s="10"/>
      <c r="C32" s="388" t="s">
        <v>92</v>
      </c>
      <c r="D32" s="394">
        <f>SUMIF(compras_mes1[Tipo de Gasto],'Asto-Cpras'!C32,compras_mes1[NETO GRAVADO])+SUMIF(factura_c_mes1[TIPO DE GASTO],'Asto-Cpras'!C32,factura_c_mes1[TOTAL])</f>
        <v>0</v>
      </c>
      <c r="E32" s="390"/>
      <c r="F32" s="3"/>
      <c r="G32" s="10"/>
      <c r="H32" s="388" t="s">
        <v>92</v>
      </c>
      <c r="I32" s="18">
        <f>SUMIF(compras_mes2[Tipo de Gasto],'Asto-Cpras'!H32,compras_mes2[NETO GRAVADO])+SUMIF(factura_c_mes2[TIPO DE GASTO],'Asto-Cpras'!H32,factura_c_mes2[TOTAL])</f>
        <v>0</v>
      </c>
      <c r="J32" s="390"/>
      <c r="K32" s="3"/>
      <c r="L32" s="10"/>
      <c r="M32" s="388" t="s">
        <v>92</v>
      </c>
      <c r="N32" s="18">
        <f>SUMIF(compras_mes13[Tipo de Gasto],'Asto-Cpras'!M32,compras_mes13[NETO GRAVADO])+SUMIF(factura_c_mes152[TIPO DE GASTO],'Asto-Cpras'!M32,factura_c_mes152[TOTAL])</f>
        <v>0</v>
      </c>
      <c r="O32" s="390"/>
      <c r="P32" s="31"/>
    </row>
    <row r="33" spans="2:16" x14ac:dyDescent="0.3">
      <c r="B33" s="10"/>
      <c r="C33" s="388" t="s">
        <v>2719</v>
      </c>
      <c r="D33" s="394">
        <f>SUMIF(compras_mes1[Tipo de Gasto],'Asto-Cpras'!C33,compras_mes1[NETO GRAVADO])+SUMIF(factura_c_mes1[TIPO DE GASTO],'Asto-Cpras'!C33,factura_c_mes1[TOTAL])</f>
        <v>19831.05</v>
      </c>
      <c r="E33" s="390"/>
      <c r="F33" s="3"/>
      <c r="G33" s="10"/>
      <c r="H33" s="388" t="s">
        <v>2719</v>
      </c>
      <c r="I33" s="18">
        <f>SUMIF(compras_mes2[Tipo de Gasto],'Asto-Cpras'!H33,compras_mes2[NETO GRAVADO])+SUMIF(factura_c_mes2[TIPO DE GASTO],'Asto-Cpras'!H33,factura_c_mes2[TOTAL])</f>
        <v>15636.48</v>
      </c>
      <c r="J33" s="390"/>
      <c r="K33" s="3"/>
      <c r="L33" s="10"/>
      <c r="M33" s="388" t="s">
        <v>2719</v>
      </c>
      <c r="N33" s="18">
        <f>SUMIF(compras_mes13[Tipo de Gasto],'Asto-Cpras'!M33,compras_mes13[NETO GRAVADO])+SUMIF(factura_c_mes152[TIPO DE GASTO],'Asto-Cpras'!M33,factura_c_mes152[TOTAL])</f>
        <v>0</v>
      </c>
      <c r="O33" s="390"/>
      <c r="P33" s="31"/>
    </row>
    <row r="34" spans="2:16" x14ac:dyDescent="0.3">
      <c r="B34" s="10"/>
      <c r="C34" s="388" t="s">
        <v>2796</v>
      </c>
      <c r="D34" s="394">
        <f>SUMIF(compras_mes1[Tipo de Gasto],'Asto-Cpras'!C34,compras_mes1[NETO GRAVADO])+SUMIF(factura_c_mes1[TIPO DE GASTO],'Asto-Cpras'!C34,factura_c_mes1[TOTAL])</f>
        <v>0</v>
      </c>
      <c r="E34" s="390"/>
      <c r="F34" s="3"/>
      <c r="G34" s="10"/>
      <c r="H34" s="388" t="s">
        <v>2796</v>
      </c>
      <c r="I34" s="18">
        <f>SUMIF(compras_mes2[Tipo de Gasto],'Asto-Cpras'!H34,compras_mes2[NETO GRAVADO])+SUMIF(factura_c_mes2[TIPO DE GASTO],'Asto-Cpras'!H34,factura_c_mes2[TOTAL])</f>
        <v>0</v>
      </c>
      <c r="J34" s="390"/>
      <c r="K34" s="3"/>
      <c r="L34" s="10"/>
      <c r="M34" s="388" t="s">
        <v>2796</v>
      </c>
      <c r="N34" s="18">
        <f>SUMIF(compras_mes13[Tipo de Gasto],'Asto-Cpras'!M34,compras_mes13[NETO GRAVADO])+SUMIF(factura_c_mes152[TIPO DE GASTO],'Asto-Cpras'!M34,factura_c_mes152[TOTAL])</f>
        <v>0</v>
      </c>
      <c r="O34" s="390"/>
      <c r="P34" s="31"/>
    </row>
    <row r="35" spans="2:16" x14ac:dyDescent="0.3">
      <c r="B35" s="10"/>
      <c r="C35" s="388" t="s">
        <v>57</v>
      </c>
      <c r="D35" s="394">
        <f>SUMIF(compras_mes1[Tipo de Gasto],'Asto-Cpras'!C35,compras_mes1[NETO GRAVADO])+SUMIF(factura_c_mes1[TIPO DE GASTO],'Asto-Cpras'!C35,factura_c_mes1[TOTAL])</f>
        <v>0</v>
      </c>
      <c r="E35" s="390"/>
      <c r="F35" s="3"/>
      <c r="G35" s="10"/>
      <c r="H35" s="388" t="s">
        <v>57</v>
      </c>
      <c r="I35" s="18">
        <f>SUMIF(compras_mes2[Tipo de Gasto],'Asto-Cpras'!H35,compras_mes2[NETO GRAVADO])+SUMIF(factura_c_mes2[TIPO DE GASTO],'Asto-Cpras'!H35,factura_c_mes2[TOTAL])</f>
        <v>0</v>
      </c>
      <c r="J35" s="390"/>
      <c r="K35" s="3"/>
      <c r="L35" s="10"/>
      <c r="M35" s="388" t="s">
        <v>57</v>
      </c>
      <c r="N35" s="18">
        <f>SUMIF(compras_mes13[Tipo de Gasto],'Asto-Cpras'!M35,compras_mes13[NETO GRAVADO])+SUMIF(factura_c_mes152[TIPO DE GASTO],'Asto-Cpras'!M35,factura_c_mes152[TOTAL])</f>
        <v>0</v>
      </c>
      <c r="O35" s="390"/>
      <c r="P35" s="31"/>
    </row>
    <row r="36" spans="2:16" x14ac:dyDescent="0.3">
      <c r="B36" s="10"/>
      <c r="C36" s="388" t="s">
        <v>2730</v>
      </c>
      <c r="D36" s="394">
        <f>SUMIF(compras_mes1[Tipo de Gasto],'Asto-Cpras'!C36,compras_mes1[NETO GRAVADO])+SUMIF(factura_c_mes1[TIPO DE GASTO],'Asto-Cpras'!C36,factura_c_mes1[TOTAL])</f>
        <v>35329.040000000001</v>
      </c>
      <c r="E36" s="390"/>
      <c r="F36" s="3"/>
      <c r="G36" s="10"/>
      <c r="H36" s="388" t="s">
        <v>2730</v>
      </c>
      <c r="I36" s="18">
        <f>SUMIF(compras_mes2[Tipo de Gasto],'Asto-Cpras'!H36,compras_mes2[NETO GRAVADO])+SUMIF(factura_c_mes2[TIPO DE GASTO],'Asto-Cpras'!H36,factura_c_mes2[TOTAL])</f>
        <v>0</v>
      </c>
      <c r="J36" s="390"/>
      <c r="K36" s="3"/>
      <c r="L36" s="10"/>
      <c r="M36" s="388" t="s">
        <v>2730</v>
      </c>
      <c r="N36" s="18">
        <f>SUMIF(compras_mes13[Tipo de Gasto],'Asto-Cpras'!M36,compras_mes13[NETO GRAVADO])+SUMIF(factura_c_mes152[TIPO DE GASTO],'Asto-Cpras'!M36,factura_c_mes152[TOTAL])</f>
        <v>0</v>
      </c>
      <c r="O36" s="390"/>
      <c r="P36" s="31"/>
    </row>
    <row r="37" spans="2:16" x14ac:dyDescent="0.3">
      <c r="B37" s="10"/>
      <c r="C37" s="388" t="s">
        <v>2891</v>
      </c>
      <c r="D37" s="394">
        <f>SUMIF(compras_mes1[Tipo de Gasto],'Asto-Cpras'!C37,compras_mes1[NETO GRAVADO])+SUMIF(factura_c_mes1[TIPO DE GASTO],'Asto-Cpras'!C37,factura_c_mes1[TOTAL])</f>
        <v>0</v>
      </c>
      <c r="E37" s="390"/>
      <c r="F37" s="3"/>
      <c r="G37" s="10"/>
      <c r="H37" s="388" t="s">
        <v>2891</v>
      </c>
      <c r="I37" s="18">
        <f>SUMIF(compras_mes2[Tipo de Gasto],'Asto-Cpras'!H37,compras_mes2[NETO GRAVADO])+SUMIF(factura_c_mes2[TIPO DE GASTO],'Asto-Cpras'!H37,factura_c_mes2[TOTAL])</f>
        <v>0</v>
      </c>
      <c r="J37" s="390"/>
      <c r="K37" s="3"/>
      <c r="L37" s="10"/>
      <c r="M37" s="388" t="s">
        <v>2891</v>
      </c>
      <c r="N37" s="18">
        <f>SUMIF(compras_mes13[Tipo de Gasto],'Asto-Cpras'!M37,compras_mes13[NETO GRAVADO])+SUMIF(factura_c_mes152[TIPO DE GASTO],'Asto-Cpras'!M37,factura_c_mes152[TOTAL])</f>
        <v>0</v>
      </c>
      <c r="O37" s="390"/>
      <c r="P37" s="31"/>
    </row>
    <row r="38" spans="2:16" x14ac:dyDescent="0.3">
      <c r="B38" s="10"/>
      <c r="C38" s="388" t="s">
        <v>60</v>
      </c>
      <c r="D38" s="394">
        <f>SUMIF(compras_mes1[Tipo de Gasto],'Asto-Cpras'!C38,compras_mes1[NETO GRAVADO])+SUMIF(factura_c_mes1[TIPO DE GASTO],'Asto-Cpras'!C38,factura_c_mes1[TOTAL])</f>
        <v>56109.149999999994</v>
      </c>
      <c r="E38" s="390"/>
      <c r="F38" s="3"/>
      <c r="G38" s="10"/>
      <c r="H38" s="388" t="s">
        <v>60</v>
      </c>
      <c r="I38" s="18">
        <f>SUMIF(compras_mes2[Tipo de Gasto],'Asto-Cpras'!H38,compras_mes2[NETO GRAVADO])+SUMIF(factura_c_mes2[TIPO DE GASTO],'Asto-Cpras'!H38,factura_c_mes2[TOTAL])</f>
        <v>54877.22</v>
      </c>
      <c r="J38" s="390"/>
      <c r="K38" s="3"/>
      <c r="L38" s="10"/>
      <c r="M38" s="388" t="s">
        <v>60</v>
      </c>
      <c r="N38" s="18">
        <f>SUMIF(compras_mes13[Tipo de Gasto],'Asto-Cpras'!M38,compras_mes13[NETO GRAVADO])+SUMIF(factura_c_mes152[TIPO DE GASTO],'Asto-Cpras'!M38,factura_c_mes152[TOTAL])</f>
        <v>33343.520000000004</v>
      </c>
      <c r="O38" s="390"/>
      <c r="P38" s="31"/>
    </row>
    <row r="39" spans="2:16" x14ac:dyDescent="0.3">
      <c r="B39" s="10"/>
      <c r="C39" s="388" t="s">
        <v>2838</v>
      </c>
      <c r="D39" s="394">
        <f>SUMIF(compras_mes1[Tipo de Gasto],'Asto-Cpras'!C39,compras_mes1[NETO GRAVADO])+SUMIF(factura_c_mes1[TIPO DE GASTO],'Asto-Cpras'!C39,factura_c_mes1[TOTAL])</f>
        <v>15876</v>
      </c>
      <c r="E39" s="390"/>
      <c r="F39" s="3"/>
      <c r="G39" s="10"/>
      <c r="H39" s="388" t="s">
        <v>2838</v>
      </c>
      <c r="I39" s="18">
        <f>SUMIF(compras_mes2[Tipo de Gasto],'Asto-Cpras'!H39,compras_mes2[NETO GRAVADO])+SUMIF(factura_c_mes2[TIPO DE GASTO],'Asto-Cpras'!H39,factura_c_mes2[TOTAL])</f>
        <v>36117</v>
      </c>
      <c r="J39" s="390"/>
      <c r="K39" s="3"/>
      <c r="L39" s="10"/>
      <c r="M39" s="388" t="s">
        <v>2838</v>
      </c>
      <c r="N39" s="18">
        <f>SUMIF(compras_mes13[Tipo de Gasto],'Asto-Cpras'!M39,compras_mes13[NETO GRAVADO])+SUMIF(factura_c_mes152[TIPO DE GASTO],'Asto-Cpras'!M39,factura_c_mes152[TOTAL])</f>
        <v>16317</v>
      </c>
      <c r="O39" s="390"/>
      <c r="P39" s="31"/>
    </row>
    <row r="40" spans="2:16" x14ac:dyDescent="0.3">
      <c r="B40" s="10"/>
      <c r="C40" s="388" t="s">
        <v>2882</v>
      </c>
      <c r="D40" s="394">
        <f>SUMIF(compras_mes1[Tipo de Gasto],'Asto-Cpras'!C40,compras_mes1[NETO GRAVADO])+SUMIF(factura_c_mes1[TIPO DE GASTO],'Asto-Cpras'!C40,factura_c_mes1[TOTAL])</f>
        <v>0</v>
      </c>
      <c r="E40" s="390"/>
      <c r="F40" s="3"/>
      <c r="G40" s="10"/>
      <c r="H40" s="388" t="s">
        <v>2882</v>
      </c>
      <c r="I40" s="18">
        <f>SUMIF(compras_mes2[Tipo de Gasto],'Asto-Cpras'!H40,compras_mes2[NETO GRAVADO])+SUMIF(factura_c_mes2[TIPO DE GASTO],'Asto-Cpras'!H40,factura_c_mes2[TOTAL])</f>
        <v>0</v>
      </c>
      <c r="J40" s="390"/>
      <c r="K40" s="3"/>
      <c r="L40" s="10"/>
      <c r="M40" s="388" t="s">
        <v>2882</v>
      </c>
      <c r="N40" s="18">
        <f>SUMIF(compras_mes13[Tipo de Gasto],'Asto-Cpras'!M40,compras_mes13[NETO GRAVADO])+SUMIF(factura_c_mes152[TIPO DE GASTO],'Asto-Cpras'!M40,factura_c_mes152[TOTAL])</f>
        <v>0</v>
      </c>
      <c r="O40" s="390"/>
      <c r="P40" s="31"/>
    </row>
    <row r="41" spans="2:16" x14ac:dyDescent="0.3">
      <c r="B41" s="10">
        <v>107.1</v>
      </c>
      <c r="C41" s="388" t="s">
        <v>17</v>
      </c>
      <c r="D41" s="394">
        <f>SUM(compras_mes1[IVA 21 %])</f>
        <v>811246.92689999996</v>
      </c>
      <c r="E41" s="390"/>
      <c r="F41" s="3"/>
      <c r="G41" s="10">
        <f>IF($B$41="","",$B$41)</f>
        <v>107.1</v>
      </c>
      <c r="H41" s="388" t="str">
        <f>IF($C$41="","",$C$41)</f>
        <v>IVA 21%</v>
      </c>
      <c r="I41" s="18">
        <f>SUM(compras_mes2[IVA 21 %])</f>
        <v>748978.96979999985</v>
      </c>
      <c r="J41" s="390"/>
      <c r="K41" s="3"/>
      <c r="L41" s="10">
        <f>IF($B$41="","",$B$41)</f>
        <v>107.1</v>
      </c>
      <c r="M41" s="388" t="str">
        <f>IF($C$41="","",$C$41)</f>
        <v>IVA 21%</v>
      </c>
      <c r="N41" s="18">
        <f>SUM(compras_mes13[IVA 21 %])</f>
        <v>749794.33799999964</v>
      </c>
      <c r="O41" s="390"/>
    </row>
    <row r="42" spans="2:16" x14ac:dyDescent="0.3">
      <c r="B42" s="10">
        <v>107.1</v>
      </c>
      <c r="C42" s="388" t="s">
        <v>6</v>
      </c>
      <c r="D42" s="394">
        <f>SUM(compras_mes1[IVA 27%])</f>
        <v>2184.15</v>
      </c>
      <c r="E42" s="390"/>
      <c r="F42" s="3"/>
      <c r="G42" s="10">
        <f>IF($B$42="","",$B$42)</f>
        <v>107.1</v>
      </c>
      <c r="H42" s="388" t="str">
        <f>IF($C$42="","",$C$42)</f>
        <v>IVA 27%</v>
      </c>
      <c r="I42" s="18">
        <f>SUM(compras_mes2[IVA 27%])</f>
        <v>2191.0300000000002</v>
      </c>
      <c r="J42" s="390"/>
      <c r="K42" s="3"/>
      <c r="L42" s="10">
        <f>IF($B$42="","",$B$42)</f>
        <v>107.1</v>
      </c>
      <c r="M42" s="388" t="str">
        <f>IF($C$42="","",$C$42)</f>
        <v>IVA 27%</v>
      </c>
      <c r="N42" s="18">
        <f>SUM(compras_mes13[IVA 27%])</f>
        <v>0</v>
      </c>
      <c r="O42" s="390"/>
    </row>
    <row r="43" spans="2:16" x14ac:dyDescent="0.3">
      <c r="B43" s="10">
        <v>107.1</v>
      </c>
      <c r="C43" s="388" t="s">
        <v>7</v>
      </c>
      <c r="D43" s="394">
        <f>SUM(compras_mes1[IVA 10,5%])</f>
        <v>108178.48999999999</v>
      </c>
      <c r="E43" s="390"/>
      <c r="F43" s="3"/>
      <c r="G43" s="10">
        <f>IF($B$43="","",$B$43)</f>
        <v>107.1</v>
      </c>
      <c r="H43" s="388" t="str">
        <f>IF($C$43="","",$C$43)</f>
        <v>IVA 10,5%</v>
      </c>
      <c r="I43" s="18">
        <f>SUM(compras_mes2[IVA 10,5%])</f>
        <v>42125.249999999993</v>
      </c>
      <c r="J43" s="390"/>
      <c r="K43" s="3"/>
      <c r="L43" s="10">
        <f>IF($B$43="","",$B$43)</f>
        <v>107.1</v>
      </c>
      <c r="M43" s="388" t="str">
        <f>IF($C$43="","",$C$43)</f>
        <v>IVA 10,5%</v>
      </c>
      <c r="N43" s="18">
        <f>SUM(compras_mes13[IVA 10,5%])</f>
        <v>0</v>
      </c>
      <c r="O43" s="390"/>
    </row>
    <row r="44" spans="2:16" x14ac:dyDescent="0.3">
      <c r="B44" s="10">
        <v>106.55</v>
      </c>
      <c r="C44" s="388" t="s">
        <v>39</v>
      </c>
      <c r="D44" s="394">
        <f>SUM(compras_mes1[PERC IIBB 
BS AS])</f>
        <v>0</v>
      </c>
      <c r="E44" s="390"/>
      <c r="F44" s="3"/>
      <c r="G44" s="10">
        <f>IF($B$44="","",$B$44)</f>
        <v>106.55</v>
      </c>
      <c r="H44" s="388" t="str">
        <f>IF($C$44="","",$C$44)</f>
        <v>PERC IIBB BS AS</v>
      </c>
      <c r="I44" s="18">
        <f>SUM(compras_mes2[PERC IIBB 
BS AS])</f>
        <v>0</v>
      </c>
      <c r="J44" s="390"/>
      <c r="K44" s="3"/>
      <c r="L44" s="10">
        <f>IF($B$44="","",$B$44)</f>
        <v>106.55</v>
      </c>
      <c r="M44" s="388" t="str">
        <f>IF($C$44="","",$C$44)</f>
        <v>PERC IIBB BS AS</v>
      </c>
      <c r="N44" s="18">
        <f>SUM(compras_mes13[PERC IIBB 
BS AS])</f>
        <v>9324.93</v>
      </c>
      <c r="O44" s="390"/>
    </row>
    <row r="45" spans="2:16" x14ac:dyDescent="0.3">
      <c r="B45" s="10">
        <v>106.551</v>
      </c>
      <c r="C45" s="388" t="s">
        <v>40</v>
      </c>
      <c r="D45" s="394">
        <f>SUM(compras_mes1[PERC. IIBB CABA])</f>
        <v>72450.39</v>
      </c>
      <c r="E45" s="390"/>
      <c r="F45" s="3"/>
      <c r="G45" s="10">
        <f>IF($B$45="","",$B$45)</f>
        <v>106.551</v>
      </c>
      <c r="H45" s="388" t="str">
        <f>IF($C$45="","",$C$45)</f>
        <v>PERC IIBB CABA</v>
      </c>
      <c r="I45" s="18">
        <f>SUM(compras_mes2[PERC. IIBB CABA])</f>
        <v>50854.84</v>
      </c>
      <c r="J45" s="390"/>
      <c r="K45" s="3"/>
      <c r="L45" s="10">
        <f>IF($B$45="","",$B$45)</f>
        <v>106.551</v>
      </c>
      <c r="M45" s="388" t="str">
        <f>IF($C$45="","",$C$45)</f>
        <v>PERC IIBB CABA</v>
      </c>
      <c r="N45" s="18">
        <f>SUM(compras_mes13[PERC. IIBB CABA])</f>
        <v>3864.3500000000004</v>
      </c>
      <c r="O45" s="390"/>
    </row>
    <row r="46" spans="2:16" x14ac:dyDescent="0.3">
      <c r="B46" s="10">
        <v>106.54</v>
      </c>
      <c r="C46" s="388" t="s">
        <v>8</v>
      </c>
      <c r="D46" s="394">
        <f>SUM(compras_mes1[PERC. IVA])</f>
        <v>4854.55</v>
      </c>
      <c r="E46" s="391"/>
      <c r="F46" s="3"/>
      <c r="G46" s="10">
        <f>IF($B$46="","",$B$46)</f>
        <v>106.54</v>
      </c>
      <c r="H46" s="388" t="str">
        <f>IF($C$46="","",$C$46)</f>
        <v>PERC. IVA</v>
      </c>
      <c r="I46" s="18">
        <f>SUM(compras_mes2[PERC. IVA])</f>
        <v>4724.3900000000012</v>
      </c>
      <c r="J46" s="391"/>
      <c r="K46" s="3"/>
      <c r="L46" s="10">
        <f>IF($B$46="","",$B$46)</f>
        <v>106.54</v>
      </c>
      <c r="M46" s="388" t="str">
        <f>IF($C$46="","",$C$46)</f>
        <v>PERC. IVA</v>
      </c>
      <c r="N46" s="18">
        <f>SUM(compras_mes13[PERC. IVA])</f>
        <v>2744.8500000000004</v>
      </c>
      <c r="O46" s="391"/>
    </row>
    <row r="47" spans="2:16" x14ac:dyDescent="0.3">
      <c r="B47" s="423"/>
      <c r="C47" s="424" t="s">
        <v>36</v>
      </c>
      <c r="D47" s="395">
        <f>SUM(compras_mes1[Otros / No Grav.])</f>
        <v>32010.760000000002</v>
      </c>
      <c r="E47" s="391"/>
      <c r="F47" s="3"/>
      <c r="G47" s="423" t="str">
        <f>IF($B$47="","",$B$47)</f>
        <v/>
      </c>
      <c r="H47" s="424" t="str">
        <f>IF($C$47="","",$C$47)</f>
        <v>Otros / No Grav.</v>
      </c>
      <c r="I47" s="18">
        <f>SUM(compras_mes2[Otros / No Grav.])</f>
        <v>18048.25</v>
      </c>
      <c r="J47" s="391"/>
      <c r="K47" s="3"/>
      <c r="L47" s="423" t="str">
        <f>IF($B$47="","",$B$47)</f>
        <v/>
      </c>
      <c r="M47" s="424" t="str">
        <f>IF($C$47="","",$C$47)</f>
        <v>Otros / No Grav.</v>
      </c>
      <c r="N47" s="18">
        <f>SUM(compras_mes13[Otros / No Grav.])</f>
        <v>657563.89</v>
      </c>
      <c r="O47" s="391"/>
    </row>
    <row r="48" spans="2:16" ht="15" thickBot="1" x14ac:dyDescent="0.35">
      <c r="B48" s="397">
        <v>200.9</v>
      </c>
      <c r="C48" s="398" t="s">
        <v>41</v>
      </c>
      <c r="D48" s="396"/>
      <c r="E48" s="399">
        <v>5952206.2199999997</v>
      </c>
      <c r="F48" s="3"/>
      <c r="G48" s="400">
        <f>IF($B$48="","",$B$48)</f>
        <v>200.9</v>
      </c>
      <c r="H48" s="401" t="str">
        <f>IF($C$48="","",$C$48)</f>
        <v>PROVEEDORES</v>
      </c>
      <c r="I48" s="396"/>
      <c r="J48" s="399">
        <v>4876640.25</v>
      </c>
      <c r="K48" s="3"/>
      <c r="L48" s="400">
        <f>IF($B$48="","",$B$48)</f>
        <v>200.9</v>
      </c>
      <c r="M48" s="401" t="str">
        <f>IF($C$48="","",$C$48)</f>
        <v>PROVEEDORES</v>
      </c>
      <c r="N48" s="403"/>
      <c r="O48" s="399">
        <v>5382247.4800000004</v>
      </c>
    </row>
    <row r="49" spans="2:19" x14ac:dyDescent="0.3">
      <c r="B49" s="462"/>
      <c r="C49" s="462"/>
      <c r="D49" s="462"/>
      <c r="E49" s="7">
        <f>SUM(D5:D47)-E48</f>
        <v>-366.43310000002384</v>
      </c>
      <c r="F49" s="3"/>
      <c r="G49" s="462"/>
      <c r="H49" s="462"/>
      <c r="I49" s="462"/>
      <c r="J49" s="7">
        <f>SUM(I5:I47)-J48</f>
        <v>-10000.00019999966</v>
      </c>
      <c r="K49" s="3"/>
      <c r="L49" s="462"/>
      <c r="M49" s="462"/>
      <c r="N49" s="462"/>
      <c r="O49" s="7">
        <f>SUM(N5:N47)-O48</f>
        <v>-10501.47200000193</v>
      </c>
    </row>
    <row r="50" spans="2:19" ht="15" thickBot="1" x14ac:dyDescent="0.35">
      <c r="B50" s="6"/>
      <c r="C50" s="6"/>
      <c r="D50" s="6"/>
      <c r="E50" s="9"/>
      <c r="F50" s="3"/>
      <c r="G50" s="6"/>
      <c r="H50" s="6"/>
      <c r="I50" s="6"/>
      <c r="J50" s="9"/>
      <c r="K50" s="3"/>
      <c r="L50" s="6"/>
      <c r="M50" s="6"/>
      <c r="N50" s="6"/>
      <c r="O50" s="9"/>
    </row>
    <row r="51" spans="2:19" ht="18.600000000000001" thickBot="1" x14ac:dyDescent="0.35">
      <c r="B51" s="459">
        <f>EDATE($L$4,1)</f>
        <v>44652</v>
      </c>
      <c r="C51" s="460"/>
      <c r="D51" s="460"/>
      <c r="E51" s="461"/>
      <c r="F51" s="3"/>
      <c r="G51" s="459">
        <f>EDATE($B$51,1)</f>
        <v>44682</v>
      </c>
      <c r="H51" s="460"/>
      <c r="I51" s="465"/>
      <c r="J51" s="461"/>
      <c r="K51" s="3"/>
      <c r="L51" s="459">
        <f>EDATE($G$51,1)</f>
        <v>44713</v>
      </c>
      <c r="M51" s="460"/>
      <c r="N51" s="460"/>
      <c r="O51" s="461"/>
    </row>
    <row r="52" spans="2:19" x14ac:dyDescent="0.3">
      <c r="B52" s="10"/>
      <c r="C52" s="388" t="s">
        <v>67</v>
      </c>
      <c r="D52" s="17">
        <f>SUMIF(compras_mes4[Tipo de Gasto],'Asto-Cpras'!C52,compras_mes4[NETO GRAVADO])+SUMIF(factura_c_mes4[TIPO DE GASTO],'Asto-Cpras'!C52,factura_c_mes4[TOTAL])</f>
        <v>50000</v>
      </c>
      <c r="E52" s="390"/>
      <c r="F52" s="3"/>
      <c r="G52" s="10"/>
      <c r="H52" s="388" t="s">
        <v>67</v>
      </c>
      <c r="I52" s="18">
        <f>SUMIF(compras_mes5[Tipo de Gasto],'Asto-Cpras'!H52,compras_mes5[NETO GRAVADO])+SUMIF(factura_c_mes5[TIPO DE GASTO],'Asto-Cpras'!H52,factura_c_mes5[TOTAL])</f>
        <v>94000</v>
      </c>
      <c r="J52" s="389"/>
      <c r="K52" s="3"/>
      <c r="L52" s="10" t="str">
        <f>IF($B$5="","",$B$5)</f>
        <v/>
      </c>
      <c r="M52" s="388" t="s">
        <v>67</v>
      </c>
      <c r="N52" s="17">
        <f>SUMIF(compras_mes6[Tipo de Gasto],'Asto-Cpras'!M52,compras_mes6[NETO GRAVADO])+SUMIF(factura_c_mes6[TIPO DE GASTO],'Asto-Cpras'!M52,factura_c_mes6[TOTAL])</f>
        <v>50000</v>
      </c>
      <c r="O52" s="390"/>
      <c r="Q52" s="427">
        <v>500.67</v>
      </c>
      <c r="R52" s="428" t="s">
        <v>2749</v>
      </c>
      <c r="S52" s="428"/>
    </row>
    <row r="53" spans="2:19" x14ac:dyDescent="0.3">
      <c r="B53" s="10"/>
      <c r="C53" s="388" t="s">
        <v>2827</v>
      </c>
      <c r="D53" s="18">
        <f>SUMIF(compras_mes4[Tipo de Gasto],'Asto-Cpras'!C53,compras_mes4[NETO GRAVADO])+SUMIF(factura_c_mes4[TIPO DE GASTO],'Asto-Cpras'!C53,factura_c_mes4[TOTAL])</f>
        <v>0</v>
      </c>
      <c r="E53" s="390"/>
      <c r="F53" s="3"/>
      <c r="G53" s="10"/>
      <c r="H53" s="388" t="s">
        <v>2827</v>
      </c>
      <c r="I53" s="18">
        <f>SUMIF(compras_mes5[Tipo de Gasto],'Asto-Cpras'!H53,compras_mes5[NETO GRAVADO])+SUMIF(factura_c_mes5[TIPO DE GASTO],'Asto-Cpras'!H53,factura_c_mes5[TOTAL])</f>
        <v>0</v>
      </c>
      <c r="J53" s="390"/>
      <c r="K53" s="3"/>
      <c r="L53" s="10"/>
      <c r="M53" s="388" t="s">
        <v>2827</v>
      </c>
      <c r="N53" s="18">
        <f>SUMIF(compras_mes6[Tipo de Gasto],'Asto-Cpras'!M53,compras_mes6[NETO GRAVADO])+SUMIF(factura_c_mes6[TIPO DE GASTO],'Asto-Cpras'!M53,factura_c_mes6[TOTAL])</f>
        <v>0</v>
      </c>
      <c r="O53" s="390"/>
      <c r="Q53" s="427"/>
      <c r="R53" s="428" t="s">
        <v>2938</v>
      </c>
      <c r="S53" s="428" t="s">
        <v>2943</v>
      </c>
    </row>
    <row r="54" spans="2:19" x14ac:dyDescent="0.3">
      <c r="B54" s="10"/>
      <c r="C54" s="388" t="s">
        <v>2749</v>
      </c>
      <c r="D54" s="18">
        <f>SUMIF(compras_mes4[Tipo de Gasto],'Asto-Cpras'!C54,compras_mes4[NETO GRAVADO])+SUMIF(factura_c_mes4[TIPO DE GASTO],'Asto-Cpras'!C54,factura_c_mes4[TOTAL])</f>
        <v>0</v>
      </c>
      <c r="E54" s="390"/>
      <c r="F54" s="3"/>
      <c r="G54" s="10"/>
      <c r="H54" s="388" t="s">
        <v>2749</v>
      </c>
      <c r="I54" s="18">
        <f>SUMIF(compras_mes5[Tipo de Gasto],'Asto-Cpras'!H54,compras_mes5[NETO GRAVADO])+SUMIF(factura_c_mes5[TIPO DE GASTO],'Asto-Cpras'!H54,factura_c_mes5[TOTAL])</f>
        <v>0</v>
      </c>
      <c r="J54" s="390"/>
      <c r="K54" s="3"/>
      <c r="L54" s="10"/>
      <c r="M54" s="388" t="s">
        <v>2749</v>
      </c>
      <c r="N54" s="18">
        <f>SUMIF(compras_mes6[Tipo de Gasto],'Asto-Cpras'!M54,compras_mes6[NETO GRAVADO])+SUMIF(factura_c_mes6[TIPO DE GASTO],'Asto-Cpras'!M54,factura_c_mes6[TOTAL])</f>
        <v>0</v>
      </c>
      <c r="O54" s="390"/>
      <c r="Q54" s="427">
        <v>540.12</v>
      </c>
      <c r="R54" s="428" t="s">
        <v>2939</v>
      </c>
      <c r="S54" s="428"/>
    </row>
    <row r="55" spans="2:19" x14ac:dyDescent="0.3">
      <c r="B55" s="10"/>
      <c r="C55" s="388" t="s">
        <v>2706</v>
      </c>
      <c r="D55" s="18">
        <f>SUMIF(compras_mes4[Tipo de Gasto],'Asto-Cpras'!C55,compras_mes4[NETO GRAVADO])+SUMIF(factura_c_mes4[TIPO DE GASTO],'Asto-Cpras'!C55,factura_c_mes4[TOTAL])</f>
        <v>86924.52</v>
      </c>
      <c r="E55" s="390"/>
      <c r="F55" s="3"/>
      <c r="G55" s="10"/>
      <c r="H55" s="388" t="s">
        <v>2706</v>
      </c>
      <c r="I55" s="18">
        <f>SUMIF(compras_mes5[Tipo de Gasto],'Asto-Cpras'!H55,compras_mes5[NETO GRAVADO])+SUMIF(factura_c_mes5[TIPO DE GASTO],'Asto-Cpras'!H55,factura_c_mes5[TOTAL])</f>
        <v>88044.50999999998</v>
      </c>
      <c r="J55" s="390"/>
      <c r="K55" s="3"/>
      <c r="L55" s="10"/>
      <c r="M55" s="388" t="s">
        <v>2706</v>
      </c>
      <c r="N55" s="18">
        <f>SUMIF(compras_mes6[Tipo de Gasto],'Asto-Cpras'!M55,compras_mes6[NETO GRAVADO])+SUMIF(factura_c_mes6[TIPO DE GASTO],'Asto-Cpras'!M55,factura_c_mes6[TOTAL])</f>
        <v>121431.05999999998</v>
      </c>
      <c r="O55" s="390"/>
      <c r="Q55" s="427">
        <v>540.13</v>
      </c>
      <c r="R55" s="428" t="s">
        <v>2786</v>
      </c>
      <c r="S55" s="428"/>
    </row>
    <row r="56" spans="2:19" x14ac:dyDescent="0.3">
      <c r="B56" s="10"/>
      <c r="C56" s="388" t="s">
        <v>2738</v>
      </c>
      <c r="D56" s="18">
        <f>SUMIF(compras_mes4[Tipo de Gasto],'Asto-Cpras'!C56,compras_mes4[NETO GRAVADO])+SUMIF(factura_c_mes4[TIPO DE GASTO],'Asto-Cpras'!C56,factura_c_mes4[TOTAL])</f>
        <v>2944.79</v>
      </c>
      <c r="E56" s="390"/>
      <c r="F56" s="3"/>
      <c r="G56" s="10"/>
      <c r="H56" s="388" t="s">
        <v>2738</v>
      </c>
      <c r="I56" s="18">
        <f>SUMIF(compras_mes5[Tipo de Gasto],'Asto-Cpras'!H56,compras_mes5[NETO GRAVADO])+SUMIF(factura_c_mes5[TIPO DE GASTO],'Asto-Cpras'!H56,factura_c_mes5[TOTAL])</f>
        <v>0</v>
      </c>
      <c r="J56" s="390"/>
      <c r="K56" s="3"/>
      <c r="L56" s="10"/>
      <c r="M56" s="388" t="s">
        <v>2738</v>
      </c>
      <c r="N56" s="18">
        <f>SUMIF(compras_mes6[Tipo de Gasto],'Asto-Cpras'!M56,compras_mes6[NETO GRAVADO])+SUMIF(factura_c_mes6[TIPO DE GASTO],'Asto-Cpras'!M56,factura_c_mes6[TOTAL])</f>
        <v>6012.5199999999995</v>
      </c>
      <c r="O56" s="390"/>
      <c r="Q56" s="427">
        <v>508.1</v>
      </c>
      <c r="R56" s="428" t="s">
        <v>2916</v>
      </c>
      <c r="S56" s="428" t="s">
        <v>2945</v>
      </c>
    </row>
    <row r="57" spans="2:19" x14ac:dyDescent="0.3">
      <c r="B57" s="10"/>
      <c r="C57" s="388" t="s">
        <v>2745</v>
      </c>
      <c r="D57" s="18">
        <f>SUMIF(compras_mes4[Tipo de Gasto],'Asto-Cpras'!C57,compras_mes4[NETO GRAVADO])+SUMIF(factura_c_mes4[TIPO DE GASTO],'Asto-Cpras'!C57,factura_c_mes4[TOTAL])</f>
        <v>15009.84</v>
      </c>
      <c r="E57" s="390"/>
      <c r="F57" s="3"/>
      <c r="G57" s="10"/>
      <c r="H57" s="388" t="s">
        <v>2745</v>
      </c>
      <c r="I57" s="18">
        <f>SUMIF(compras_mes5[Tipo de Gasto],'Asto-Cpras'!H57,compras_mes5[NETO GRAVADO])+SUMIF(factura_c_mes5[TIPO DE GASTO],'Asto-Cpras'!H57,factura_c_mes5[TOTAL])</f>
        <v>60614.03</v>
      </c>
      <c r="J57" s="390"/>
      <c r="K57" s="3"/>
      <c r="L57" s="10"/>
      <c r="M57" s="388" t="s">
        <v>2745</v>
      </c>
      <c r="N57" s="18">
        <f>SUMIF(compras_mes6[Tipo de Gasto],'Asto-Cpras'!M57,compras_mes6[NETO GRAVADO])+SUMIF(factura_c_mes6[TIPO DE GASTO],'Asto-Cpras'!M57,factura_c_mes6[TOTAL])</f>
        <v>35440.509999999995</v>
      </c>
      <c r="O57" s="390"/>
      <c r="Q57" s="427">
        <v>500.65499999999997</v>
      </c>
      <c r="R57" s="428" t="s">
        <v>2899</v>
      </c>
      <c r="S57" s="428" t="s">
        <v>2946</v>
      </c>
    </row>
    <row r="58" spans="2:19" x14ac:dyDescent="0.3">
      <c r="B58" s="10"/>
      <c r="C58" s="388" t="s">
        <v>2861</v>
      </c>
      <c r="D58" s="18">
        <f>SUMIF(compras_mes4[Tipo de Gasto],'Asto-Cpras'!C58,compras_mes4[NETO GRAVADO])+SUMIF(factura_c_mes4[TIPO DE GASTO],'Asto-Cpras'!C58,factura_c_mes4[TOTAL])</f>
        <v>617785.4800000001</v>
      </c>
      <c r="E58" s="390"/>
      <c r="F58" s="3"/>
      <c r="G58" s="10"/>
      <c r="H58" s="388" t="s">
        <v>2861</v>
      </c>
      <c r="I58" s="18">
        <f>SUMIF(compras_mes5[Tipo de Gasto],'Asto-Cpras'!H58,compras_mes5[NETO GRAVADO])+SUMIF(factura_c_mes5[TIPO DE GASTO],'Asto-Cpras'!H58,factura_c_mes5[TOTAL])</f>
        <v>172650.68</v>
      </c>
      <c r="J58" s="390"/>
      <c r="K58" s="3"/>
      <c r="L58" s="10"/>
      <c r="M58" s="388" t="s">
        <v>2861</v>
      </c>
      <c r="N58" s="18">
        <f>SUMIF(compras_mes6[Tipo de Gasto],'Asto-Cpras'!M58,compras_mes6[NETO GRAVADO])+SUMIF(factura_c_mes6[TIPO DE GASTO],'Asto-Cpras'!M58,factura_c_mes6[TOTAL])</f>
        <v>97711.760000000009</v>
      </c>
      <c r="O58" s="390"/>
      <c r="Q58" s="427"/>
      <c r="R58" s="428" t="s">
        <v>2940</v>
      </c>
      <c r="S58" s="428" t="s">
        <v>2943</v>
      </c>
    </row>
    <row r="59" spans="2:19" x14ac:dyDescent="0.3">
      <c r="B59" s="10"/>
      <c r="C59" s="388" t="s">
        <v>2806</v>
      </c>
      <c r="D59" s="18">
        <f>SUMIF(compras_mes4[Tipo de Gasto],'Asto-Cpras'!C59,compras_mes4[NETO GRAVADO])+SUMIF(factura_c_mes4[TIPO DE GASTO],'Asto-Cpras'!C59,factura_c_mes4[TOTAL])</f>
        <v>0</v>
      </c>
      <c r="E59" s="390"/>
      <c r="F59" s="3"/>
      <c r="G59" s="10"/>
      <c r="H59" s="388" t="s">
        <v>2806</v>
      </c>
      <c r="I59" s="18">
        <f>SUMIF(compras_mes5[Tipo de Gasto],'Asto-Cpras'!H59,compras_mes5[NETO GRAVADO])+SUMIF(factura_c_mes5[TIPO DE GASTO],'Asto-Cpras'!H59,factura_c_mes5[TOTAL])</f>
        <v>0</v>
      </c>
      <c r="J59" s="390"/>
      <c r="K59" s="3"/>
      <c r="L59" s="10"/>
      <c r="M59" s="388" t="s">
        <v>2806</v>
      </c>
      <c r="N59" s="18">
        <f>SUMIF(compras_mes6[Tipo de Gasto],'Asto-Cpras'!M59,compras_mes6[NETO GRAVADO])+SUMIF(factura_c_mes6[TIPO DE GASTO],'Asto-Cpras'!M59,factura_c_mes6[TOTAL])</f>
        <v>0</v>
      </c>
      <c r="O59" s="390"/>
      <c r="Q59" s="427"/>
      <c r="R59" s="428" t="s">
        <v>2941</v>
      </c>
      <c r="S59" s="428" t="s">
        <v>2944</v>
      </c>
    </row>
    <row r="60" spans="2:19" x14ac:dyDescent="0.3">
      <c r="B60" s="10"/>
      <c r="C60" s="388" t="s">
        <v>2728</v>
      </c>
      <c r="D60" s="18">
        <f>SUMIF(compras_mes4[Tipo de Gasto],'Asto-Cpras'!C60,compras_mes4[NETO GRAVADO])+SUMIF(factura_c_mes4[TIPO DE GASTO],'Asto-Cpras'!C60,factura_c_mes4[TOTAL])</f>
        <v>0</v>
      </c>
      <c r="E60" s="390"/>
      <c r="F60" s="3"/>
      <c r="G60" s="10"/>
      <c r="H60" s="388" t="s">
        <v>2728</v>
      </c>
      <c r="I60" s="18">
        <f>SUMIF(compras_mes5[Tipo de Gasto],'Asto-Cpras'!H60,compras_mes5[NETO GRAVADO])+SUMIF(factura_c_mes5[TIPO DE GASTO],'Asto-Cpras'!H60,factura_c_mes5[TOTAL])</f>
        <v>0</v>
      </c>
      <c r="J60" s="390"/>
      <c r="K60" s="3"/>
      <c r="L60" s="10"/>
      <c r="M60" s="388" t="s">
        <v>2728</v>
      </c>
      <c r="N60" s="18">
        <f>SUMIF(compras_mes6[Tipo de Gasto],'Asto-Cpras'!M60,compras_mes6[NETO GRAVADO])+SUMIF(factura_c_mes6[TIPO DE GASTO],'Asto-Cpras'!M60,factura_c_mes6[TOTAL])</f>
        <v>92780</v>
      </c>
      <c r="O60" s="390"/>
      <c r="Q60" s="427"/>
      <c r="R60" s="428" t="s">
        <v>2942</v>
      </c>
      <c r="S60" s="428" t="s">
        <v>2947</v>
      </c>
    </row>
    <row r="61" spans="2:19" x14ac:dyDescent="0.3">
      <c r="B61" s="10"/>
      <c r="C61" s="388" t="s">
        <v>2809</v>
      </c>
      <c r="D61" s="18">
        <f>SUMIF(compras_mes4[Tipo de Gasto],'Asto-Cpras'!C61,compras_mes4[NETO GRAVADO])+SUMIF(factura_c_mes4[TIPO DE GASTO],'Asto-Cpras'!C61,factura_c_mes4[TOTAL])</f>
        <v>0</v>
      </c>
      <c r="E61" s="390"/>
      <c r="F61" s="3"/>
      <c r="G61" s="10"/>
      <c r="H61" s="388" t="s">
        <v>2809</v>
      </c>
      <c r="I61" s="18">
        <f>SUMIF(compras_mes5[Tipo de Gasto],'Asto-Cpras'!H61,compras_mes5[NETO GRAVADO])+SUMIF(factura_c_mes5[TIPO DE GASTO],'Asto-Cpras'!H61,factura_c_mes5[TOTAL])</f>
        <v>0</v>
      </c>
      <c r="J61" s="390"/>
      <c r="K61" s="3"/>
      <c r="L61" s="10"/>
      <c r="M61" s="388" t="s">
        <v>2809</v>
      </c>
      <c r="N61" s="18">
        <f>SUMIF(compras_mes6[Tipo de Gasto],'Asto-Cpras'!M61,compras_mes6[NETO GRAVADO])+SUMIF(factura_c_mes6[TIPO DE GASTO],'Asto-Cpras'!M61,factura_c_mes6[TOTAL])</f>
        <v>0</v>
      </c>
      <c r="O61" s="390"/>
    </row>
    <row r="62" spans="2:19" x14ac:dyDescent="0.3">
      <c r="B62" s="10"/>
      <c r="C62" s="388" t="s">
        <v>2718</v>
      </c>
      <c r="D62" s="18">
        <f>SUMIF(compras_mes4[Tipo de Gasto],'Asto-Cpras'!C62,compras_mes4[NETO GRAVADO])+SUMIF(factura_c_mes4[TIPO DE GASTO],'Asto-Cpras'!C62,factura_c_mes4[TOTAL])</f>
        <v>0</v>
      </c>
      <c r="E62" s="390"/>
      <c r="F62" s="3"/>
      <c r="G62" s="10"/>
      <c r="H62" s="388" t="s">
        <v>2718</v>
      </c>
      <c r="I62" s="18">
        <f>SUMIF(compras_mes5[Tipo de Gasto],'Asto-Cpras'!H62,compras_mes5[NETO GRAVADO])+SUMIF(factura_c_mes5[TIPO DE GASTO],'Asto-Cpras'!H62,factura_c_mes5[TOTAL])</f>
        <v>0</v>
      </c>
      <c r="J62" s="390"/>
      <c r="K62" s="3"/>
      <c r="L62" s="10"/>
      <c r="M62" s="388" t="s">
        <v>2718</v>
      </c>
      <c r="N62" s="18">
        <f>SUMIF(compras_mes6[Tipo de Gasto],'Asto-Cpras'!M62,compras_mes6[NETO GRAVADO])+SUMIF(factura_c_mes6[TIPO DE GASTO],'Asto-Cpras'!M62,factura_c_mes6[TOTAL])</f>
        <v>0</v>
      </c>
      <c r="O62" s="390"/>
    </row>
    <row r="63" spans="2:19" x14ac:dyDescent="0.3">
      <c r="B63" s="10"/>
      <c r="C63" s="388" t="s">
        <v>2704</v>
      </c>
      <c r="D63" s="18">
        <f>SUMIF(compras_mes4[Tipo de Gasto],'Asto-Cpras'!C63,compras_mes4[NETO GRAVADO])+SUMIF(factura_c_mes4[TIPO DE GASTO],'Asto-Cpras'!C63,factura_c_mes4[TOTAL])</f>
        <v>21887.599999999999</v>
      </c>
      <c r="E63" s="390"/>
      <c r="F63" s="3"/>
      <c r="G63" s="10"/>
      <c r="H63" s="388" t="s">
        <v>2704</v>
      </c>
      <c r="I63" s="18">
        <f>SUMIF(compras_mes5[Tipo de Gasto],'Asto-Cpras'!H63,compras_mes5[NETO GRAVADO])+SUMIF(factura_c_mes5[TIPO DE GASTO],'Asto-Cpras'!H63,factura_c_mes5[TOTAL])</f>
        <v>0</v>
      </c>
      <c r="J63" s="390"/>
      <c r="K63" s="3"/>
      <c r="L63" s="10"/>
      <c r="M63" s="388" t="s">
        <v>2704</v>
      </c>
      <c r="N63" s="18">
        <f>SUMIF(compras_mes6[Tipo de Gasto],'Asto-Cpras'!M63,compras_mes6[NETO GRAVADO])+SUMIF(factura_c_mes6[TIPO DE GASTO],'Asto-Cpras'!M63,factura_c_mes6[TOTAL])</f>
        <v>3314.05</v>
      </c>
      <c r="O63" s="390"/>
    </row>
    <row r="64" spans="2:19" x14ac:dyDescent="0.3">
      <c r="B64" s="10"/>
      <c r="C64" s="388" t="s">
        <v>59</v>
      </c>
      <c r="D64" s="18">
        <f>SUMIF(compras_mes4[Tipo de Gasto],'Asto-Cpras'!C64,compras_mes4[NETO GRAVADO])+SUMIF(factura_c_mes4[TIPO DE GASTO],'Asto-Cpras'!C64,factura_c_mes4[TOTAL])</f>
        <v>313588.51</v>
      </c>
      <c r="E64" s="390"/>
      <c r="F64" s="3"/>
      <c r="G64" s="10"/>
      <c r="H64" s="388" t="s">
        <v>59</v>
      </c>
      <c r="I64" s="18">
        <f>SUMIF(compras_mes5[Tipo de Gasto],'Asto-Cpras'!H64,compras_mes5[NETO GRAVADO])+SUMIF(factura_c_mes5[TIPO DE GASTO],'Asto-Cpras'!H64,factura_c_mes5[TOTAL])</f>
        <v>197210.43</v>
      </c>
      <c r="J64" s="390"/>
      <c r="K64" s="3"/>
      <c r="L64" s="10"/>
      <c r="M64" s="388" t="s">
        <v>59</v>
      </c>
      <c r="N64" s="18">
        <f>SUMIF(compras_mes6[Tipo de Gasto],'Asto-Cpras'!M64,compras_mes6[NETO GRAVADO])+SUMIF(factura_c_mes6[TIPO DE GASTO],'Asto-Cpras'!M64,factura_c_mes6[TOTAL])</f>
        <v>210240.03999999998</v>
      </c>
      <c r="O64" s="390"/>
    </row>
    <row r="65" spans="2:15" x14ac:dyDescent="0.3">
      <c r="B65" s="10"/>
      <c r="C65" s="388" t="s">
        <v>2725</v>
      </c>
      <c r="D65" s="18">
        <f>SUMIF(compras_mes4[Tipo de Gasto],'Asto-Cpras'!C65,compras_mes4[NETO GRAVADO])+SUMIF(factura_c_mes4[TIPO DE GASTO],'Asto-Cpras'!C65,factura_c_mes4[TOTAL])</f>
        <v>222574.38</v>
      </c>
      <c r="E65" s="390"/>
      <c r="F65" s="3"/>
      <c r="G65" s="10"/>
      <c r="H65" s="388" t="s">
        <v>2725</v>
      </c>
      <c r="I65" s="18">
        <f>SUMIF(compras_mes5[Tipo de Gasto],'Asto-Cpras'!H65,compras_mes5[NETO GRAVADO])+SUMIF(factura_c_mes5[TIPO DE GASTO],'Asto-Cpras'!H65,factura_c_mes5[TOTAL])</f>
        <v>720200.10999999987</v>
      </c>
      <c r="J65" s="390"/>
      <c r="K65" s="3"/>
      <c r="L65" s="10"/>
      <c r="M65" s="388" t="s">
        <v>2725</v>
      </c>
      <c r="N65" s="18">
        <f>SUMIF(compras_mes6[Tipo de Gasto],'Asto-Cpras'!M65,compras_mes6[NETO GRAVADO])+SUMIF(factura_c_mes6[TIPO DE GASTO],'Asto-Cpras'!M65,factura_c_mes6[TOTAL])</f>
        <v>129215.86</v>
      </c>
      <c r="O65" s="390"/>
    </row>
    <row r="66" spans="2:15" x14ac:dyDescent="0.3">
      <c r="B66" s="10"/>
      <c r="C66" s="388" t="s">
        <v>2899</v>
      </c>
      <c r="D66" s="18">
        <f>SUMIF(compras_mes4[Tipo de Gasto],'Asto-Cpras'!C66,compras_mes4[NETO GRAVADO])+SUMIF(factura_c_mes4[TIPO DE GASTO],'Asto-Cpras'!C66,factura_c_mes4[TOTAL])</f>
        <v>0</v>
      </c>
      <c r="E66" s="390"/>
      <c r="F66" s="3"/>
      <c r="G66" s="10"/>
      <c r="H66" s="388" t="s">
        <v>2899</v>
      </c>
      <c r="I66" s="18">
        <f>SUMIF(compras_mes5[Tipo de Gasto],'Asto-Cpras'!H66,compras_mes5[NETO GRAVADO])+SUMIF(factura_c_mes5[TIPO DE GASTO],'Asto-Cpras'!H66,factura_c_mes5[TOTAL])</f>
        <v>0</v>
      </c>
      <c r="J66" s="390"/>
      <c r="K66" s="3"/>
      <c r="L66" s="10"/>
      <c r="M66" s="388" t="s">
        <v>2899</v>
      </c>
      <c r="N66" s="18">
        <f>SUMIF(compras_mes6[Tipo de Gasto],'Asto-Cpras'!M66,compras_mes6[NETO GRAVADO])+SUMIF(factura_c_mes6[TIPO DE GASTO],'Asto-Cpras'!M66,factura_c_mes6[TOTAL])</f>
        <v>0</v>
      </c>
      <c r="O66" s="390"/>
    </row>
    <row r="67" spans="2:15" x14ac:dyDescent="0.3">
      <c r="B67" s="10"/>
      <c r="C67" s="388" t="s">
        <v>2890</v>
      </c>
      <c r="D67" s="18">
        <f>SUMIF(compras_mes4[Tipo de Gasto],'Asto-Cpras'!C67,compras_mes4[NETO GRAVADO])+SUMIF(factura_c_mes4[TIPO DE GASTO],'Asto-Cpras'!C67,factura_c_mes4[TOTAL])</f>
        <v>0</v>
      </c>
      <c r="E67" s="390"/>
      <c r="F67" s="3"/>
      <c r="G67" s="10"/>
      <c r="H67" s="388" t="s">
        <v>2890</v>
      </c>
      <c r="I67" s="18">
        <f>SUMIF(compras_mes5[Tipo de Gasto],'Asto-Cpras'!H67,compras_mes5[NETO GRAVADO])+SUMIF(factura_c_mes5[TIPO DE GASTO],'Asto-Cpras'!H67,factura_c_mes5[TOTAL])</f>
        <v>12500</v>
      </c>
      <c r="J67" s="390"/>
      <c r="K67" s="3"/>
      <c r="L67" s="10"/>
      <c r="M67" s="388" t="s">
        <v>2890</v>
      </c>
      <c r="N67" s="18">
        <f>SUMIF(compras_mes6[Tipo de Gasto],'Asto-Cpras'!M67,compras_mes6[NETO GRAVADO])+SUMIF(factura_c_mes6[TIPO DE GASTO],'Asto-Cpras'!M67,factura_c_mes6[TOTAL])</f>
        <v>0</v>
      </c>
      <c r="O67" s="390"/>
    </row>
    <row r="68" spans="2:15" x14ac:dyDescent="0.3">
      <c r="B68" s="10"/>
      <c r="C68" s="388" t="s">
        <v>2736</v>
      </c>
      <c r="D68" s="18">
        <f>SUMIF(compras_mes4[Tipo de Gasto],'Asto-Cpras'!C68,compras_mes4[NETO GRAVADO])+SUMIF(factura_c_mes4[TIPO DE GASTO],'Asto-Cpras'!C68,factura_c_mes4[TOTAL])</f>
        <v>0</v>
      </c>
      <c r="E68" s="390"/>
      <c r="F68" s="3"/>
      <c r="G68" s="10"/>
      <c r="H68" s="388" t="s">
        <v>2736</v>
      </c>
      <c r="I68" s="18">
        <f>SUMIF(compras_mes5[Tipo de Gasto],'Asto-Cpras'!H68,compras_mes5[NETO GRAVADO])+SUMIF(factura_c_mes5[TIPO DE GASTO],'Asto-Cpras'!H68,factura_c_mes5[TOTAL])</f>
        <v>0</v>
      </c>
      <c r="J68" s="390"/>
      <c r="K68" s="3"/>
      <c r="L68" s="10"/>
      <c r="M68" s="388" t="s">
        <v>2736</v>
      </c>
      <c r="N68" s="18">
        <f>SUMIF(compras_mes6[Tipo de Gasto],'Asto-Cpras'!M68,compras_mes6[NETO GRAVADO])+SUMIF(factura_c_mes6[TIPO DE GASTO],'Asto-Cpras'!M68,factura_c_mes6[TOTAL])</f>
        <v>0</v>
      </c>
      <c r="O68" s="390"/>
    </row>
    <row r="69" spans="2:15" x14ac:dyDescent="0.3">
      <c r="B69" s="10"/>
      <c r="C69" s="388" t="s">
        <v>2786</v>
      </c>
      <c r="D69" s="18">
        <f>SUMIF(compras_mes4[Tipo de Gasto],'Asto-Cpras'!C69,compras_mes4[NETO GRAVADO])+SUMIF(factura_c_mes4[TIPO DE GASTO],'Asto-Cpras'!C69,factura_c_mes4[TOTAL])</f>
        <v>0</v>
      </c>
      <c r="E69" s="390"/>
      <c r="F69" s="3"/>
      <c r="G69" s="10"/>
      <c r="H69" s="388" t="s">
        <v>2786</v>
      </c>
      <c r="I69" s="18">
        <f>SUMIF(compras_mes5[Tipo de Gasto],'Asto-Cpras'!H69,compras_mes5[NETO GRAVADO])+SUMIF(factura_c_mes5[TIPO DE GASTO],'Asto-Cpras'!H69,factura_c_mes5[TOTAL])</f>
        <v>0</v>
      </c>
      <c r="J69" s="390"/>
      <c r="K69" s="3"/>
      <c r="L69" s="10"/>
      <c r="M69" s="388" t="s">
        <v>2786</v>
      </c>
      <c r="N69" s="18">
        <f>SUMIF(compras_mes6[Tipo de Gasto],'Asto-Cpras'!M69,compras_mes6[NETO GRAVADO])+SUMIF(factura_c_mes6[TIPO DE GASTO],'Asto-Cpras'!M69,factura_c_mes6[TOTAL])</f>
        <v>0</v>
      </c>
      <c r="O69" s="390"/>
    </row>
    <row r="70" spans="2:15" x14ac:dyDescent="0.3">
      <c r="B70" s="10"/>
      <c r="C70" s="388" t="s">
        <v>2889</v>
      </c>
      <c r="D70" s="18">
        <f>SUMIF(compras_mes4[Tipo de Gasto],'Asto-Cpras'!C70,compras_mes4[NETO GRAVADO])+SUMIF(factura_c_mes4[TIPO DE GASTO],'Asto-Cpras'!C70,factura_c_mes4[TOTAL])</f>
        <v>123300</v>
      </c>
      <c r="E70" s="390"/>
      <c r="F70" s="3"/>
      <c r="G70" s="10"/>
      <c r="H70" s="388" t="s">
        <v>2889</v>
      </c>
      <c r="I70" s="18">
        <f>SUMIF(compras_mes5[Tipo de Gasto],'Asto-Cpras'!H70,compras_mes5[NETO GRAVADO])+SUMIF(factura_c_mes5[TIPO DE GASTO],'Asto-Cpras'!H70,factura_c_mes5[TOTAL])</f>
        <v>51100</v>
      </c>
      <c r="J70" s="390"/>
      <c r="K70" s="3"/>
      <c r="L70" s="10"/>
      <c r="M70" s="388" t="s">
        <v>2889</v>
      </c>
      <c r="N70" s="18">
        <f>SUMIF(compras_mes6[Tipo de Gasto],'Asto-Cpras'!M70,compras_mes6[NETO GRAVADO])+SUMIF(factura_c_mes6[TIPO DE GASTO],'Asto-Cpras'!M70,factura_c_mes6[TOTAL])</f>
        <v>6100</v>
      </c>
      <c r="O70" s="390"/>
    </row>
    <row r="71" spans="2:15" x14ac:dyDescent="0.3">
      <c r="B71" s="10"/>
      <c r="C71" s="388" t="s">
        <v>2761</v>
      </c>
      <c r="D71" s="18">
        <f>SUMIF(compras_mes4[Tipo de Gasto],'Asto-Cpras'!C71,compras_mes4[NETO GRAVADO])+SUMIF(factura_c_mes4[TIPO DE GASTO],'Asto-Cpras'!C71,factura_c_mes4[TOTAL])</f>
        <v>0</v>
      </c>
      <c r="E71" s="390"/>
      <c r="F71" s="3"/>
      <c r="G71" s="10"/>
      <c r="H71" s="388" t="s">
        <v>2761</v>
      </c>
      <c r="I71" s="18">
        <f>SUMIF(compras_mes5[Tipo de Gasto],'Asto-Cpras'!H71,compras_mes5[NETO GRAVADO])+SUMIF(factura_c_mes5[TIPO DE GASTO],'Asto-Cpras'!H71,factura_c_mes5[TOTAL])</f>
        <v>182650</v>
      </c>
      <c r="J71" s="390"/>
      <c r="K71" s="3"/>
      <c r="L71" s="10"/>
      <c r="M71" s="388" t="s">
        <v>2761</v>
      </c>
      <c r="N71" s="18">
        <f>SUMIF(compras_mes6[Tipo de Gasto],'Asto-Cpras'!M71,compras_mes6[NETO GRAVADO])+SUMIF(factura_c_mes6[TIPO DE GASTO],'Asto-Cpras'!M71,factura_c_mes6[TOTAL])</f>
        <v>30000</v>
      </c>
      <c r="O71" s="390"/>
    </row>
    <row r="72" spans="2:15" x14ac:dyDescent="0.3">
      <c r="B72" s="10"/>
      <c r="C72" s="388" t="s">
        <v>70</v>
      </c>
      <c r="D72" s="18">
        <f>SUMIF(compras_mes4[Tipo de Gasto],'Asto-Cpras'!C72,compras_mes4[NETO GRAVADO])+SUMIF(factura_c_mes4[TIPO DE GASTO],'Asto-Cpras'!C72,factura_c_mes4[TOTAL])</f>
        <v>18122.77</v>
      </c>
      <c r="E72" s="390"/>
      <c r="F72" s="3"/>
      <c r="G72" s="10"/>
      <c r="H72" s="388" t="s">
        <v>70</v>
      </c>
      <c r="I72" s="18">
        <f>SUMIF(compras_mes5[Tipo de Gasto],'Asto-Cpras'!H72,compras_mes5[NETO GRAVADO])+SUMIF(factura_c_mes5[TIPO DE GASTO],'Asto-Cpras'!H72,factura_c_mes5[TOTAL])</f>
        <v>65659.239999999991</v>
      </c>
      <c r="J72" s="390"/>
      <c r="K72" s="3"/>
      <c r="L72" s="10"/>
      <c r="M72" s="388" t="s">
        <v>70</v>
      </c>
      <c r="N72" s="18">
        <f>SUMIF(compras_mes6[Tipo de Gasto],'Asto-Cpras'!M72,compras_mes6[NETO GRAVADO])+SUMIF(factura_c_mes6[TIPO DE GASTO],'Asto-Cpras'!M72,factura_c_mes6[TOTAL])</f>
        <v>41943.79</v>
      </c>
      <c r="O72" s="390"/>
    </row>
    <row r="73" spans="2:15" x14ac:dyDescent="0.3">
      <c r="B73" s="10"/>
      <c r="C73" s="388" t="s">
        <v>2708</v>
      </c>
      <c r="D73" s="18">
        <f>SUMIF(compras_mes4[Tipo de Gasto],'Asto-Cpras'!C73,compras_mes4[NETO GRAVADO])+SUMIF(factura_c_mes4[TIPO DE GASTO],'Asto-Cpras'!C73,factura_c_mes4[TOTAL])</f>
        <v>173103.94</v>
      </c>
      <c r="E73" s="418" t="s">
        <v>2918</v>
      </c>
      <c r="F73" s="3"/>
      <c r="G73" s="10"/>
      <c r="H73" s="388" t="s">
        <v>2708</v>
      </c>
      <c r="I73" s="18">
        <f>SUMIF(compras_mes5[Tipo de Gasto],'Asto-Cpras'!H73,compras_mes5[NETO GRAVADO])+SUMIF(factura_c_mes5[TIPO DE GASTO],'Asto-Cpras'!H73,factura_c_mes5[TOTAL])</f>
        <v>0</v>
      </c>
      <c r="J73" s="390"/>
      <c r="K73" s="3"/>
      <c r="L73" s="10"/>
      <c r="M73" s="388" t="s">
        <v>2708</v>
      </c>
      <c r="N73" s="18">
        <f>SUMIF(compras_mes6[Tipo de Gasto],'Asto-Cpras'!M73,compras_mes6[NETO GRAVADO])+SUMIF(factura_c_mes6[TIPO DE GASTO],'Asto-Cpras'!M73,factura_c_mes6[TOTAL])</f>
        <v>0</v>
      </c>
      <c r="O73" s="390"/>
    </row>
    <row r="74" spans="2:15" x14ac:dyDescent="0.3">
      <c r="B74" s="10"/>
      <c r="C74" s="388" t="s">
        <v>2714</v>
      </c>
      <c r="D74" s="18">
        <f>SUMIF(compras_mes4[Tipo de Gasto],'Asto-Cpras'!C74,compras_mes4[NETO GRAVADO])+SUMIF(factura_c_mes4[TIPO DE GASTO],'Asto-Cpras'!C74,factura_c_mes4[TOTAL])</f>
        <v>144688.64000000001</v>
      </c>
      <c r="E74" s="390"/>
      <c r="F74" s="3"/>
      <c r="G74" s="10"/>
      <c r="H74" s="388" t="s">
        <v>2714</v>
      </c>
      <c r="I74" s="18">
        <f>SUMIF(compras_mes5[Tipo de Gasto],'Asto-Cpras'!H74,compras_mes5[NETO GRAVADO])+SUMIF(factura_c_mes5[TIPO DE GASTO],'Asto-Cpras'!H74,factura_c_mes5[TOTAL])</f>
        <v>0</v>
      </c>
      <c r="J74" s="390"/>
      <c r="K74" s="3"/>
      <c r="L74" s="10"/>
      <c r="M74" s="388" t="s">
        <v>2714</v>
      </c>
      <c r="N74" s="18">
        <f>SUMIF(compras_mes6[Tipo de Gasto],'Asto-Cpras'!M74,compras_mes6[NETO GRAVADO])+SUMIF(factura_c_mes6[TIPO DE GASTO],'Asto-Cpras'!M74,factura_c_mes6[TOTAL])</f>
        <v>393223.83</v>
      </c>
      <c r="O74" s="390"/>
    </row>
    <row r="75" spans="2:15" x14ac:dyDescent="0.3">
      <c r="B75" s="10" t="str">
        <f>IF($B$14="","",$B$14)</f>
        <v/>
      </c>
      <c r="C75" s="388" t="s">
        <v>2862</v>
      </c>
      <c r="D75" s="18">
        <f>SUMIF(compras_mes4[Tipo de Gasto],'Asto-Cpras'!C75,compras_mes4[NETO GRAVADO])+SUMIF(factura_c_mes4[TIPO DE GASTO],'Asto-Cpras'!C75,factura_c_mes4[TOTAL])</f>
        <v>0</v>
      </c>
      <c r="E75" s="390"/>
      <c r="F75" s="3"/>
      <c r="G75" s="10" t="str">
        <f>IF($B$14="","",$B$14)</f>
        <v/>
      </c>
      <c r="H75" s="388" t="s">
        <v>2862</v>
      </c>
      <c r="I75" s="18">
        <f>SUMIF(compras_mes5[Tipo de Gasto],'Asto-Cpras'!H75,compras_mes5[NETO GRAVADO])+SUMIF(factura_c_mes5[TIPO DE GASTO],'Asto-Cpras'!H75,factura_c_mes5[TOTAL])</f>
        <v>0</v>
      </c>
      <c r="J75" s="390"/>
      <c r="K75" s="3"/>
      <c r="L75" s="10" t="str">
        <f>IF($B$14="","",$B$14)</f>
        <v/>
      </c>
      <c r="M75" s="388" t="s">
        <v>2862</v>
      </c>
      <c r="N75" s="18">
        <f>SUMIF(compras_mes6[Tipo de Gasto],'Asto-Cpras'!M75,compras_mes6[NETO GRAVADO])+SUMIF(factura_c_mes6[TIPO DE GASTO],'Asto-Cpras'!M75,factura_c_mes6[TOTAL])</f>
        <v>0</v>
      </c>
      <c r="O75" s="390"/>
    </row>
    <row r="76" spans="2:15" x14ac:dyDescent="0.3">
      <c r="B76" s="10"/>
      <c r="C76" s="388" t="s">
        <v>2778</v>
      </c>
      <c r="D76" s="18">
        <f>SUMIF(compras_mes4[Tipo de Gasto],'Asto-Cpras'!C76,compras_mes4[NETO GRAVADO])+SUMIF(factura_c_mes4[TIPO DE GASTO],'Asto-Cpras'!C76,factura_c_mes4[TOTAL])</f>
        <v>70050</v>
      </c>
      <c r="E76" s="390"/>
      <c r="F76" s="3"/>
      <c r="G76" s="10"/>
      <c r="H76" s="388" t="s">
        <v>2778</v>
      </c>
      <c r="I76" s="18">
        <f>SUMIF(compras_mes5[Tipo de Gasto],'Asto-Cpras'!H76,compras_mes5[NETO GRAVADO])+SUMIF(factura_c_mes5[TIPO DE GASTO],'Asto-Cpras'!H76,factura_c_mes5[TOTAL])</f>
        <v>0</v>
      </c>
      <c r="J76" s="390"/>
      <c r="K76" s="3"/>
      <c r="L76" s="10"/>
      <c r="M76" s="388" t="s">
        <v>2778</v>
      </c>
      <c r="N76" s="18">
        <f>SUMIF(compras_mes6[Tipo de Gasto],'Asto-Cpras'!M76,compras_mes6[NETO GRAVADO])+SUMIF(factura_c_mes6[TIPO DE GASTO],'Asto-Cpras'!M76,factura_c_mes6[TOTAL])</f>
        <v>0</v>
      </c>
      <c r="O76" s="390"/>
    </row>
    <row r="77" spans="2:15" x14ac:dyDescent="0.3">
      <c r="B77" s="10" t="str">
        <f>IF($B$16="","",$B$16)</f>
        <v/>
      </c>
      <c r="C77" s="388" t="s">
        <v>63</v>
      </c>
      <c r="D77" s="18">
        <f>SUMIF(compras_mes4[Tipo de Gasto],'Asto-Cpras'!C77,compras_mes4[NETO GRAVADO])+SUMIF(factura_c_mes4[TIPO DE GASTO],'Asto-Cpras'!C77,factura_c_mes4[TOTAL])</f>
        <v>5831985.879999999</v>
      </c>
      <c r="E77" s="390"/>
      <c r="F77" s="3"/>
      <c r="G77" s="10" t="str">
        <f>IF($B$16="","",$B$16)</f>
        <v/>
      </c>
      <c r="H77" s="388" t="s">
        <v>63</v>
      </c>
      <c r="I77" s="18">
        <f>SUMIF(compras_mes5[Tipo de Gasto],'Asto-Cpras'!H77,compras_mes5[NETO GRAVADO])+SUMIF(factura_c_mes5[TIPO DE GASTO],'Asto-Cpras'!H77,factura_c_mes5[TOTAL])</f>
        <v>2708158.33</v>
      </c>
      <c r="J77" s="390"/>
      <c r="K77" s="3"/>
      <c r="L77" s="10" t="str">
        <f>IF($B$16="","",$B$16)</f>
        <v/>
      </c>
      <c r="M77" s="388" t="s">
        <v>63</v>
      </c>
      <c r="N77" s="18">
        <f>SUMIF(compras_mes6[Tipo de Gasto],'Asto-Cpras'!M77,compras_mes6[NETO GRAVADO])+SUMIF(factura_c_mes6[TIPO DE GASTO],'Asto-Cpras'!M77,factura_c_mes6[TOTAL])</f>
        <v>6547232.6399999997</v>
      </c>
      <c r="O77" s="390"/>
    </row>
    <row r="78" spans="2:15" x14ac:dyDescent="0.3">
      <c r="B78" s="423">
        <v>512.20000000000005</v>
      </c>
      <c r="C78" s="424" t="s">
        <v>2762</v>
      </c>
      <c r="D78" s="18">
        <f>SUMIF(compras_mes4[Tipo de Gasto],'Asto-Cpras'!C78,compras_mes4[NETO GRAVADO])+SUMIF(factura_c_mes4[TIPO DE GASTO],'Asto-Cpras'!C78,factura_c_mes4[TOTAL])</f>
        <v>59329.08</v>
      </c>
      <c r="E78" s="390"/>
      <c r="F78" s="3"/>
      <c r="G78" s="10"/>
      <c r="H78" s="388" t="s">
        <v>2762</v>
      </c>
      <c r="I78" s="18">
        <f>SUMIF(compras_mes5[Tipo de Gasto],'Asto-Cpras'!H78,compras_mes5[NETO GRAVADO])+SUMIF(factura_c_mes5[TIPO DE GASTO],'Asto-Cpras'!H78,factura_c_mes5[TOTAL])</f>
        <v>0</v>
      </c>
      <c r="J78" s="390"/>
      <c r="K78" s="3"/>
      <c r="L78" s="10"/>
      <c r="M78" s="388" t="s">
        <v>2762</v>
      </c>
      <c r="N78" s="18">
        <f>SUMIF(compras_mes6[Tipo de Gasto],'Asto-Cpras'!M78,compras_mes6[NETO GRAVADO])+SUMIF(factura_c_mes6[TIPO DE GASTO],'Asto-Cpras'!M78,factura_c_mes6[TOTAL])</f>
        <v>0</v>
      </c>
      <c r="O78" s="390"/>
    </row>
    <row r="79" spans="2:15" x14ac:dyDescent="0.3">
      <c r="B79" s="10"/>
      <c r="C79" s="388" t="s">
        <v>92</v>
      </c>
      <c r="D79" s="18">
        <f>SUMIF(compras_mes4[Tipo de Gasto],'Asto-Cpras'!C79,compras_mes4[NETO GRAVADO])+SUMIF(factura_c_mes4[TIPO DE GASTO],'Asto-Cpras'!C79,factura_c_mes4[TOTAL])</f>
        <v>0</v>
      </c>
      <c r="E79" s="390"/>
      <c r="F79" s="3"/>
      <c r="G79" s="10"/>
      <c r="H79" s="388" t="s">
        <v>92</v>
      </c>
      <c r="I79" s="18">
        <f>SUMIF(compras_mes5[Tipo de Gasto],'Asto-Cpras'!H79,compras_mes5[NETO GRAVADO])+SUMIF(factura_c_mes5[TIPO DE GASTO],'Asto-Cpras'!H79,factura_c_mes5[TOTAL])</f>
        <v>0</v>
      </c>
      <c r="J79" s="390"/>
      <c r="K79" s="3"/>
      <c r="L79" s="10"/>
      <c r="M79" s="388" t="s">
        <v>92</v>
      </c>
      <c r="N79" s="18">
        <f>SUMIF(compras_mes6[Tipo de Gasto],'Asto-Cpras'!M79,compras_mes6[NETO GRAVADO])+SUMIF(factura_c_mes6[TIPO DE GASTO],'Asto-Cpras'!M79,factura_c_mes6[TOTAL])</f>
        <v>0</v>
      </c>
      <c r="O79" s="390"/>
    </row>
    <row r="80" spans="2:15" x14ac:dyDescent="0.3">
      <c r="B80" s="10"/>
      <c r="C80" s="388" t="s">
        <v>2719</v>
      </c>
      <c r="D80" s="18">
        <f>SUMIF(compras_mes4[Tipo de Gasto],'Asto-Cpras'!C80,compras_mes4[NETO GRAVADO])+SUMIF(factura_c_mes4[TIPO DE GASTO],'Asto-Cpras'!C80,factura_c_mes4[TOTAL])</f>
        <v>0</v>
      </c>
      <c r="E80" s="390"/>
      <c r="F80" s="3"/>
      <c r="G80" s="10"/>
      <c r="H80" s="388" t="s">
        <v>2719</v>
      </c>
      <c r="I80" s="18">
        <f>SUMIF(compras_mes5[Tipo de Gasto],'Asto-Cpras'!H80,compras_mes5[NETO GRAVADO])+SUMIF(factura_c_mes5[TIPO DE GASTO],'Asto-Cpras'!H80,factura_c_mes5[TOTAL])</f>
        <v>0</v>
      </c>
      <c r="J80" s="390"/>
      <c r="K80" s="3"/>
      <c r="L80" s="10"/>
      <c r="M80" s="388" t="s">
        <v>2719</v>
      </c>
      <c r="N80" s="18">
        <f>SUMIF(compras_mes6[Tipo de Gasto],'Asto-Cpras'!M80,compras_mes6[NETO GRAVADO])+SUMIF(factura_c_mes6[TIPO DE GASTO],'Asto-Cpras'!M80,factura_c_mes6[TOTAL])</f>
        <v>0</v>
      </c>
      <c r="O80" s="390"/>
    </row>
    <row r="81" spans="2:15" x14ac:dyDescent="0.3">
      <c r="B81" s="10"/>
      <c r="C81" s="388" t="s">
        <v>2796</v>
      </c>
      <c r="D81" s="18">
        <f>SUMIF(compras_mes4[Tipo de Gasto],'Asto-Cpras'!C81,compras_mes4[NETO GRAVADO])+SUMIF(factura_c_mes4[TIPO DE GASTO],'Asto-Cpras'!C81,factura_c_mes4[TOTAL])</f>
        <v>33796</v>
      </c>
      <c r="E81" s="390"/>
      <c r="F81" s="3"/>
      <c r="G81" s="10"/>
      <c r="H81" s="388" t="s">
        <v>2796</v>
      </c>
      <c r="I81" s="18">
        <f>SUMIF(compras_mes5[Tipo de Gasto],'Asto-Cpras'!H81,compras_mes5[NETO GRAVADO])+SUMIF(factura_c_mes5[TIPO DE GASTO],'Asto-Cpras'!H81,factura_c_mes5[TOTAL])</f>
        <v>0</v>
      </c>
      <c r="J81" s="390"/>
      <c r="K81" s="3"/>
      <c r="L81" s="10"/>
      <c r="M81" s="388" t="s">
        <v>2796</v>
      </c>
      <c r="N81" s="18">
        <f>SUMIF(compras_mes6[Tipo de Gasto],'Asto-Cpras'!M81,compras_mes6[NETO GRAVADO])+SUMIF(factura_c_mes6[TIPO DE GASTO],'Asto-Cpras'!M81,factura_c_mes6[TOTAL])</f>
        <v>0</v>
      </c>
      <c r="O81" s="390"/>
    </row>
    <row r="82" spans="2:15" x14ac:dyDescent="0.3">
      <c r="B82" s="10"/>
      <c r="C82" s="388" t="s">
        <v>57</v>
      </c>
      <c r="D82" s="18">
        <f>SUMIF(compras_mes4[Tipo de Gasto],'Asto-Cpras'!C82,compras_mes4[NETO GRAVADO])+SUMIF(factura_c_mes4[TIPO DE GASTO],'Asto-Cpras'!C82,factura_c_mes4[TOTAL])</f>
        <v>0</v>
      </c>
      <c r="E82" s="390"/>
      <c r="F82" s="3"/>
      <c r="G82" s="10"/>
      <c r="H82" s="388" t="s">
        <v>57</v>
      </c>
      <c r="I82" s="18">
        <f>SUMIF(compras_mes5[Tipo de Gasto],'Asto-Cpras'!H82,compras_mes5[NETO GRAVADO])+SUMIF(factura_c_mes5[TIPO DE GASTO],'Asto-Cpras'!H82,factura_c_mes5[TOTAL])</f>
        <v>0</v>
      </c>
      <c r="J82" s="390"/>
      <c r="K82" s="3"/>
      <c r="L82" s="10"/>
      <c r="M82" s="388" t="s">
        <v>57</v>
      </c>
      <c r="N82" s="18">
        <f>SUMIF(compras_mes6[Tipo de Gasto],'Asto-Cpras'!M82,compras_mes6[NETO GRAVADO])+SUMIF(factura_c_mes6[TIPO DE GASTO],'Asto-Cpras'!M82,factura_c_mes6[TOTAL])</f>
        <v>0</v>
      </c>
      <c r="O82" s="390"/>
    </row>
    <row r="83" spans="2:15" x14ac:dyDescent="0.3">
      <c r="B83" s="10"/>
      <c r="C83" s="388" t="s">
        <v>2730</v>
      </c>
      <c r="D83" s="18">
        <f>SUMIF(compras_mes4[Tipo de Gasto],'Asto-Cpras'!C83,compras_mes4[NETO GRAVADO])+SUMIF(factura_c_mes4[TIPO DE GASTO],'Asto-Cpras'!C83,factura_c_mes4[TOTAL])</f>
        <v>6280.17</v>
      </c>
      <c r="E83" s="390"/>
      <c r="F83" s="3"/>
      <c r="G83" s="10"/>
      <c r="H83" s="388" t="s">
        <v>2730</v>
      </c>
      <c r="I83" s="18">
        <f>SUMIF(compras_mes5[Tipo de Gasto],'Asto-Cpras'!H83,compras_mes5[NETO GRAVADO])+SUMIF(factura_c_mes5[TIPO DE GASTO],'Asto-Cpras'!H83,factura_c_mes5[TOTAL])</f>
        <v>12064.47</v>
      </c>
      <c r="J83" s="390"/>
      <c r="K83" s="3"/>
      <c r="L83" s="10"/>
      <c r="M83" s="388" t="s">
        <v>2730</v>
      </c>
      <c r="N83" s="18">
        <f>SUMIF(compras_mes6[Tipo de Gasto],'Asto-Cpras'!M83,compras_mes6[NETO GRAVADO])+SUMIF(factura_c_mes6[TIPO DE GASTO],'Asto-Cpras'!M83,factura_c_mes6[TOTAL])</f>
        <v>0</v>
      </c>
      <c r="O83" s="390"/>
    </row>
    <row r="84" spans="2:15" x14ac:dyDescent="0.3">
      <c r="B84" s="10"/>
      <c r="C84" s="388" t="s">
        <v>2891</v>
      </c>
      <c r="D84" s="18">
        <f>SUMIF(compras_mes4[Tipo de Gasto],'Asto-Cpras'!C84,compras_mes4[NETO GRAVADO])+SUMIF(factura_c_mes4[TIPO DE GASTO],'Asto-Cpras'!C84,factura_c_mes4[TOTAL])</f>
        <v>0</v>
      </c>
      <c r="E84" s="390"/>
      <c r="F84" s="3"/>
      <c r="G84" s="10"/>
      <c r="H84" s="388" t="s">
        <v>2891</v>
      </c>
      <c r="I84" s="18">
        <f>SUMIF(compras_mes5[Tipo de Gasto],'Asto-Cpras'!H84,compras_mes5[NETO GRAVADO])+SUMIF(factura_c_mes5[TIPO DE GASTO],'Asto-Cpras'!H84,factura_c_mes5[TOTAL])</f>
        <v>0</v>
      </c>
      <c r="J84" s="390"/>
      <c r="K84" s="3"/>
      <c r="L84" s="10"/>
      <c r="M84" s="388" t="s">
        <v>2891</v>
      </c>
      <c r="N84" s="18">
        <f>SUMIF(compras_mes6[Tipo de Gasto],'Asto-Cpras'!M84,compras_mes6[NETO GRAVADO])+SUMIF(factura_c_mes6[TIPO DE GASTO],'Asto-Cpras'!M84,factura_c_mes6[TOTAL])</f>
        <v>0</v>
      </c>
      <c r="O84" s="390"/>
    </row>
    <row r="85" spans="2:15" x14ac:dyDescent="0.3">
      <c r="B85" s="10"/>
      <c r="C85" s="388" t="s">
        <v>60</v>
      </c>
      <c r="D85" s="18">
        <f>SUMIF(compras_mes4[Tipo de Gasto],'Asto-Cpras'!C85,compras_mes4[NETO GRAVADO])+SUMIF(factura_c_mes4[TIPO DE GASTO],'Asto-Cpras'!C85,factura_c_mes4[TOTAL])</f>
        <v>0</v>
      </c>
      <c r="E85" s="390"/>
      <c r="F85" s="3"/>
      <c r="G85" s="10"/>
      <c r="H85" s="388" t="s">
        <v>60</v>
      </c>
      <c r="I85" s="18">
        <f>SUMIF(compras_mes5[Tipo de Gasto],'Asto-Cpras'!H85,compras_mes5[NETO GRAVADO])+SUMIF(factura_c_mes5[TIPO DE GASTO],'Asto-Cpras'!H85,factura_c_mes5[TOTAL])</f>
        <v>0</v>
      </c>
      <c r="J85" s="390"/>
      <c r="K85" s="3"/>
      <c r="L85" s="10"/>
      <c r="M85" s="388" t="s">
        <v>60</v>
      </c>
      <c r="N85" s="18">
        <f>SUMIF(compras_mes6[Tipo de Gasto],'Asto-Cpras'!M85,compras_mes6[NETO GRAVADO])+SUMIF(factura_c_mes6[TIPO DE GASTO],'Asto-Cpras'!M85,factura_c_mes6[TOTAL])</f>
        <v>0</v>
      </c>
      <c r="O85" s="390"/>
    </row>
    <row r="86" spans="2:15" x14ac:dyDescent="0.3">
      <c r="B86" s="10"/>
      <c r="C86" s="388" t="s">
        <v>2838</v>
      </c>
      <c r="D86" s="18">
        <f>SUMIF(compras_mes4[Tipo de Gasto],'Asto-Cpras'!C86,compras_mes4[NETO GRAVADO])+SUMIF(factura_c_mes4[TIPO DE GASTO],'Asto-Cpras'!C86,factura_c_mes4[TOTAL])</f>
        <v>16317</v>
      </c>
      <c r="E86" s="390"/>
      <c r="F86" s="3"/>
      <c r="G86" s="10"/>
      <c r="H86" s="388" t="s">
        <v>2838</v>
      </c>
      <c r="I86" s="18">
        <f>SUMIF(compras_mes5[Tipo de Gasto],'Asto-Cpras'!H86,compras_mes5[NETO GRAVADO])+SUMIF(factura_c_mes5[TIPO DE GASTO],'Asto-Cpras'!H86,factura_c_mes5[TOTAL])</f>
        <v>17640</v>
      </c>
      <c r="J86" s="390"/>
      <c r="K86" s="3"/>
      <c r="L86" s="10"/>
      <c r="M86" s="388" t="s">
        <v>2838</v>
      </c>
      <c r="N86" s="18">
        <f>SUMIF(compras_mes6[Tipo de Gasto],'Asto-Cpras'!M86,compras_mes6[NETO GRAVADO])+SUMIF(factura_c_mes6[TIPO DE GASTO],'Asto-Cpras'!M86,factura_c_mes6[TOTAL])</f>
        <v>0</v>
      </c>
      <c r="O86" s="390"/>
    </row>
    <row r="87" spans="2:15" x14ac:dyDescent="0.3">
      <c r="B87" s="10">
        <f>IF($B$41="","",$B$41)</f>
        <v>107.1</v>
      </c>
      <c r="C87" s="388" t="s">
        <v>2882</v>
      </c>
      <c r="D87" s="18">
        <f>SUMIF(compras_mes4[Tipo de Gasto],'Asto-Cpras'!C87,compras_mes4[NETO GRAVADO])+SUMIF(factura_c_mes4[TIPO DE GASTO],'Asto-Cpras'!C87,factura_c_mes4[TOTAL])</f>
        <v>0</v>
      </c>
      <c r="E87" s="390"/>
      <c r="F87" s="3"/>
      <c r="G87" s="10">
        <f>IF($B$41="","",$B$41)</f>
        <v>107.1</v>
      </c>
      <c r="H87" s="388" t="s">
        <v>2882</v>
      </c>
      <c r="I87" s="18">
        <f>SUMIF(compras_mes5[Tipo de Gasto],'Asto-Cpras'!H87,compras_mes5[NETO GRAVADO])+SUMIF(factura_c_mes5[TIPO DE GASTO],'Asto-Cpras'!H87,factura_c_mes5[TOTAL])</f>
        <v>0</v>
      </c>
      <c r="J87" s="390"/>
      <c r="K87" s="3"/>
      <c r="L87" s="10">
        <f>IF($B$41="","",$B$41)</f>
        <v>107.1</v>
      </c>
      <c r="M87" s="388"/>
      <c r="N87" s="18"/>
      <c r="O87" s="390"/>
    </row>
    <row r="88" spans="2:15" x14ac:dyDescent="0.3">
      <c r="B88" s="10"/>
      <c r="C88" s="388" t="str">
        <f>IF($C$41="","",$C$41)</f>
        <v>IVA 21%</v>
      </c>
      <c r="D88" s="18">
        <f>SUM(compras_mes4[IVA 21 %])</f>
        <v>1473955.0899999999</v>
      </c>
      <c r="E88" s="390"/>
      <c r="F88" s="3"/>
      <c r="G88" s="10"/>
      <c r="H88" s="388" t="str">
        <f>IF($C$41="","",$C$41)</f>
        <v>IVA 21%</v>
      </c>
      <c r="I88" s="18">
        <f>SUM(compras_mes5[IVA 21 %])</f>
        <v>827951.91229999997</v>
      </c>
      <c r="J88" s="390"/>
      <c r="K88" s="3"/>
      <c r="L88" s="10"/>
      <c r="M88" s="388" t="str">
        <f>IF($C$41="","",$C$41)</f>
        <v>IVA 21%</v>
      </c>
      <c r="N88" s="18">
        <f>SUM(compras_mes6[IVA 21 %])</f>
        <v>1595915.0699999998</v>
      </c>
      <c r="O88" s="390"/>
    </row>
    <row r="89" spans="2:15" x14ac:dyDescent="0.3">
      <c r="B89" s="10">
        <f>IF($B$42="","",$B$42)</f>
        <v>107.1</v>
      </c>
      <c r="C89" s="388" t="str">
        <f>IF($C$42="","",$C$42)</f>
        <v>IVA 27%</v>
      </c>
      <c r="D89" s="18">
        <f>SUM(compras_mes4[IVA 27%])</f>
        <v>433282.55</v>
      </c>
      <c r="E89" s="390"/>
      <c r="F89" s="3"/>
      <c r="G89" s="10">
        <f>IF($B$42="","",$B$42)</f>
        <v>107.1</v>
      </c>
      <c r="H89" s="388" t="str">
        <f>IF($C$42="","",$C$42)</f>
        <v>IVA 27%</v>
      </c>
      <c r="I89" s="18">
        <f>SUM(compras_mes5[IVA 27%])</f>
        <v>11895.779999999999</v>
      </c>
      <c r="J89" s="390"/>
      <c r="K89" s="3"/>
      <c r="L89" s="10">
        <f>IF($B$42="","",$B$42)</f>
        <v>107.1</v>
      </c>
      <c r="M89" s="388" t="str">
        <f>IF($C$42="","",$C$42)</f>
        <v>IVA 27%</v>
      </c>
      <c r="N89" s="18">
        <f>SUM(compras_mes6[IVA 27%])</f>
        <v>0</v>
      </c>
      <c r="O89" s="390"/>
    </row>
    <row r="90" spans="2:15" x14ac:dyDescent="0.3">
      <c r="B90" s="10">
        <f>IF($B$43="","",$B$43)</f>
        <v>107.1</v>
      </c>
      <c r="C90" s="388" t="str">
        <f>IF($C$43="","",$C$43)</f>
        <v>IVA 10,5%</v>
      </c>
      <c r="D90" s="18">
        <f>SUM(compras_mes4[IVA 10,5%])</f>
        <v>54454.42</v>
      </c>
      <c r="E90" s="390"/>
      <c r="F90" s="3"/>
      <c r="G90" s="10">
        <f>IF($B$43="","",$B$43)</f>
        <v>107.1</v>
      </c>
      <c r="H90" s="388" t="str">
        <f>IF($C$43="","",$C$43)</f>
        <v>IVA 10,5%</v>
      </c>
      <c r="I90" s="18">
        <f>SUM(compras_mes5[IVA 10,5%])</f>
        <v>6232.53</v>
      </c>
      <c r="J90" s="390"/>
      <c r="K90" s="3"/>
      <c r="L90" s="10">
        <f>IF($B$43="","",$B$43)</f>
        <v>107.1</v>
      </c>
      <c r="M90" s="388" t="str">
        <f>IF($C$43="","",$C$43)</f>
        <v>IVA 10,5%</v>
      </c>
      <c r="N90" s="18">
        <f>SUM(compras_mes6[IVA 10,5%])</f>
        <v>15639.39</v>
      </c>
      <c r="O90" s="390"/>
    </row>
    <row r="91" spans="2:15" x14ac:dyDescent="0.3">
      <c r="B91" s="10">
        <f>IF($B$44="","",$B$44)</f>
        <v>106.55</v>
      </c>
      <c r="C91" s="388" t="str">
        <f>IF($C$44="","",$C$44)</f>
        <v>PERC IIBB BS AS</v>
      </c>
      <c r="D91" s="18">
        <f>SUM(compras_mes4[PERC IIBB 
BS AS])</f>
        <v>3700.6</v>
      </c>
      <c r="E91" s="390"/>
      <c r="F91" s="3"/>
      <c r="G91" s="10">
        <f>IF($B$44="","",$B$44)</f>
        <v>106.55</v>
      </c>
      <c r="H91" s="388" t="str">
        <f>IF($C$44="","",$C$44)</f>
        <v>PERC IIBB BS AS</v>
      </c>
      <c r="I91" s="18">
        <f>SUM(compras_mes5[PERC IIBB 
BS AS])</f>
        <v>0</v>
      </c>
      <c r="J91" s="390"/>
      <c r="K91" s="3"/>
      <c r="L91" s="10">
        <f>IF($B$44="","",$B$44)</f>
        <v>106.55</v>
      </c>
      <c r="M91" s="388" t="str">
        <f>IF($C$44="","",$C$44)</f>
        <v>PERC IIBB BS AS</v>
      </c>
      <c r="N91" s="18">
        <f>SUM(compras_mes6[PERC IIBB 
BS AS])</f>
        <v>29806.92</v>
      </c>
      <c r="O91" s="390"/>
    </row>
    <row r="92" spans="2:15" x14ac:dyDescent="0.3">
      <c r="B92" s="10">
        <f>IF($B$45="","",$B$45)</f>
        <v>106.551</v>
      </c>
      <c r="C92" s="388" t="str">
        <f>IF($C$45="","",$C$45)</f>
        <v>PERC IIBB CABA</v>
      </c>
      <c r="D92" s="18">
        <f>SUM(compras_mes4[PERC. IIBB CABA])</f>
        <v>49614.9</v>
      </c>
      <c r="E92" s="390"/>
      <c r="F92" s="3"/>
      <c r="G92" s="10">
        <f>IF($B$45="","",$B$45)</f>
        <v>106.551</v>
      </c>
      <c r="H92" s="388" t="str">
        <f>IF($C$45="","",$C$45)</f>
        <v>PERC IIBB CABA</v>
      </c>
      <c r="I92" s="18">
        <f>SUM(compras_mes5[PERC. IIBB CABA])</f>
        <v>67565.48</v>
      </c>
      <c r="J92" s="390"/>
      <c r="K92" s="3"/>
      <c r="L92" s="10">
        <f>IF($B$45="","",$B$45)</f>
        <v>106.551</v>
      </c>
      <c r="M92" s="388" t="str">
        <f>IF($C$45="","",$C$45)</f>
        <v>PERC IIBB CABA</v>
      </c>
      <c r="N92" s="18">
        <f>SUM(compras_mes6[PERC. IIBB CABA])</f>
        <v>23238.14</v>
      </c>
      <c r="O92" s="390"/>
    </row>
    <row r="93" spans="2:15" x14ac:dyDescent="0.3">
      <c r="B93" s="10">
        <f>IF($B$46="","",$B$46)</f>
        <v>106.54</v>
      </c>
      <c r="C93" s="388" t="str">
        <f>IF($C$46="","",$C$46)</f>
        <v>PERC. IVA</v>
      </c>
      <c r="D93" s="18">
        <f>SUM(compras_mes4[PERC. IVA])</f>
        <v>88498.5</v>
      </c>
      <c r="E93" s="391"/>
      <c r="F93" s="3"/>
      <c r="G93" s="10">
        <f>IF($B$46="","",$B$46)</f>
        <v>106.54</v>
      </c>
      <c r="H93" s="388" t="str">
        <f>IF($C$46="","",$C$46)</f>
        <v>PERC. IVA</v>
      </c>
      <c r="I93" s="18">
        <f>SUM(compras_mes5[PERC. IVA])</f>
        <v>101.36</v>
      </c>
      <c r="J93" s="391"/>
      <c r="K93" s="3"/>
      <c r="L93" s="10">
        <f>IF($B$46="","",$B$46)</f>
        <v>106.54</v>
      </c>
      <c r="M93" s="388" t="str">
        <f>IF($C$46="","",$C$46)</f>
        <v>PERC. IVA</v>
      </c>
      <c r="N93" s="18">
        <f>SUM(compras_mes6[PERC. IVA])</f>
        <v>0</v>
      </c>
      <c r="O93" s="391"/>
    </row>
    <row r="94" spans="2:15" x14ac:dyDescent="0.3">
      <c r="B94" s="423">
        <v>512.20000000000005</v>
      </c>
      <c r="C94" s="424" t="str">
        <f>IF($C$47="","",$C$47)</f>
        <v>Otros / No Grav.</v>
      </c>
      <c r="D94" s="18">
        <f>SUM(compras_mes4[Otros / No Grav.])</f>
        <v>97.88</v>
      </c>
      <c r="E94" s="391"/>
      <c r="F94" s="3"/>
      <c r="G94" s="423">
        <v>512.20000000000005</v>
      </c>
      <c r="H94" s="424" t="str">
        <f>IF($C$47="","",$C$47)</f>
        <v>Otros / No Grav.</v>
      </c>
      <c r="I94" s="18">
        <f>SUM(compras_mes5[Otros / No Grav.])</f>
        <v>5372.72</v>
      </c>
      <c r="J94" s="391"/>
      <c r="K94" s="3"/>
      <c r="L94" s="423">
        <v>512.20000000000005</v>
      </c>
      <c r="M94" s="424" t="str">
        <f>IF($C$47="","",$C$47)</f>
        <v>Otros / No Grav.</v>
      </c>
      <c r="N94" s="18">
        <f>SUM(compras_mes6[Otros / No Grav.])</f>
        <v>65736.539999999994</v>
      </c>
      <c r="O94" s="391"/>
    </row>
    <row r="95" spans="2:15" ht="15" thickBot="1" x14ac:dyDescent="0.35">
      <c r="B95" s="400">
        <f>IF($B$48="","",$B$48)</f>
        <v>200.9</v>
      </c>
      <c r="C95" s="401" t="str">
        <f>IF($C$48="","",$C$48)</f>
        <v>PROVEEDORES</v>
      </c>
      <c r="D95" s="403"/>
      <c r="E95" s="399">
        <v>9911292.5399999991</v>
      </c>
      <c r="F95" s="3"/>
      <c r="G95" s="400">
        <f>IF($B$48="","",$B$48)</f>
        <v>200.9</v>
      </c>
      <c r="H95" s="401" t="str">
        <f>IF($C$48="","",$C$48)</f>
        <v>PROVEEDORES</v>
      </c>
      <c r="I95" s="403"/>
      <c r="J95" s="399">
        <v>5304522.3600000003</v>
      </c>
      <c r="K95" s="3"/>
      <c r="L95" s="400">
        <f>IF($B$48="","",$B$48)</f>
        <v>200.9</v>
      </c>
      <c r="M95" s="401" t="str">
        <f>IF($C$48="","",$C$48)</f>
        <v>PROVEEDORES</v>
      </c>
      <c r="N95" s="402"/>
      <c r="O95" s="399">
        <v>9502644.8800000008</v>
      </c>
    </row>
    <row r="96" spans="2:15" x14ac:dyDescent="0.3">
      <c r="B96" s="462"/>
      <c r="C96" s="462"/>
      <c r="D96" s="462"/>
      <c r="E96" s="7">
        <f>SUM(D49:D94)-E95</f>
        <v>0</v>
      </c>
      <c r="F96" s="3"/>
      <c r="G96" s="462"/>
      <c r="H96" s="462"/>
      <c r="I96" s="462"/>
      <c r="J96" s="7">
        <f>SUM(I49:I94)-J95</f>
        <v>-2910.7776999995112</v>
      </c>
      <c r="K96" s="3"/>
      <c r="L96" s="462"/>
      <c r="M96" s="462"/>
      <c r="N96" s="462"/>
      <c r="O96" s="7">
        <f>SUM(N49:N94)-O95</f>
        <v>-7662.7600000016391</v>
      </c>
    </row>
    <row r="97" spans="2:15" ht="15" thickBot="1" x14ac:dyDescent="0.35">
      <c r="B97" s="3"/>
      <c r="C97" s="3"/>
      <c r="D97" s="3"/>
      <c r="E97" s="3"/>
      <c r="F97" s="3"/>
      <c r="G97" s="3"/>
      <c r="H97" s="426"/>
      <c r="I97" s="3"/>
      <c r="J97" s="3"/>
      <c r="K97" s="3"/>
      <c r="L97" s="3"/>
      <c r="M97" s="3"/>
      <c r="N97" s="3"/>
      <c r="O97" s="3"/>
    </row>
    <row r="98" spans="2:15" ht="18.600000000000001" thickBot="1" x14ac:dyDescent="0.35">
      <c r="B98" s="459">
        <f>EDATE($L$51,1)</f>
        <v>44743</v>
      </c>
      <c r="C98" s="460"/>
      <c r="D98" s="460"/>
      <c r="E98" s="461"/>
      <c r="F98" s="3"/>
      <c r="G98" s="459">
        <f>EDATE($B$98,1)</f>
        <v>44774</v>
      </c>
      <c r="H98" s="460"/>
      <c r="I98" s="460"/>
      <c r="J98" s="461"/>
      <c r="K98" s="3"/>
      <c r="L98" s="459">
        <f>EDATE($G$98,1)</f>
        <v>44805</v>
      </c>
      <c r="M98" s="460"/>
      <c r="N98" s="460"/>
      <c r="O98" s="461"/>
    </row>
    <row r="99" spans="2:15" x14ac:dyDescent="0.3">
      <c r="B99" s="10" t="str">
        <f>IF($B$5="","",$B$5)</f>
        <v/>
      </c>
      <c r="C99" s="12" t="s">
        <v>67</v>
      </c>
      <c r="D99" s="17">
        <f>SUMIF(compras_mes7[Tipo de Gasto],'Asto-Cpras'!C99,compras_mes7[NETO GRAVADO])+SUMIF(factura_c_mes7[TIPO DE GASTO],'Asto-Cpras'!C99,factura_c_mes7[TOTAL])</f>
        <v>68000</v>
      </c>
      <c r="E99" s="13"/>
      <c r="F99" s="3"/>
      <c r="G99" s="10" t="str">
        <f>IF($B$5="","",$B$5)</f>
        <v/>
      </c>
      <c r="H99" s="12" t="s">
        <v>67</v>
      </c>
      <c r="I99" s="17">
        <f>SUMIF(compras_mes8[Tipo de Gasto],'Asto-Cpras'!H99,compras_mes8[NETO GRAVADO])+SUMIF(factura_c_mes8[TIPO DE GASTO],'Asto-Cpras'!H99,factura_c_mes8[TOTAL])</f>
        <v>140000</v>
      </c>
      <c r="J99" s="13"/>
      <c r="K99" s="3"/>
      <c r="L99" s="10" t="str">
        <f>IF($B$5="","",$B$5)</f>
        <v/>
      </c>
      <c r="M99" s="388" t="s">
        <v>67</v>
      </c>
      <c r="N99" s="18">
        <f>SUMIF(compras_mes10[Tipo de Gasto],'Asto-Cpras'!M99,compras_mes10[NETO GRAVADO])+SUMIF(factura_c_mes10[TIPO DE GASTO],'Asto-Cpras'!M99,factura_c_mes10[TOTAL])</f>
        <v>71390</v>
      </c>
      <c r="O99" s="13"/>
    </row>
    <row r="100" spans="2:15" x14ac:dyDescent="0.3">
      <c r="B100" s="10"/>
      <c r="C100" s="12" t="s">
        <v>2827</v>
      </c>
      <c r="D100" s="17">
        <f>SUMIF(compras_mes7[Tipo de Gasto],'Asto-Cpras'!C100,compras_mes7[NETO GRAVADO])+SUMIF(factura_c_mes7[TIPO DE GASTO],'Asto-Cpras'!C100,factura_c_mes7[TOTAL])</f>
        <v>0</v>
      </c>
      <c r="E100" s="14"/>
      <c r="F100" s="3"/>
      <c r="G100" s="10"/>
      <c r="H100" s="12" t="s">
        <v>2827</v>
      </c>
      <c r="I100" s="17">
        <f>SUMIF(compras_mes8[Tipo de Gasto],'Asto-Cpras'!H100,compras_mes8[NETO GRAVADO])+SUMIF(factura_c_mes8[TIPO DE GASTO],'Asto-Cpras'!H100,factura_c_mes8[TOTAL])</f>
        <v>0</v>
      </c>
      <c r="J100" s="14"/>
      <c r="K100" s="3"/>
      <c r="L100" s="10"/>
      <c r="M100" s="388" t="s">
        <v>2827</v>
      </c>
      <c r="N100" s="18">
        <f>SUMIF(compras_mes10[Tipo de Gasto],'Asto-Cpras'!M100,compras_mes10[NETO GRAVADO])+SUMIF(factura_c_mes10[TIPO DE GASTO],'Asto-Cpras'!M100,factura_c_mes10[TOTAL])</f>
        <v>0</v>
      </c>
      <c r="O100" s="14"/>
    </row>
    <row r="101" spans="2:15" x14ac:dyDescent="0.3">
      <c r="B101" s="10"/>
      <c r="C101" s="12" t="s">
        <v>2749</v>
      </c>
      <c r="D101" s="17">
        <f>SUMIF(compras_mes7[Tipo de Gasto],'Asto-Cpras'!C101,compras_mes7[NETO GRAVADO])+SUMIF(factura_c_mes7[TIPO DE GASTO],'Asto-Cpras'!C101,factura_c_mes7[TOTAL])</f>
        <v>0</v>
      </c>
      <c r="E101" s="14"/>
      <c r="F101" s="3"/>
      <c r="G101" s="10"/>
      <c r="H101" s="12" t="s">
        <v>2749</v>
      </c>
      <c r="I101" s="17">
        <f>SUMIF(compras_mes8[Tipo de Gasto],'Asto-Cpras'!H101,compras_mes8[NETO GRAVADO])+SUMIF(factura_c_mes8[TIPO DE GASTO],'Asto-Cpras'!H101,factura_c_mes8[TOTAL])</f>
        <v>0</v>
      </c>
      <c r="J101" s="14"/>
      <c r="K101" s="3"/>
      <c r="L101" s="423">
        <v>512.20000000000005</v>
      </c>
      <c r="M101" s="424" t="s">
        <v>2749</v>
      </c>
      <c r="N101" s="18">
        <f>SUMIF(compras_mes10[Tipo de Gasto],'Asto-Cpras'!M101,compras_mes10[NETO GRAVADO])+SUMIF(factura_c_mes10[TIPO DE GASTO],'Asto-Cpras'!M101,factura_c_mes10[TOTAL])</f>
        <v>315745</v>
      </c>
      <c r="O101" s="14"/>
    </row>
    <row r="102" spans="2:15" x14ac:dyDescent="0.3">
      <c r="B102" s="10"/>
      <c r="C102" s="12" t="s">
        <v>2706</v>
      </c>
      <c r="D102" s="17">
        <f>SUMIF(compras_mes7[Tipo de Gasto],'Asto-Cpras'!C102,compras_mes7[NETO GRAVADO])+SUMIF(factura_c_mes7[TIPO DE GASTO],'Asto-Cpras'!C102,factura_c_mes7[TOTAL])</f>
        <v>117678.39999999999</v>
      </c>
      <c r="E102" s="14"/>
      <c r="F102" s="3"/>
      <c r="G102" s="10" t="str">
        <f>IF($B$6="","",$B$6)</f>
        <v/>
      </c>
      <c r="H102" s="12" t="s">
        <v>2706</v>
      </c>
      <c r="I102" s="17">
        <f>SUMIF(compras_mes8[Tipo de Gasto],'Asto-Cpras'!H102,compras_mes8[NETO GRAVADO])+SUMIF(factura_c_mes8[TIPO DE GASTO],'Asto-Cpras'!H102,factura_c_mes8[TOTAL])</f>
        <v>112604.34</v>
      </c>
      <c r="J102" s="14"/>
      <c r="K102" s="3"/>
      <c r="L102" s="10" t="str">
        <f>IF($B$6="","",$B$6)</f>
        <v/>
      </c>
      <c r="M102" s="388" t="s">
        <v>2706</v>
      </c>
      <c r="N102" s="18">
        <f>SUMIF(compras_mes10[Tipo de Gasto],'Asto-Cpras'!M102,compras_mes10[NETO GRAVADO])+SUMIF(factura_c_mes10[TIPO DE GASTO],'Asto-Cpras'!M102,factura_c_mes10[TOTAL])</f>
        <v>113038.60999999997</v>
      </c>
      <c r="O102" s="14"/>
    </row>
    <row r="103" spans="2:15" x14ac:dyDescent="0.3">
      <c r="B103" s="10" t="str">
        <f>IF($B$7="","",$B$7)</f>
        <v/>
      </c>
      <c r="C103" s="12" t="s">
        <v>2738</v>
      </c>
      <c r="D103" s="17">
        <f>SUMIF(compras_mes7[Tipo de Gasto],'Asto-Cpras'!C103,compras_mes7[NETO GRAVADO])+SUMIF(factura_c_mes7[TIPO DE GASTO],'Asto-Cpras'!C103,factura_c_mes7[TOTAL])</f>
        <v>2419.0100000000002</v>
      </c>
      <c r="E103" s="14"/>
      <c r="F103" s="3"/>
      <c r="G103" s="10" t="str">
        <f>IF($B$7="","",$B$7)</f>
        <v/>
      </c>
      <c r="H103" s="12" t="s">
        <v>2738</v>
      </c>
      <c r="I103" s="17">
        <f>SUMIF(compras_mes8[Tipo de Gasto],'Asto-Cpras'!H103,compras_mes8[NETO GRAVADO])+SUMIF(factura_c_mes8[TIPO DE GASTO],'Asto-Cpras'!H103,factura_c_mes8[TOTAL])</f>
        <v>0</v>
      </c>
      <c r="J103" s="14"/>
      <c r="K103" s="3"/>
      <c r="L103" s="10" t="str">
        <f>IF($B$7="","",$B$7)</f>
        <v/>
      </c>
      <c r="M103" s="388" t="s">
        <v>2738</v>
      </c>
      <c r="N103" s="18">
        <f>SUMIF(compras_mes10[Tipo de Gasto],'Asto-Cpras'!M103,compras_mes10[NETO GRAVADO])+SUMIF(factura_c_mes10[TIPO DE GASTO],'Asto-Cpras'!M103,factura_c_mes10[TOTAL])</f>
        <v>15850.49</v>
      </c>
      <c r="O103" s="14"/>
    </row>
    <row r="104" spans="2:15" x14ac:dyDescent="0.3">
      <c r="B104" s="10" t="str">
        <f>IF($B$8="","",$B$8)</f>
        <v/>
      </c>
      <c r="C104" s="12" t="s">
        <v>2745</v>
      </c>
      <c r="D104" s="17">
        <f>SUMIF(compras_mes7[Tipo de Gasto],'Asto-Cpras'!C104,compras_mes7[NETO GRAVADO])+SUMIF(factura_c_mes7[TIPO DE GASTO],'Asto-Cpras'!C104,factura_c_mes7[TOTAL])</f>
        <v>36844.949999999997</v>
      </c>
      <c r="E104" s="14"/>
      <c r="F104" s="3"/>
      <c r="G104" s="10" t="str">
        <f>IF($B$8="","",$B$8)</f>
        <v/>
      </c>
      <c r="H104" s="12" t="s">
        <v>2745</v>
      </c>
      <c r="I104" s="17">
        <f>SUMIF(compras_mes8[Tipo de Gasto],'Asto-Cpras'!H104,compras_mes8[NETO GRAVADO])+SUMIF(factura_c_mes8[TIPO DE GASTO],'Asto-Cpras'!H104,factura_c_mes8[TOTAL])</f>
        <v>127693.99</v>
      </c>
      <c r="J104" s="14"/>
      <c r="K104" s="3"/>
      <c r="L104" s="10" t="str">
        <f>IF($B$8="","",$B$8)</f>
        <v/>
      </c>
      <c r="M104" s="388" t="s">
        <v>2745</v>
      </c>
      <c r="N104" s="18">
        <f>SUMIF(compras_mes10[Tipo de Gasto],'Asto-Cpras'!M104,compras_mes10[NETO GRAVADO])+SUMIF(factura_c_mes10[TIPO DE GASTO],'Asto-Cpras'!M104,factura_c_mes10[TOTAL])</f>
        <v>36300.67</v>
      </c>
      <c r="O104" s="14"/>
    </row>
    <row r="105" spans="2:15" x14ac:dyDescent="0.3">
      <c r="B105" s="10"/>
      <c r="C105" s="12" t="s">
        <v>2861</v>
      </c>
      <c r="D105" s="17">
        <f>SUMIF(compras_mes7[Tipo de Gasto],'Asto-Cpras'!C105,compras_mes7[NETO GRAVADO])+SUMIF(factura_c_mes7[TIPO DE GASTO],'Asto-Cpras'!C105,factura_c_mes7[TOTAL])</f>
        <v>1026512.4500000001</v>
      </c>
      <c r="E105" s="14"/>
      <c r="F105" s="3"/>
      <c r="G105" s="10"/>
      <c r="H105" s="12" t="s">
        <v>2861</v>
      </c>
      <c r="I105" s="17">
        <f>SUMIF(compras_mes8[Tipo de Gasto],'Asto-Cpras'!H105,compras_mes8[NETO GRAVADO])+SUMIF(factura_c_mes8[TIPO DE GASTO],'Asto-Cpras'!H105,factura_c_mes8[TOTAL])</f>
        <v>291501.03999999998</v>
      </c>
      <c r="J105" s="14"/>
      <c r="K105" s="3"/>
      <c r="L105" s="10"/>
      <c r="M105" s="388" t="s">
        <v>2861</v>
      </c>
      <c r="N105" s="18">
        <f>SUMIF(compras_mes10[Tipo de Gasto],'Asto-Cpras'!M105,compras_mes10[NETO GRAVADO])+SUMIF(factura_c_mes10[TIPO DE GASTO],'Asto-Cpras'!M105,factura_c_mes10[TOTAL])</f>
        <v>704346.2699999999</v>
      </c>
      <c r="O105" s="14"/>
    </row>
    <row r="106" spans="2:15" x14ac:dyDescent="0.3">
      <c r="B106" s="10" t="str">
        <f>IF($B$10="","",$B$10)</f>
        <v/>
      </c>
      <c r="C106" s="12" t="s">
        <v>2806</v>
      </c>
      <c r="D106" s="17">
        <f>SUMIF(compras_mes7[Tipo de Gasto],'Asto-Cpras'!C106,compras_mes7[NETO GRAVADO])+SUMIF(factura_c_mes7[TIPO DE GASTO],'Asto-Cpras'!C106,factura_c_mes7[TOTAL])</f>
        <v>0</v>
      </c>
      <c r="E106" s="14"/>
      <c r="F106" s="3"/>
      <c r="G106" s="423">
        <v>512.20000000000005</v>
      </c>
      <c r="H106" s="425" t="s">
        <v>2806</v>
      </c>
      <c r="I106" s="17">
        <f>SUMIF(compras_mes8[Tipo de Gasto],'Asto-Cpras'!H106,compras_mes8[NETO GRAVADO])+SUMIF(factura_c_mes8[TIPO DE GASTO],'Asto-Cpras'!H106,factura_c_mes8[TOTAL])</f>
        <v>24834.9</v>
      </c>
      <c r="J106" s="14"/>
      <c r="K106" s="3"/>
      <c r="L106" s="10" t="str">
        <f>IF($B$10="","",$B$10)</f>
        <v/>
      </c>
      <c r="M106" s="388" t="s">
        <v>2806</v>
      </c>
      <c r="N106" s="18">
        <f>SUMIF(compras_mes10[Tipo de Gasto],'Asto-Cpras'!M106,compras_mes10[NETO GRAVADO])+SUMIF(factura_c_mes10[TIPO DE GASTO],'Asto-Cpras'!M106,factura_c_mes10[TOTAL])</f>
        <v>0</v>
      </c>
      <c r="O106" s="14"/>
    </row>
    <row r="107" spans="2:15" x14ac:dyDescent="0.3">
      <c r="B107" s="10" t="e">
        <f>IF(#REF!="","",#REF!)</f>
        <v>#REF!</v>
      </c>
      <c r="C107" s="12" t="s">
        <v>2728</v>
      </c>
      <c r="D107" s="17">
        <f>SUMIF(compras_mes7[Tipo de Gasto],'Asto-Cpras'!C107,compras_mes7[NETO GRAVADO])+SUMIF(factura_c_mes7[TIPO DE GASTO],'Asto-Cpras'!C107,factura_c_mes7[TOTAL])</f>
        <v>91800</v>
      </c>
      <c r="E107" s="14"/>
      <c r="F107" s="3"/>
      <c r="G107" s="10" t="e">
        <f>IF(#REF!="","",#REF!)</f>
        <v>#REF!</v>
      </c>
      <c r="H107" s="12" t="s">
        <v>2728</v>
      </c>
      <c r="I107" s="17">
        <f>SUMIF(compras_mes8[Tipo de Gasto],'Asto-Cpras'!H107,compras_mes8[NETO GRAVADO])+SUMIF(factura_c_mes8[TIPO DE GASTO],'Asto-Cpras'!H107,factura_c_mes8[TOTAL])</f>
        <v>0</v>
      </c>
      <c r="J107" s="14"/>
      <c r="K107" s="3"/>
      <c r="L107" s="10" t="e">
        <f>IF(#REF!="","",#REF!)</f>
        <v>#REF!</v>
      </c>
      <c r="M107" s="388" t="s">
        <v>2728</v>
      </c>
      <c r="N107" s="18">
        <f>SUMIF(compras_mes10[Tipo de Gasto],'Asto-Cpras'!M107,compras_mes10[NETO GRAVADO])+SUMIF(factura_c_mes10[TIPO DE GASTO],'Asto-Cpras'!M107,factura_c_mes10[TOTAL])</f>
        <v>339476</v>
      </c>
      <c r="O107" s="14"/>
    </row>
    <row r="108" spans="2:15" x14ac:dyDescent="0.3">
      <c r="B108" s="10"/>
      <c r="C108" s="12" t="s">
        <v>2809</v>
      </c>
      <c r="D108" s="17">
        <f>SUMIF(compras_mes7[Tipo de Gasto],'Asto-Cpras'!C108,compras_mes7[NETO GRAVADO])+SUMIF(factura_c_mes7[TIPO DE GASTO],'Asto-Cpras'!C108,factura_c_mes7[TOTAL])</f>
        <v>0</v>
      </c>
      <c r="E108" s="14"/>
      <c r="F108" s="3"/>
      <c r="G108" s="10"/>
      <c r="H108" s="12" t="s">
        <v>2809</v>
      </c>
      <c r="I108" s="17">
        <f>SUMIF(compras_mes8[Tipo de Gasto],'Asto-Cpras'!H108,compras_mes8[NETO GRAVADO])+SUMIF(factura_c_mes8[TIPO DE GASTO],'Asto-Cpras'!H108,factura_c_mes8[TOTAL])</f>
        <v>0</v>
      </c>
      <c r="J108" s="14"/>
      <c r="K108" s="3"/>
      <c r="L108" s="10"/>
      <c r="M108" s="388" t="s">
        <v>2809</v>
      </c>
      <c r="N108" s="18">
        <f>SUMIF(compras_mes10[Tipo de Gasto],'Asto-Cpras'!M108,compras_mes10[NETO GRAVADO])+SUMIF(factura_c_mes10[TIPO DE GASTO],'Asto-Cpras'!M108,factura_c_mes10[TOTAL])</f>
        <v>0</v>
      </c>
      <c r="O108" s="14"/>
    </row>
    <row r="109" spans="2:15" x14ac:dyDescent="0.3">
      <c r="B109" s="10"/>
      <c r="C109" s="12" t="s">
        <v>2718</v>
      </c>
      <c r="D109" s="17">
        <f>SUMIF(compras_mes7[Tipo de Gasto],'Asto-Cpras'!C109,compras_mes7[NETO GRAVADO])+SUMIF(factura_c_mes7[TIPO DE GASTO],'Asto-Cpras'!C109,factura_c_mes7[TOTAL])</f>
        <v>6922.31</v>
      </c>
      <c r="E109" s="14"/>
      <c r="F109" s="3"/>
      <c r="G109" s="10"/>
      <c r="H109" s="12" t="s">
        <v>2718</v>
      </c>
      <c r="I109" s="17">
        <f>SUMIF(compras_mes8[Tipo de Gasto],'Asto-Cpras'!H109,compras_mes8[NETO GRAVADO])+SUMIF(factura_c_mes8[TIPO DE GASTO],'Asto-Cpras'!H109,factura_c_mes8[TOTAL])</f>
        <v>0</v>
      </c>
      <c r="J109" s="14"/>
      <c r="K109" s="3"/>
      <c r="L109" s="10"/>
      <c r="M109" s="388" t="s">
        <v>2718</v>
      </c>
      <c r="N109" s="18">
        <f>SUMIF(compras_mes10[Tipo de Gasto],'Asto-Cpras'!M109,compras_mes10[NETO GRAVADO])+SUMIF(factura_c_mes10[TIPO DE GASTO],'Asto-Cpras'!M109,factura_c_mes10[TOTAL])</f>
        <v>38625.339999999997</v>
      </c>
      <c r="O109" s="14"/>
    </row>
    <row r="110" spans="2:15" x14ac:dyDescent="0.3">
      <c r="B110" s="10"/>
      <c r="C110" s="12" t="s">
        <v>2704</v>
      </c>
      <c r="D110" s="17">
        <f>SUMIF(compras_mes7[Tipo de Gasto],'Asto-Cpras'!C110,compras_mes7[NETO GRAVADO])+SUMIF(factura_c_mes7[TIPO DE GASTO],'Asto-Cpras'!C110,factura_c_mes7[TOTAL])</f>
        <v>4.13</v>
      </c>
      <c r="E110" s="14"/>
      <c r="F110" s="3"/>
      <c r="G110" s="10"/>
      <c r="H110" s="12" t="s">
        <v>2704</v>
      </c>
      <c r="I110" s="17">
        <f>SUMIF(compras_mes8[Tipo de Gasto],'Asto-Cpras'!H110,compras_mes8[NETO GRAVADO])+SUMIF(factura_c_mes8[TIPO DE GASTO],'Asto-Cpras'!H110,factura_c_mes8[TOTAL])</f>
        <v>1603.31</v>
      </c>
      <c r="J110" s="14"/>
      <c r="K110" s="3"/>
      <c r="L110" s="10"/>
      <c r="M110" s="388" t="s">
        <v>2704</v>
      </c>
      <c r="N110" s="18">
        <f>SUMIF(compras_mes10[Tipo de Gasto],'Asto-Cpras'!M110,compras_mes10[NETO GRAVADO])+SUMIF(factura_c_mes10[TIPO DE GASTO],'Asto-Cpras'!M110,factura_c_mes10[TOTAL])</f>
        <v>25032.820000000003</v>
      </c>
      <c r="O110" s="14"/>
    </row>
    <row r="111" spans="2:15" x14ac:dyDescent="0.3">
      <c r="B111" s="10"/>
      <c r="C111" s="12" t="s">
        <v>59</v>
      </c>
      <c r="D111" s="17">
        <f>SUMIF(compras_mes7[Tipo de Gasto],'Asto-Cpras'!C111,compras_mes7[NETO GRAVADO])+SUMIF(factura_c_mes7[TIPO DE GASTO],'Asto-Cpras'!C111,factura_c_mes7[TOTAL])</f>
        <v>261939.66999999998</v>
      </c>
      <c r="E111" s="14"/>
      <c r="F111" s="3"/>
      <c r="G111" s="10"/>
      <c r="H111" s="12" t="s">
        <v>59</v>
      </c>
      <c r="I111" s="17">
        <f>SUMIF(compras_mes8[Tipo de Gasto],'Asto-Cpras'!H111,compras_mes8[NETO GRAVADO])+SUMIF(factura_c_mes8[TIPO DE GASTO],'Asto-Cpras'!H111,factura_c_mes8[TOTAL])</f>
        <v>225219.22999999998</v>
      </c>
      <c r="J111" s="14"/>
      <c r="K111" s="3"/>
      <c r="L111" s="10"/>
      <c r="M111" s="388" t="s">
        <v>59</v>
      </c>
      <c r="N111" s="18">
        <f>SUMIF(compras_mes10[Tipo de Gasto],'Asto-Cpras'!M111,compras_mes10[NETO GRAVADO])+SUMIF(factura_c_mes10[TIPO DE GASTO],'Asto-Cpras'!M111,factura_c_mes10[TOTAL])</f>
        <v>453133.77999999985</v>
      </c>
      <c r="O111" s="14"/>
    </row>
    <row r="112" spans="2:15" x14ac:dyDescent="0.3">
      <c r="B112" s="10"/>
      <c r="C112" s="12" t="s">
        <v>2725</v>
      </c>
      <c r="D112" s="17">
        <f>SUMIF(compras_mes7[Tipo de Gasto],'Asto-Cpras'!C112,compras_mes7[NETO GRAVADO])+SUMIF(factura_c_mes7[TIPO DE GASTO],'Asto-Cpras'!C112,factura_c_mes7[TOTAL])</f>
        <v>138600.25</v>
      </c>
      <c r="E112" s="14"/>
      <c r="F112" s="3"/>
      <c r="G112" s="10"/>
      <c r="H112" s="12" t="s">
        <v>2725</v>
      </c>
      <c r="I112" s="17">
        <f>SUMIF(compras_mes8[Tipo de Gasto],'Asto-Cpras'!H112,compras_mes8[NETO GRAVADO])+SUMIF(factura_c_mes8[TIPO DE GASTO],'Asto-Cpras'!H112,factura_c_mes8[TOTAL])</f>
        <v>997261.75</v>
      </c>
      <c r="J112" s="14"/>
      <c r="K112" s="3"/>
      <c r="L112" s="10"/>
      <c r="M112" s="388" t="s">
        <v>2725</v>
      </c>
      <c r="N112" s="18">
        <f>SUMIF(compras_mes10[Tipo de Gasto],'Asto-Cpras'!M112,compras_mes10[NETO GRAVADO])+SUMIF(factura_c_mes10[TIPO DE GASTO],'Asto-Cpras'!M112,factura_c_mes10[TOTAL])</f>
        <v>1511740.48</v>
      </c>
      <c r="O112" s="14"/>
    </row>
    <row r="113" spans="2:15" x14ac:dyDescent="0.3">
      <c r="B113" s="10"/>
      <c r="C113" s="12" t="s">
        <v>2899</v>
      </c>
      <c r="D113" s="17">
        <f>SUMIF(compras_mes7[Tipo de Gasto],'Asto-Cpras'!C113,compras_mes7[NETO GRAVADO])+SUMIF(factura_c_mes7[TIPO DE GASTO],'Asto-Cpras'!C113,factura_c_mes7[TOTAL])</f>
        <v>0</v>
      </c>
      <c r="E113" s="14"/>
      <c r="F113" s="3"/>
      <c r="G113" s="10"/>
      <c r="H113" s="12" t="s">
        <v>2899</v>
      </c>
      <c r="I113" s="17">
        <f>SUMIF(compras_mes8[Tipo de Gasto],'Asto-Cpras'!H113,compras_mes8[NETO GRAVADO])+SUMIF(factura_c_mes8[TIPO DE GASTO],'Asto-Cpras'!H113,factura_c_mes8[TOTAL])</f>
        <v>0</v>
      </c>
      <c r="J113" s="14"/>
      <c r="K113" s="3"/>
      <c r="L113" s="10"/>
      <c r="M113" s="388" t="s">
        <v>2899</v>
      </c>
      <c r="N113" s="18">
        <f>SUMIF(compras_mes10[Tipo de Gasto],'Asto-Cpras'!M113,compras_mes10[NETO GRAVADO])+SUMIF(factura_c_mes10[TIPO DE GASTO],'Asto-Cpras'!M113,factura_c_mes10[TOTAL])</f>
        <v>0</v>
      </c>
      <c r="O113" s="14"/>
    </row>
    <row r="114" spans="2:15" x14ac:dyDescent="0.3">
      <c r="B114" s="10"/>
      <c r="C114" s="12" t="s">
        <v>2890</v>
      </c>
      <c r="D114" s="17">
        <f>SUMIF(compras_mes7[Tipo de Gasto],'Asto-Cpras'!C114,compras_mes7[NETO GRAVADO])+SUMIF(factura_c_mes7[TIPO DE GASTO],'Asto-Cpras'!C114,factura_c_mes7[TOTAL])</f>
        <v>0</v>
      </c>
      <c r="E114" s="14"/>
      <c r="F114" s="3"/>
      <c r="G114" s="10"/>
      <c r="H114" s="12" t="s">
        <v>2890</v>
      </c>
      <c r="I114" s="17">
        <f>SUMIF(compras_mes8[Tipo de Gasto],'Asto-Cpras'!H114,compras_mes8[NETO GRAVADO])+SUMIF(factura_c_mes8[TIPO DE GASTO],'Asto-Cpras'!H114,factura_c_mes8[TOTAL])</f>
        <v>101901.99</v>
      </c>
      <c r="J114" s="14"/>
      <c r="K114" s="3"/>
      <c r="L114" s="10"/>
      <c r="M114" s="388" t="s">
        <v>2890</v>
      </c>
      <c r="N114" s="18">
        <f>SUMIF(compras_mes10[Tipo de Gasto],'Asto-Cpras'!M114,compras_mes10[NETO GRAVADO])+SUMIF(factura_c_mes10[TIPO DE GASTO],'Asto-Cpras'!M114,factura_c_mes10[TOTAL])</f>
        <v>50000</v>
      </c>
      <c r="O114" s="14"/>
    </row>
    <row r="115" spans="2:15" x14ac:dyDescent="0.3">
      <c r="B115" s="423">
        <v>512.20000000000005</v>
      </c>
      <c r="C115" s="425" t="s">
        <v>2736</v>
      </c>
      <c r="D115" s="17">
        <f>SUMIF(compras_mes7[Tipo de Gasto],'Asto-Cpras'!C115,compras_mes7[NETO GRAVADO])+SUMIF(factura_c_mes7[TIPO DE GASTO],'Asto-Cpras'!C115,factura_c_mes7[TOTAL])</f>
        <v>5630</v>
      </c>
      <c r="E115" s="14"/>
      <c r="F115" s="3"/>
      <c r="G115" s="10"/>
      <c r="H115" s="12" t="s">
        <v>2736</v>
      </c>
      <c r="I115" s="17">
        <f>SUMIF(compras_mes8[Tipo de Gasto],'Asto-Cpras'!H115,compras_mes8[NETO GRAVADO])+SUMIF(factura_c_mes8[TIPO DE GASTO],'Asto-Cpras'!H115,factura_c_mes8[TOTAL])</f>
        <v>0</v>
      </c>
      <c r="J115" s="14"/>
      <c r="K115" s="3"/>
      <c r="L115" s="10"/>
      <c r="M115" s="388" t="s">
        <v>2736</v>
      </c>
      <c r="N115" s="18">
        <f>SUMIF(compras_mes10[Tipo de Gasto],'Asto-Cpras'!M115,compras_mes10[NETO GRAVADO])+SUMIF(factura_c_mes10[TIPO DE GASTO],'Asto-Cpras'!M115,factura_c_mes10[TOTAL])</f>
        <v>0</v>
      </c>
      <c r="O115" s="14"/>
    </row>
    <row r="116" spans="2:15" x14ac:dyDescent="0.3">
      <c r="B116" s="10"/>
      <c r="C116" s="12" t="s">
        <v>2786</v>
      </c>
      <c r="D116" s="17">
        <f>SUMIF(compras_mes7[Tipo de Gasto],'Asto-Cpras'!C116,compras_mes7[NETO GRAVADO])+SUMIF(factura_c_mes7[TIPO DE GASTO],'Asto-Cpras'!C116,factura_c_mes7[TOTAL])</f>
        <v>0</v>
      </c>
      <c r="E116" s="14"/>
      <c r="F116" s="3"/>
      <c r="G116" s="10"/>
      <c r="H116" s="12" t="s">
        <v>2786</v>
      </c>
      <c r="I116" s="17">
        <f>SUMIF(compras_mes8[Tipo de Gasto],'Asto-Cpras'!H116,compras_mes8[NETO GRAVADO])+SUMIF(factura_c_mes8[TIPO DE GASTO],'Asto-Cpras'!H116,factura_c_mes8[TOTAL])</f>
        <v>0</v>
      </c>
      <c r="J116" s="14"/>
      <c r="K116" s="3"/>
      <c r="L116" s="10"/>
      <c r="M116" s="388" t="s">
        <v>2786</v>
      </c>
      <c r="N116" s="18">
        <f>SUMIF(compras_mes10[Tipo de Gasto],'Asto-Cpras'!M116,compras_mes10[NETO GRAVADO])+SUMIF(factura_c_mes10[TIPO DE GASTO],'Asto-Cpras'!M116,factura_c_mes10[TOTAL])</f>
        <v>0</v>
      </c>
      <c r="O116" s="14"/>
    </row>
    <row r="117" spans="2:15" x14ac:dyDescent="0.3">
      <c r="B117" s="10"/>
      <c r="C117" s="12" t="s">
        <v>2889</v>
      </c>
      <c r="D117" s="17">
        <f>SUMIF(compras_mes7[Tipo de Gasto],'Asto-Cpras'!C117,compras_mes7[NETO GRAVADO])+SUMIF(factura_c_mes7[TIPO DE GASTO],'Asto-Cpras'!C117,factura_c_mes7[TOTAL])</f>
        <v>125600</v>
      </c>
      <c r="E117" s="14"/>
      <c r="F117" s="3"/>
      <c r="G117" s="10"/>
      <c r="H117" s="12" t="s">
        <v>2889</v>
      </c>
      <c r="I117" s="17">
        <f>SUMIF(compras_mes8[Tipo de Gasto],'Asto-Cpras'!H117,compras_mes8[NETO GRAVADO])+SUMIF(factura_c_mes8[TIPO DE GASTO],'Asto-Cpras'!H117,factura_c_mes8[TOTAL])</f>
        <v>77700</v>
      </c>
      <c r="J117" s="14"/>
      <c r="K117" s="3"/>
      <c r="L117" s="10"/>
      <c r="M117" s="388" t="s">
        <v>2889</v>
      </c>
      <c r="N117" s="18">
        <f>SUMIF(compras_mes10[Tipo de Gasto],'Asto-Cpras'!M117,compras_mes10[NETO GRAVADO])+SUMIF(factura_c_mes10[TIPO DE GASTO],'Asto-Cpras'!M117,factura_c_mes10[TOTAL])</f>
        <v>16400</v>
      </c>
      <c r="O117" s="14"/>
    </row>
    <row r="118" spans="2:15" x14ac:dyDescent="0.3">
      <c r="B118" s="10"/>
      <c r="C118" s="12" t="s">
        <v>2761</v>
      </c>
      <c r="D118" s="17">
        <f>SUMIF(compras_mes7[Tipo de Gasto],'Asto-Cpras'!C118,compras_mes7[NETO GRAVADO])+SUMIF(factura_c_mes7[TIPO DE GASTO],'Asto-Cpras'!C118,factura_c_mes7[TOTAL])</f>
        <v>30000</v>
      </c>
      <c r="E118" s="14"/>
      <c r="F118" s="3"/>
      <c r="G118" s="10"/>
      <c r="H118" s="12" t="s">
        <v>2761</v>
      </c>
      <c r="I118" s="17">
        <f>SUMIF(compras_mes8[Tipo de Gasto],'Asto-Cpras'!H118,compras_mes8[NETO GRAVADO])+SUMIF(factura_c_mes8[TIPO DE GASTO],'Asto-Cpras'!H118,factura_c_mes8[TOTAL])</f>
        <v>30000</v>
      </c>
      <c r="J118" s="14"/>
      <c r="K118" s="3"/>
      <c r="L118" s="10"/>
      <c r="M118" s="388" t="s">
        <v>2761</v>
      </c>
      <c r="N118" s="18">
        <f>SUMIF(compras_mes10[Tipo de Gasto],'Asto-Cpras'!M118,compras_mes10[NETO GRAVADO])+SUMIF(factura_c_mes10[TIPO DE GASTO],'Asto-Cpras'!M118,factura_c_mes10[TOTAL])</f>
        <v>60000</v>
      </c>
      <c r="O118" s="14"/>
    </row>
    <row r="119" spans="2:15" x14ac:dyDescent="0.3">
      <c r="B119" s="10" t="str">
        <f>IF($B$11="","",$B$11)</f>
        <v/>
      </c>
      <c r="C119" s="12" t="s">
        <v>70</v>
      </c>
      <c r="D119" s="17">
        <f>SUMIF(compras_mes7[Tipo de Gasto],'Asto-Cpras'!C119,compras_mes7[NETO GRAVADO])+SUMIF(factura_c_mes7[TIPO DE GASTO],'Asto-Cpras'!C119,factura_c_mes7[TOTAL])</f>
        <v>19989.45</v>
      </c>
      <c r="E119" s="14"/>
      <c r="F119" s="3"/>
      <c r="G119" s="10" t="str">
        <f>IF($B$11="","",$B$11)</f>
        <v/>
      </c>
      <c r="H119" s="12" t="s">
        <v>70</v>
      </c>
      <c r="I119" s="17">
        <f>SUMIF(compras_mes8[Tipo de Gasto],'Asto-Cpras'!H119,compras_mes8[NETO GRAVADO])+SUMIF(factura_c_mes8[TIPO DE GASTO],'Asto-Cpras'!H119,factura_c_mes8[TOTAL])</f>
        <v>24798.32</v>
      </c>
      <c r="J119" s="14"/>
      <c r="K119" s="3"/>
      <c r="L119" s="10" t="str">
        <f>IF($B$11="","",$B$11)</f>
        <v/>
      </c>
      <c r="M119" s="388" t="s">
        <v>70</v>
      </c>
      <c r="N119" s="18">
        <f>SUMIF(compras_mes10[Tipo de Gasto],'Asto-Cpras'!M119,compras_mes10[NETO GRAVADO])+SUMIF(factura_c_mes10[TIPO DE GASTO],'Asto-Cpras'!M119,factura_c_mes10[TOTAL])</f>
        <v>296870.88</v>
      </c>
      <c r="O119" s="14"/>
    </row>
    <row r="120" spans="2:15" x14ac:dyDescent="0.3">
      <c r="B120" s="10"/>
      <c r="C120" s="12" t="s">
        <v>2708</v>
      </c>
      <c r="D120" s="17">
        <f>SUMIF(compras_mes7[Tipo de Gasto],'Asto-Cpras'!C120,compras_mes7[NETO GRAVADO])+SUMIF(factura_c_mes7[TIPO DE GASTO],'Asto-Cpras'!C120,factura_c_mes7[TOTAL])</f>
        <v>0</v>
      </c>
      <c r="E120" s="14"/>
      <c r="F120" s="3"/>
      <c r="G120" s="10"/>
      <c r="H120" s="12" t="s">
        <v>2708</v>
      </c>
      <c r="I120" s="17">
        <f>SUMIF(compras_mes8[Tipo de Gasto],'Asto-Cpras'!H120,compras_mes8[NETO GRAVADO])+SUMIF(factura_c_mes8[TIPO DE GASTO],'Asto-Cpras'!H120,factura_c_mes8[TOTAL])</f>
        <v>0</v>
      </c>
      <c r="J120" s="14"/>
      <c r="K120" s="3"/>
      <c r="L120" s="10"/>
      <c r="M120" s="388" t="s">
        <v>2708</v>
      </c>
      <c r="N120" s="18">
        <f>SUMIF(compras_mes10[Tipo de Gasto],'Asto-Cpras'!M120,compras_mes10[NETO GRAVADO])+SUMIF(factura_c_mes10[TIPO DE GASTO],'Asto-Cpras'!M120,factura_c_mes10[TOTAL])</f>
        <v>0</v>
      </c>
      <c r="O120" s="14"/>
    </row>
    <row r="121" spans="2:15" x14ac:dyDescent="0.3">
      <c r="B121" s="10"/>
      <c r="C121" s="12" t="s">
        <v>2714</v>
      </c>
      <c r="D121" s="17">
        <f>SUMIF(compras_mes7[Tipo de Gasto],'Asto-Cpras'!C121,compras_mes7[NETO GRAVADO])+SUMIF(factura_c_mes7[TIPO DE GASTO],'Asto-Cpras'!C121,factura_c_mes7[TOTAL])</f>
        <v>171145.79</v>
      </c>
      <c r="E121" s="14"/>
      <c r="F121" s="3"/>
      <c r="G121" s="10"/>
      <c r="H121" s="12" t="s">
        <v>2714</v>
      </c>
      <c r="I121" s="17">
        <f>SUMIF(compras_mes8[Tipo de Gasto],'Asto-Cpras'!H121,compras_mes8[NETO GRAVADO])+SUMIF(factura_c_mes8[TIPO DE GASTO],'Asto-Cpras'!H121,factura_c_mes8[TOTAL])</f>
        <v>264810.05</v>
      </c>
      <c r="J121" s="14"/>
      <c r="K121" s="3"/>
      <c r="L121" s="10"/>
      <c r="M121" s="388" t="s">
        <v>2714</v>
      </c>
      <c r="N121" s="18">
        <f>SUMIF(compras_mes10[Tipo de Gasto],'Asto-Cpras'!M121,compras_mes10[NETO GRAVADO])+SUMIF(factura_c_mes10[TIPO DE GASTO],'Asto-Cpras'!M121,factura_c_mes10[TOTAL])</f>
        <v>84087.650000000009</v>
      </c>
      <c r="O121" s="14"/>
    </row>
    <row r="122" spans="2:15" x14ac:dyDescent="0.3">
      <c r="B122" s="10" t="str">
        <f>IF($B$12="","",$B$12)</f>
        <v/>
      </c>
      <c r="C122" s="12" t="s">
        <v>2862</v>
      </c>
      <c r="D122" s="17">
        <f>SUMIF(compras_mes7[Tipo de Gasto],'Asto-Cpras'!C122,compras_mes7[NETO GRAVADO])+SUMIF(factura_c_mes7[TIPO DE GASTO],'Asto-Cpras'!C122,factura_c_mes7[TOTAL])</f>
        <v>0</v>
      </c>
      <c r="E122" s="14"/>
      <c r="F122" s="3"/>
      <c r="G122" s="10" t="str">
        <f>IF($B$12="","",$B$12)</f>
        <v/>
      </c>
      <c r="H122" s="12" t="s">
        <v>2862</v>
      </c>
      <c r="I122" s="17">
        <f>SUMIF(compras_mes8[Tipo de Gasto],'Asto-Cpras'!H122,compras_mes8[NETO GRAVADO])+SUMIF(factura_c_mes8[TIPO DE GASTO],'Asto-Cpras'!H122,factura_c_mes8[TOTAL])</f>
        <v>0</v>
      </c>
      <c r="J122" s="14"/>
      <c r="K122" s="3"/>
      <c r="L122" s="10" t="str">
        <f>IF($B$12="","",$B$12)</f>
        <v/>
      </c>
      <c r="M122" s="388" t="s">
        <v>2862</v>
      </c>
      <c r="N122" s="18">
        <f>SUMIF(compras_mes10[Tipo de Gasto],'Asto-Cpras'!M122,compras_mes10[NETO GRAVADO])+SUMIF(factura_c_mes10[TIPO DE GASTO],'Asto-Cpras'!M122,factura_c_mes10[TOTAL])</f>
        <v>4000</v>
      </c>
      <c r="O122" s="14"/>
    </row>
    <row r="123" spans="2:15" x14ac:dyDescent="0.3">
      <c r="B123" s="10"/>
      <c r="C123" s="12" t="s">
        <v>2778</v>
      </c>
      <c r="D123" s="17">
        <f>SUMIF(compras_mes7[Tipo de Gasto],'Asto-Cpras'!C123,compras_mes7[NETO GRAVADO])+SUMIF(factura_c_mes7[TIPO DE GASTO],'Asto-Cpras'!C123,factura_c_mes7[TOTAL])</f>
        <v>166059.96</v>
      </c>
      <c r="E123" s="14"/>
      <c r="F123" s="3"/>
      <c r="G123" s="10"/>
      <c r="H123" s="12" t="s">
        <v>2778</v>
      </c>
      <c r="I123" s="17">
        <f>SUMIF(compras_mes8[Tipo de Gasto],'Asto-Cpras'!H123,compras_mes8[NETO GRAVADO])+SUMIF(factura_c_mes8[TIPO DE GASTO],'Asto-Cpras'!H123,factura_c_mes8[TOTAL])</f>
        <v>0</v>
      </c>
      <c r="J123" s="14"/>
      <c r="K123" s="3"/>
      <c r="L123" s="10"/>
      <c r="M123" s="388" t="s">
        <v>2778</v>
      </c>
      <c r="N123" s="18">
        <f>SUMIF(compras_mes10[Tipo de Gasto],'Asto-Cpras'!M123,compras_mes10[NETO GRAVADO])+SUMIF(factura_c_mes10[TIPO DE GASTO],'Asto-Cpras'!M123,factura_c_mes10[TOTAL])</f>
        <v>369026.45</v>
      </c>
      <c r="O123" s="14"/>
    </row>
    <row r="124" spans="2:15" x14ac:dyDescent="0.3">
      <c r="B124" s="10"/>
      <c r="C124" s="12" t="s">
        <v>63</v>
      </c>
      <c r="D124" s="17">
        <f>SUMIF(compras_mes7[Tipo de Gasto],'Asto-Cpras'!C124,compras_mes7[NETO GRAVADO])+SUMIF(factura_c_mes7[TIPO DE GASTO],'Asto-Cpras'!C124,factura_c_mes7[TOTAL])</f>
        <v>6281841.2400000002</v>
      </c>
      <c r="E124" s="14"/>
      <c r="F124" s="3"/>
      <c r="G124" s="10"/>
      <c r="H124" s="12" t="s">
        <v>63</v>
      </c>
      <c r="I124" s="17">
        <f>SUMIF(compras_mes8[Tipo de Gasto],'Asto-Cpras'!H124,compras_mes8[NETO GRAVADO])+SUMIF(factura_c_mes8[TIPO DE GASTO],'Asto-Cpras'!H124,factura_c_mes8[TOTAL])</f>
        <v>6306412.0899999989</v>
      </c>
      <c r="J124" s="14"/>
      <c r="K124" s="3"/>
      <c r="L124" s="10"/>
      <c r="M124" s="388" t="s">
        <v>63</v>
      </c>
      <c r="N124" s="18">
        <f>SUMIF(compras_mes10[Tipo de Gasto],'Asto-Cpras'!M124,compras_mes10[NETO GRAVADO])+SUMIF(factura_c_mes10[TIPO DE GASTO],'Asto-Cpras'!M124,factura_c_mes10[TOTAL])</f>
        <v>9280586.379999999</v>
      </c>
      <c r="O124" s="14"/>
    </row>
    <row r="125" spans="2:15" x14ac:dyDescent="0.3">
      <c r="B125" s="10"/>
      <c r="C125" s="12" t="s">
        <v>2762</v>
      </c>
      <c r="D125" s="17">
        <f>SUMIF(compras_mes7[Tipo de Gasto],'Asto-Cpras'!C125,compras_mes7[NETO GRAVADO])+SUMIF(factura_c_mes7[TIPO DE GASTO],'Asto-Cpras'!C125,factura_c_mes7[TOTAL])</f>
        <v>0</v>
      </c>
      <c r="E125" s="14"/>
      <c r="F125" s="3"/>
      <c r="G125" s="10"/>
      <c r="H125" s="12" t="s">
        <v>2762</v>
      </c>
      <c r="I125" s="17">
        <f>SUMIF(compras_mes8[Tipo de Gasto],'Asto-Cpras'!H125,compras_mes8[NETO GRAVADO])+SUMIF(factura_c_mes8[TIPO DE GASTO],'Asto-Cpras'!H125,factura_c_mes8[TOTAL])</f>
        <v>0</v>
      </c>
      <c r="J125" s="14"/>
      <c r="K125" s="3"/>
      <c r="L125" s="10"/>
      <c r="M125" s="388" t="s">
        <v>2762</v>
      </c>
      <c r="N125" s="18">
        <f>SUMIF(compras_mes10[Tipo de Gasto],'Asto-Cpras'!M125,compras_mes10[NETO GRAVADO])+SUMIF(factura_c_mes10[TIPO DE GASTO],'Asto-Cpras'!M125,factura_c_mes10[TOTAL])</f>
        <v>0</v>
      </c>
      <c r="O125" s="14"/>
    </row>
    <row r="126" spans="2:15" x14ac:dyDescent="0.3">
      <c r="B126" s="10"/>
      <c r="C126" s="12" t="s">
        <v>92</v>
      </c>
      <c r="D126" s="17">
        <f>SUMIF(compras_mes7[Tipo de Gasto],'Asto-Cpras'!C126,compras_mes7[NETO GRAVADO])+SUMIF(factura_c_mes7[TIPO DE GASTO],'Asto-Cpras'!C126,factura_c_mes7[TOTAL])</f>
        <v>22841.32</v>
      </c>
      <c r="E126" s="14"/>
      <c r="F126" s="3"/>
      <c r="G126" s="10"/>
      <c r="H126" s="12" t="s">
        <v>92</v>
      </c>
      <c r="I126" s="17">
        <f>SUMIF(compras_mes8[Tipo de Gasto],'Asto-Cpras'!H126,compras_mes8[NETO GRAVADO])+SUMIF(factura_c_mes8[TIPO DE GASTO],'Asto-Cpras'!H126,factura_c_mes8[TOTAL])</f>
        <v>69386.69</v>
      </c>
      <c r="J126" s="14"/>
      <c r="K126" s="3"/>
      <c r="L126" s="10"/>
      <c r="M126" s="388" t="s">
        <v>92</v>
      </c>
      <c r="N126" s="18">
        <f>SUMIF(compras_mes10[Tipo de Gasto],'Asto-Cpras'!M126,compras_mes10[NETO GRAVADO])+SUMIF(factura_c_mes10[TIPO DE GASTO],'Asto-Cpras'!M126,factura_c_mes10[TOTAL])</f>
        <v>0</v>
      </c>
      <c r="O126" s="14"/>
    </row>
    <row r="127" spans="2:15" x14ac:dyDescent="0.3">
      <c r="B127" s="10"/>
      <c r="C127" s="12" t="s">
        <v>2719</v>
      </c>
      <c r="D127" s="17">
        <f>SUMIF(compras_mes7[Tipo de Gasto],'Asto-Cpras'!C127,compras_mes7[NETO GRAVADO])+SUMIF(factura_c_mes7[TIPO DE GASTO],'Asto-Cpras'!C127,factura_c_mes7[TOTAL])</f>
        <v>0</v>
      </c>
      <c r="E127" s="14"/>
      <c r="F127" s="3"/>
      <c r="G127" s="10"/>
      <c r="H127" s="12" t="s">
        <v>2719</v>
      </c>
      <c r="I127" s="17">
        <f>SUMIF(compras_mes8[Tipo de Gasto],'Asto-Cpras'!H127,compras_mes8[NETO GRAVADO])+SUMIF(factura_c_mes8[TIPO DE GASTO],'Asto-Cpras'!H127,factura_c_mes8[TOTAL])</f>
        <v>0</v>
      </c>
      <c r="J127" s="14"/>
      <c r="K127" s="3"/>
      <c r="L127" s="10"/>
      <c r="M127" s="388" t="s">
        <v>2719</v>
      </c>
      <c r="N127" s="18">
        <f>SUMIF(compras_mes10[Tipo de Gasto],'Asto-Cpras'!M127,compras_mes10[NETO GRAVADO])+SUMIF(factura_c_mes10[TIPO DE GASTO],'Asto-Cpras'!M127,factura_c_mes10[TOTAL])</f>
        <v>28191.43</v>
      </c>
      <c r="O127" s="14"/>
    </row>
    <row r="128" spans="2:15" x14ac:dyDescent="0.3">
      <c r="B128" s="10"/>
      <c r="C128" s="12" t="s">
        <v>2796</v>
      </c>
      <c r="D128" s="17">
        <f>SUMIF(compras_mes7[Tipo de Gasto],'Asto-Cpras'!C128,compras_mes7[NETO GRAVADO])+SUMIF(factura_c_mes7[TIPO DE GASTO],'Asto-Cpras'!C128,factura_c_mes7[TOTAL])</f>
        <v>0</v>
      </c>
      <c r="E128" s="14"/>
      <c r="F128" s="3"/>
      <c r="G128" s="10"/>
      <c r="H128" s="12" t="s">
        <v>2796</v>
      </c>
      <c r="I128" s="17">
        <f>SUMIF(compras_mes8[Tipo de Gasto],'Asto-Cpras'!H128,compras_mes8[NETO GRAVADO])+SUMIF(factura_c_mes8[TIPO DE GASTO],'Asto-Cpras'!H128,factura_c_mes8[TOTAL])</f>
        <v>0</v>
      </c>
      <c r="J128" s="14"/>
      <c r="K128" s="3"/>
      <c r="L128" s="10"/>
      <c r="M128" s="388" t="s">
        <v>2796</v>
      </c>
      <c r="N128" s="18">
        <f>SUMIF(compras_mes10[Tipo de Gasto],'Asto-Cpras'!M128,compras_mes10[NETO GRAVADO])+SUMIF(factura_c_mes10[TIPO DE GASTO],'Asto-Cpras'!M128,factura_c_mes10[TOTAL])</f>
        <v>412927.36</v>
      </c>
      <c r="O128" s="14"/>
    </row>
    <row r="129" spans="2:15" x14ac:dyDescent="0.3">
      <c r="B129" s="10"/>
      <c r="C129" s="12" t="s">
        <v>57</v>
      </c>
      <c r="D129" s="17">
        <f>SUMIF(compras_mes7[Tipo de Gasto],'Asto-Cpras'!C129,compras_mes7[NETO GRAVADO])+SUMIF(factura_c_mes7[TIPO DE GASTO],'Asto-Cpras'!C129,factura_c_mes7[TOTAL])</f>
        <v>150000</v>
      </c>
      <c r="E129" s="14"/>
      <c r="F129" s="3"/>
      <c r="G129" s="10"/>
      <c r="H129" s="12" t="s">
        <v>57</v>
      </c>
      <c r="I129" s="17">
        <f>SUMIF(compras_mes8[Tipo de Gasto],'Asto-Cpras'!H129,compras_mes8[NETO GRAVADO])+SUMIF(factura_c_mes8[TIPO DE GASTO],'Asto-Cpras'!H129,factura_c_mes8[TOTAL])</f>
        <v>0</v>
      </c>
      <c r="J129" s="14"/>
      <c r="K129" s="3"/>
      <c r="L129" s="10"/>
      <c r="M129" s="388" t="s">
        <v>57</v>
      </c>
      <c r="N129" s="18">
        <f>SUMIF(compras_mes10[Tipo de Gasto],'Asto-Cpras'!M129,compras_mes10[NETO GRAVADO])+SUMIF(factura_c_mes10[TIPO DE GASTO],'Asto-Cpras'!M129,factura_c_mes10[TOTAL])</f>
        <v>3793.39</v>
      </c>
      <c r="O129" s="14"/>
    </row>
    <row r="130" spans="2:15" x14ac:dyDescent="0.3">
      <c r="B130" s="10" t="str">
        <f>IF($B$14="","",$B$14)</f>
        <v/>
      </c>
      <c r="C130" s="12" t="s">
        <v>2730</v>
      </c>
      <c r="D130" s="17">
        <f>SUMIF(compras_mes7[Tipo de Gasto],'Asto-Cpras'!C130,compras_mes7[NETO GRAVADO])+SUMIF(factura_c_mes7[TIPO DE GASTO],'Asto-Cpras'!C130,factura_c_mes7[TOTAL])</f>
        <v>19090.89</v>
      </c>
      <c r="E130" s="14"/>
      <c r="F130" s="3"/>
      <c r="G130" s="10" t="str">
        <f>IF($B$14="","",$B$14)</f>
        <v/>
      </c>
      <c r="H130" s="12" t="s">
        <v>2730</v>
      </c>
      <c r="I130" s="17">
        <f>SUMIF(compras_mes8[Tipo de Gasto],'Asto-Cpras'!H130,compras_mes8[NETO GRAVADO])+SUMIF(factura_c_mes8[TIPO DE GASTO],'Asto-Cpras'!H130,factura_c_mes8[TOTAL])</f>
        <v>0</v>
      </c>
      <c r="J130" s="14"/>
      <c r="K130" s="3"/>
      <c r="L130" s="10" t="str">
        <f>IF($B$14="","",$B$14)</f>
        <v/>
      </c>
      <c r="M130" s="388" t="s">
        <v>2730</v>
      </c>
      <c r="N130" s="18">
        <f>SUMIF(compras_mes10[Tipo de Gasto],'Asto-Cpras'!M130,compras_mes10[NETO GRAVADO])+SUMIF(factura_c_mes10[TIPO DE GASTO],'Asto-Cpras'!M130,factura_c_mes10[TOTAL])</f>
        <v>0</v>
      </c>
      <c r="O130" s="14"/>
    </row>
    <row r="131" spans="2:15" x14ac:dyDescent="0.3">
      <c r="B131" s="10" t="str">
        <f>IF($B$16="","",$B$16)</f>
        <v/>
      </c>
      <c r="C131" s="12" t="s">
        <v>2891</v>
      </c>
      <c r="D131" s="17">
        <f>SUMIF(compras_mes7[Tipo de Gasto],'Asto-Cpras'!C131,compras_mes7[NETO GRAVADO])+SUMIF(factura_c_mes7[TIPO DE GASTO],'Asto-Cpras'!C131,factura_c_mes7[TOTAL])</f>
        <v>0</v>
      </c>
      <c r="E131" s="14"/>
      <c r="F131" s="3"/>
      <c r="G131" s="10" t="str">
        <f>IF($B$16="","",$B$16)</f>
        <v/>
      </c>
      <c r="H131" s="12" t="s">
        <v>2891</v>
      </c>
      <c r="I131" s="17">
        <f>SUMIF(compras_mes8[Tipo de Gasto],'Asto-Cpras'!H131,compras_mes8[NETO GRAVADO])+SUMIF(factura_c_mes8[TIPO DE GASTO],'Asto-Cpras'!H131,factura_c_mes8[TOTAL])</f>
        <v>0</v>
      </c>
      <c r="J131" s="14"/>
      <c r="K131" s="3"/>
      <c r="L131" s="10" t="str">
        <f>IF($B$16="","",$B$16)</f>
        <v/>
      </c>
      <c r="M131" s="388" t="s">
        <v>2891</v>
      </c>
      <c r="N131" s="18">
        <f>SUMIF(compras_mes10[Tipo de Gasto],'Asto-Cpras'!M131,compras_mes10[NETO GRAVADO])+SUMIF(factura_c_mes10[TIPO DE GASTO],'Asto-Cpras'!M131,factura_c_mes10[TOTAL])</f>
        <v>0</v>
      </c>
      <c r="O131" s="14"/>
    </row>
    <row r="132" spans="2:15" x14ac:dyDescent="0.3">
      <c r="B132" s="10"/>
      <c r="C132" s="12" t="s">
        <v>60</v>
      </c>
      <c r="D132" s="17">
        <f>SUMIF(compras_mes7[Tipo de Gasto],'Asto-Cpras'!C132,compras_mes7[NETO GRAVADO])+SUMIF(factura_c_mes7[TIPO DE GASTO],'Asto-Cpras'!C132,factura_c_mes7[TOTAL])</f>
        <v>87335.05</v>
      </c>
      <c r="E132" s="14"/>
      <c r="F132" s="3"/>
      <c r="G132" s="10"/>
      <c r="H132" s="12" t="s">
        <v>60</v>
      </c>
      <c r="I132" s="17">
        <f>SUMIF(compras_mes8[Tipo de Gasto],'Asto-Cpras'!H132,compras_mes8[NETO GRAVADO])+SUMIF(factura_c_mes8[TIPO DE GASTO],'Asto-Cpras'!H132,factura_c_mes8[TOTAL])</f>
        <v>3564.07</v>
      </c>
      <c r="J132" s="14"/>
      <c r="K132" s="3"/>
      <c r="L132" s="10"/>
      <c r="M132" s="12" t="s">
        <v>60</v>
      </c>
      <c r="N132" s="18">
        <f>SUMIF(compras_mes10[Tipo de Gasto],'Asto-Cpras'!M132,compras_mes10[NETO GRAVADO])+SUMIF(factura_c_mes10[TIPO DE GASTO],'Asto-Cpras'!M132,factura_c_mes10[TOTAL])</f>
        <v>94795.64</v>
      </c>
      <c r="O132" s="14"/>
    </row>
    <row r="133" spans="2:15" x14ac:dyDescent="0.3">
      <c r="B133" s="10">
        <f>IF($B$41="","",$B$41)</f>
        <v>107.1</v>
      </c>
      <c r="C133" s="12" t="s">
        <v>2838</v>
      </c>
      <c r="D133" s="17">
        <f>SUMIF(compras_mes7[Tipo de Gasto],'Asto-Cpras'!C133,compras_mes7[NETO GRAVADO])+SUMIF(factura_c_mes7[TIPO DE GASTO],'Asto-Cpras'!C133,factura_c_mes7[TOTAL])</f>
        <v>0</v>
      </c>
      <c r="E133" s="14"/>
      <c r="F133" s="3"/>
      <c r="G133" s="10">
        <f>IF($B$41="","",$B$41)</f>
        <v>107.1</v>
      </c>
      <c r="H133" s="12" t="s">
        <v>2838</v>
      </c>
      <c r="I133" s="17">
        <f>SUMIF(compras_mes8[Tipo de Gasto],'Asto-Cpras'!H133,compras_mes8[NETO GRAVADO])+SUMIF(factura_c_mes8[TIPO DE GASTO],'Asto-Cpras'!H133,factura_c_mes8[TOTAL])</f>
        <v>0</v>
      </c>
      <c r="J133" s="14"/>
      <c r="K133" s="3"/>
      <c r="L133" s="10">
        <f>IF($B$41="","",$B$41)</f>
        <v>107.1</v>
      </c>
      <c r="M133" s="388" t="s">
        <v>2838</v>
      </c>
      <c r="N133" s="18">
        <f>SUMIF(compras_mes10[Tipo de Gasto],'Asto-Cpras'!M133,compras_mes10[NETO GRAVADO])+SUMIF(factura_c_mes10[TIPO DE GASTO],'Asto-Cpras'!M133,factura_c_mes10[TOTAL])</f>
        <v>93924.36</v>
      </c>
      <c r="O133" s="14"/>
    </row>
    <row r="134" spans="2:15" x14ac:dyDescent="0.3">
      <c r="B134" s="10">
        <f>IF($B$42="","",$B$42)</f>
        <v>107.1</v>
      </c>
      <c r="C134" s="12" t="s">
        <v>2882</v>
      </c>
      <c r="D134" s="17">
        <f>SUMIF(compras_mes7[Tipo de Gasto],'Asto-Cpras'!C134,compras_mes7[NETO GRAVADO])+SUMIF(factura_c_mes7[TIPO DE GASTO],'Asto-Cpras'!C134,factura_c_mes7[TOTAL])</f>
        <v>0</v>
      </c>
      <c r="E134" s="14"/>
      <c r="F134" s="3"/>
      <c r="G134" s="10">
        <f>IF($B$42="","",$B$42)</f>
        <v>107.1</v>
      </c>
      <c r="H134" s="12" t="s">
        <v>2882</v>
      </c>
      <c r="I134" s="17">
        <f>SUMIF(compras_mes8[Tipo de Gasto],'Asto-Cpras'!H134,compras_mes8[NETO GRAVADO])+SUMIF(factura_c_mes8[TIPO DE GASTO],'Asto-Cpras'!H134,factura_c_mes8[TOTAL])</f>
        <v>0</v>
      </c>
      <c r="J134" s="14"/>
      <c r="K134" s="3"/>
      <c r="L134" s="10">
        <f>IF($B$42="","",$B$42)</f>
        <v>107.1</v>
      </c>
      <c r="M134" s="388" t="s">
        <v>2882</v>
      </c>
      <c r="N134" s="18">
        <f>SUMIF(compras_mes10[Tipo de Gasto],'Asto-Cpras'!M134,compras_mes10[NETO GRAVADO])+SUMIF(factura_c_mes10[TIPO DE GASTO],'Asto-Cpras'!M134,factura_c_mes10[TOTAL])</f>
        <v>0</v>
      </c>
      <c r="O134" s="14"/>
    </row>
    <row r="135" spans="2:15" x14ac:dyDescent="0.3">
      <c r="B135" s="10"/>
      <c r="C135" s="388" t="str">
        <f>IF($C$41="","",$C$41)</f>
        <v>IVA 21%</v>
      </c>
      <c r="D135" s="18">
        <f>SUM(compras_mes7[IVA 21 %])</f>
        <v>1653011.5035999995</v>
      </c>
      <c r="E135" s="390"/>
      <c r="F135" s="3"/>
      <c r="G135" s="10"/>
      <c r="H135" s="388" t="str">
        <f>IF($C$41="","",$C$41)</f>
        <v>IVA 21%</v>
      </c>
      <c r="I135" s="18">
        <f>SUM(compras_mes8[IVA 21 %])</f>
        <v>1728276.0718999996</v>
      </c>
      <c r="J135" s="390"/>
      <c r="K135" s="3"/>
      <c r="L135" s="10"/>
      <c r="M135" s="12" t="str">
        <f>IF($C$41="","",$C$41)</f>
        <v>IVA 21%</v>
      </c>
      <c r="N135" s="18">
        <f>SUM(compras_mes10[IVA 21 %])</f>
        <v>2604684.8035000004</v>
      </c>
      <c r="O135" s="14"/>
    </row>
    <row r="136" spans="2:15" x14ac:dyDescent="0.3">
      <c r="B136" s="10"/>
      <c r="C136" s="388" t="str">
        <f>IF($C$42="","",$C$42)</f>
        <v>IVA 27%</v>
      </c>
      <c r="D136" s="18">
        <f>SUM(compras_mes7[IVA 27%])</f>
        <v>0</v>
      </c>
      <c r="E136" s="390"/>
      <c r="F136" s="3"/>
      <c r="G136" s="10"/>
      <c r="H136" s="388" t="str">
        <f>IF($C$42="","",$C$42)</f>
        <v>IVA 27%</v>
      </c>
      <c r="I136" s="18">
        <f>SUM(compras_mes8[IVA 27%])</f>
        <v>0</v>
      </c>
      <c r="J136" s="390"/>
      <c r="K136" s="3"/>
      <c r="L136" s="10"/>
      <c r="M136" s="12" t="str">
        <f>IF($C$42="","",$C$42)</f>
        <v>IVA 27%</v>
      </c>
      <c r="N136" s="17">
        <f>SUM(compras_mes10[IVA 27%])</f>
        <v>92409.180000000022</v>
      </c>
      <c r="O136" s="14"/>
    </row>
    <row r="137" spans="2:15" x14ac:dyDescent="0.3">
      <c r="B137" s="10"/>
      <c r="C137" s="388" t="str">
        <f>IF($C$43="","",$C$43)</f>
        <v>IVA 10,5%</v>
      </c>
      <c r="D137" s="18">
        <f>SUM(compras_mes7[IVA 10,5%])</f>
        <v>95678.62</v>
      </c>
      <c r="E137" s="390"/>
      <c r="F137" s="3"/>
      <c r="G137" s="10"/>
      <c r="H137" s="388" t="str">
        <f>IF($C$43="","",$C$43)</f>
        <v>IVA 10,5%</v>
      </c>
      <c r="I137" s="18">
        <f>SUM(compras_mes8[IVA 10,5%])</f>
        <v>39304.97</v>
      </c>
      <c r="J137" s="390"/>
      <c r="K137" s="3"/>
      <c r="L137" s="10"/>
      <c r="M137" s="12" t="str">
        <f>IF($C$43="","",$C$43)</f>
        <v>IVA 10,5%</v>
      </c>
      <c r="N137" s="17">
        <f>SUM(compras_mes10[IVA 10,5%])</f>
        <v>1834.1799999999998</v>
      </c>
      <c r="O137" s="14"/>
    </row>
    <row r="138" spans="2:15" x14ac:dyDescent="0.3">
      <c r="B138" s="10">
        <f>IF($B$44="","",$B$44)</f>
        <v>106.55</v>
      </c>
      <c r="C138" s="388" t="str">
        <f>IF($C$44="","",$C$44)</f>
        <v>PERC IIBB BS AS</v>
      </c>
      <c r="D138" s="18">
        <f>SUM(compras_mes7[PERC IIBB 
BS AS])</f>
        <v>4417.53</v>
      </c>
      <c r="E138" s="390"/>
      <c r="F138" s="3"/>
      <c r="G138" s="10">
        <f>IF($B$44="","",$B$44)</f>
        <v>106.55</v>
      </c>
      <c r="H138" s="388" t="str">
        <f>IF($C$44="","",$C$44)</f>
        <v>PERC IIBB BS AS</v>
      </c>
      <c r="I138" s="18">
        <f>SUM(compras_mes8[PERC IIBB 
BS AS])</f>
        <v>299.73</v>
      </c>
      <c r="J138" s="390"/>
      <c r="K138" s="3"/>
      <c r="L138" s="10">
        <f>IF($B$44="","",$B$44)</f>
        <v>106.55</v>
      </c>
      <c r="M138" s="12" t="str">
        <f>IF($C$44="","",$C$44)</f>
        <v>PERC IIBB BS AS</v>
      </c>
      <c r="N138" s="17">
        <f>SUM(compras_mes10[PERC IIBB 
BS AS])</f>
        <v>0</v>
      </c>
      <c r="O138" s="14"/>
    </row>
    <row r="139" spans="2:15" x14ac:dyDescent="0.3">
      <c r="B139" s="10">
        <f>IF($B$45="","",$B$45)</f>
        <v>106.551</v>
      </c>
      <c r="C139" s="388" t="str">
        <f>IF($C$45="","",$C$45)</f>
        <v>PERC IIBB CABA</v>
      </c>
      <c r="D139" s="18">
        <f>SUM(compras_mes7[PERC. IIBB CABA])</f>
        <v>110661.42000000001</v>
      </c>
      <c r="E139" s="390"/>
      <c r="F139" s="3"/>
      <c r="G139" s="10">
        <f>IF($B$45="","",$B$45)</f>
        <v>106.551</v>
      </c>
      <c r="H139" s="388" t="str">
        <f>IF($C$45="","",$C$45)</f>
        <v>PERC IIBB CABA</v>
      </c>
      <c r="I139" s="18">
        <f>SUM(compras_mes8[PERC. IIBB CABA])</f>
        <v>215824.81</v>
      </c>
      <c r="J139" s="390"/>
      <c r="K139" s="3"/>
      <c r="L139" s="10">
        <f>IF($B$45="","",$B$45)</f>
        <v>106.551</v>
      </c>
      <c r="M139" s="12" t="str">
        <f>IF($C$45="","",$C$45)</f>
        <v>PERC IIBB CABA</v>
      </c>
      <c r="N139" s="17">
        <f>SUM(compras_mes10[PERC. IIBB CABA])</f>
        <v>8175.07</v>
      </c>
      <c r="O139" s="14"/>
    </row>
    <row r="140" spans="2:15" x14ac:dyDescent="0.3">
      <c r="B140" s="10">
        <f>IF($B$46="","",$B$46)</f>
        <v>106.54</v>
      </c>
      <c r="C140" s="388" t="str">
        <f>IF($C$46="","",$C$46)</f>
        <v>PERC. IVA</v>
      </c>
      <c r="D140" s="18">
        <f>SUM(compras_mes7[PERC. IVA])</f>
        <v>78.5</v>
      </c>
      <c r="E140" s="391"/>
      <c r="F140" s="3"/>
      <c r="G140" s="10">
        <f>IF($B$46="","",$B$46)</f>
        <v>106.54</v>
      </c>
      <c r="H140" s="388" t="str">
        <f>IF($C$46="","",$C$46)</f>
        <v>PERC. IVA</v>
      </c>
      <c r="I140" s="18">
        <f>SUM(compras_mes8[PERC. IVA])</f>
        <v>14230.43</v>
      </c>
      <c r="J140" s="391"/>
      <c r="K140" s="3"/>
      <c r="L140" s="10">
        <f>IF($B$46="","",$B$46)</f>
        <v>106.54</v>
      </c>
      <c r="M140" s="12" t="str">
        <f>IF($C$46="","",$C$46)</f>
        <v>PERC. IVA</v>
      </c>
      <c r="N140" s="18">
        <f>SUM(compras_mes10[PERC. IVA])</f>
        <v>4691.18</v>
      </c>
      <c r="O140" s="15"/>
    </row>
    <row r="141" spans="2:15" x14ac:dyDescent="0.3">
      <c r="B141" s="423">
        <v>512.20000000000005</v>
      </c>
      <c r="C141" s="388" t="str">
        <f>IF($C$47="","",$C$47)</f>
        <v>Otros / No Grav.</v>
      </c>
      <c r="D141" s="18">
        <f>SUM(compras_mes7[Otros / No Grav.])</f>
        <v>72492.649999999994</v>
      </c>
      <c r="E141" s="391"/>
      <c r="F141" s="3"/>
      <c r="G141" s="423">
        <v>512.20000000000005</v>
      </c>
      <c r="H141" s="424" t="str">
        <f>IF($C$47="","",$C$47)</f>
        <v>Otros / No Grav.</v>
      </c>
      <c r="I141" s="18">
        <f>SUM(compras_mes8[Otros / No Grav.])</f>
        <v>5391.81</v>
      </c>
      <c r="J141" s="391"/>
      <c r="K141" s="3"/>
      <c r="L141" s="423">
        <v>512.20000000000005</v>
      </c>
      <c r="M141" s="425" t="str">
        <f>IF($C$47="","",$C$47)</f>
        <v>Otros / No Grav.</v>
      </c>
      <c r="N141" s="117">
        <f>SUM(compras_mes10[Otros / No Grav.])</f>
        <v>6148.2</v>
      </c>
      <c r="O141" s="15"/>
    </row>
    <row r="142" spans="2:15" x14ac:dyDescent="0.3">
      <c r="B142" s="10">
        <f>IF($B$48="","",$B$48)</f>
        <v>200.9</v>
      </c>
      <c r="C142" s="12" t="str">
        <f>IF($C$48="","",$C$48)</f>
        <v>PROVEEDORES</v>
      </c>
      <c r="D142" s="403"/>
      <c r="E142" s="392">
        <v>10770131.93</v>
      </c>
      <c r="F142" s="3"/>
      <c r="G142" s="10">
        <f>IF($B$48="","",$B$48)</f>
        <v>200.9</v>
      </c>
      <c r="H142" s="12" t="str">
        <f>IF($C$48="","",$C$48)</f>
        <v>PROVEEDORES</v>
      </c>
      <c r="I142" s="403"/>
      <c r="J142" s="392">
        <v>10807657.869999999</v>
      </c>
      <c r="K142" s="3"/>
      <c r="L142" s="10">
        <f>IF($B$48="","",$B$48)</f>
        <v>200.9</v>
      </c>
      <c r="M142" s="12" t="str">
        <f>IF($C$48="","",$C$48)</f>
        <v>PROVEEDORES</v>
      </c>
      <c r="N142" s="403"/>
      <c r="O142" s="392">
        <v>17137225.609999999</v>
      </c>
    </row>
    <row r="143" spans="2:15" x14ac:dyDescent="0.3">
      <c r="B143" s="463"/>
      <c r="C143" s="463"/>
      <c r="D143" s="463"/>
      <c r="E143" s="7">
        <f>SUM(D96:D141)-E142</f>
        <v>-3536.8364000003785</v>
      </c>
      <c r="F143" s="3"/>
      <c r="G143" s="463"/>
      <c r="H143" s="463"/>
      <c r="I143" s="463"/>
      <c r="J143" s="7">
        <f>SUM(I96:I141)-J142</f>
        <v>-5038.2781000006944</v>
      </c>
      <c r="K143" s="3"/>
      <c r="L143" s="463"/>
      <c r="M143" s="463"/>
      <c r="N143" s="463"/>
      <c r="O143" s="7">
        <f>SUM(N96:N141)-O142</f>
        <v>3.4999959170818329E-3</v>
      </c>
    </row>
    <row r="144" spans="2:15" ht="15" thickBot="1" x14ac:dyDescent="0.3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2:15" ht="18.600000000000001" thickBot="1" x14ac:dyDescent="0.35">
      <c r="B145" s="459">
        <f>EDATE($L$98,1)</f>
        <v>44835</v>
      </c>
      <c r="C145" s="460"/>
      <c r="D145" s="460"/>
      <c r="E145" s="461"/>
      <c r="F145" s="3"/>
      <c r="G145" s="459">
        <f>EDATE($B$145,1)</f>
        <v>44866</v>
      </c>
      <c r="H145" s="460"/>
      <c r="I145" s="460"/>
      <c r="J145" s="461"/>
      <c r="K145" s="3"/>
      <c r="L145" s="459">
        <f>EDATE($G$145,1)</f>
        <v>44896</v>
      </c>
      <c r="M145" s="460"/>
      <c r="N145" s="460"/>
      <c r="O145" s="461"/>
    </row>
    <row r="146" spans="2:15" x14ac:dyDescent="0.3">
      <c r="B146" s="10" t="str">
        <f>IF($B$5="","",$B$5)</f>
        <v/>
      </c>
      <c r="C146" s="12" t="s">
        <v>67</v>
      </c>
      <c r="D146" s="17">
        <f>SUMIF(compras_mes11[Tipo de Gasto],'Asto-Cpras'!C146,compras_mes11[NETO GRAVADO])+SUMIF(factura_c_mes11[TIPO DE GASTO],'Asto-Cpras'!C146,factura_c_mes11[TOTAL])</f>
        <v>133400</v>
      </c>
      <c r="E146" s="13"/>
      <c r="F146" s="3"/>
      <c r="G146" s="10" t="str">
        <f>IF($B$5="","",$B$5)</f>
        <v/>
      </c>
      <c r="H146" s="12" t="s">
        <v>67</v>
      </c>
      <c r="I146" s="386">
        <f>SUMIF(compras_mes12[Tipo de Gasto],'Asto-Cpras'!H146,compras_mes12[NETO GRAVADO])+SUMIF(factura_c_mes12[TIPO DE GASTO],'Asto-Cpras'!H146,factura_c_mes12[TOTAL])</f>
        <v>133400</v>
      </c>
      <c r="J146" s="13"/>
      <c r="K146" s="3"/>
      <c r="L146" s="10" t="str">
        <f>IF($B$5="","",$B$5)</f>
        <v/>
      </c>
      <c r="M146" s="12" t="s">
        <v>67</v>
      </c>
      <c r="N146" s="386">
        <f>SUMIF(compras_mes9[Tipo de Gasto],'Asto-Cpras'!M146,compras_mes9[NETO GRAVADO])+SUMIF(factura_c_mes9[TIPO DE GASTO],'Asto-Cpras'!M146,factura_c_mes9[TOTAL])</f>
        <v>133400</v>
      </c>
      <c r="O146" s="13"/>
    </row>
    <row r="147" spans="2:15" x14ac:dyDescent="0.3">
      <c r="B147" s="10"/>
      <c r="C147" s="12" t="s">
        <v>2827</v>
      </c>
      <c r="D147" s="17">
        <f>SUMIF(compras_mes11[Tipo de Gasto],'Asto-Cpras'!C147,compras_mes11[NETO GRAVADO])+SUMIF(factura_c_mes11[TIPO DE GASTO],'Asto-Cpras'!C147,factura_c_mes11[TOTAL])</f>
        <v>0</v>
      </c>
      <c r="E147" s="14"/>
      <c r="F147" s="3"/>
      <c r="G147" s="10"/>
      <c r="H147" s="12" t="s">
        <v>2827</v>
      </c>
      <c r="I147" s="18">
        <f>SUMIF(compras_mes12[Tipo de Gasto],'Asto-Cpras'!H147,compras_mes12[NETO GRAVADO])+SUMIF(factura_c_mes12[TIPO DE GASTO],'Asto-Cpras'!H147,factura_c_mes12[TOTAL])</f>
        <v>50880</v>
      </c>
      <c r="J147" s="14"/>
      <c r="K147" s="3"/>
      <c r="L147" s="10"/>
      <c r="M147" s="12" t="s">
        <v>2827</v>
      </c>
      <c r="N147" s="18">
        <f>SUMIF(compras_mes9[Tipo de Gasto],'Asto-Cpras'!M147,compras_mes9[NETO GRAVADO])+SUMIF(factura_c_mes9[TIPO DE GASTO],'Asto-Cpras'!M147,factura_c_mes9[TOTAL])</f>
        <v>0</v>
      </c>
      <c r="O147" s="14"/>
    </row>
    <row r="148" spans="2:15" x14ac:dyDescent="0.3">
      <c r="B148" s="423">
        <v>512.20000000000005</v>
      </c>
      <c r="C148" s="425" t="s">
        <v>2749</v>
      </c>
      <c r="D148" s="17">
        <f>SUMIF(compras_mes11[Tipo de Gasto],'Asto-Cpras'!C148,compras_mes11[NETO GRAVADO])+SUMIF(factura_c_mes11[TIPO DE GASTO],'Asto-Cpras'!C148,factura_c_mes11[TOTAL])</f>
        <v>545840</v>
      </c>
      <c r="E148" s="14"/>
      <c r="F148" s="3"/>
      <c r="G148" s="423">
        <v>512.20000000000005</v>
      </c>
      <c r="H148" s="425" t="s">
        <v>2749</v>
      </c>
      <c r="I148" s="18">
        <f>SUMIF(compras_mes12[Tipo de Gasto],'Asto-Cpras'!H148,compras_mes12[NETO GRAVADO])+SUMIF(factura_c_mes12[TIPO DE GASTO],'Asto-Cpras'!H148,factura_c_mes12[TOTAL])</f>
        <v>775079.26</v>
      </c>
      <c r="J148" s="14"/>
      <c r="K148" s="3"/>
      <c r="L148" s="423"/>
      <c r="M148" s="425" t="s">
        <v>2749</v>
      </c>
      <c r="N148" s="18">
        <f>SUMIF(compras_mes9[Tipo de Gasto],'Asto-Cpras'!M148,compras_mes9[NETO GRAVADO])+SUMIF(factura_c_mes9[TIPO DE GASTO],'Asto-Cpras'!M148,factura_c_mes9[TOTAL])</f>
        <v>1301010</v>
      </c>
      <c r="O148" s="14"/>
    </row>
    <row r="149" spans="2:15" x14ac:dyDescent="0.3">
      <c r="B149" s="10" t="str">
        <f>IF($B$6="","",$B$6)</f>
        <v/>
      </c>
      <c r="C149" s="12" t="s">
        <v>2706</v>
      </c>
      <c r="D149" s="17">
        <f>SUMIF(compras_mes11[Tipo de Gasto],'Asto-Cpras'!C149,compras_mes11[NETO GRAVADO])+SUMIF(factura_c_mes11[TIPO DE GASTO],'Asto-Cpras'!C149,factura_c_mes11[TOTAL])</f>
        <v>132691.36000000004</v>
      </c>
      <c r="E149" s="14"/>
      <c r="F149" s="3"/>
      <c r="G149" s="10" t="str">
        <f>IF($B$6="","",$B$6)</f>
        <v/>
      </c>
      <c r="H149" s="12" t="s">
        <v>2706</v>
      </c>
      <c r="I149" s="18">
        <f>SUMIF(compras_mes12[Tipo de Gasto],'Asto-Cpras'!H149,compras_mes12[NETO GRAVADO])+SUMIF(factura_c_mes12[TIPO DE GASTO],'Asto-Cpras'!H149,factura_c_mes12[TOTAL])</f>
        <v>130290.68999999999</v>
      </c>
      <c r="J149" s="14"/>
      <c r="K149" s="3"/>
      <c r="L149" s="10" t="str">
        <f>IF($B$6="","",$B$6)</f>
        <v/>
      </c>
      <c r="M149" s="12" t="s">
        <v>2706</v>
      </c>
      <c r="N149" s="18">
        <f>SUMIF(compras_mes9[Tipo de Gasto],'Asto-Cpras'!M149,compras_mes9[NETO GRAVADO])+SUMIF(factura_c_mes9[TIPO DE GASTO],'Asto-Cpras'!M149,factura_c_mes9[TOTAL])</f>
        <v>15108.619999999999</v>
      </c>
      <c r="O149" s="14"/>
    </row>
    <row r="150" spans="2:15" x14ac:dyDescent="0.3">
      <c r="B150" s="10" t="str">
        <f>IF($B$7="","",$B$7)</f>
        <v/>
      </c>
      <c r="C150" s="12" t="s">
        <v>2738</v>
      </c>
      <c r="D150" s="17">
        <f>SUMIF(compras_mes11[Tipo de Gasto],'Asto-Cpras'!C150,compras_mes11[NETO GRAVADO])+SUMIF(factura_c_mes11[TIPO DE GASTO],'Asto-Cpras'!C150,factura_c_mes11[TOTAL])</f>
        <v>27316.17</v>
      </c>
      <c r="E150" s="14"/>
      <c r="F150" s="3"/>
      <c r="G150" s="10" t="str">
        <f>IF($B$7="","",$B$7)</f>
        <v/>
      </c>
      <c r="H150" s="12" t="s">
        <v>2738</v>
      </c>
      <c r="I150" s="18">
        <f>SUMIF(compras_mes12[Tipo de Gasto],'Asto-Cpras'!H150,compras_mes12[NETO GRAVADO])+SUMIF(factura_c_mes12[TIPO DE GASTO],'Asto-Cpras'!H150,factura_c_mes12[TOTAL])</f>
        <v>18696.75</v>
      </c>
      <c r="J150" s="14"/>
      <c r="K150" s="3"/>
      <c r="L150" s="10" t="str">
        <f>IF($B$7="","",$B$7)</f>
        <v/>
      </c>
      <c r="M150" s="12" t="s">
        <v>2738</v>
      </c>
      <c r="N150" s="18">
        <f>SUMIF(compras_mes9[Tipo de Gasto],'Asto-Cpras'!M150,compras_mes9[NETO GRAVADO])+SUMIF(factura_c_mes9[TIPO DE GASTO],'Asto-Cpras'!M150,factura_c_mes9[TOTAL])</f>
        <v>34657.550000000003</v>
      </c>
      <c r="O150" s="14"/>
    </row>
    <row r="151" spans="2:15" x14ac:dyDescent="0.3">
      <c r="B151" s="10"/>
      <c r="C151" s="12" t="s">
        <v>2745</v>
      </c>
      <c r="D151" s="17">
        <f>SUMIF(compras_mes11[Tipo de Gasto],'Asto-Cpras'!C151,compras_mes11[NETO GRAVADO])+SUMIF(factura_c_mes11[TIPO DE GASTO],'Asto-Cpras'!C151,factura_c_mes11[TOTAL])</f>
        <v>95109.469999999987</v>
      </c>
      <c r="E151" s="14"/>
      <c r="F151" s="3"/>
      <c r="G151" s="10"/>
      <c r="H151" s="12" t="s">
        <v>2745</v>
      </c>
      <c r="I151" s="18">
        <f>SUMIF(compras_mes12[Tipo de Gasto],'Asto-Cpras'!H151,compras_mes12[NETO GRAVADO])+SUMIF(factura_c_mes12[TIPO DE GASTO],'Asto-Cpras'!H151,factura_c_mes12[TOTAL])</f>
        <v>49843.45</v>
      </c>
      <c r="J151" s="14"/>
      <c r="K151" s="3"/>
      <c r="L151" s="10"/>
      <c r="M151" s="12" t="s">
        <v>2745</v>
      </c>
      <c r="N151" s="18">
        <f>SUMIF(compras_mes9[Tipo de Gasto],'Asto-Cpras'!M151,compras_mes9[NETO GRAVADO])+SUMIF(factura_c_mes9[TIPO DE GASTO],'Asto-Cpras'!M151,factura_c_mes9[TOTAL])</f>
        <v>110419.25999999998</v>
      </c>
      <c r="O151" s="14"/>
    </row>
    <row r="152" spans="2:15" x14ac:dyDescent="0.3">
      <c r="B152" s="10"/>
      <c r="C152" s="12" t="s">
        <v>2861</v>
      </c>
      <c r="D152" s="17">
        <f>SUMIF(compras_mes11[Tipo de Gasto],'Asto-Cpras'!C152,compras_mes11[NETO GRAVADO])+SUMIF(factura_c_mes11[TIPO DE GASTO],'Asto-Cpras'!C152,factura_c_mes11[TOTAL])</f>
        <v>0</v>
      </c>
      <c r="E152" s="14"/>
      <c r="F152" s="3"/>
      <c r="G152" s="10"/>
      <c r="H152" s="12" t="s">
        <v>2861</v>
      </c>
      <c r="I152" s="18">
        <f>SUMIF(compras_mes12[Tipo de Gasto],'Asto-Cpras'!H152,compras_mes12[NETO GRAVADO])+SUMIF(factura_c_mes12[TIPO DE GASTO],'Asto-Cpras'!H152,factura_c_mes12[TOTAL])</f>
        <v>173964.89</v>
      </c>
      <c r="J152" s="14"/>
      <c r="K152" s="3"/>
      <c r="L152" s="10"/>
      <c r="M152" s="12" t="s">
        <v>2861</v>
      </c>
      <c r="N152" s="18">
        <f>SUMIF(compras_mes9[Tipo de Gasto],'Asto-Cpras'!M152,compras_mes9[NETO GRAVADO])+SUMIF(factura_c_mes9[TIPO DE GASTO],'Asto-Cpras'!M152,factura_c_mes9[TOTAL])</f>
        <v>5371.07</v>
      </c>
      <c r="O152" s="14"/>
    </row>
    <row r="153" spans="2:15" x14ac:dyDescent="0.3">
      <c r="B153" s="423">
        <v>512.20000000000005</v>
      </c>
      <c r="C153" s="425" t="s">
        <v>2806</v>
      </c>
      <c r="D153" s="17">
        <f>SUMIF(compras_mes11[Tipo de Gasto],'Asto-Cpras'!C153,compras_mes11[NETO GRAVADO])+SUMIF(factura_c_mes11[TIPO DE GASTO],'Asto-Cpras'!C153,factura_c_mes11[TOTAL])</f>
        <v>24834.9</v>
      </c>
      <c r="E153" s="14"/>
      <c r="F153" s="3"/>
      <c r="G153" s="423">
        <v>512.20000000000005</v>
      </c>
      <c r="H153" s="425" t="s">
        <v>2806</v>
      </c>
      <c r="I153" s="18">
        <f>SUMIF(compras_mes12[Tipo de Gasto],'Asto-Cpras'!H153,compras_mes12[NETO GRAVADO])+SUMIF(factura_c_mes12[TIPO DE GASTO],'Asto-Cpras'!H153,factura_c_mes12[TOTAL])</f>
        <v>55168</v>
      </c>
      <c r="J153" s="14"/>
      <c r="K153" s="3"/>
      <c r="L153" s="10"/>
      <c r="M153" s="12" t="s">
        <v>2806</v>
      </c>
      <c r="N153" s="18">
        <f>SUMIF(compras_mes9[Tipo de Gasto],'Asto-Cpras'!M153,compras_mes9[NETO GRAVADO])+SUMIF(factura_c_mes9[TIPO DE GASTO],'Asto-Cpras'!M153,factura_c_mes9[TOTAL])</f>
        <v>0</v>
      </c>
      <c r="O153" s="14"/>
    </row>
    <row r="154" spans="2:15" x14ac:dyDescent="0.3">
      <c r="B154" s="10"/>
      <c r="C154" s="12" t="s">
        <v>2728</v>
      </c>
      <c r="D154" s="17">
        <f>SUMIF(compras_mes11[Tipo de Gasto],'Asto-Cpras'!C154,compras_mes11[NETO GRAVADO])+SUMIF(factura_c_mes11[TIPO DE GASTO],'Asto-Cpras'!C154,factura_c_mes11[TOTAL])</f>
        <v>0</v>
      </c>
      <c r="E154" s="14"/>
      <c r="F154" s="3"/>
      <c r="G154" s="10"/>
      <c r="H154" s="12" t="s">
        <v>2728</v>
      </c>
      <c r="I154" s="18">
        <f>SUMIF(compras_mes12[Tipo de Gasto],'Asto-Cpras'!H154,compras_mes12[NETO GRAVADO])+SUMIF(factura_c_mes12[TIPO DE GASTO],'Asto-Cpras'!H154,factura_c_mes12[TOTAL])</f>
        <v>728242.65999999992</v>
      </c>
      <c r="J154" s="14"/>
      <c r="K154" s="3"/>
      <c r="L154" s="10"/>
      <c r="M154" s="12" t="s">
        <v>2728</v>
      </c>
      <c r="N154" s="18">
        <f>SUMIF(compras_mes9[Tipo de Gasto],'Asto-Cpras'!M154,compras_mes9[NETO GRAVADO])+SUMIF(factura_c_mes9[TIPO DE GASTO],'Asto-Cpras'!M154,factura_c_mes9[TOTAL])</f>
        <v>102997.06</v>
      </c>
      <c r="O154" s="14"/>
    </row>
    <row r="155" spans="2:15" x14ac:dyDescent="0.3">
      <c r="B155" s="423">
        <v>512.20000000000005</v>
      </c>
      <c r="C155" s="425" t="s">
        <v>2916</v>
      </c>
      <c r="D155" s="17">
        <f>SUMIF(compras_mes11[Tipo de Gasto],'Asto-Cpras'!C155,compras_mes11[NETO GRAVADO])+SUMIF(factura_c_mes11[TIPO DE GASTO],'Asto-Cpras'!C155,factura_c_mes11[TOTAL])</f>
        <v>4200</v>
      </c>
      <c r="E155" s="14"/>
      <c r="F155" s="3"/>
      <c r="G155" s="423">
        <v>512.20000000000005</v>
      </c>
      <c r="H155" s="425" t="s">
        <v>2916</v>
      </c>
      <c r="I155" s="18">
        <f>SUMIF(compras_mes12[Tipo de Gasto],'Asto-Cpras'!H155,compras_mes12[NETO GRAVADO])+SUMIF(factura_c_mes12[TIPO DE GASTO],'Asto-Cpras'!H155,factura_c_mes12[TOTAL])</f>
        <v>940800</v>
      </c>
      <c r="J155" s="14"/>
      <c r="K155" s="3"/>
      <c r="L155" s="423"/>
      <c r="M155" s="425" t="s">
        <v>2916</v>
      </c>
      <c r="N155" s="18">
        <f>SUMIF(compras_mes9[Tipo de Gasto],'Asto-Cpras'!M155,compras_mes9[NETO GRAVADO])+SUMIF(factura_c_mes9[TIPO DE GASTO],'Asto-Cpras'!M155,factura_c_mes9[TOTAL])</f>
        <v>244800</v>
      </c>
      <c r="O155" s="14"/>
    </row>
    <row r="156" spans="2:15" x14ac:dyDescent="0.3">
      <c r="B156" s="10"/>
      <c r="C156" s="12" t="s">
        <v>2809</v>
      </c>
      <c r="D156" s="17">
        <f>SUMIF(compras_mes11[Tipo de Gasto],'Asto-Cpras'!C156,compras_mes11[NETO GRAVADO])+SUMIF(factura_c_mes11[TIPO DE GASTO],'Asto-Cpras'!C156,factura_c_mes11[TOTAL])</f>
        <v>0</v>
      </c>
      <c r="E156" s="14"/>
      <c r="F156" s="3"/>
      <c r="G156" s="10"/>
      <c r="H156" s="12" t="s">
        <v>2809</v>
      </c>
      <c r="I156" s="18">
        <f>SUMIF(compras_mes12[Tipo de Gasto],'Asto-Cpras'!H156,compras_mes12[NETO GRAVADO])+SUMIF(factura_c_mes12[TIPO DE GASTO],'Asto-Cpras'!H156,factura_c_mes12[TOTAL])</f>
        <v>0</v>
      </c>
      <c r="J156" s="14"/>
      <c r="K156" s="3"/>
      <c r="L156" s="10"/>
      <c r="M156" s="12" t="s">
        <v>2809</v>
      </c>
      <c r="N156" s="18">
        <f>SUMIF(compras_mes9[Tipo de Gasto],'Asto-Cpras'!M156,compras_mes9[NETO GRAVADO])+SUMIF(factura_c_mes9[TIPO DE GASTO],'Asto-Cpras'!M156,factura_c_mes9[TOTAL])</f>
        <v>0</v>
      </c>
      <c r="O156" s="14"/>
    </row>
    <row r="157" spans="2:15" x14ac:dyDescent="0.3">
      <c r="B157" s="10"/>
      <c r="C157" s="12" t="s">
        <v>2718</v>
      </c>
      <c r="D157" s="17">
        <f>SUMIF(compras_mes11[Tipo de Gasto],'Asto-Cpras'!C157,compras_mes11[NETO GRAVADO])+SUMIF(factura_c_mes11[TIPO DE GASTO],'Asto-Cpras'!C157,factura_c_mes11[TOTAL])</f>
        <v>8385.99</v>
      </c>
      <c r="E157" s="14"/>
      <c r="F157" s="3"/>
      <c r="G157" s="10"/>
      <c r="H157" s="12" t="s">
        <v>2718</v>
      </c>
      <c r="I157" s="18">
        <f>SUMIF(compras_mes12[Tipo de Gasto],'Asto-Cpras'!H157,compras_mes12[NETO GRAVADO])+SUMIF(factura_c_mes12[TIPO DE GASTO],'Asto-Cpras'!H157,factura_c_mes12[TOTAL])</f>
        <v>0</v>
      </c>
      <c r="J157" s="14"/>
      <c r="K157" s="3"/>
      <c r="L157" s="10"/>
      <c r="M157" s="12" t="s">
        <v>2718</v>
      </c>
      <c r="N157" s="18">
        <f>SUMIF(compras_mes9[Tipo de Gasto],'Asto-Cpras'!M157,compras_mes9[NETO GRAVADO])+SUMIF(factura_c_mes9[TIPO DE GASTO],'Asto-Cpras'!M157,factura_c_mes9[TOTAL])</f>
        <v>12871.93</v>
      </c>
      <c r="O157" s="14"/>
    </row>
    <row r="158" spans="2:15" x14ac:dyDescent="0.3">
      <c r="B158" s="10"/>
      <c r="C158" s="12" t="s">
        <v>2704</v>
      </c>
      <c r="D158" s="17">
        <f>SUMIF(compras_mes11[Tipo de Gasto],'Asto-Cpras'!C158,compras_mes11[NETO GRAVADO])+SUMIF(factura_c_mes11[TIPO DE GASTO],'Asto-Cpras'!C158,factura_c_mes11[TOTAL])</f>
        <v>7466.71</v>
      </c>
      <c r="E158" s="14"/>
      <c r="F158" s="3"/>
      <c r="G158" s="10"/>
      <c r="H158" s="12" t="s">
        <v>2704</v>
      </c>
      <c r="I158" s="18">
        <f>SUMIF(compras_mes12[Tipo de Gasto],'Asto-Cpras'!H158,compras_mes12[NETO GRAVADO])+SUMIF(factura_c_mes12[TIPO DE GASTO],'Asto-Cpras'!H158,factura_c_mes12[TOTAL])</f>
        <v>5772.7800000000007</v>
      </c>
      <c r="J158" s="14"/>
      <c r="K158" s="3"/>
      <c r="L158" s="10"/>
      <c r="M158" s="12" t="s">
        <v>2704</v>
      </c>
      <c r="N158" s="18">
        <f>SUMIF(compras_mes9[Tipo de Gasto],'Asto-Cpras'!M158,compras_mes9[NETO GRAVADO])+SUMIF(factura_c_mes9[TIPO DE GASTO],'Asto-Cpras'!M158,factura_c_mes9[TOTAL])</f>
        <v>19553.63</v>
      </c>
      <c r="O158" s="14"/>
    </row>
    <row r="159" spans="2:15" x14ac:dyDescent="0.3">
      <c r="B159" s="10"/>
      <c r="C159" s="12" t="s">
        <v>59</v>
      </c>
      <c r="D159" s="17">
        <f>SUMIF(compras_mes11[Tipo de Gasto],'Asto-Cpras'!C159,compras_mes11[NETO GRAVADO])+SUMIF(factura_c_mes11[TIPO DE GASTO],'Asto-Cpras'!C159,factura_c_mes11[TOTAL])</f>
        <v>213138.43</v>
      </c>
      <c r="E159" s="14"/>
      <c r="F159" s="3"/>
      <c r="G159" s="10"/>
      <c r="H159" s="12" t="s">
        <v>59</v>
      </c>
      <c r="I159" s="18">
        <f>SUMIF(compras_mes12[Tipo de Gasto],'Asto-Cpras'!H159,compras_mes12[NETO GRAVADO])+SUMIF(factura_c_mes12[TIPO DE GASTO],'Asto-Cpras'!H159,factura_c_mes12[TOTAL])</f>
        <v>210734.60000000003</v>
      </c>
      <c r="J159" s="14"/>
      <c r="K159" s="3"/>
      <c r="L159" s="10"/>
      <c r="M159" s="12" t="s">
        <v>59</v>
      </c>
      <c r="N159" s="18">
        <f>SUMIF(compras_mes9[Tipo de Gasto],'Asto-Cpras'!M159,compras_mes9[NETO GRAVADO])+SUMIF(factura_c_mes9[TIPO DE GASTO],'Asto-Cpras'!M159,factura_c_mes9[TOTAL])</f>
        <v>419221.89</v>
      </c>
      <c r="O159" s="14"/>
    </row>
    <row r="160" spans="2:15" x14ac:dyDescent="0.3">
      <c r="B160" s="10"/>
      <c r="C160" s="12" t="s">
        <v>2725</v>
      </c>
      <c r="D160" s="17">
        <f>SUMIF(compras_mes11[Tipo de Gasto],'Asto-Cpras'!C160,compras_mes11[NETO GRAVADO])+SUMIF(factura_c_mes11[TIPO DE GASTO],'Asto-Cpras'!C160,factura_c_mes11[TOTAL])</f>
        <v>369090.99</v>
      </c>
      <c r="E160" s="14"/>
      <c r="F160" s="3"/>
      <c r="G160" s="10"/>
      <c r="H160" s="12" t="s">
        <v>2725</v>
      </c>
      <c r="I160" s="18">
        <f>SUMIF(compras_mes12[Tipo de Gasto],'Asto-Cpras'!H160,compras_mes12[NETO GRAVADO])+SUMIF(factura_c_mes12[TIPO DE GASTO],'Asto-Cpras'!H160,factura_c_mes12[TOTAL])</f>
        <v>1399826.62</v>
      </c>
      <c r="J160" s="14"/>
      <c r="K160" s="3"/>
      <c r="L160" s="10"/>
      <c r="M160" s="12" t="s">
        <v>2725</v>
      </c>
      <c r="N160" s="18">
        <f>SUMIF(compras_mes9[Tipo de Gasto],'Asto-Cpras'!M160,compras_mes9[NETO GRAVADO])+SUMIF(factura_c_mes9[TIPO DE GASTO],'Asto-Cpras'!M160,factura_c_mes9[TOTAL])</f>
        <v>531014.89</v>
      </c>
      <c r="O160" s="14"/>
    </row>
    <row r="161" spans="2:15" x14ac:dyDescent="0.3">
      <c r="B161" s="10"/>
      <c r="C161" s="12" t="s">
        <v>2899</v>
      </c>
      <c r="D161" s="17">
        <f>SUMIF(compras_mes11[Tipo de Gasto],'Asto-Cpras'!C161,compras_mes11[NETO GRAVADO])+SUMIF(factura_c_mes11[TIPO DE GASTO],'Asto-Cpras'!C161,factura_c_mes11[TOTAL])</f>
        <v>0</v>
      </c>
      <c r="E161" s="14"/>
      <c r="F161" s="3"/>
      <c r="G161" s="423">
        <v>525.12</v>
      </c>
      <c r="H161" s="425" t="s">
        <v>2899</v>
      </c>
      <c r="I161" s="18">
        <f>SUMIF(compras_mes12[Tipo de Gasto],'Asto-Cpras'!H161,compras_mes12[NETO GRAVADO])+SUMIF(factura_c_mes12[TIPO DE GASTO],'Asto-Cpras'!H161,factura_c_mes12[TOTAL])</f>
        <v>26774.61</v>
      </c>
      <c r="J161" s="14"/>
      <c r="K161" s="3"/>
      <c r="L161" s="423"/>
      <c r="M161" s="425" t="s">
        <v>2899</v>
      </c>
      <c r="N161" s="18">
        <f>SUMIF(compras_mes9[Tipo de Gasto],'Asto-Cpras'!M161,compras_mes9[NETO GRAVADO])+SUMIF(factura_c_mes9[TIPO DE GASTO],'Asto-Cpras'!M161,factura_c_mes9[TOTAL])</f>
        <v>75919.360000000001</v>
      </c>
      <c r="O161" s="14"/>
    </row>
    <row r="162" spans="2:15" x14ac:dyDescent="0.3">
      <c r="B162" s="10"/>
      <c r="C162" s="12" t="s">
        <v>2917</v>
      </c>
      <c r="D162" s="17">
        <f>SUMIF(compras_mes11[Tipo de Gasto],'Asto-Cpras'!C162,compras_mes11[NETO GRAVADO])+SUMIF(factura_c_mes11[TIPO DE GASTO],'Asto-Cpras'!C162,factura_c_mes11[TOTAL])</f>
        <v>0</v>
      </c>
      <c r="E162" s="14"/>
      <c r="F162" s="3"/>
      <c r="G162" s="423">
        <v>525.12</v>
      </c>
      <c r="H162" s="425" t="s">
        <v>2917</v>
      </c>
      <c r="I162" s="18">
        <f>SUMIF(compras_mes12[Tipo de Gasto],'Asto-Cpras'!H162,compras_mes12[NETO GRAVADO])+SUMIF(factura_c_mes12[TIPO DE GASTO],'Asto-Cpras'!H162,factura_c_mes12[TOTAL])</f>
        <v>70000</v>
      </c>
      <c r="J162" s="14"/>
      <c r="K162" s="3"/>
      <c r="L162" s="423"/>
      <c r="M162" s="425" t="s">
        <v>2917</v>
      </c>
      <c r="N162" s="18">
        <f>SUMIF(compras_mes9[Tipo de Gasto],'Asto-Cpras'!M162,compras_mes9[NETO GRAVADO])+SUMIF(factura_c_mes9[TIPO DE GASTO],'Asto-Cpras'!M162,factura_c_mes9[TOTAL])</f>
        <v>70000</v>
      </c>
      <c r="O162" s="14"/>
    </row>
    <row r="163" spans="2:15" x14ac:dyDescent="0.3">
      <c r="B163" s="10"/>
      <c r="C163" s="12" t="s">
        <v>2890</v>
      </c>
      <c r="D163" s="17">
        <f>SUMIF(compras_mes11[Tipo de Gasto],'Asto-Cpras'!C163,compras_mes11[NETO GRAVADO])+SUMIF(factura_c_mes11[TIPO DE GASTO],'Asto-Cpras'!C163,factura_c_mes11[TOTAL])</f>
        <v>42490</v>
      </c>
      <c r="E163" s="14"/>
      <c r="F163" s="3"/>
      <c r="G163" s="10"/>
      <c r="H163" s="12" t="s">
        <v>2890</v>
      </c>
      <c r="I163" s="18">
        <f>SUMIF(compras_mes12[Tipo de Gasto],'Asto-Cpras'!H163,compras_mes12[NETO GRAVADO])+SUMIF(factura_c_mes12[TIPO DE GASTO],'Asto-Cpras'!H163,factura_c_mes12[TOTAL])</f>
        <v>1400</v>
      </c>
      <c r="J163" s="14"/>
      <c r="K163" s="3"/>
      <c r="L163" s="10"/>
      <c r="M163" s="12" t="s">
        <v>2890</v>
      </c>
      <c r="N163" s="18">
        <f>SUMIF(compras_mes9[Tipo de Gasto],'Asto-Cpras'!M163,compras_mes9[NETO GRAVADO])+SUMIF(factura_c_mes9[TIPO DE GASTO],'Asto-Cpras'!M163,factura_c_mes9[TOTAL])</f>
        <v>0</v>
      </c>
      <c r="O163" s="14"/>
    </row>
    <row r="164" spans="2:15" x14ac:dyDescent="0.3">
      <c r="B164" s="10"/>
      <c r="C164" s="12" t="s">
        <v>2736</v>
      </c>
      <c r="D164" s="17">
        <f>SUMIF(compras_mes11[Tipo de Gasto],'Asto-Cpras'!C164,compras_mes11[NETO GRAVADO])+SUMIF(factura_c_mes11[TIPO DE GASTO],'Asto-Cpras'!C164,factura_c_mes11[TOTAL])</f>
        <v>0</v>
      </c>
      <c r="E164" s="14"/>
      <c r="F164" s="3"/>
      <c r="G164" s="10"/>
      <c r="H164" s="12" t="s">
        <v>2736</v>
      </c>
      <c r="I164" s="18">
        <f>SUMIF(compras_mes12[Tipo de Gasto],'Asto-Cpras'!H164,compras_mes12[NETO GRAVADO])+SUMIF(factura_c_mes12[TIPO DE GASTO],'Asto-Cpras'!H164,factura_c_mes12[TOTAL])</f>
        <v>0</v>
      </c>
      <c r="J164" s="14"/>
      <c r="K164" s="3"/>
      <c r="L164" s="10"/>
      <c r="M164" s="12" t="s">
        <v>2736</v>
      </c>
      <c r="N164" s="18">
        <f>SUMIF(compras_mes9[Tipo de Gasto],'Asto-Cpras'!M164,compras_mes9[NETO GRAVADO])+SUMIF(factura_c_mes9[TIPO DE GASTO],'Asto-Cpras'!M164,factura_c_mes9[TOTAL])</f>
        <v>0</v>
      </c>
      <c r="O164" s="14"/>
    </row>
    <row r="165" spans="2:15" x14ac:dyDescent="0.3">
      <c r="B165" s="10"/>
      <c r="C165" s="12" t="s">
        <v>2786</v>
      </c>
      <c r="D165" s="17">
        <f>SUMIF(compras_mes11[Tipo de Gasto],'Asto-Cpras'!C165,compras_mes11[NETO GRAVADO])+SUMIF(factura_c_mes11[TIPO DE GASTO],'Asto-Cpras'!C165,factura_c_mes11[TOTAL])</f>
        <v>0</v>
      </c>
      <c r="E165" s="14"/>
      <c r="F165" s="3"/>
      <c r="G165" s="423">
        <v>540.11</v>
      </c>
      <c r="H165" s="425" t="s">
        <v>2786</v>
      </c>
      <c r="I165" s="18">
        <f>SUMIF(compras_mes12[Tipo de Gasto],'Asto-Cpras'!H165,compras_mes12[NETO GRAVADO])+SUMIF(factura_c_mes12[TIPO DE GASTO],'Asto-Cpras'!H165,factura_c_mes12[TOTAL])</f>
        <v>84370</v>
      </c>
      <c r="J165" s="14"/>
      <c r="K165" s="3"/>
      <c r="L165" s="423"/>
      <c r="M165" s="425" t="s">
        <v>2786</v>
      </c>
      <c r="N165" s="18">
        <f>SUMIF(compras_mes9[Tipo de Gasto],'Asto-Cpras'!M165,compras_mes9[NETO GRAVADO])+SUMIF(factura_c_mes9[TIPO DE GASTO],'Asto-Cpras'!M165,factura_c_mes9[TOTAL])</f>
        <v>175500</v>
      </c>
      <c r="O165" s="14"/>
    </row>
    <row r="166" spans="2:15" x14ac:dyDescent="0.3">
      <c r="B166" s="10"/>
      <c r="C166" s="12" t="s">
        <v>2889</v>
      </c>
      <c r="D166" s="17">
        <f>SUMIF(compras_mes11[Tipo de Gasto],'Asto-Cpras'!C166,compras_mes11[NETO GRAVADO])+SUMIF(factura_c_mes11[TIPO DE GASTO],'Asto-Cpras'!C166,factura_c_mes11[TOTAL])</f>
        <v>137700</v>
      </c>
      <c r="E166" s="14"/>
      <c r="F166" s="3"/>
      <c r="G166" s="10"/>
      <c r="H166" s="12" t="s">
        <v>2889</v>
      </c>
      <c r="I166" s="18">
        <f>SUMIF(compras_mes12[Tipo de Gasto],'Asto-Cpras'!H166,compras_mes12[NETO GRAVADO])+SUMIF(factura_c_mes12[TIPO DE GASTO],'Asto-Cpras'!H166,factura_c_mes12[TOTAL])</f>
        <v>76400</v>
      </c>
      <c r="J166" s="14"/>
      <c r="K166" s="3"/>
      <c r="L166" s="10"/>
      <c r="M166" s="12" t="s">
        <v>2889</v>
      </c>
      <c r="N166" s="18">
        <f>SUMIF(compras_mes9[Tipo de Gasto],'Asto-Cpras'!M166,compras_mes9[NETO GRAVADO])+SUMIF(factura_c_mes9[TIPO DE GASTO],'Asto-Cpras'!M166,factura_c_mes9[TOTAL])</f>
        <v>89700</v>
      </c>
      <c r="O166" s="14"/>
    </row>
    <row r="167" spans="2:15" x14ac:dyDescent="0.3">
      <c r="B167" s="10"/>
      <c r="C167" s="12" t="s">
        <v>2761</v>
      </c>
      <c r="D167" s="17">
        <f>SUMIF(compras_mes11[Tipo de Gasto],'Asto-Cpras'!C167,compras_mes11[NETO GRAVADO])+SUMIF(factura_c_mes11[TIPO DE GASTO],'Asto-Cpras'!C167,factura_c_mes11[TOTAL])</f>
        <v>0</v>
      </c>
      <c r="E167" s="14"/>
      <c r="F167" s="3"/>
      <c r="G167" s="10"/>
      <c r="H167" s="12" t="s">
        <v>2761</v>
      </c>
      <c r="I167" s="18">
        <f>SUMIF(compras_mes12[Tipo de Gasto],'Asto-Cpras'!H167,compras_mes12[NETO GRAVADO])+SUMIF(factura_c_mes12[TIPO DE GASTO],'Asto-Cpras'!H167,factura_c_mes12[TOTAL])</f>
        <v>132000</v>
      </c>
      <c r="J167" s="14"/>
      <c r="K167" s="3"/>
      <c r="L167" s="10"/>
      <c r="M167" s="12" t="s">
        <v>2761</v>
      </c>
      <c r="N167" s="18">
        <f>SUMIF(compras_mes9[Tipo de Gasto],'Asto-Cpras'!M167,compras_mes9[NETO GRAVADO])+SUMIF(factura_c_mes9[TIPO DE GASTO],'Asto-Cpras'!M167,factura_c_mes9[TOTAL])</f>
        <v>-42000</v>
      </c>
      <c r="O167" s="14"/>
    </row>
    <row r="168" spans="2:15" x14ac:dyDescent="0.3">
      <c r="B168" s="10"/>
      <c r="C168" s="12" t="s">
        <v>70</v>
      </c>
      <c r="D168" s="17">
        <f>SUMIF(compras_mes11[Tipo de Gasto],'Asto-Cpras'!C168,compras_mes11[NETO GRAVADO])+SUMIF(factura_c_mes11[TIPO DE GASTO],'Asto-Cpras'!C168,factura_c_mes11[TOTAL])</f>
        <v>158874.48000000001</v>
      </c>
      <c r="E168" s="14"/>
      <c r="F168" s="3"/>
      <c r="G168" s="10"/>
      <c r="H168" s="12" t="s">
        <v>70</v>
      </c>
      <c r="I168" s="18">
        <f>SUMIF(compras_mes12[Tipo de Gasto],'Asto-Cpras'!H168,compras_mes12[NETO GRAVADO])+SUMIF(factura_c_mes12[TIPO DE GASTO],'Asto-Cpras'!H168,factura_c_mes12[TOTAL])</f>
        <v>142465</v>
      </c>
      <c r="J168" s="14"/>
      <c r="K168" s="3"/>
      <c r="L168" s="10"/>
      <c r="M168" s="12" t="s">
        <v>70</v>
      </c>
      <c r="N168" s="18">
        <f>SUMIF(compras_mes9[Tipo de Gasto],'Asto-Cpras'!M168,compras_mes9[NETO GRAVADO])+SUMIF(factura_c_mes9[TIPO DE GASTO],'Asto-Cpras'!M168,factura_c_mes9[TOTAL])</f>
        <v>217279.83</v>
      </c>
      <c r="O168" s="14"/>
    </row>
    <row r="169" spans="2:15" x14ac:dyDescent="0.3">
      <c r="B169" s="10"/>
      <c r="C169" s="12" t="s">
        <v>2708</v>
      </c>
      <c r="D169" s="17">
        <f>SUMIF(compras_mes11[Tipo de Gasto],'Asto-Cpras'!C169,compras_mes11[NETO GRAVADO])+SUMIF(factura_c_mes11[TIPO DE GASTO],'Asto-Cpras'!C169,factura_c_mes11[TOTAL])</f>
        <v>0</v>
      </c>
      <c r="E169" s="14"/>
      <c r="F169" s="3"/>
      <c r="G169" s="10"/>
      <c r="H169" s="12" t="s">
        <v>2708</v>
      </c>
      <c r="I169" s="18">
        <f>SUMIF(compras_mes12[Tipo de Gasto],'Asto-Cpras'!H169,compras_mes12[NETO GRAVADO])+SUMIF(factura_c_mes12[TIPO DE GASTO],'Asto-Cpras'!H169,factura_c_mes12[TOTAL])</f>
        <v>0</v>
      </c>
      <c r="J169" s="14"/>
      <c r="K169" s="3"/>
      <c r="L169" s="10"/>
      <c r="M169" s="12" t="s">
        <v>2708</v>
      </c>
      <c r="N169" s="18">
        <f>SUMIF(compras_mes9[Tipo de Gasto],'Asto-Cpras'!M169,compras_mes9[NETO GRAVADO])+SUMIF(factura_c_mes9[TIPO DE GASTO],'Asto-Cpras'!M169,factura_c_mes9[TOTAL])</f>
        <v>0</v>
      </c>
      <c r="O169" s="14"/>
    </row>
    <row r="170" spans="2:15" x14ac:dyDescent="0.3">
      <c r="B170" s="10"/>
      <c r="C170" s="12" t="s">
        <v>2714</v>
      </c>
      <c r="D170" s="17">
        <f>SUMIF(compras_mes11[Tipo de Gasto],'Asto-Cpras'!C170,compras_mes11[NETO GRAVADO])+SUMIF(factura_c_mes11[TIPO DE GASTO],'Asto-Cpras'!C170,factura_c_mes11[TOTAL])</f>
        <v>70252.070000000007</v>
      </c>
      <c r="E170" s="14"/>
      <c r="F170" s="3"/>
      <c r="G170" s="10"/>
      <c r="H170" s="12" t="s">
        <v>2714</v>
      </c>
      <c r="I170" s="18">
        <f>SUMIF(compras_mes12[Tipo de Gasto],'Asto-Cpras'!H170,compras_mes12[NETO GRAVADO])+SUMIF(factura_c_mes12[TIPO DE GASTO],'Asto-Cpras'!H170,factura_c_mes12[TOTAL])</f>
        <v>2620687.1799999997</v>
      </c>
      <c r="J170" s="14"/>
      <c r="K170" s="3"/>
      <c r="L170" s="10"/>
      <c r="M170" s="12" t="s">
        <v>2714</v>
      </c>
      <c r="N170" s="18">
        <f>SUMIF(compras_mes9[Tipo de Gasto],'Asto-Cpras'!M170,compras_mes9[NETO GRAVADO])+SUMIF(factura_c_mes9[TIPO DE GASTO],'Asto-Cpras'!M170,factura_c_mes9[TOTAL])</f>
        <v>1362462.1600000001</v>
      </c>
      <c r="O170" s="14"/>
    </row>
    <row r="171" spans="2:15" x14ac:dyDescent="0.3">
      <c r="B171" s="10"/>
      <c r="C171" s="12" t="s">
        <v>2862</v>
      </c>
      <c r="D171" s="17">
        <f>SUMIF(compras_mes11[Tipo de Gasto],'Asto-Cpras'!C171,compras_mes11[NETO GRAVADO])+SUMIF(factura_c_mes11[TIPO DE GASTO],'Asto-Cpras'!C171,factura_c_mes11[TOTAL])</f>
        <v>13952.71</v>
      </c>
      <c r="E171" s="14"/>
      <c r="F171" s="3"/>
      <c r="G171" s="10"/>
      <c r="H171" s="12" t="s">
        <v>2862</v>
      </c>
      <c r="I171" s="18">
        <f>SUMIF(compras_mes12[Tipo de Gasto],'Asto-Cpras'!H171,compras_mes12[NETO GRAVADO])+SUMIF(factura_c_mes12[TIPO DE GASTO],'Asto-Cpras'!H171,factura_c_mes12[TOTAL])</f>
        <v>79275.7</v>
      </c>
      <c r="J171" s="14"/>
      <c r="K171" s="3"/>
      <c r="L171" s="10"/>
      <c r="M171" s="12" t="s">
        <v>2862</v>
      </c>
      <c r="N171" s="18">
        <f>SUMIF(compras_mes9[Tipo de Gasto],'Asto-Cpras'!M171,compras_mes9[NETO GRAVADO])+SUMIF(factura_c_mes9[TIPO DE GASTO],'Asto-Cpras'!M171,factura_c_mes9[TOTAL])</f>
        <v>32379.510000000002</v>
      </c>
      <c r="O171" s="14"/>
    </row>
    <row r="172" spans="2:15" x14ac:dyDescent="0.3">
      <c r="B172" s="10"/>
      <c r="C172" s="12" t="s">
        <v>2778</v>
      </c>
      <c r="D172" s="17">
        <f>SUMIF(compras_mes11[Tipo de Gasto],'Asto-Cpras'!C172,compras_mes11[NETO GRAVADO])+SUMIF(factura_c_mes11[TIPO DE GASTO],'Asto-Cpras'!C172,factura_c_mes11[TOTAL])</f>
        <v>0</v>
      </c>
      <c r="E172" s="14"/>
      <c r="F172" s="3"/>
      <c r="G172" s="10"/>
      <c r="H172" s="12" t="s">
        <v>2778</v>
      </c>
      <c r="I172" s="18">
        <f>SUMIF(compras_mes12[Tipo de Gasto],'Asto-Cpras'!H172,compras_mes12[NETO GRAVADO])+SUMIF(factura_c_mes12[TIPO DE GASTO],'Asto-Cpras'!H172,factura_c_mes12[TOTAL])</f>
        <v>0</v>
      </c>
      <c r="J172" s="14"/>
      <c r="K172" s="3"/>
      <c r="L172" s="10"/>
      <c r="M172" s="12" t="s">
        <v>2778</v>
      </c>
      <c r="N172" s="18">
        <f>SUMIF(compras_mes9[Tipo de Gasto],'Asto-Cpras'!M172,compras_mes9[NETO GRAVADO])+SUMIF(factura_c_mes9[TIPO DE GASTO],'Asto-Cpras'!M172,factura_c_mes9[TOTAL])</f>
        <v>0</v>
      </c>
      <c r="O172" s="14"/>
    </row>
    <row r="173" spans="2:15" x14ac:dyDescent="0.3">
      <c r="B173" s="10"/>
      <c r="C173" s="12" t="s">
        <v>63</v>
      </c>
      <c r="D173" s="17">
        <f>SUMIF(compras_mes11[Tipo de Gasto],'Asto-Cpras'!C173,compras_mes11[NETO GRAVADO])+SUMIF(factura_c_mes11[TIPO DE GASTO],'Asto-Cpras'!C173,factura_c_mes11[TOTAL])</f>
        <v>6481010.3081250004</v>
      </c>
      <c r="E173" s="14"/>
      <c r="F173" s="3"/>
      <c r="G173" s="10"/>
      <c r="H173" s="12" t="s">
        <v>63</v>
      </c>
      <c r="I173" s="18">
        <f>SUMIF(compras_mes12[Tipo de Gasto],'Asto-Cpras'!H173,compras_mes12[NETO GRAVADO])+SUMIF(factura_c_mes12[TIPO DE GASTO],'Asto-Cpras'!H173,factura_c_mes12[TOTAL])</f>
        <v>11525698.9</v>
      </c>
      <c r="J173" s="14"/>
      <c r="K173" s="3"/>
      <c r="L173" s="10"/>
      <c r="M173" s="12" t="s">
        <v>63</v>
      </c>
      <c r="N173" s="18">
        <f>SUMIF(compras_mes9[Tipo de Gasto],'Asto-Cpras'!M173,compras_mes9[NETO GRAVADO])+SUMIF(factura_c_mes9[TIPO DE GASTO],'Asto-Cpras'!M173,factura_c_mes9[TOTAL])</f>
        <v>9583537.7800000012</v>
      </c>
      <c r="O173" s="14"/>
    </row>
    <row r="174" spans="2:15" x14ac:dyDescent="0.3">
      <c r="B174" s="423">
        <v>512.20000000000005</v>
      </c>
      <c r="C174" s="425" t="s">
        <v>2762</v>
      </c>
      <c r="D174" s="17">
        <f>SUMIF(compras_mes11[Tipo de Gasto],'Asto-Cpras'!C174,compras_mes11[NETO GRAVADO])+SUMIF(factura_c_mes11[TIPO DE GASTO],'Asto-Cpras'!C174,factura_c_mes11[TOTAL])</f>
        <v>41990.91</v>
      </c>
      <c r="E174" s="14"/>
      <c r="F174" s="3"/>
      <c r="G174" s="10"/>
      <c r="H174" s="12" t="s">
        <v>2762</v>
      </c>
      <c r="I174" s="18">
        <f>SUMIF(compras_mes12[Tipo de Gasto],'Asto-Cpras'!H174,compras_mes12[NETO GRAVADO])+SUMIF(factura_c_mes12[TIPO DE GASTO],'Asto-Cpras'!H174,factura_c_mes12[TOTAL])</f>
        <v>0</v>
      </c>
      <c r="J174" s="14"/>
      <c r="K174" s="3"/>
      <c r="L174" s="10"/>
      <c r="M174" s="12" t="s">
        <v>2762</v>
      </c>
      <c r="N174" s="18">
        <f>SUMIF(compras_mes9[Tipo de Gasto],'Asto-Cpras'!M174,compras_mes9[NETO GRAVADO])+SUMIF(factura_c_mes9[TIPO DE GASTO],'Asto-Cpras'!M174,factura_c_mes9[TOTAL])</f>
        <v>0</v>
      </c>
      <c r="O174" s="14"/>
    </row>
    <row r="175" spans="2:15" x14ac:dyDescent="0.3">
      <c r="B175" s="10" t="str">
        <f>IF($B$8="","",$B$8)</f>
        <v/>
      </c>
      <c r="C175" s="12" t="s">
        <v>92</v>
      </c>
      <c r="D175" s="17">
        <f>SUMIF(compras_mes11[Tipo de Gasto],'Asto-Cpras'!C175,compras_mes11[NETO GRAVADO])+SUMIF(factura_c_mes11[TIPO DE GASTO],'Asto-Cpras'!C175,factura_c_mes11[TOTAL])</f>
        <v>0</v>
      </c>
      <c r="E175" s="14"/>
      <c r="F175" s="3"/>
      <c r="G175" s="10" t="str">
        <f>IF($B$8="","",$B$8)</f>
        <v/>
      </c>
      <c r="H175" s="12" t="s">
        <v>92</v>
      </c>
      <c r="I175" s="18">
        <f>SUMIF(compras_mes12[Tipo de Gasto],'Asto-Cpras'!H175,compras_mes12[NETO GRAVADO])+SUMIF(factura_c_mes12[TIPO DE GASTO],'Asto-Cpras'!H175,factura_c_mes12[TOTAL])</f>
        <v>0</v>
      </c>
      <c r="J175" s="14"/>
      <c r="K175" s="3"/>
      <c r="L175" s="10" t="str">
        <f>IF($B$8="","",$B$8)</f>
        <v/>
      </c>
      <c r="M175" s="12" t="s">
        <v>92</v>
      </c>
      <c r="N175" s="18">
        <f>SUMIF(compras_mes9[Tipo de Gasto],'Asto-Cpras'!M175,compras_mes9[NETO GRAVADO])+SUMIF(factura_c_mes9[TIPO DE GASTO],'Asto-Cpras'!M175,factura_c_mes9[TOTAL])</f>
        <v>0</v>
      </c>
      <c r="O175" s="14"/>
    </row>
    <row r="176" spans="2:15" x14ac:dyDescent="0.3">
      <c r="B176" s="10" t="str">
        <f>IF($B$9="","",$B$9)</f>
        <v/>
      </c>
      <c r="C176" s="12" t="s">
        <v>2719</v>
      </c>
      <c r="D176" s="17">
        <f>SUMIF(compras_mes11[Tipo de Gasto],'Asto-Cpras'!C176,compras_mes11[NETO GRAVADO])+SUMIF(factura_c_mes11[TIPO DE GASTO],'Asto-Cpras'!C176,factura_c_mes11[TOTAL])</f>
        <v>30143.38</v>
      </c>
      <c r="E176" s="14"/>
      <c r="F176" s="3"/>
      <c r="G176" s="10" t="str">
        <f>IF($B$9="","",$B$9)</f>
        <v/>
      </c>
      <c r="H176" s="12" t="s">
        <v>2719</v>
      </c>
      <c r="I176" s="18">
        <f>SUMIF(compras_mes12[Tipo de Gasto],'Asto-Cpras'!H176,compras_mes12[NETO GRAVADO])+SUMIF(factura_c_mes12[TIPO DE GASTO],'Asto-Cpras'!H176,factura_c_mes12[TOTAL])</f>
        <v>41570.51</v>
      </c>
      <c r="J176" s="14"/>
      <c r="K176" s="3"/>
      <c r="L176" s="10" t="str">
        <f>IF($B$9="","",$B$9)</f>
        <v/>
      </c>
      <c r="M176" s="12" t="s">
        <v>2719</v>
      </c>
      <c r="N176" s="18">
        <f>SUMIF(compras_mes9[Tipo de Gasto],'Asto-Cpras'!M176,compras_mes9[NETO GRAVADO])+SUMIF(factura_c_mes9[TIPO DE GASTO],'Asto-Cpras'!M176,factura_c_mes9[TOTAL])</f>
        <v>36004.31</v>
      </c>
      <c r="O176" s="14"/>
    </row>
    <row r="177" spans="2:15" x14ac:dyDescent="0.3">
      <c r="B177" s="10" t="str">
        <f>IF($B$10="","",$B$10)</f>
        <v/>
      </c>
      <c r="C177" s="12" t="s">
        <v>2796</v>
      </c>
      <c r="D177" s="17">
        <f>SUMIF(compras_mes11[Tipo de Gasto],'Asto-Cpras'!C177,compras_mes11[NETO GRAVADO])+SUMIF(factura_c_mes11[TIPO DE GASTO],'Asto-Cpras'!C177,factura_c_mes11[TOTAL])</f>
        <v>0</v>
      </c>
      <c r="E177" s="14"/>
      <c r="F177" s="3"/>
      <c r="G177" s="10" t="str">
        <f>IF($B$10="","",$B$10)</f>
        <v/>
      </c>
      <c r="H177" s="12" t="s">
        <v>2796</v>
      </c>
      <c r="I177" s="18">
        <f>SUMIF(compras_mes12[Tipo de Gasto],'Asto-Cpras'!H177,compras_mes12[NETO GRAVADO])+SUMIF(factura_c_mes12[TIPO DE GASTO],'Asto-Cpras'!H177,factura_c_mes12[TOTAL])</f>
        <v>9087.6</v>
      </c>
      <c r="J177" s="14"/>
      <c r="K177" s="3"/>
      <c r="L177" s="10" t="str">
        <f>IF($B$10="","",$B$10)</f>
        <v/>
      </c>
      <c r="M177" s="12" t="s">
        <v>2796</v>
      </c>
      <c r="N177" s="18">
        <f>SUMIF(compras_mes9[Tipo de Gasto],'Asto-Cpras'!M177,compras_mes9[NETO GRAVADO])+SUMIF(factura_c_mes9[TIPO DE GASTO],'Asto-Cpras'!M177,factura_c_mes9[TOTAL])</f>
        <v>0</v>
      </c>
      <c r="O177" s="14"/>
    </row>
    <row r="178" spans="2:15" x14ac:dyDescent="0.3">
      <c r="B178" s="10" t="e">
        <f>IF(#REF!="","",#REF!)</f>
        <v>#REF!</v>
      </c>
      <c r="C178" s="12" t="s">
        <v>57</v>
      </c>
      <c r="D178" s="17">
        <f>SUMIF(compras_mes11[Tipo de Gasto],'Asto-Cpras'!C178,compras_mes11[NETO GRAVADO])+SUMIF(factura_c_mes11[TIPO DE GASTO],'Asto-Cpras'!C178,factura_c_mes11[TOTAL])</f>
        <v>97540</v>
      </c>
      <c r="E178" s="14"/>
      <c r="F178" s="3"/>
      <c r="G178" s="10" t="e">
        <f>IF(#REF!="","",#REF!)</f>
        <v>#REF!</v>
      </c>
      <c r="H178" s="12" t="s">
        <v>57</v>
      </c>
      <c r="I178" s="18">
        <f>SUMIF(compras_mes12[Tipo de Gasto],'Asto-Cpras'!H178,compras_mes12[NETO GRAVADO])+SUMIF(factura_c_mes12[TIPO DE GASTO],'Asto-Cpras'!H178,factura_c_mes12[TOTAL])</f>
        <v>0</v>
      </c>
      <c r="J178" s="14"/>
      <c r="K178" s="3"/>
      <c r="L178" s="10" t="e">
        <f>IF(#REF!="","",#REF!)</f>
        <v>#REF!</v>
      </c>
      <c r="M178" s="12" t="s">
        <v>57</v>
      </c>
      <c r="N178" s="18">
        <f>SUMIF(compras_mes9[Tipo de Gasto],'Asto-Cpras'!M178,compras_mes9[NETO GRAVADO])+SUMIF(factura_c_mes9[TIPO DE GASTO],'Asto-Cpras'!M178,factura_c_mes9[TOTAL])</f>
        <v>0</v>
      </c>
      <c r="O178" s="14"/>
    </row>
    <row r="179" spans="2:15" x14ac:dyDescent="0.3">
      <c r="B179" s="10" t="str">
        <f>IF($B$11="","",$B$11)</f>
        <v/>
      </c>
      <c r="C179" s="12" t="s">
        <v>2730</v>
      </c>
      <c r="D179" s="17">
        <f>SUMIF(compras_mes11[Tipo de Gasto],'Asto-Cpras'!C179,compras_mes11[NETO GRAVADO])+SUMIF(factura_c_mes11[TIPO DE GASTO],'Asto-Cpras'!C179,factura_c_mes11[TOTAL])</f>
        <v>0</v>
      </c>
      <c r="E179" s="14"/>
      <c r="F179" s="3"/>
      <c r="G179" s="10" t="str">
        <f>IF($B$11="","",$B$11)</f>
        <v/>
      </c>
      <c r="H179" s="12" t="s">
        <v>2730</v>
      </c>
      <c r="I179" s="18">
        <f>SUMIF(compras_mes12[Tipo de Gasto],'Asto-Cpras'!H179,compras_mes12[NETO GRAVADO])+SUMIF(factura_c_mes12[TIPO DE GASTO],'Asto-Cpras'!H179,factura_c_mes12[TOTAL])</f>
        <v>0</v>
      </c>
      <c r="J179" s="14"/>
      <c r="K179" s="3"/>
      <c r="L179" s="10" t="str">
        <f>IF($B$11="","",$B$11)</f>
        <v/>
      </c>
      <c r="M179" s="12" t="s">
        <v>2730</v>
      </c>
      <c r="N179" s="18">
        <f>SUMIF(compras_mes9[Tipo de Gasto],'Asto-Cpras'!M179,compras_mes9[NETO GRAVADO])+SUMIF(factura_c_mes9[TIPO DE GASTO],'Asto-Cpras'!M179,factura_c_mes9[TOTAL])</f>
        <v>0</v>
      </c>
      <c r="O179" s="14"/>
    </row>
    <row r="180" spans="2:15" x14ac:dyDescent="0.3">
      <c r="B180" s="10"/>
      <c r="C180" s="12" t="s">
        <v>2891</v>
      </c>
      <c r="D180" s="17">
        <f>SUMIF(compras_mes11[Tipo de Gasto],'Asto-Cpras'!C180,compras_mes11[NETO GRAVADO])+SUMIF(factura_c_mes11[TIPO DE GASTO],'Asto-Cpras'!C180,factura_c_mes11[TOTAL])</f>
        <v>0</v>
      </c>
      <c r="E180" s="14"/>
      <c r="F180" s="3"/>
      <c r="G180" s="10"/>
      <c r="H180" s="12" t="s">
        <v>2891</v>
      </c>
      <c r="I180" s="18">
        <f>SUMIF(compras_mes12[Tipo de Gasto],'Asto-Cpras'!H180,compras_mes12[NETO GRAVADO])+SUMIF(factura_c_mes12[TIPO DE GASTO],'Asto-Cpras'!H180,factura_c_mes12[TOTAL])</f>
        <v>3250</v>
      </c>
      <c r="J180" s="14"/>
      <c r="K180" s="3"/>
      <c r="L180" s="10"/>
      <c r="M180" s="12" t="s">
        <v>2891</v>
      </c>
      <c r="N180" s="18">
        <f>SUMIF(compras_mes9[Tipo de Gasto],'Asto-Cpras'!M180,compras_mes9[NETO GRAVADO])+SUMIF(factura_c_mes9[TIPO DE GASTO],'Asto-Cpras'!M180,factura_c_mes9[TOTAL])</f>
        <v>0</v>
      </c>
      <c r="O180" s="14"/>
    </row>
    <row r="181" spans="2:15" x14ac:dyDescent="0.3">
      <c r="B181" s="10"/>
      <c r="C181" s="12" t="s">
        <v>60</v>
      </c>
      <c r="D181" s="17">
        <f>SUMIF(compras_mes11[Tipo de Gasto],'Asto-Cpras'!C181,compras_mes11[NETO GRAVADO])+SUMIF(factura_c_mes11[TIPO DE GASTO],'Asto-Cpras'!C181,factura_c_mes11[TOTAL])</f>
        <v>135646.70999999996</v>
      </c>
      <c r="E181" s="14"/>
      <c r="F181" s="3"/>
      <c r="G181" s="10"/>
      <c r="H181" s="12" t="s">
        <v>60</v>
      </c>
      <c r="I181" s="18">
        <f>SUMIF(compras_mes12[Tipo de Gasto],'Asto-Cpras'!H181,compras_mes12[NETO GRAVADO])+SUMIF(factura_c_mes12[TIPO DE GASTO],'Asto-Cpras'!H181,factura_c_mes12[TOTAL])</f>
        <v>132240.28</v>
      </c>
      <c r="J181" s="14"/>
      <c r="K181" s="3"/>
      <c r="L181" s="10"/>
      <c r="M181" s="12" t="s">
        <v>60</v>
      </c>
      <c r="N181" s="18">
        <f>SUMIF(compras_mes9[Tipo de Gasto],'Asto-Cpras'!M181,compras_mes9[NETO GRAVADO])+SUMIF(factura_c_mes9[TIPO DE GASTO],'Asto-Cpras'!M181,factura_c_mes9[TOTAL])</f>
        <v>139680</v>
      </c>
      <c r="O181" s="14"/>
    </row>
    <row r="182" spans="2:15" x14ac:dyDescent="0.3">
      <c r="B182" s="10"/>
      <c r="C182" s="12" t="s">
        <v>2838</v>
      </c>
      <c r="D182" s="17">
        <f>SUMIF(compras_mes11[Tipo de Gasto],'Asto-Cpras'!C182,compras_mes11[NETO GRAVADO])+SUMIF(factura_c_mes11[TIPO DE GASTO],'Asto-Cpras'!C182,factura_c_mes11[TOTAL])</f>
        <v>28438</v>
      </c>
      <c r="E182" s="14"/>
      <c r="F182" s="3"/>
      <c r="G182" s="10"/>
      <c r="H182" s="12" t="s">
        <v>2838</v>
      </c>
      <c r="I182" s="18">
        <f>SUMIF(compras_mes12[Tipo de Gasto],'Asto-Cpras'!H182,compras_mes12[NETO GRAVADO])+SUMIF(factura_c_mes12[TIPO DE GASTO],'Asto-Cpras'!H182,factura_c_mes12[TOTAL])</f>
        <v>24108</v>
      </c>
      <c r="J182" s="14"/>
      <c r="K182" s="3"/>
      <c r="L182" s="10"/>
      <c r="M182" s="12" t="s">
        <v>2838</v>
      </c>
      <c r="N182" s="18">
        <f>SUMIF(compras_mes9[Tipo de Gasto],'Asto-Cpras'!M182,compras_mes9[NETO GRAVADO])+SUMIF(factura_c_mes9[TIPO DE GASTO],'Asto-Cpras'!M182,factura_c_mes9[TOTAL])</f>
        <v>71208.47</v>
      </c>
      <c r="O182" s="14"/>
    </row>
    <row r="183" spans="2:15" x14ac:dyDescent="0.3">
      <c r="B183" s="10"/>
      <c r="C183" s="12" t="s">
        <v>2882</v>
      </c>
      <c r="D183" s="17">
        <f>SUMIF(compras_mes11[Tipo de Gasto],'Asto-Cpras'!C183,compras_mes11[NETO GRAVADO])+SUMIF(factura_c_mes11[TIPO DE GASTO],'Asto-Cpras'!C183,factura_c_mes11[TOTAL])</f>
        <v>0</v>
      </c>
      <c r="E183" s="14"/>
      <c r="F183" s="3"/>
      <c r="G183" s="10"/>
      <c r="H183" s="12" t="s">
        <v>2882</v>
      </c>
      <c r="I183" s="18">
        <f>SUMIF(compras_mes12[Tipo de Gasto],'Asto-Cpras'!H183,compras_mes12[NETO GRAVADO])+SUMIF(factura_c_mes12[TIPO DE GASTO],'Asto-Cpras'!H183,factura_c_mes12[TOTAL])</f>
        <v>0</v>
      </c>
      <c r="J183" s="14"/>
      <c r="K183" s="3"/>
      <c r="L183" s="10"/>
      <c r="M183" s="12" t="s">
        <v>2882</v>
      </c>
      <c r="N183" s="18">
        <f>SUMIF(compras_mes9[Tipo de Gasto],'Asto-Cpras'!M183,compras_mes9[NETO GRAVADO])+SUMIF(factura_c_mes9[TIPO DE GASTO],'Asto-Cpras'!M183,factura_c_mes9[TOTAL])</f>
        <v>0</v>
      </c>
      <c r="O183" s="14"/>
    </row>
    <row r="184" spans="2:15" x14ac:dyDescent="0.3">
      <c r="B184" s="10"/>
      <c r="C184" s="12"/>
      <c r="D184" s="17"/>
      <c r="E184" s="14"/>
      <c r="F184" s="3"/>
      <c r="G184" s="10"/>
      <c r="H184" s="12"/>
      <c r="I184" s="18"/>
      <c r="J184" s="14"/>
      <c r="K184" s="3"/>
      <c r="L184" s="10"/>
      <c r="M184" s="12" t="s">
        <v>2935</v>
      </c>
      <c r="N184" s="18">
        <f>SUMIF(compras_mes9[Tipo de Gasto],'Asto-Cpras'!M184,compras_mes9[NETO GRAVADO])+SUMIF(factura_c_mes9[TIPO DE GASTO],'Asto-Cpras'!M184,factura_c_mes9[TOTAL])</f>
        <v>1961000</v>
      </c>
      <c r="O184" s="14"/>
    </row>
    <row r="185" spans="2:15" x14ac:dyDescent="0.3">
      <c r="B185" s="10" t="str">
        <f>IF($B$12="","",$B$12)</f>
        <v/>
      </c>
      <c r="C185" s="12" t="str">
        <f>IF($C$41="","",$C$41)</f>
        <v>IVA 21%</v>
      </c>
      <c r="D185" s="17">
        <f>SUM(compras_mes11[IVA 21 %])</f>
        <v>1747099.5774062497</v>
      </c>
      <c r="E185" s="14"/>
      <c r="F185" s="3"/>
      <c r="G185" s="10" t="str">
        <f>IF($B$12="","",$B$12)</f>
        <v/>
      </c>
      <c r="H185" s="12" t="str">
        <f>IF($C$41="","",$C$41)</f>
        <v>IVA 21%</v>
      </c>
      <c r="I185" s="17">
        <f>SUM(compras_mes12[IVA 21 %])</f>
        <v>3953021.4571000002</v>
      </c>
      <c r="J185" s="14"/>
      <c r="K185" s="3"/>
      <c r="L185" s="10" t="str">
        <f>IF($B$12="","",$B$12)</f>
        <v/>
      </c>
      <c r="M185" s="12" t="str">
        <f>IF($C$41="","",$C$41)</f>
        <v>IVA 21%</v>
      </c>
      <c r="N185" s="17">
        <f>SUM(compras_mes9[IVA 21 %])</f>
        <v>2982315.6264999998</v>
      </c>
      <c r="O185" s="14"/>
    </row>
    <row r="186" spans="2:15" x14ac:dyDescent="0.3">
      <c r="B186" s="10" t="str">
        <f>IF($B$14="","",$B$14)</f>
        <v/>
      </c>
      <c r="C186" s="12" t="str">
        <f>IF($C$42="","",$C$42)</f>
        <v>IVA 27%</v>
      </c>
      <c r="D186" s="17">
        <f>SUM(compras_mes11[IVA 27%])</f>
        <v>1472.44</v>
      </c>
      <c r="E186" s="14"/>
      <c r="F186" s="3"/>
      <c r="G186" s="10" t="str">
        <f>IF($B$14="","",$B$14)</f>
        <v/>
      </c>
      <c r="H186" s="12" t="str">
        <f>IF($C$42="","",$C$42)</f>
        <v>IVA 27%</v>
      </c>
      <c r="I186" s="17">
        <f>SUM(compras_mes12[IVA 27%])</f>
        <v>6564.65</v>
      </c>
      <c r="J186" s="14"/>
      <c r="K186" s="3"/>
      <c r="L186" s="10" t="str">
        <f>IF($B$14="","",$B$14)</f>
        <v/>
      </c>
      <c r="M186" s="12" t="str">
        <f>IF($C$42="","",$C$42)</f>
        <v>IVA 27%</v>
      </c>
      <c r="N186" s="17">
        <f>SUM(compras_mes9[IVA 27%])</f>
        <v>506.12</v>
      </c>
      <c r="O186" s="14"/>
    </row>
    <row r="187" spans="2:15" x14ac:dyDescent="0.3">
      <c r="B187" s="10" t="str">
        <f>IF($B$16="","",$B$16)</f>
        <v/>
      </c>
      <c r="C187" s="12" t="str">
        <f>IF($C$43="","",$C$43)</f>
        <v>IVA 10,5%</v>
      </c>
      <c r="D187" s="17">
        <f>SUM(compras_mes11[IVA 10,5%])</f>
        <v>8988.18</v>
      </c>
      <c r="E187" s="14"/>
      <c r="F187" s="3"/>
      <c r="G187" s="10" t="str">
        <f>IF($B$16="","",$B$16)</f>
        <v/>
      </c>
      <c r="H187" s="12" t="str">
        <f>IF($C$43="","",$C$43)</f>
        <v>IVA 10,5%</v>
      </c>
      <c r="I187" s="17">
        <f>SUM(compras_mes12[IVA 10,5%])</f>
        <v>4457.5399000000007</v>
      </c>
      <c r="J187" s="14"/>
      <c r="K187" s="3"/>
      <c r="L187" s="10" t="str">
        <f>IF($B$16="","",$B$16)</f>
        <v/>
      </c>
      <c r="M187" s="12" t="str">
        <f>IF($C$43="","",$C$43)</f>
        <v>IVA 10,5%</v>
      </c>
      <c r="N187" s="17">
        <f>SUM(compras_mes9[IVA 10,5%])</f>
        <v>4822.8766500000002</v>
      </c>
      <c r="O187" s="14"/>
    </row>
    <row r="188" spans="2:15" x14ac:dyDescent="0.3">
      <c r="B188" s="10">
        <f>IF($B$41="","",$B$41)</f>
        <v>107.1</v>
      </c>
      <c r="C188" s="12" t="str">
        <f>IF($C$44="","",$C$44)</f>
        <v>PERC IIBB BS AS</v>
      </c>
      <c r="D188" s="17">
        <f>SUM(compras_mes11[PERC IIBB 
BS AS])</f>
        <v>0</v>
      </c>
      <c r="E188" s="14"/>
      <c r="F188" s="3"/>
      <c r="G188" s="10">
        <f>IF($B$41="","",$B$41)</f>
        <v>107.1</v>
      </c>
      <c r="H188" s="12" t="str">
        <f>IF($C$44="","",$C$44)</f>
        <v>PERC IIBB BS AS</v>
      </c>
      <c r="I188" s="17">
        <f>SUM(compras_mes12[PERC IIBB 
BS AS])</f>
        <v>5087.17</v>
      </c>
      <c r="J188" s="14"/>
      <c r="K188" s="3"/>
      <c r="L188" s="10">
        <f>IF($B$41="","",$B$41)</f>
        <v>107.1</v>
      </c>
      <c r="M188" s="12" t="str">
        <f>IF($C$44="","",$C$44)</f>
        <v>PERC IIBB BS AS</v>
      </c>
      <c r="N188" s="17">
        <f>SUM(compras_mes9[PERC IIBB 
BS AS])</f>
        <v>3986.36</v>
      </c>
      <c r="O188" s="14"/>
    </row>
    <row r="189" spans="2:15" x14ac:dyDescent="0.3">
      <c r="B189" s="10">
        <f>IF($B$42="","",$B$42)</f>
        <v>107.1</v>
      </c>
      <c r="C189" s="12" t="str">
        <f>IF($C$45="","",$C$45)</f>
        <v>PERC IIBB CABA</v>
      </c>
      <c r="D189" s="17">
        <f>SUM(compras_mes11[PERC. IIBB CABA])</f>
        <v>169845.97999267574</v>
      </c>
      <c r="E189" s="14"/>
      <c r="F189" s="3"/>
      <c r="G189" s="10">
        <f>IF($B$42="","",$B$42)</f>
        <v>107.1</v>
      </c>
      <c r="H189" s="12" t="str">
        <f>IF($C$45="","",$C$45)</f>
        <v>PERC IIBB CABA</v>
      </c>
      <c r="I189" s="17">
        <f>SUM(compras_mes12[PERC. IIBB CABA])</f>
        <v>100548.33999999998</v>
      </c>
      <c r="J189" s="14"/>
      <c r="K189" s="3"/>
      <c r="L189" s="10">
        <f>IF($B$42="","",$B$42)</f>
        <v>107.1</v>
      </c>
      <c r="M189" s="12" t="str">
        <f>IF($C$45="","",$C$45)</f>
        <v>PERC IIBB CABA</v>
      </c>
      <c r="N189" s="17">
        <f>SUM(compras_mes9[PERC. IIBB CABA])</f>
        <v>26475.000000000004</v>
      </c>
      <c r="O189" s="14"/>
    </row>
    <row r="190" spans="2:15" x14ac:dyDescent="0.3">
      <c r="B190" s="10">
        <f>IF($B$43="","",$B$43)</f>
        <v>107.1</v>
      </c>
      <c r="C190" s="12" t="str">
        <f>IF($C$46="","",$C$46)</f>
        <v>PERC. IVA</v>
      </c>
      <c r="D190" s="17">
        <f>SUM(compras_mes11[PERC. IVA])</f>
        <v>4188.3199963378911</v>
      </c>
      <c r="E190" s="14"/>
      <c r="F190" s="3"/>
      <c r="G190" s="10">
        <f>IF($B$43="","",$B$43)</f>
        <v>107.1</v>
      </c>
      <c r="H190" s="12" t="str">
        <f>IF($C$46="","",$C$46)</f>
        <v>PERC. IVA</v>
      </c>
      <c r="I190" s="17">
        <f>SUM(compras_mes12[PERC. IVA])</f>
        <v>2989.91</v>
      </c>
      <c r="J190" s="14"/>
      <c r="K190" s="3"/>
      <c r="L190" s="10">
        <f>IF($B$43="","",$B$43)</f>
        <v>107.1</v>
      </c>
      <c r="M190" s="12" t="str">
        <f>IF($C$46="","",$C$46)</f>
        <v>PERC. IVA</v>
      </c>
      <c r="N190" s="17">
        <f>SUM(compras_mes9[PERC. IVA])</f>
        <v>23680.23</v>
      </c>
      <c r="O190" s="14"/>
    </row>
    <row r="191" spans="2:15" x14ac:dyDescent="0.3">
      <c r="B191" s="423">
        <v>512.20000000000005</v>
      </c>
      <c r="C191" s="425" t="str">
        <f>IF($C$47="","",$C$47)</f>
        <v>Otros / No Grav.</v>
      </c>
      <c r="D191" s="17">
        <f>SUM(compras_mes11[Otros / No Grav.])</f>
        <v>37646.870000000003</v>
      </c>
      <c r="E191" s="14"/>
      <c r="F191" s="3"/>
      <c r="G191" s="423">
        <f>IF($B$44="","",$B$44)</f>
        <v>106.55</v>
      </c>
      <c r="H191" s="425" t="str">
        <f>IF($C$47="","",$C$47)</f>
        <v>Otros / No Grav.</v>
      </c>
      <c r="I191" s="17">
        <f>SUM(compras_mes12[Otros / No Grav.])</f>
        <v>46750.45</v>
      </c>
      <c r="J191" s="14"/>
      <c r="K191" s="3"/>
      <c r="L191" s="423">
        <f>IF($B$44="","",$B$44)</f>
        <v>106.55</v>
      </c>
      <c r="M191" s="425" t="str">
        <f>IF($C$47="","",$C$47)</f>
        <v>Otros / No Grav.</v>
      </c>
      <c r="N191" s="17">
        <f>SUM(compras_mes9[Otros / No Grav.])</f>
        <v>23842.22</v>
      </c>
      <c r="O191" s="14"/>
    </row>
    <row r="192" spans="2:15" x14ac:dyDescent="0.3">
      <c r="B192" s="10">
        <f>IF($B$48="","",$B$48)</f>
        <v>200.9</v>
      </c>
      <c r="C192" s="12" t="str">
        <f>IF($C$48="","",$C$48)</f>
        <v>PROVEEDORES</v>
      </c>
      <c r="D192" s="15"/>
      <c r="E192" s="4">
        <v>10768753.960000001</v>
      </c>
      <c r="F192" s="3"/>
      <c r="G192" s="10">
        <f>IF($B$48="","",$B$48)</f>
        <v>200.9</v>
      </c>
      <c r="H192" s="12" t="str">
        <f>IF($C$48="","",$C$48)</f>
        <v>PROVEEDORES</v>
      </c>
      <c r="I192" s="15"/>
      <c r="J192" s="4">
        <v>23761447</v>
      </c>
      <c r="K192" s="3"/>
      <c r="L192" s="10">
        <f>IF($B$48="","",$B$48)</f>
        <v>200.9</v>
      </c>
      <c r="M192" s="12" t="str">
        <f>IF($C$48="","",$C$48)</f>
        <v>PROVEEDORES</v>
      </c>
      <c r="N192" s="15"/>
      <c r="O192" s="4">
        <v>19768725.75</v>
      </c>
    </row>
    <row r="193" spans="2:15" x14ac:dyDescent="0.3">
      <c r="B193" s="463"/>
      <c r="C193" s="463"/>
      <c r="D193" s="463"/>
      <c r="E193" s="7">
        <f>SUM(D143:D191)-E192</f>
        <v>-4.4797360897064209E-3</v>
      </c>
      <c r="F193" s="3"/>
      <c r="G193" s="463"/>
      <c r="H193" s="463"/>
      <c r="I193" s="463"/>
      <c r="J193" s="7">
        <f>SUM(I143:I191)-J192</f>
        <v>-2.9999949038028717E-3</v>
      </c>
      <c r="K193" s="3"/>
      <c r="L193" s="463"/>
      <c r="M193" s="463"/>
      <c r="N193" s="463"/>
      <c r="O193" s="7">
        <f>SUM(N143:N191)-O192</f>
        <v>3.1500048935413361E-3</v>
      </c>
    </row>
    <row r="194" spans="2:15" x14ac:dyDescent="0.3">
      <c r="B194" s="3"/>
      <c r="C194" s="3"/>
      <c r="D194" s="3"/>
      <c r="E194" s="3"/>
      <c r="L194" s="458"/>
      <c r="M194" s="458"/>
      <c r="N194" s="458"/>
      <c r="O194" s="3"/>
    </row>
    <row r="195" spans="2:15" x14ac:dyDescent="0.3">
      <c r="B195" s="3"/>
      <c r="C195" s="3"/>
      <c r="D195" s="3"/>
      <c r="E195" s="3"/>
      <c r="L195" s="3"/>
      <c r="M195" s="3"/>
      <c r="N195" s="3"/>
      <c r="O195" s="3"/>
    </row>
  </sheetData>
  <mergeCells count="26">
    <mergeCell ref="B2:O2"/>
    <mergeCell ref="B143:D143"/>
    <mergeCell ref="G143:I143"/>
    <mergeCell ref="L143:N143"/>
    <mergeCell ref="B49:D49"/>
    <mergeCell ref="B51:E51"/>
    <mergeCell ref="G51:J51"/>
    <mergeCell ref="L51:O51"/>
    <mergeCell ref="B96:D96"/>
    <mergeCell ref="G96:I96"/>
    <mergeCell ref="G49:I49"/>
    <mergeCell ref="B4:E4"/>
    <mergeCell ref="G4:J4"/>
    <mergeCell ref="L4:O4"/>
    <mergeCell ref="B98:E98"/>
    <mergeCell ref="G98:J98"/>
    <mergeCell ref="L194:N194"/>
    <mergeCell ref="L98:O98"/>
    <mergeCell ref="L49:N49"/>
    <mergeCell ref="L96:N96"/>
    <mergeCell ref="B193:D193"/>
    <mergeCell ref="G193:I193"/>
    <mergeCell ref="L193:N193"/>
    <mergeCell ref="B145:E145"/>
    <mergeCell ref="G145:J145"/>
    <mergeCell ref="L145:O145"/>
  </mergeCells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theme="8" tint="0.39997558519241921"/>
  </sheetPr>
  <dimension ref="A2:R30"/>
  <sheetViews>
    <sheetView showGridLines="0" workbookViewId="0">
      <selection activeCell="A6" sqref="A6"/>
    </sheetView>
  </sheetViews>
  <sheetFormatPr baseColWidth="10" defaultColWidth="0" defaultRowHeight="14.4" x14ac:dyDescent="0.3"/>
  <cols>
    <col min="1" max="1" width="3.33203125" customWidth="1"/>
    <col min="2" max="5" width="11.5546875" customWidth="1"/>
    <col min="6" max="6" width="3.5546875" customWidth="1"/>
    <col min="7" max="10" width="11.5546875" customWidth="1"/>
    <col min="11" max="11" width="3" customWidth="1"/>
    <col min="12" max="18" width="11.5546875" customWidth="1"/>
    <col min="19" max="16384" width="11.5546875" hidden="1"/>
  </cols>
  <sheetData>
    <row r="2" spans="2:15" ht="31.2" x14ac:dyDescent="0.3">
      <c r="B2" s="464" t="s">
        <v>42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</row>
    <row r="3" spans="2:15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8.600000000000001" thickBot="1" x14ac:dyDescent="0.35">
      <c r="B4" s="459">
        <f>'Ene-22'!N1</f>
        <v>44562</v>
      </c>
      <c r="C4" s="460"/>
      <c r="D4" s="460"/>
      <c r="E4" s="461"/>
      <c r="F4" s="3"/>
      <c r="G4" s="459">
        <f>EDATE($B$4,1)</f>
        <v>44593</v>
      </c>
      <c r="H4" s="460"/>
      <c r="I4" s="460"/>
      <c r="J4" s="461"/>
      <c r="K4" s="3"/>
      <c r="L4" s="459">
        <f>EDATE($B$4,2)</f>
        <v>44621</v>
      </c>
      <c r="M4" s="460"/>
      <c r="N4" s="460"/>
      <c r="O4" s="461"/>
    </row>
    <row r="5" spans="2:15" x14ac:dyDescent="0.3">
      <c r="B5" s="23">
        <v>100.1</v>
      </c>
      <c r="C5" s="21" t="s">
        <v>43</v>
      </c>
      <c r="D5" s="24">
        <v>0</v>
      </c>
      <c r="E5" s="14"/>
      <c r="F5" s="3"/>
      <c r="G5" s="23">
        <v>100.1</v>
      </c>
      <c r="H5" s="21" t="s">
        <v>43</v>
      </c>
      <c r="I5" s="24">
        <v>0</v>
      </c>
      <c r="J5" s="14"/>
      <c r="K5" s="3"/>
      <c r="L5" s="23">
        <v>100.1</v>
      </c>
      <c r="M5" s="21" t="s">
        <v>43</v>
      </c>
      <c r="N5" s="24">
        <v>0</v>
      </c>
      <c r="O5" s="14"/>
    </row>
    <row r="6" spans="2:15" x14ac:dyDescent="0.3">
      <c r="B6" s="23">
        <v>210.1</v>
      </c>
      <c r="C6" s="21" t="s">
        <v>44</v>
      </c>
      <c r="D6" s="14"/>
      <c r="E6" s="25"/>
      <c r="F6" s="3"/>
      <c r="G6" s="23">
        <v>210.1</v>
      </c>
      <c r="H6" s="21" t="s">
        <v>44</v>
      </c>
      <c r="I6" s="14"/>
      <c r="J6" s="25"/>
      <c r="K6" s="3"/>
      <c r="L6" s="23">
        <v>210.1</v>
      </c>
      <c r="M6" s="21" t="s">
        <v>44</v>
      </c>
      <c r="N6" s="14"/>
      <c r="O6" s="25"/>
    </row>
    <row r="7" spans="2:15" x14ac:dyDescent="0.3">
      <c r="B7" s="23">
        <v>400.2</v>
      </c>
      <c r="C7" s="21" t="s">
        <v>45</v>
      </c>
      <c r="D7" s="14"/>
      <c r="E7" s="25"/>
      <c r="F7" s="3"/>
      <c r="G7" s="23">
        <v>400.2</v>
      </c>
      <c r="H7" s="21" t="s">
        <v>45</v>
      </c>
      <c r="I7" s="14"/>
      <c r="J7" s="25"/>
      <c r="K7" s="3"/>
      <c r="L7" s="23">
        <v>400.2</v>
      </c>
      <c r="M7" s="21" t="s">
        <v>45</v>
      </c>
      <c r="N7" s="14"/>
      <c r="O7" s="25"/>
    </row>
    <row r="8" spans="2:15" ht="15" thickBot="1" x14ac:dyDescent="0.35">
      <c r="B8" s="26">
        <v>400.1</v>
      </c>
      <c r="C8" s="22" t="s">
        <v>46</v>
      </c>
      <c r="D8" s="14"/>
      <c r="E8" s="27"/>
      <c r="F8" s="3"/>
      <c r="G8" s="26">
        <v>400.1</v>
      </c>
      <c r="H8" s="22" t="s">
        <v>46</v>
      </c>
      <c r="I8" s="14"/>
      <c r="J8" s="27"/>
      <c r="K8" s="3"/>
      <c r="L8" s="26">
        <v>400.1</v>
      </c>
      <c r="M8" s="22" t="s">
        <v>46</v>
      </c>
      <c r="N8" s="14"/>
      <c r="O8" s="27"/>
    </row>
    <row r="9" spans="2:15" x14ac:dyDescent="0.3">
      <c r="B9" s="19"/>
      <c r="C9" s="19"/>
      <c r="D9" s="19"/>
      <c r="E9" s="20">
        <v>0</v>
      </c>
      <c r="F9" s="3"/>
      <c r="G9" s="19"/>
      <c r="H9" s="19"/>
      <c r="I9" s="19"/>
      <c r="J9" s="20">
        <v>0</v>
      </c>
      <c r="K9" s="3"/>
      <c r="L9" s="19"/>
      <c r="M9" s="19"/>
      <c r="N9" s="19"/>
      <c r="O9" s="20">
        <v>0</v>
      </c>
    </row>
    <row r="10" spans="2:15" ht="15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8.600000000000001" thickBot="1" x14ac:dyDescent="0.35">
      <c r="B11" s="459">
        <f>EDATE($B$4,3)</f>
        <v>44652</v>
      </c>
      <c r="C11" s="460"/>
      <c r="D11" s="460"/>
      <c r="E11" s="461"/>
      <c r="F11" s="3"/>
      <c r="G11" s="459">
        <f>EDATE($B$4,4)</f>
        <v>44682</v>
      </c>
      <c r="H11" s="460"/>
      <c r="I11" s="460"/>
      <c r="J11" s="461"/>
      <c r="K11" s="3"/>
      <c r="L11" s="459">
        <f>EDATE($B$4,5)</f>
        <v>44713</v>
      </c>
      <c r="M11" s="460"/>
      <c r="N11" s="460"/>
      <c r="O11" s="461"/>
    </row>
    <row r="12" spans="2:15" x14ac:dyDescent="0.3">
      <c r="B12" s="23">
        <v>100.1</v>
      </c>
      <c r="C12" s="21" t="s">
        <v>43</v>
      </c>
      <c r="D12" s="24">
        <v>0</v>
      </c>
      <c r="E12" s="14"/>
      <c r="F12" s="3"/>
      <c r="G12" s="23">
        <v>100.1</v>
      </c>
      <c r="H12" s="21" t="s">
        <v>43</v>
      </c>
      <c r="I12" s="24">
        <v>0</v>
      </c>
      <c r="J12" s="14"/>
      <c r="K12" s="3"/>
      <c r="L12" s="23">
        <v>100.1</v>
      </c>
      <c r="M12" s="21" t="s">
        <v>43</v>
      </c>
      <c r="N12" s="24">
        <v>0</v>
      </c>
      <c r="O12" s="14"/>
    </row>
    <row r="13" spans="2:15" x14ac:dyDescent="0.3">
      <c r="B13" s="23">
        <v>210.1</v>
      </c>
      <c r="C13" s="21" t="s">
        <v>44</v>
      </c>
      <c r="D13" s="14"/>
      <c r="E13" s="25"/>
      <c r="F13" s="3"/>
      <c r="G13" s="23">
        <v>210.1</v>
      </c>
      <c r="H13" s="21" t="s">
        <v>44</v>
      </c>
      <c r="I13" s="14"/>
      <c r="J13" s="25"/>
      <c r="K13" s="3"/>
      <c r="L13" s="23">
        <v>210.1</v>
      </c>
      <c r="M13" s="21" t="s">
        <v>44</v>
      </c>
      <c r="N13" s="14"/>
      <c r="O13" s="25"/>
    </row>
    <row r="14" spans="2:15" x14ac:dyDescent="0.3">
      <c r="B14" s="23">
        <v>400.2</v>
      </c>
      <c r="C14" s="21" t="s">
        <v>45</v>
      </c>
      <c r="D14" s="14"/>
      <c r="E14" s="25"/>
      <c r="F14" s="3"/>
      <c r="G14" s="23">
        <v>400.2</v>
      </c>
      <c r="H14" s="21" t="s">
        <v>45</v>
      </c>
      <c r="I14" s="14"/>
      <c r="J14" s="25"/>
      <c r="K14" s="3"/>
      <c r="L14" s="23">
        <v>400.2</v>
      </c>
      <c r="M14" s="21" t="s">
        <v>45</v>
      </c>
      <c r="N14" s="14"/>
      <c r="O14" s="25"/>
    </row>
    <row r="15" spans="2:15" ht="15" thickBot="1" x14ac:dyDescent="0.35">
      <c r="B15" s="26">
        <v>400.1</v>
      </c>
      <c r="C15" s="22" t="s">
        <v>46</v>
      </c>
      <c r="D15" s="14"/>
      <c r="E15" s="27"/>
      <c r="F15" s="3"/>
      <c r="G15" s="26">
        <v>400.1</v>
      </c>
      <c r="H15" s="22" t="s">
        <v>46</v>
      </c>
      <c r="I15" s="14"/>
      <c r="J15" s="27"/>
      <c r="K15" s="3"/>
      <c r="L15" s="26">
        <v>400.1</v>
      </c>
      <c r="M15" s="22" t="s">
        <v>46</v>
      </c>
      <c r="N15" s="14"/>
      <c r="O15" s="27"/>
    </row>
    <row r="16" spans="2:15" x14ac:dyDescent="0.3">
      <c r="B16" s="19"/>
      <c r="C16" s="19"/>
      <c r="D16" s="19"/>
      <c r="E16" s="20">
        <v>0</v>
      </c>
      <c r="F16" s="3"/>
      <c r="G16" s="19"/>
      <c r="H16" s="19"/>
      <c r="I16" s="19"/>
      <c r="J16" s="20">
        <v>0</v>
      </c>
      <c r="K16" s="3"/>
      <c r="L16" s="19"/>
      <c r="M16" s="19"/>
      <c r="N16" s="19"/>
      <c r="O16" s="20">
        <v>0</v>
      </c>
    </row>
    <row r="17" spans="2:15" ht="15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8.600000000000001" thickBot="1" x14ac:dyDescent="0.35">
      <c r="B18" s="459">
        <f>EDATE($B$4,6)</f>
        <v>44743</v>
      </c>
      <c r="C18" s="460"/>
      <c r="D18" s="460"/>
      <c r="E18" s="461"/>
      <c r="F18" s="3"/>
      <c r="G18" s="459">
        <f>EDATE($B$4,7)</f>
        <v>44774</v>
      </c>
      <c r="H18" s="460"/>
      <c r="I18" s="460"/>
      <c r="J18" s="461"/>
      <c r="K18" s="3"/>
      <c r="L18" s="459">
        <f>EDATE($B$4,8)</f>
        <v>44805</v>
      </c>
      <c r="M18" s="460"/>
      <c r="N18" s="460"/>
      <c r="O18" s="461"/>
    </row>
    <row r="19" spans="2:15" x14ac:dyDescent="0.3">
      <c r="B19" s="23">
        <v>100.1</v>
      </c>
      <c r="C19" s="21" t="s">
        <v>43</v>
      </c>
      <c r="D19" s="24">
        <v>0</v>
      </c>
      <c r="E19" s="14"/>
      <c r="F19" s="3"/>
      <c r="G19" s="23">
        <v>100.1</v>
      </c>
      <c r="H19" s="21" t="s">
        <v>43</v>
      </c>
      <c r="I19" s="24">
        <v>0</v>
      </c>
      <c r="J19" s="14"/>
      <c r="K19" s="3"/>
      <c r="L19" s="23">
        <v>100.1</v>
      </c>
      <c r="M19" s="21" t="s">
        <v>43</v>
      </c>
      <c r="N19" s="24">
        <v>0</v>
      </c>
      <c r="O19" s="14"/>
    </row>
    <row r="20" spans="2:15" x14ac:dyDescent="0.3">
      <c r="B20" s="23">
        <v>210.1</v>
      </c>
      <c r="C20" s="21" t="s">
        <v>44</v>
      </c>
      <c r="D20" s="14"/>
      <c r="E20" s="25"/>
      <c r="F20" s="3"/>
      <c r="G20" s="23">
        <v>210.1</v>
      </c>
      <c r="H20" s="21" t="s">
        <v>44</v>
      </c>
      <c r="I20" s="14"/>
      <c r="J20" s="25"/>
      <c r="K20" s="3"/>
      <c r="L20" s="23">
        <v>210.1</v>
      </c>
      <c r="M20" s="21" t="s">
        <v>44</v>
      </c>
      <c r="N20" s="14"/>
      <c r="O20" s="25"/>
    </row>
    <row r="21" spans="2:15" x14ac:dyDescent="0.3">
      <c r="B21" s="23">
        <v>400.2</v>
      </c>
      <c r="C21" s="21" t="s">
        <v>45</v>
      </c>
      <c r="D21" s="14"/>
      <c r="E21" s="25"/>
      <c r="F21" s="3"/>
      <c r="G21" s="23">
        <v>400.2</v>
      </c>
      <c r="H21" s="21" t="s">
        <v>45</v>
      </c>
      <c r="I21" s="14"/>
      <c r="J21" s="25"/>
      <c r="K21" s="3"/>
      <c r="L21" s="23">
        <v>400.2</v>
      </c>
      <c r="M21" s="21" t="s">
        <v>45</v>
      </c>
      <c r="N21" s="14"/>
      <c r="O21" s="25"/>
    </row>
    <row r="22" spans="2:15" ht="15" thickBot="1" x14ac:dyDescent="0.35">
      <c r="B22" s="26">
        <v>400.1</v>
      </c>
      <c r="C22" s="22" t="s">
        <v>46</v>
      </c>
      <c r="D22" s="14"/>
      <c r="E22" s="27"/>
      <c r="F22" s="3"/>
      <c r="G22" s="26">
        <v>400.1</v>
      </c>
      <c r="H22" s="22" t="s">
        <v>46</v>
      </c>
      <c r="I22" s="14"/>
      <c r="J22" s="27"/>
      <c r="K22" s="3"/>
      <c r="L22" s="26">
        <v>400.1</v>
      </c>
      <c r="M22" s="22" t="s">
        <v>46</v>
      </c>
      <c r="N22" s="14"/>
      <c r="O22" s="27"/>
    </row>
    <row r="23" spans="2:15" x14ac:dyDescent="0.3">
      <c r="B23" s="19"/>
      <c r="C23" s="19"/>
      <c r="D23" s="19"/>
      <c r="E23" s="20">
        <v>0</v>
      </c>
      <c r="F23" s="3"/>
      <c r="G23" s="19"/>
      <c r="H23" s="19"/>
      <c r="I23" s="19"/>
      <c r="J23" s="20">
        <v>0</v>
      </c>
      <c r="K23" s="3"/>
      <c r="L23" s="19"/>
      <c r="M23" s="19"/>
      <c r="N23" s="19"/>
      <c r="O23" s="20">
        <v>0</v>
      </c>
    </row>
    <row r="24" spans="2:15" ht="15" thickBot="1" x14ac:dyDescent="0.35">
      <c r="B24" s="19"/>
      <c r="C24" s="19"/>
      <c r="D24" s="19"/>
      <c r="E24" s="28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8.600000000000001" thickBot="1" x14ac:dyDescent="0.35">
      <c r="B25" s="459">
        <f>EDATE($B$4,9)</f>
        <v>44835</v>
      </c>
      <c r="C25" s="460"/>
      <c r="D25" s="460"/>
      <c r="E25" s="461"/>
      <c r="F25" s="3"/>
      <c r="G25" s="459">
        <f>EDATE($B$4,10)</f>
        <v>44866</v>
      </c>
      <c r="H25" s="460"/>
      <c r="I25" s="460"/>
      <c r="J25" s="461"/>
      <c r="K25" s="3"/>
      <c r="L25" s="459">
        <f>EDATE($B$4,11)</f>
        <v>44896</v>
      </c>
      <c r="M25" s="460"/>
      <c r="N25" s="460"/>
      <c r="O25" s="461"/>
    </row>
    <row r="26" spans="2:15" x14ac:dyDescent="0.3">
      <c r="B26" s="23">
        <v>100.1</v>
      </c>
      <c r="C26" s="21" t="s">
        <v>43</v>
      </c>
      <c r="D26" s="24">
        <v>0</v>
      </c>
      <c r="E26" s="14"/>
      <c r="F26" s="3"/>
      <c r="G26" s="23">
        <v>100.1</v>
      </c>
      <c r="H26" s="21" t="s">
        <v>43</v>
      </c>
      <c r="I26" s="24">
        <v>0</v>
      </c>
      <c r="J26" s="14"/>
      <c r="K26" s="3"/>
      <c r="L26" s="23">
        <v>100.1</v>
      </c>
      <c r="M26" s="21" t="s">
        <v>43</v>
      </c>
      <c r="N26" s="24">
        <v>0</v>
      </c>
      <c r="O26" s="14"/>
    </row>
    <row r="27" spans="2:15" x14ac:dyDescent="0.3">
      <c r="B27" s="23">
        <v>210.1</v>
      </c>
      <c r="C27" s="21" t="s">
        <v>44</v>
      </c>
      <c r="D27" s="14"/>
      <c r="E27" s="25"/>
      <c r="F27" s="3"/>
      <c r="G27" s="23">
        <v>210.1</v>
      </c>
      <c r="H27" s="21" t="s">
        <v>44</v>
      </c>
      <c r="I27" s="14"/>
      <c r="J27" s="25"/>
      <c r="K27" s="3"/>
      <c r="L27" s="23">
        <v>210.1</v>
      </c>
      <c r="M27" s="21" t="s">
        <v>44</v>
      </c>
      <c r="N27" s="14"/>
      <c r="O27" s="25"/>
    </row>
    <row r="28" spans="2:15" x14ac:dyDescent="0.3">
      <c r="B28" s="23">
        <v>400.2</v>
      </c>
      <c r="C28" s="21" t="s">
        <v>45</v>
      </c>
      <c r="D28" s="14"/>
      <c r="E28" s="25"/>
      <c r="F28" s="3"/>
      <c r="G28" s="23">
        <v>400.2</v>
      </c>
      <c r="H28" s="21" t="s">
        <v>45</v>
      </c>
      <c r="I28" s="14"/>
      <c r="J28" s="25"/>
      <c r="K28" s="3"/>
      <c r="L28" s="23">
        <v>400.2</v>
      </c>
      <c r="M28" s="21" t="s">
        <v>45</v>
      </c>
      <c r="N28" s="14"/>
      <c r="O28" s="25"/>
    </row>
    <row r="29" spans="2:15" ht="15" thickBot="1" x14ac:dyDescent="0.35">
      <c r="B29" s="26">
        <v>400.1</v>
      </c>
      <c r="C29" s="22" t="s">
        <v>46</v>
      </c>
      <c r="D29" s="14"/>
      <c r="E29" s="27"/>
      <c r="F29" s="3"/>
      <c r="G29" s="26">
        <v>400.1</v>
      </c>
      <c r="H29" s="22" t="s">
        <v>46</v>
      </c>
      <c r="I29" s="14"/>
      <c r="J29" s="27"/>
      <c r="K29" s="3"/>
      <c r="L29" s="26">
        <v>400.1</v>
      </c>
      <c r="M29" s="22" t="s">
        <v>46</v>
      </c>
      <c r="N29" s="14"/>
      <c r="O29" s="27"/>
    </row>
    <row r="30" spans="2:15" x14ac:dyDescent="0.3">
      <c r="B30" s="19"/>
      <c r="C30" s="19"/>
      <c r="D30" s="19"/>
      <c r="E30" s="20">
        <v>0</v>
      </c>
      <c r="F30" s="3"/>
      <c r="G30" s="19"/>
      <c r="H30" s="19"/>
      <c r="I30" s="19"/>
      <c r="J30" s="20">
        <v>0</v>
      </c>
      <c r="K30" s="3"/>
      <c r="L30" s="19"/>
      <c r="M30" s="19"/>
      <c r="N30" s="19"/>
      <c r="O30" s="20">
        <v>0</v>
      </c>
    </row>
  </sheetData>
  <mergeCells count="13">
    <mergeCell ref="G18:J18"/>
    <mergeCell ref="L18:O18"/>
    <mergeCell ref="B25:E25"/>
    <mergeCell ref="G25:J25"/>
    <mergeCell ref="L25:O25"/>
    <mergeCell ref="B18:E18"/>
    <mergeCell ref="B2:O2"/>
    <mergeCell ref="B4:E4"/>
    <mergeCell ref="G4:J4"/>
    <mergeCell ref="L4:O4"/>
    <mergeCell ref="B11:E11"/>
    <mergeCell ref="G11:J11"/>
    <mergeCell ref="L11:O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5"/>
  <sheetViews>
    <sheetView topLeftCell="A133" workbookViewId="0">
      <selection activeCell="G165" sqref="G165"/>
    </sheetView>
  </sheetViews>
  <sheetFormatPr baseColWidth="10" defaultRowHeight="14.4" x14ac:dyDescent="0.3"/>
  <cols>
    <col min="2" max="2" width="13.109375" style="434" bestFit="1" customWidth="1"/>
    <col min="3" max="7" width="11.44140625" style="434"/>
  </cols>
  <sheetData>
    <row r="2" spans="2:8" x14ac:dyDescent="0.3">
      <c r="B2" s="434" t="s">
        <v>2959</v>
      </c>
      <c r="C2" s="434" t="s">
        <v>2960</v>
      </c>
      <c r="D2" s="434">
        <v>10.5</v>
      </c>
      <c r="E2" s="434" t="s">
        <v>2961</v>
      </c>
      <c r="F2" s="434" t="s">
        <v>2962</v>
      </c>
      <c r="G2" s="434" t="s">
        <v>2963</v>
      </c>
      <c r="H2" s="434" t="s">
        <v>2965</v>
      </c>
    </row>
    <row r="3" spans="2:8" x14ac:dyDescent="0.3">
      <c r="B3" s="434">
        <v>76.5</v>
      </c>
      <c r="C3" s="434">
        <f t="shared" ref="C3:C66" si="0">B3*21/100</f>
        <v>16.065000000000001</v>
      </c>
      <c r="G3" s="434">
        <v>187.81</v>
      </c>
    </row>
    <row r="4" spans="2:8" x14ac:dyDescent="0.3">
      <c r="B4" s="434">
        <v>361.13</v>
      </c>
      <c r="C4" s="434">
        <f t="shared" si="0"/>
        <v>75.837299999999999</v>
      </c>
      <c r="G4" s="434">
        <v>784.1</v>
      </c>
    </row>
    <row r="5" spans="2:8" x14ac:dyDescent="0.3">
      <c r="B5" s="434">
        <v>2277.0100000000002</v>
      </c>
      <c r="D5" s="434">
        <f t="shared" ref="D5" si="1">B5*10.5/100</f>
        <v>239.08605000000003</v>
      </c>
    </row>
    <row r="6" spans="2:8" x14ac:dyDescent="0.3">
      <c r="B6" s="434">
        <v>164.02</v>
      </c>
      <c r="C6" s="434">
        <f t="shared" si="0"/>
        <v>34.444200000000002</v>
      </c>
      <c r="G6" s="434">
        <v>402.66</v>
      </c>
    </row>
    <row r="7" spans="2:8" x14ac:dyDescent="0.3">
      <c r="B7" s="434">
        <v>35.1</v>
      </c>
      <c r="C7" s="434">
        <f t="shared" si="0"/>
        <v>7.3710000000000004</v>
      </c>
      <c r="G7" s="434">
        <v>86.17</v>
      </c>
    </row>
    <row r="8" spans="2:8" x14ac:dyDescent="0.3">
      <c r="B8" s="434">
        <v>56.61</v>
      </c>
      <c r="C8" s="434">
        <f t="shared" si="0"/>
        <v>11.8881</v>
      </c>
      <c r="G8" s="434">
        <v>138.97999999999999</v>
      </c>
    </row>
    <row r="9" spans="2:8" x14ac:dyDescent="0.3">
      <c r="B9" s="434">
        <v>68.31</v>
      </c>
      <c r="C9" s="434">
        <f t="shared" si="0"/>
        <v>14.3451</v>
      </c>
      <c r="G9" s="434">
        <v>167.7</v>
      </c>
    </row>
    <row r="10" spans="2:8" x14ac:dyDescent="0.3">
      <c r="B10" s="434">
        <v>941.13</v>
      </c>
      <c r="C10" s="434">
        <f t="shared" si="0"/>
        <v>197.63729999999998</v>
      </c>
      <c r="G10" s="434">
        <v>2310.4699999999998</v>
      </c>
    </row>
    <row r="11" spans="2:8" x14ac:dyDescent="0.3">
      <c r="B11" s="434">
        <v>442.73</v>
      </c>
      <c r="C11" s="434">
        <f t="shared" si="0"/>
        <v>92.973299999999995</v>
      </c>
      <c r="G11" s="434">
        <v>1086.9000000000001</v>
      </c>
    </row>
    <row r="12" spans="2:8" x14ac:dyDescent="0.3">
      <c r="B12" s="434">
        <v>173.7</v>
      </c>
      <c r="C12" s="434">
        <f t="shared" si="0"/>
        <v>36.476999999999997</v>
      </c>
      <c r="G12" s="434">
        <v>426.43</v>
      </c>
    </row>
    <row r="13" spans="2:8" x14ac:dyDescent="0.3">
      <c r="B13" s="434">
        <v>245.75</v>
      </c>
      <c r="C13" s="434">
        <f t="shared" si="0"/>
        <v>51.607500000000002</v>
      </c>
      <c r="G13" s="434">
        <v>603.33000000000004</v>
      </c>
    </row>
    <row r="14" spans="2:8" x14ac:dyDescent="0.3">
      <c r="B14" s="434">
        <v>119.7</v>
      </c>
      <c r="C14" s="434">
        <f t="shared" si="0"/>
        <v>25.137000000000004</v>
      </c>
      <c r="G14" s="434">
        <v>293.86</v>
      </c>
    </row>
    <row r="15" spans="2:8" x14ac:dyDescent="0.3">
      <c r="B15" s="434">
        <v>1450.99</v>
      </c>
      <c r="C15" s="434">
        <f t="shared" si="0"/>
        <v>304.7079</v>
      </c>
      <c r="G15" s="434">
        <v>3562.16</v>
      </c>
    </row>
    <row r="16" spans="2:8" x14ac:dyDescent="0.3">
      <c r="B16" s="434">
        <v>148.94999999999999</v>
      </c>
      <c r="C16" s="434">
        <f t="shared" si="0"/>
        <v>31.279499999999999</v>
      </c>
      <c r="G16" s="434">
        <v>365.67</v>
      </c>
    </row>
    <row r="17" spans="2:7" x14ac:dyDescent="0.3">
      <c r="B17" s="434">
        <v>144.83000000000001</v>
      </c>
      <c r="C17" s="434">
        <f t="shared" si="0"/>
        <v>30.414300000000004</v>
      </c>
      <c r="G17" s="434">
        <v>355.55</v>
      </c>
    </row>
    <row r="18" spans="2:7" x14ac:dyDescent="0.3">
      <c r="B18" s="434">
        <v>789.27</v>
      </c>
      <c r="C18" s="434">
        <f t="shared" si="0"/>
        <v>165.74669999999998</v>
      </c>
      <c r="E18" s="434">
        <v>206.72</v>
      </c>
      <c r="G18" s="434">
        <v>1627.57</v>
      </c>
    </row>
    <row r="19" spans="2:7" x14ac:dyDescent="0.3">
      <c r="B19" s="434">
        <v>6890.87</v>
      </c>
      <c r="C19" s="434">
        <f t="shared" si="0"/>
        <v>1447.0826999999999</v>
      </c>
      <c r="E19" s="434">
        <v>23.68</v>
      </c>
    </row>
    <row r="20" spans="2:7" x14ac:dyDescent="0.3">
      <c r="B20" s="434">
        <v>178.2</v>
      </c>
      <c r="C20" s="434">
        <f t="shared" si="0"/>
        <v>37.421999999999997</v>
      </c>
      <c r="G20" s="434">
        <v>437.48</v>
      </c>
    </row>
    <row r="21" spans="2:7" x14ac:dyDescent="0.3">
      <c r="B21" s="434">
        <v>376.65</v>
      </c>
      <c r="C21" s="434">
        <f t="shared" si="0"/>
        <v>79.096499999999992</v>
      </c>
      <c r="G21" s="434">
        <v>924.68</v>
      </c>
    </row>
    <row r="22" spans="2:7" x14ac:dyDescent="0.3">
      <c r="B22" s="434">
        <v>11.5</v>
      </c>
      <c r="C22" s="434">
        <f t="shared" si="0"/>
        <v>2.415</v>
      </c>
    </row>
    <row r="23" spans="2:7" x14ac:dyDescent="0.3">
      <c r="B23" s="434">
        <v>726</v>
      </c>
      <c r="C23" s="434">
        <f t="shared" si="0"/>
        <v>152.46</v>
      </c>
      <c r="E23" s="434">
        <v>309.95999999999998</v>
      </c>
      <c r="G23" s="434">
        <v>1317.39</v>
      </c>
    </row>
    <row r="24" spans="2:7" x14ac:dyDescent="0.3">
      <c r="B24" s="434">
        <v>10332.14</v>
      </c>
      <c r="C24" s="434">
        <f t="shared" si="0"/>
        <v>2169.7494000000002</v>
      </c>
      <c r="E24" s="434">
        <v>21.78</v>
      </c>
    </row>
    <row r="25" spans="2:7" x14ac:dyDescent="0.3">
      <c r="B25" s="434">
        <v>46.62</v>
      </c>
      <c r="C25" s="434">
        <f t="shared" si="0"/>
        <v>9.7902000000000005</v>
      </c>
      <c r="G25" s="434">
        <v>114.45</v>
      </c>
    </row>
    <row r="26" spans="2:7" x14ac:dyDescent="0.3">
      <c r="B26" s="434">
        <v>309.24</v>
      </c>
      <c r="C26" s="434">
        <f t="shared" si="0"/>
        <v>64.940399999999997</v>
      </c>
      <c r="G26" s="434">
        <v>759.18</v>
      </c>
    </row>
    <row r="27" spans="2:7" x14ac:dyDescent="0.3">
      <c r="B27" s="434">
        <v>313.02</v>
      </c>
      <c r="C27" s="434">
        <f t="shared" si="0"/>
        <v>65.734200000000001</v>
      </c>
      <c r="G27" s="434">
        <v>768.46</v>
      </c>
    </row>
    <row r="28" spans="2:7" x14ac:dyDescent="0.3">
      <c r="B28" s="434">
        <v>363.51</v>
      </c>
      <c r="C28" s="434">
        <f t="shared" si="0"/>
        <v>76.337100000000007</v>
      </c>
      <c r="G28" s="434">
        <v>892.42</v>
      </c>
    </row>
    <row r="29" spans="2:7" x14ac:dyDescent="0.3">
      <c r="B29" s="434">
        <v>940.32</v>
      </c>
      <c r="C29" s="434">
        <f t="shared" si="0"/>
        <v>197.46720000000002</v>
      </c>
      <c r="G29" s="434">
        <v>2308.4899999999998</v>
      </c>
    </row>
    <row r="30" spans="2:7" x14ac:dyDescent="0.3">
      <c r="B30" s="434">
        <v>464.55</v>
      </c>
      <c r="C30" s="434">
        <f t="shared" si="0"/>
        <v>97.555500000000009</v>
      </c>
      <c r="G30" s="434">
        <v>1008.66</v>
      </c>
    </row>
    <row r="31" spans="2:7" x14ac:dyDescent="0.3">
      <c r="B31" s="434">
        <v>2929.14</v>
      </c>
      <c r="D31" s="434">
        <f t="shared" ref="D31:D51" si="2">B31*10.5/100</f>
        <v>307.55969999999996</v>
      </c>
    </row>
    <row r="32" spans="2:7" x14ac:dyDescent="0.3">
      <c r="B32" s="434">
        <v>558.54</v>
      </c>
      <c r="C32" s="434">
        <f t="shared" si="0"/>
        <v>117.29340000000001</v>
      </c>
      <c r="G32" s="434">
        <v>1371.22</v>
      </c>
    </row>
    <row r="33" spans="2:7" x14ac:dyDescent="0.3">
      <c r="B33" s="434">
        <v>84.6</v>
      </c>
      <c r="C33" s="434">
        <f t="shared" si="0"/>
        <v>17.765999999999998</v>
      </c>
      <c r="G33" s="434">
        <v>207.69</v>
      </c>
    </row>
    <row r="34" spans="2:7" x14ac:dyDescent="0.3">
      <c r="B34" s="434">
        <v>472.23</v>
      </c>
      <c r="C34" s="434">
        <f t="shared" si="0"/>
        <v>99.168300000000002</v>
      </c>
      <c r="G34" s="434">
        <v>1159.32</v>
      </c>
    </row>
    <row r="35" spans="2:7" x14ac:dyDescent="0.3">
      <c r="B35" s="434">
        <v>286.2</v>
      </c>
      <c r="C35" s="434">
        <f t="shared" si="0"/>
        <v>60.101999999999997</v>
      </c>
      <c r="G35" s="434">
        <v>702.62</v>
      </c>
    </row>
    <row r="36" spans="2:7" x14ac:dyDescent="0.3">
      <c r="B36" s="434">
        <v>89.64</v>
      </c>
      <c r="C36" s="434">
        <f t="shared" si="0"/>
        <v>18.824400000000001</v>
      </c>
      <c r="G36" s="434">
        <v>220.07</v>
      </c>
    </row>
    <row r="37" spans="2:7" x14ac:dyDescent="0.3">
      <c r="B37" s="434">
        <v>341.91</v>
      </c>
      <c r="C37" s="434">
        <f t="shared" si="0"/>
        <v>71.801100000000005</v>
      </c>
      <c r="G37" s="434">
        <v>839.39</v>
      </c>
    </row>
    <row r="38" spans="2:7" x14ac:dyDescent="0.3">
      <c r="B38" s="434">
        <v>438.05</v>
      </c>
      <c r="C38" s="434">
        <f t="shared" si="0"/>
        <v>91.990500000000011</v>
      </c>
      <c r="E38" s="434">
        <v>54.33</v>
      </c>
      <c r="G38" s="434">
        <v>912.42</v>
      </c>
    </row>
    <row r="39" spans="2:7" x14ac:dyDescent="0.3">
      <c r="B39" s="434">
        <v>3622.09</v>
      </c>
      <c r="D39" s="434">
        <f t="shared" si="2"/>
        <v>380.31945000000002</v>
      </c>
      <c r="E39" s="434">
        <v>13.14</v>
      </c>
    </row>
    <row r="40" spans="2:7" x14ac:dyDescent="0.3">
      <c r="B40" s="434">
        <v>234</v>
      </c>
      <c r="C40" s="434">
        <f t="shared" si="0"/>
        <v>49.14</v>
      </c>
      <c r="G40" s="434">
        <v>574.47</v>
      </c>
    </row>
    <row r="41" spans="2:7" x14ac:dyDescent="0.3">
      <c r="B41" s="434">
        <v>154.97999999999999</v>
      </c>
      <c r="C41" s="434">
        <f t="shared" si="0"/>
        <v>32.5458</v>
      </c>
      <c r="G41" s="434">
        <v>380.48</v>
      </c>
    </row>
    <row r="42" spans="2:7" x14ac:dyDescent="0.3">
      <c r="B42" s="434">
        <v>499.64</v>
      </c>
      <c r="C42" s="434">
        <f t="shared" si="0"/>
        <v>104.92440000000001</v>
      </c>
      <c r="G42" s="434">
        <v>1226.5999999999999</v>
      </c>
    </row>
    <row r="43" spans="2:7" x14ac:dyDescent="0.3">
      <c r="B43" s="434">
        <v>28.077999999999999</v>
      </c>
      <c r="C43" s="434">
        <f t="shared" si="0"/>
        <v>5.8963800000000006</v>
      </c>
      <c r="G43" s="434">
        <v>68.94</v>
      </c>
    </row>
    <row r="44" spans="2:7" x14ac:dyDescent="0.3">
      <c r="B44" s="434">
        <v>52.92</v>
      </c>
      <c r="C44" s="434">
        <f t="shared" si="0"/>
        <v>11.113199999999999</v>
      </c>
      <c r="G44" s="434">
        <v>129.91999999999999</v>
      </c>
    </row>
    <row r="45" spans="2:7" x14ac:dyDescent="0.3">
      <c r="B45" s="434">
        <v>471.93</v>
      </c>
      <c r="C45" s="434">
        <f t="shared" si="0"/>
        <v>99.1053</v>
      </c>
      <c r="E45" s="434">
        <v>95.86</v>
      </c>
      <c r="G45" s="434">
        <v>871.01</v>
      </c>
    </row>
    <row r="46" spans="2:7" x14ac:dyDescent="0.3">
      <c r="B46" s="434">
        <v>6390.47</v>
      </c>
      <c r="D46" s="434">
        <f t="shared" si="2"/>
        <v>670.99934999999994</v>
      </c>
      <c r="E46" s="434">
        <v>14.16</v>
      </c>
    </row>
    <row r="47" spans="2:7" x14ac:dyDescent="0.3">
      <c r="B47" s="434">
        <v>235.44</v>
      </c>
      <c r="C47" s="434">
        <f t="shared" si="0"/>
        <v>49.442399999999999</v>
      </c>
      <c r="G47" s="434">
        <v>578.01</v>
      </c>
    </row>
    <row r="48" spans="2:7" x14ac:dyDescent="0.3">
      <c r="B48" s="434">
        <v>220.32</v>
      </c>
      <c r="C48" s="434">
        <f t="shared" si="0"/>
        <v>46.267200000000003</v>
      </c>
      <c r="G48" s="434">
        <v>540.89</v>
      </c>
    </row>
    <row r="49" spans="2:7" x14ac:dyDescent="0.3">
      <c r="B49" s="434">
        <v>336.92</v>
      </c>
      <c r="C49" s="434">
        <f t="shared" si="0"/>
        <v>70.753200000000007</v>
      </c>
      <c r="G49" s="434">
        <v>827.15</v>
      </c>
    </row>
    <row r="50" spans="2:7" x14ac:dyDescent="0.3">
      <c r="B50" s="434">
        <v>192.34</v>
      </c>
      <c r="C50" s="434">
        <f t="shared" si="0"/>
        <v>40.391399999999997</v>
      </c>
      <c r="G50" s="434">
        <v>400.63</v>
      </c>
    </row>
    <row r="51" spans="2:7" x14ac:dyDescent="0.3">
      <c r="B51" s="434">
        <v>1590</v>
      </c>
      <c r="D51" s="434">
        <f t="shared" si="2"/>
        <v>166.95</v>
      </c>
    </row>
    <row r="52" spans="2:7" x14ac:dyDescent="0.3">
      <c r="B52" s="434">
        <v>376.96</v>
      </c>
      <c r="C52" s="434">
        <f t="shared" si="0"/>
        <v>79.161599999999993</v>
      </c>
      <c r="G52" s="434">
        <v>925.43</v>
      </c>
    </row>
    <row r="53" spans="2:7" x14ac:dyDescent="0.3">
      <c r="B53" s="434">
        <v>671.63</v>
      </c>
      <c r="C53" s="434">
        <f t="shared" si="0"/>
        <v>141.04229999999998</v>
      </c>
      <c r="G53" s="434">
        <v>1648.86</v>
      </c>
    </row>
    <row r="54" spans="2:7" x14ac:dyDescent="0.3">
      <c r="B54" s="434">
        <v>580.09</v>
      </c>
      <c r="C54" s="434">
        <f t="shared" si="0"/>
        <v>121.81890000000001</v>
      </c>
      <c r="G54" s="434">
        <v>1424.15</v>
      </c>
    </row>
    <row r="55" spans="2:7" x14ac:dyDescent="0.3">
      <c r="B55" s="434">
        <v>220.32</v>
      </c>
      <c r="C55" s="434">
        <f t="shared" si="0"/>
        <v>46.267200000000003</v>
      </c>
      <c r="G55" s="434">
        <v>540.89</v>
      </c>
    </row>
    <row r="56" spans="2:7" x14ac:dyDescent="0.3">
      <c r="B56" s="434">
        <v>79.040000000000006</v>
      </c>
      <c r="C56" s="434">
        <f t="shared" si="0"/>
        <v>16.598400000000002</v>
      </c>
      <c r="G56" s="434">
        <v>441.04</v>
      </c>
    </row>
    <row r="57" spans="2:7" x14ac:dyDescent="0.3">
      <c r="B57" s="434">
        <v>61.6</v>
      </c>
      <c r="C57" s="434">
        <f t="shared" si="0"/>
        <v>12.936000000000002</v>
      </c>
      <c r="G57" s="434">
        <v>343.73</v>
      </c>
    </row>
    <row r="58" spans="2:7" x14ac:dyDescent="0.3">
      <c r="B58" s="434">
        <v>87.26</v>
      </c>
      <c r="C58" s="434">
        <f t="shared" si="0"/>
        <v>18.3246</v>
      </c>
      <c r="G58" s="434">
        <v>486.93</v>
      </c>
    </row>
    <row r="59" spans="2:7" x14ac:dyDescent="0.3">
      <c r="B59" s="434">
        <v>23.52</v>
      </c>
      <c r="C59" s="434">
        <f t="shared" si="0"/>
        <v>4.9392000000000005</v>
      </c>
      <c r="G59" s="434">
        <v>131.24</v>
      </c>
    </row>
    <row r="60" spans="2:7" x14ac:dyDescent="0.3">
      <c r="B60" s="434">
        <v>100</v>
      </c>
      <c r="C60" s="434">
        <f t="shared" si="0"/>
        <v>21</v>
      </c>
      <c r="G60" s="434">
        <v>558</v>
      </c>
    </row>
    <row r="61" spans="2:7" x14ac:dyDescent="0.3">
      <c r="B61" s="434">
        <v>64.989999999999995</v>
      </c>
      <c r="C61" s="434">
        <f t="shared" si="0"/>
        <v>13.6479</v>
      </c>
      <c r="G61" s="434">
        <v>362.66</v>
      </c>
    </row>
    <row r="62" spans="2:7" x14ac:dyDescent="0.3">
      <c r="B62" s="434">
        <v>11.02</v>
      </c>
      <c r="C62" s="434">
        <f t="shared" si="0"/>
        <v>2.3142</v>
      </c>
      <c r="G62" s="434">
        <v>61.47</v>
      </c>
    </row>
    <row r="63" spans="2:7" x14ac:dyDescent="0.3">
      <c r="B63" s="434">
        <v>174.47</v>
      </c>
      <c r="C63" s="434">
        <f t="shared" si="0"/>
        <v>36.6387</v>
      </c>
      <c r="G63" s="434">
        <v>973.55</v>
      </c>
    </row>
    <row r="64" spans="2:7" x14ac:dyDescent="0.3">
      <c r="B64" s="434">
        <v>46.88</v>
      </c>
      <c r="C64" s="434">
        <f t="shared" si="0"/>
        <v>9.8447999999999993</v>
      </c>
      <c r="G64" s="434">
        <v>261.58999999999997</v>
      </c>
    </row>
    <row r="65" spans="2:7" x14ac:dyDescent="0.3">
      <c r="B65" s="434">
        <v>18.82</v>
      </c>
      <c r="C65" s="434">
        <f t="shared" si="0"/>
        <v>3.9522000000000004</v>
      </c>
      <c r="G65" s="434">
        <v>104.99</v>
      </c>
    </row>
    <row r="66" spans="2:7" x14ac:dyDescent="0.3">
      <c r="B66" s="434">
        <v>790.92</v>
      </c>
      <c r="C66" s="434">
        <f t="shared" si="0"/>
        <v>166.0932</v>
      </c>
      <c r="G66" s="434">
        <v>1941.71</v>
      </c>
    </row>
    <row r="67" spans="2:7" x14ac:dyDescent="0.3">
      <c r="B67" s="434">
        <v>1391.4</v>
      </c>
      <c r="C67" s="434">
        <f t="shared" ref="C67:C121" si="3">B67*21/100</f>
        <v>292.19400000000002</v>
      </c>
      <c r="E67" s="434">
        <v>244.79</v>
      </c>
      <c r="G67" s="434">
        <v>2681.5</v>
      </c>
    </row>
    <row r="68" spans="2:7" x14ac:dyDescent="0.3">
      <c r="B68" s="434">
        <v>16319.46</v>
      </c>
      <c r="D68" s="434">
        <f t="shared" ref="D68:D115" si="4">B68*10.5/100</f>
        <v>1713.5432999999998</v>
      </c>
      <c r="E68" s="434">
        <v>41.74</v>
      </c>
    </row>
    <row r="69" spans="2:7" x14ac:dyDescent="0.3">
      <c r="B69" s="434">
        <v>2159.35</v>
      </c>
      <c r="C69" s="434">
        <f t="shared" si="3"/>
        <v>453.46350000000001</v>
      </c>
      <c r="E69" s="434">
        <v>64.77</v>
      </c>
      <c r="G69" s="434">
        <v>5301.19</v>
      </c>
    </row>
    <row r="70" spans="2:7" x14ac:dyDescent="0.3">
      <c r="B70" s="434">
        <v>392.25</v>
      </c>
      <c r="C70" s="434">
        <f t="shared" si="3"/>
        <v>82.372500000000002</v>
      </c>
      <c r="E70" s="434">
        <v>48.65</v>
      </c>
      <c r="G70" s="434">
        <v>817.03</v>
      </c>
    </row>
    <row r="71" spans="2:7" x14ac:dyDescent="0.3">
      <c r="B71" s="434">
        <v>3243.41</v>
      </c>
      <c r="D71" s="434">
        <f t="shared" si="4"/>
        <v>340.55804999999998</v>
      </c>
      <c r="E71" s="434">
        <v>11.77</v>
      </c>
    </row>
    <row r="72" spans="2:7" x14ac:dyDescent="0.3">
      <c r="B72" s="434">
        <v>1273.06</v>
      </c>
      <c r="C72" s="434">
        <f t="shared" si="3"/>
        <v>267.3426</v>
      </c>
      <c r="G72" s="434">
        <v>3125.36</v>
      </c>
    </row>
    <row r="73" spans="2:7" x14ac:dyDescent="0.3">
      <c r="B73" s="434">
        <v>71.209999999999994</v>
      </c>
      <c r="C73" s="434">
        <f t="shared" si="3"/>
        <v>14.954099999999999</v>
      </c>
      <c r="G73" s="434">
        <v>154.62</v>
      </c>
    </row>
    <row r="74" spans="2:7" x14ac:dyDescent="0.3">
      <c r="B74" s="434">
        <v>449.03</v>
      </c>
      <c r="D74" s="434">
        <f t="shared" si="4"/>
        <v>47.148149999999994</v>
      </c>
    </row>
    <row r="75" spans="2:7" x14ac:dyDescent="0.3">
      <c r="B75" s="434">
        <v>2324.39</v>
      </c>
      <c r="C75" s="434">
        <f t="shared" si="3"/>
        <v>488.12189999999993</v>
      </c>
      <c r="E75" s="434">
        <v>69.709999999999994</v>
      </c>
      <c r="G75" s="434">
        <v>5706.36</v>
      </c>
    </row>
    <row r="76" spans="2:7" x14ac:dyDescent="0.3">
      <c r="B76" s="434">
        <v>1896.83</v>
      </c>
      <c r="C76" s="434">
        <f t="shared" si="3"/>
        <v>398.33429999999998</v>
      </c>
      <c r="E76" s="434">
        <v>284.35000000000002</v>
      </c>
      <c r="G76" s="434">
        <v>3803.69</v>
      </c>
    </row>
    <row r="77" spans="2:7" x14ac:dyDescent="0.3">
      <c r="B77" s="434">
        <v>18956.64</v>
      </c>
      <c r="D77" s="434">
        <f t="shared" si="4"/>
        <v>1990.4472000000001</v>
      </c>
      <c r="E77" s="434">
        <v>56.91</v>
      </c>
    </row>
    <row r="78" spans="2:7" x14ac:dyDescent="0.3">
      <c r="B78" s="434">
        <v>1238.23</v>
      </c>
      <c r="C78" s="434">
        <f t="shared" si="3"/>
        <v>260.0283</v>
      </c>
      <c r="G78" s="434">
        <v>3039.83</v>
      </c>
    </row>
    <row r="79" spans="2:7" x14ac:dyDescent="0.3">
      <c r="B79" s="434">
        <v>169.25</v>
      </c>
      <c r="C79" s="434">
        <f t="shared" si="3"/>
        <v>35.542499999999997</v>
      </c>
    </row>
    <row r="80" spans="2:7" x14ac:dyDescent="0.3">
      <c r="B80" s="434">
        <v>1399.44</v>
      </c>
      <c r="D80" s="434">
        <f t="shared" si="4"/>
        <v>146.94120000000001</v>
      </c>
      <c r="G80" s="434">
        <v>352.52</v>
      </c>
    </row>
    <row r="81" spans="2:7" x14ac:dyDescent="0.3">
      <c r="B81" s="434">
        <v>2703.24</v>
      </c>
      <c r="C81" s="434">
        <f t="shared" si="3"/>
        <v>567.68039999999996</v>
      </c>
      <c r="E81" s="434">
        <v>81.08</v>
      </c>
      <c r="G81" s="434">
        <v>6636.41</v>
      </c>
    </row>
    <row r="82" spans="2:7" x14ac:dyDescent="0.3">
      <c r="B82" s="434">
        <v>857.31</v>
      </c>
      <c r="C82" s="434">
        <f t="shared" si="3"/>
        <v>180.03509999999997</v>
      </c>
      <c r="E82" s="434">
        <v>140.52000000000001</v>
      </c>
      <c r="G82" s="434">
        <v>1683.14</v>
      </c>
    </row>
    <row r="83" spans="2:7" x14ac:dyDescent="0.3">
      <c r="B83" s="434">
        <v>9368.06</v>
      </c>
      <c r="D83" s="434">
        <f t="shared" si="4"/>
        <v>983.64629999999988</v>
      </c>
      <c r="E83" s="434">
        <v>25.72</v>
      </c>
    </row>
    <row r="84" spans="2:7" x14ac:dyDescent="0.3">
      <c r="B84" s="434">
        <v>702.65</v>
      </c>
      <c r="C84" s="434">
        <f t="shared" si="3"/>
        <v>147.5565</v>
      </c>
      <c r="G84" s="434">
        <v>1725</v>
      </c>
    </row>
    <row r="85" spans="2:7" x14ac:dyDescent="0.3">
      <c r="B85" s="434">
        <v>716.42</v>
      </c>
      <c r="C85" s="434">
        <f t="shared" si="3"/>
        <v>150.44819999999999</v>
      </c>
      <c r="E85" s="434">
        <v>88.85</v>
      </c>
      <c r="G85" s="434">
        <v>1492.24</v>
      </c>
    </row>
    <row r="86" spans="2:7" x14ac:dyDescent="0.3">
      <c r="B86" s="434">
        <v>5923.86</v>
      </c>
      <c r="D86" s="434">
        <f t="shared" si="4"/>
        <v>622.00530000000003</v>
      </c>
      <c r="E86" s="434">
        <v>21.49</v>
      </c>
    </row>
    <row r="87" spans="2:7" x14ac:dyDescent="0.3">
      <c r="B87" s="434">
        <v>604.98</v>
      </c>
      <c r="C87" s="434">
        <f t="shared" si="3"/>
        <v>127.0458</v>
      </c>
      <c r="G87" s="434">
        <v>1485.23</v>
      </c>
    </row>
    <row r="88" spans="2:7" x14ac:dyDescent="0.3">
      <c r="B88" s="434">
        <v>1372.77</v>
      </c>
      <c r="C88" s="434">
        <f t="shared" si="3"/>
        <v>288.2817</v>
      </c>
      <c r="E88" s="434">
        <v>193.14</v>
      </c>
      <c r="G88" s="434">
        <v>2790.76</v>
      </c>
    </row>
    <row r="89" spans="2:7" x14ac:dyDescent="0.3">
      <c r="B89" s="434">
        <v>12875.17</v>
      </c>
      <c r="D89" s="434">
        <f t="shared" si="4"/>
        <v>1351.89285</v>
      </c>
      <c r="E89" s="434">
        <v>41.18</v>
      </c>
    </row>
    <row r="90" spans="2:7" x14ac:dyDescent="0.3">
      <c r="B90" s="434">
        <v>1788.48</v>
      </c>
      <c r="C90" s="434">
        <f t="shared" si="3"/>
        <v>375.58080000000001</v>
      </c>
      <c r="G90" s="434">
        <v>4390.72</v>
      </c>
    </row>
    <row r="91" spans="2:7" x14ac:dyDescent="0.3">
      <c r="B91" s="434">
        <v>1814.26</v>
      </c>
      <c r="C91" s="434">
        <f t="shared" si="3"/>
        <v>380.99459999999999</v>
      </c>
      <c r="G91" s="434">
        <v>4454</v>
      </c>
    </row>
    <row r="92" spans="2:7" x14ac:dyDescent="0.3">
      <c r="B92" s="434">
        <v>639.04999999999995</v>
      </c>
      <c r="C92" s="434">
        <f t="shared" si="3"/>
        <v>134.20050000000001</v>
      </c>
      <c r="G92" s="434">
        <v>1568.88</v>
      </c>
    </row>
    <row r="93" spans="2:7" x14ac:dyDescent="0.3">
      <c r="B93" s="434">
        <v>1501.86</v>
      </c>
      <c r="C93" s="434">
        <f t="shared" si="3"/>
        <v>315.39059999999995</v>
      </c>
      <c r="E93" s="434">
        <v>216.01</v>
      </c>
      <c r="G93" s="434">
        <v>3039.01</v>
      </c>
    </row>
    <row r="94" spans="2:7" x14ac:dyDescent="0.3">
      <c r="B94" s="434">
        <v>14400.84</v>
      </c>
      <c r="D94" s="434">
        <f t="shared" si="4"/>
        <v>1512.0882000000001</v>
      </c>
      <c r="E94" s="434">
        <v>45.05</v>
      </c>
    </row>
    <row r="95" spans="2:7" x14ac:dyDescent="0.3">
      <c r="B95" s="434">
        <v>503.01</v>
      </c>
      <c r="C95" s="434">
        <f t="shared" si="3"/>
        <v>105.63209999999999</v>
      </c>
      <c r="G95" s="434">
        <v>1234.8900000000001</v>
      </c>
    </row>
    <row r="96" spans="2:7" x14ac:dyDescent="0.3">
      <c r="B96" s="434">
        <v>620.84</v>
      </c>
      <c r="C96" s="434">
        <f t="shared" si="3"/>
        <v>130.37640000000002</v>
      </c>
      <c r="E96" s="434">
        <v>98.7</v>
      </c>
      <c r="G96" s="434">
        <v>1228.04</v>
      </c>
    </row>
    <row r="97" spans="2:7" x14ac:dyDescent="0.3">
      <c r="B97" s="434">
        <v>6580.11</v>
      </c>
      <c r="D97" s="434">
        <f t="shared" si="4"/>
        <v>690.91155000000003</v>
      </c>
      <c r="E97" s="434">
        <v>18.62</v>
      </c>
    </row>
    <row r="98" spans="2:7" x14ac:dyDescent="0.3">
      <c r="B98" s="434">
        <v>910.81</v>
      </c>
      <c r="C98" s="434">
        <f t="shared" si="3"/>
        <v>191.27009999999999</v>
      </c>
      <c r="G98" s="434">
        <v>2236.0300000000002</v>
      </c>
    </row>
    <row r="99" spans="2:7" x14ac:dyDescent="0.3">
      <c r="B99" s="434">
        <v>1708.75</v>
      </c>
      <c r="C99" s="434">
        <f t="shared" si="3"/>
        <v>358.83749999999998</v>
      </c>
      <c r="E99" s="434">
        <v>241.67</v>
      </c>
      <c r="G99" s="434">
        <v>3469.96</v>
      </c>
    </row>
    <row r="100" spans="2:7" x14ac:dyDescent="0.3">
      <c r="B100" s="434">
        <v>16111.63</v>
      </c>
      <c r="D100" s="434">
        <f t="shared" si="4"/>
        <v>1691.7211499999999</v>
      </c>
      <c r="E100" s="434">
        <v>51.25</v>
      </c>
    </row>
    <row r="101" spans="2:7" x14ac:dyDescent="0.3">
      <c r="B101" s="434">
        <v>1972.09</v>
      </c>
      <c r="C101" s="434">
        <f t="shared" si="3"/>
        <v>414.13889999999998</v>
      </c>
      <c r="G101" s="434">
        <v>4841.4799999999996</v>
      </c>
    </row>
    <row r="102" spans="2:7" x14ac:dyDescent="0.3">
      <c r="B102" s="434">
        <v>802.21</v>
      </c>
      <c r="C102" s="434">
        <f t="shared" si="3"/>
        <v>168.4641</v>
      </c>
      <c r="G102" s="434">
        <v>1969.42</v>
      </c>
    </row>
    <row r="103" spans="2:7" x14ac:dyDescent="0.3">
      <c r="B103" s="434">
        <v>1008.76</v>
      </c>
      <c r="C103" s="434">
        <f t="shared" si="3"/>
        <v>211.83959999999999</v>
      </c>
      <c r="E103" s="434">
        <v>154.85</v>
      </c>
      <c r="G103" s="434">
        <v>2011.92</v>
      </c>
    </row>
    <row r="104" spans="2:7" x14ac:dyDescent="0.3">
      <c r="B104" s="434">
        <v>10323.51</v>
      </c>
      <c r="D104" s="434">
        <f t="shared" si="4"/>
        <v>1083.9685500000001</v>
      </c>
      <c r="E104" s="434">
        <v>30.26</v>
      </c>
    </row>
    <row r="105" spans="2:7" x14ac:dyDescent="0.3">
      <c r="B105" s="434">
        <v>710.57</v>
      </c>
      <c r="C105" s="434">
        <f t="shared" si="3"/>
        <v>149.21970000000002</v>
      </c>
      <c r="G105" s="434">
        <v>1744.44</v>
      </c>
    </row>
    <row r="106" spans="2:7" x14ac:dyDescent="0.3">
      <c r="B106" s="434">
        <v>248.89</v>
      </c>
      <c r="C106" s="434">
        <f t="shared" si="3"/>
        <v>52.266899999999993</v>
      </c>
      <c r="G106" s="434">
        <v>518.41999999999996</v>
      </c>
    </row>
    <row r="107" spans="2:7" x14ac:dyDescent="0.3">
      <c r="B107" s="434">
        <v>2058</v>
      </c>
      <c r="D107" s="434">
        <f t="shared" si="4"/>
        <v>216.09</v>
      </c>
    </row>
    <row r="108" spans="2:7" x14ac:dyDescent="0.3">
      <c r="B108" s="434">
        <v>356.79</v>
      </c>
      <c r="C108" s="434">
        <f t="shared" si="3"/>
        <v>74.925899999999999</v>
      </c>
      <c r="G108" s="434">
        <v>875.91</v>
      </c>
    </row>
    <row r="109" spans="2:7" x14ac:dyDescent="0.3">
      <c r="B109" s="434">
        <v>1319.67</v>
      </c>
      <c r="C109" s="434">
        <f t="shared" si="3"/>
        <v>277.13069999999999</v>
      </c>
      <c r="G109" s="434">
        <v>3239.79</v>
      </c>
    </row>
    <row r="110" spans="2:7" x14ac:dyDescent="0.3">
      <c r="B110" s="434">
        <v>2080.31</v>
      </c>
      <c r="C110" s="434">
        <f t="shared" si="3"/>
        <v>436.86510000000004</v>
      </c>
      <c r="E110" s="434">
        <v>62.41</v>
      </c>
      <c r="G110" s="434">
        <v>5107.18</v>
      </c>
    </row>
    <row r="111" spans="2:7" x14ac:dyDescent="0.3">
      <c r="B111" s="434">
        <v>335.29</v>
      </c>
      <c r="C111" s="434">
        <f t="shared" si="3"/>
        <v>70.410899999999998</v>
      </c>
      <c r="G111" s="434">
        <v>674.48</v>
      </c>
    </row>
    <row r="112" spans="2:7" x14ac:dyDescent="0.3">
      <c r="B112" s="434">
        <v>3303.62</v>
      </c>
      <c r="D112" s="434">
        <f t="shared" si="4"/>
        <v>346.88010000000003</v>
      </c>
    </row>
    <row r="113" spans="2:7" x14ac:dyDescent="0.3">
      <c r="B113" s="434">
        <v>363.31</v>
      </c>
      <c r="C113" s="434">
        <f t="shared" si="3"/>
        <v>76.295100000000005</v>
      </c>
      <c r="G113" s="434">
        <v>891.93</v>
      </c>
    </row>
    <row r="114" spans="2:7" x14ac:dyDescent="0.3">
      <c r="B114" s="434">
        <v>121.38</v>
      </c>
      <c r="C114" s="434">
        <f t="shared" si="3"/>
        <v>25.489799999999999</v>
      </c>
      <c r="G114" s="434">
        <v>252.82</v>
      </c>
    </row>
    <row r="115" spans="2:7" x14ac:dyDescent="0.3">
      <c r="B115" s="434">
        <v>1003.66</v>
      </c>
      <c r="D115" s="434">
        <f t="shared" si="4"/>
        <v>105.3843</v>
      </c>
    </row>
    <row r="116" spans="2:7" x14ac:dyDescent="0.3">
      <c r="B116" s="434">
        <v>840.24</v>
      </c>
      <c r="C116" s="434">
        <f t="shared" si="3"/>
        <v>176.4504</v>
      </c>
      <c r="G116" s="434">
        <v>4688.54</v>
      </c>
    </row>
    <row r="117" spans="2:7" x14ac:dyDescent="0.3">
      <c r="B117" s="434">
        <v>538.02</v>
      </c>
      <c r="C117" s="434">
        <f t="shared" si="3"/>
        <v>112.9842</v>
      </c>
      <c r="G117" s="434">
        <v>3002.17</v>
      </c>
    </row>
    <row r="118" spans="2:7" x14ac:dyDescent="0.3">
      <c r="B118" s="434">
        <v>1208.75</v>
      </c>
      <c r="C118" s="434">
        <f t="shared" si="3"/>
        <v>253.83750000000001</v>
      </c>
      <c r="G118" s="434">
        <v>6744.84</v>
      </c>
    </row>
    <row r="119" spans="2:7" x14ac:dyDescent="0.3">
      <c r="B119" s="434">
        <v>1714.41</v>
      </c>
      <c r="C119" s="434">
        <f t="shared" si="3"/>
        <v>360.02609999999999</v>
      </c>
      <c r="G119" s="434">
        <v>9566.35</v>
      </c>
    </row>
    <row r="120" spans="2:7" x14ac:dyDescent="0.3">
      <c r="B120" s="434">
        <v>844.59</v>
      </c>
      <c r="C120" s="434">
        <f t="shared" si="3"/>
        <v>177.3639</v>
      </c>
      <c r="G120" s="434">
        <v>4712.82</v>
      </c>
    </row>
    <row r="121" spans="2:7" x14ac:dyDescent="0.3">
      <c r="B121" s="434">
        <v>474.99</v>
      </c>
      <c r="C121" s="434">
        <f t="shared" si="3"/>
        <v>99.747900000000016</v>
      </c>
      <c r="G121" s="434">
        <v>2650.46</v>
      </c>
    </row>
    <row r="122" spans="2:7" x14ac:dyDescent="0.3">
      <c r="B122" s="434">
        <v>1516</v>
      </c>
      <c r="C122" s="434">
        <f t="shared" ref="C122:C130" si="5">B122*21/100</f>
        <v>318.36</v>
      </c>
      <c r="G122" s="434">
        <v>8459.2800000000007</v>
      </c>
    </row>
    <row r="123" spans="2:7" x14ac:dyDescent="0.3">
      <c r="B123" s="434">
        <v>420.87</v>
      </c>
      <c r="C123" s="434">
        <f t="shared" si="5"/>
        <v>88.3827</v>
      </c>
      <c r="G123" s="434">
        <v>2348.42</v>
      </c>
    </row>
    <row r="124" spans="2:7" x14ac:dyDescent="0.3">
      <c r="B124" s="434">
        <v>1021.1</v>
      </c>
      <c r="C124" s="434">
        <f t="shared" si="5"/>
        <v>214.43100000000001</v>
      </c>
      <c r="G124" s="434">
        <v>5697.72</v>
      </c>
    </row>
    <row r="125" spans="2:7" x14ac:dyDescent="0.3">
      <c r="B125" s="434">
        <v>861.97</v>
      </c>
      <c r="C125" s="434">
        <f t="shared" si="5"/>
        <v>181.0137</v>
      </c>
      <c r="G125" s="434">
        <v>4809.74</v>
      </c>
    </row>
    <row r="126" spans="2:7" x14ac:dyDescent="0.3">
      <c r="B126" s="434">
        <v>1169.71</v>
      </c>
      <c r="C126" s="434">
        <f t="shared" si="5"/>
        <v>245.63909999999998</v>
      </c>
      <c r="G126" s="434">
        <v>6526.99</v>
      </c>
    </row>
    <row r="127" spans="2:7" x14ac:dyDescent="0.3">
      <c r="B127" s="434">
        <v>1313.24</v>
      </c>
      <c r="C127" s="434">
        <f t="shared" si="5"/>
        <v>275.78039999999999</v>
      </c>
      <c r="G127" s="434">
        <v>7327.88</v>
      </c>
    </row>
    <row r="128" spans="2:7" x14ac:dyDescent="0.3">
      <c r="B128" s="434">
        <v>619.59</v>
      </c>
      <c r="C128" s="434">
        <f t="shared" si="5"/>
        <v>130.1139</v>
      </c>
      <c r="G128" s="434">
        <v>3457.33</v>
      </c>
    </row>
    <row r="129" spans="2:7" x14ac:dyDescent="0.3">
      <c r="B129" s="434">
        <v>935</v>
      </c>
      <c r="C129" s="434">
        <f t="shared" si="5"/>
        <v>196.35</v>
      </c>
      <c r="G129" s="434">
        <v>5217.26</v>
      </c>
    </row>
    <row r="130" spans="2:7" x14ac:dyDescent="0.3">
      <c r="B130" s="434">
        <v>672.93</v>
      </c>
      <c r="C130" s="434">
        <f t="shared" si="5"/>
        <v>141.31529999999998</v>
      </c>
      <c r="G130" s="434">
        <v>3754.98</v>
      </c>
    </row>
    <row r="131" spans="2:7" x14ac:dyDescent="0.3">
      <c r="B131" s="434">
        <v>774.23</v>
      </c>
      <c r="C131" s="434">
        <f t="shared" ref="C131:C163" si="6">B131*21/100</f>
        <v>162.5883</v>
      </c>
      <c r="G131" s="434">
        <v>4320.3</v>
      </c>
    </row>
    <row r="132" spans="2:7" x14ac:dyDescent="0.3">
      <c r="B132" s="434">
        <v>931.82</v>
      </c>
      <c r="C132" s="434">
        <f t="shared" si="6"/>
        <v>195.68220000000002</v>
      </c>
      <c r="G132" s="434">
        <v>5199.47</v>
      </c>
    </row>
    <row r="133" spans="2:7" x14ac:dyDescent="0.3">
      <c r="B133" s="434">
        <v>722.3</v>
      </c>
      <c r="C133" s="434">
        <f t="shared" si="6"/>
        <v>151.68299999999999</v>
      </c>
      <c r="G133" s="434">
        <v>4030.41</v>
      </c>
    </row>
    <row r="134" spans="2:7" x14ac:dyDescent="0.3">
      <c r="B134" s="434">
        <v>1188.6199999999999</v>
      </c>
      <c r="C134" s="434">
        <f t="shared" si="6"/>
        <v>249.61019999999996</v>
      </c>
      <c r="G134" s="434">
        <v>6632.43</v>
      </c>
    </row>
    <row r="135" spans="2:7" x14ac:dyDescent="0.3">
      <c r="B135" s="434">
        <v>852.78</v>
      </c>
      <c r="C135" s="434">
        <f t="shared" si="6"/>
        <v>179.0838</v>
      </c>
      <c r="G135" s="434">
        <v>4758.58</v>
      </c>
    </row>
    <row r="136" spans="2:7" x14ac:dyDescent="0.3">
      <c r="C136" s="434">
        <f t="shared" si="6"/>
        <v>0</v>
      </c>
      <c r="D136" s="434">
        <f t="shared" ref="D136:D163" si="7">B136*10.5/100</f>
        <v>0</v>
      </c>
    </row>
    <row r="137" spans="2:7" x14ac:dyDescent="0.3">
      <c r="C137" s="434">
        <f t="shared" si="6"/>
        <v>0</v>
      </c>
      <c r="D137" s="434">
        <f t="shared" si="7"/>
        <v>0</v>
      </c>
    </row>
    <row r="138" spans="2:7" x14ac:dyDescent="0.3">
      <c r="C138" s="434">
        <f t="shared" si="6"/>
        <v>0</v>
      </c>
      <c r="D138" s="434">
        <f t="shared" si="7"/>
        <v>0</v>
      </c>
    </row>
    <row r="139" spans="2:7" x14ac:dyDescent="0.3">
      <c r="C139" s="434">
        <f t="shared" si="6"/>
        <v>0</v>
      </c>
      <c r="D139" s="434">
        <f t="shared" si="7"/>
        <v>0</v>
      </c>
    </row>
    <row r="140" spans="2:7" x14ac:dyDescent="0.3">
      <c r="C140" s="434">
        <f t="shared" si="6"/>
        <v>0</v>
      </c>
      <c r="D140" s="434">
        <f t="shared" si="7"/>
        <v>0</v>
      </c>
    </row>
    <row r="141" spans="2:7" x14ac:dyDescent="0.3">
      <c r="C141" s="434">
        <f t="shared" si="6"/>
        <v>0</v>
      </c>
      <c r="D141" s="434">
        <f t="shared" si="7"/>
        <v>0</v>
      </c>
    </row>
    <row r="142" spans="2:7" x14ac:dyDescent="0.3">
      <c r="C142" s="434">
        <f t="shared" si="6"/>
        <v>0</v>
      </c>
      <c r="D142" s="434">
        <f t="shared" si="7"/>
        <v>0</v>
      </c>
    </row>
    <row r="143" spans="2:7" x14ac:dyDescent="0.3">
      <c r="C143" s="434">
        <f t="shared" si="6"/>
        <v>0</v>
      </c>
      <c r="D143" s="434">
        <f t="shared" si="7"/>
        <v>0</v>
      </c>
    </row>
    <row r="144" spans="2:7" x14ac:dyDescent="0.3">
      <c r="C144" s="434">
        <f t="shared" si="6"/>
        <v>0</v>
      </c>
      <c r="D144" s="434">
        <f t="shared" si="7"/>
        <v>0</v>
      </c>
    </row>
    <row r="145" spans="3:4" x14ac:dyDescent="0.3">
      <c r="C145" s="434">
        <f t="shared" si="6"/>
        <v>0</v>
      </c>
      <c r="D145" s="434">
        <f t="shared" si="7"/>
        <v>0</v>
      </c>
    </row>
    <row r="146" spans="3:4" x14ac:dyDescent="0.3">
      <c r="C146" s="434">
        <f t="shared" si="6"/>
        <v>0</v>
      </c>
      <c r="D146" s="434">
        <f t="shared" si="7"/>
        <v>0</v>
      </c>
    </row>
    <row r="147" spans="3:4" x14ac:dyDescent="0.3">
      <c r="C147" s="434">
        <f t="shared" si="6"/>
        <v>0</v>
      </c>
      <c r="D147" s="434">
        <f t="shared" si="7"/>
        <v>0</v>
      </c>
    </row>
    <row r="148" spans="3:4" x14ac:dyDescent="0.3">
      <c r="C148" s="434">
        <f t="shared" si="6"/>
        <v>0</v>
      </c>
      <c r="D148" s="434">
        <f t="shared" si="7"/>
        <v>0</v>
      </c>
    </row>
    <row r="149" spans="3:4" x14ac:dyDescent="0.3">
      <c r="C149" s="434">
        <f t="shared" si="6"/>
        <v>0</v>
      </c>
      <c r="D149" s="434">
        <f t="shared" si="7"/>
        <v>0</v>
      </c>
    </row>
    <row r="150" spans="3:4" x14ac:dyDescent="0.3">
      <c r="C150" s="434">
        <f t="shared" si="6"/>
        <v>0</v>
      </c>
      <c r="D150" s="434">
        <f t="shared" si="7"/>
        <v>0</v>
      </c>
    </row>
    <row r="151" spans="3:4" x14ac:dyDescent="0.3">
      <c r="C151" s="434">
        <f t="shared" si="6"/>
        <v>0</v>
      </c>
      <c r="D151" s="434">
        <f t="shared" si="7"/>
        <v>0</v>
      </c>
    </row>
    <row r="152" spans="3:4" x14ac:dyDescent="0.3">
      <c r="C152" s="434">
        <f t="shared" si="6"/>
        <v>0</v>
      </c>
      <c r="D152" s="434">
        <f t="shared" si="7"/>
        <v>0</v>
      </c>
    </row>
    <row r="153" spans="3:4" x14ac:dyDescent="0.3">
      <c r="C153" s="434">
        <f t="shared" si="6"/>
        <v>0</v>
      </c>
      <c r="D153" s="434">
        <f t="shared" si="7"/>
        <v>0</v>
      </c>
    </row>
    <row r="154" spans="3:4" x14ac:dyDescent="0.3">
      <c r="C154" s="434">
        <f t="shared" si="6"/>
        <v>0</v>
      </c>
      <c r="D154" s="434">
        <f t="shared" si="7"/>
        <v>0</v>
      </c>
    </row>
    <row r="155" spans="3:4" x14ac:dyDescent="0.3">
      <c r="C155" s="434">
        <f t="shared" si="6"/>
        <v>0</v>
      </c>
      <c r="D155" s="434">
        <f t="shared" si="7"/>
        <v>0</v>
      </c>
    </row>
    <row r="156" spans="3:4" x14ac:dyDescent="0.3">
      <c r="C156" s="434">
        <f t="shared" si="6"/>
        <v>0</v>
      </c>
      <c r="D156" s="434">
        <f t="shared" si="7"/>
        <v>0</v>
      </c>
    </row>
    <row r="157" spans="3:4" x14ac:dyDescent="0.3">
      <c r="C157" s="434">
        <f t="shared" si="6"/>
        <v>0</v>
      </c>
      <c r="D157" s="434">
        <f t="shared" si="7"/>
        <v>0</v>
      </c>
    </row>
    <row r="158" spans="3:4" x14ac:dyDescent="0.3">
      <c r="C158" s="434">
        <f t="shared" si="6"/>
        <v>0</v>
      </c>
      <c r="D158" s="434">
        <f t="shared" si="7"/>
        <v>0</v>
      </c>
    </row>
    <row r="159" spans="3:4" x14ac:dyDescent="0.3">
      <c r="C159" s="434">
        <f t="shared" si="6"/>
        <v>0</v>
      </c>
      <c r="D159" s="434">
        <f t="shared" si="7"/>
        <v>0</v>
      </c>
    </row>
    <row r="160" spans="3:4" x14ac:dyDescent="0.3">
      <c r="C160" s="434">
        <f t="shared" si="6"/>
        <v>0</v>
      </c>
      <c r="D160" s="434">
        <f t="shared" si="7"/>
        <v>0</v>
      </c>
    </row>
    <row r="161" spans="2:8" x14ac:dyDescent="0.3">
      <c r="C161" s="434">
        <f t="shared" si="6"/>
        <v>0</v>
      </c>
      <c r="D161" s="434">
        <f t="shared" si="7"/>
        <v>0</v>
      </c>
    </row>
    <row r="162" spans="2:8" x14ac:dyDescent="0.3">
      <c r="C162" s="434">
        <f t="shared" si="6"/>
        <v>0</v>
      </c>
      <c r="D162" s="434">
        <f t="shared" si="7"/>
        <v>0</v>
      </c>
    </row>
    <row r="163" spans="2:8" x14ac:dyDescent="0.3">
      <c r="C163" s="434">
        <f t="shared" si="6"/>
        <v>0</v>
      </c>
      <c r="D163" s="434">
        <f t="shared" si="7"/>
        <v>0</v>
      </c>
    </row>
    <row r="164" spans="2:8" x14ac:dyDescent="0.3">
      <c r="C164" s="434">
        <f t="shared" ref="C164" si="8">B164*21/100</f>
        <v>0</v>
      </c>
      <c r="D164" s="434">
        <f t="shared" ref="D164" si="9">B164*10.5/100</f>
        <v>0</v>
      </c>
    </row>
    <row r="165" spans="2:8" x14ac:dyDescent="0.3">
      <c r="B165" s="434">
        <f>SUM(B3:B164)</f>
        <v>228602.57799999998</v>
      </c>
      <c r="C165" s="434">
        <f t="shared" ref="C165:H165" si="10">SUM(C3:C164)</f>
        <v>18790.259879999998</v>
      </c>
      <c r="D165" s="434">
        <f t="shared" si="10"/>
        <v>14608.140749999999</v>
      </c>
      <c r="E165" s="434">
        <f t="shared" si="10"/>
        <v>3073.1199999999994</v>
      </c>
      <c r="F165" s="434">
        <f t="shared" si="10"/>
        <v>0</v>
      </c>
      <c r="G165" s="434">
        <f t="shared" si="10"/>
        <v>230597.80999999997</v>
      </c>
      <c r="H165" s="434">
        <f t="shared" si="1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Lista_CUIT</vt:lpstr>
      <vt:lpstr>Ene-22</vt:lpstr>
      <vt:lpstr>Feb-22</vt:lpstr>
      <vt:lpstr>Marz-22</vt:lpstr>
      <vt:lpstr>Abr-22</vt:lpstr>
      <vt:lpstr>May-22</vt:lpstr>
      <vt:lpstr>Jun-22</vt:lpstr>
      <vt:lpstr>Jul-22</vt:lpstr>
      <vt:lpstr>Agost-22</vt:lpstr>
      <vt:lpstr>Sep-22</vt:lpstr>
      <vt:lpstr>Oct-22</vt:lpstr>
      <vt:lpstr>Nov-22</vt:lpstr>
      <vt:lpstr>Dic-22</vt:lpstr>
      <vt:lpstr>Asto-Cpras</vt:lpstr>
      <vt:lpstr>Asto-Vtas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FEDE-PC</dc:creator>
  <cp:lastModifiedBy>ABC</cp:lastModifiedBy>
  <cp:lastPrinted>2022-12-26T13:32:17Z</cp:lastPrinted>
  <dcterms:created xsi:type="dcterms:W3CDTF">2006-09-16T00:00:00Z</dcterms:created>
  <dcterms:modified xsi:type="dcterms:W3CDTF">2023-07-25T18:30:58Z</dcterms:modified>
</cp:coreProperties>
</file>